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heme/themeOverride1.xml" ContentType="application/vnd.openxmlformats-officedocument.themeOverrid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2.xml" ContentType="application/vnd.openxmlformats-officedocument.themeOverrid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comments2.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3.xml" ContentType="application/vnd.openxmlformats-officedocument.themeOverrid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5.xml" ContentType="application/vnd.openxmlformats-officedocument.spreadsheetml.pivotTable+xml"/>
  <Override PartName="/xl/drawings/drawing3.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6.xml" ContentType="application/vnd.openxmlformats-officedocument.spreadsheetml.pivotTable+xml"/>
  <Override PartName="/xl/drawings/drawing4.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5.xml" ContentType="application/vnd.openxmlformats-officedocument.drawing+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6.xml" ContentType="application/vnd.openxmlformats-officedocument.drawing+xml"/>
  <Override PartName="/xl/comments3.xml" ContentType="application/vnd.openxmlformats-officedocument.spreadsheetml.comments+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7.xml" ContentType="application/vnd.openxmlformats-officedocument.drawing+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theme/themeOverride4.xml" ContentType="application/vnd.openxmlformats-officedocument.themeOverrid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pivotTables/pivotTable13.xml" ContentType="application/vnd.openxmlformats-officedocument.spreadsheetml.pivotTable+xml"/>
  <Override PartName="/xl/drawings/drawing8.xml" ContentType="application/vnd.openxmlformats-officedocument.drawing+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theme/themeOverride5.xml" ContentType="application/vnd.openxmlformats-officedocument.themeOverrid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theme/themeOverride6.xml" ContentType="application/vnd.openxmlformats-officedocument.themeOverrid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theme/themeOverride7.xml" ContentType="application/vnd.openxmlformats-officedocument.themeOverrid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theme/themeOverride8.xml" ContentType="application/vnd.openxmlformats-officedocument.themeOverrid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theme/themeOverride9.xml" ContentType="application/vnd.openxmlformats-officedocument.themeOverrid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theme/themeOverride10.xml" ContentType="application/vnd.openxmlformats-officedocument.themeOverrid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9.xml" ContentType="application/vnd.openxmlformats-officedocument.drawing+xml"/>
  <Override PartName="/xl/comments4.xml" ContentType="application/vnd.openxmlformats-officedocument.spreadsheetml.comments+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theme/themeOverride11.xml" ContentType="application/vnd.openxmlformats-officedocument.themeOverrid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pivotTables/pivotTable18.xml" ContentType="application/vnd.openxmlformats-officedocument.spreadsheetml.pivotTable+xml"/>
  <Override PartName="/xl/drawings/drawing10.xml" ContentType="application/vnd.openxmlformats-officedocument.drawing+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pivotTables/pivotTable19.xml" ContentType="application/vnd.openxmlformats-officedocument.spreadsheetml.pivotTable+xml"/>
  <Override PartName="/xl/drawings/drawing11.xml" ContentType="application/vnd.openxmlformats-officedocument.drawing+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lclopez\Desktop\"/>
    </mc:Choice>
  </mc:AlternateContent>
  <bookViews>
    <workbookView xWindow="0" yWindow="0" windowWidth="25200" windowHeight="12000" firstSheet="7" activeTab="10"/>
  </bookViews>
  <sheets>
    <sheet name="correspondance réponse" sheetId="14" r:id="rId1"/>
    <sheet name="donnees_communes" sheetId="16" r:id="rId2"/>
    <sheet name="1_BD questio brut" sheetId="1" r:id="rId3"/>
    <sheet name="Données 1_BD questio" sheetId="33" r:id="rId4"/>
    <sheet name="1_BD questio modifié" sheetId="34" r:id="rId5"/>
    <sheet name="OK usage appareil" sheetId="9" r:id="rId6"/>
    <sheet name="OK RFR_mode occupation_age" sheetId="10" r:id="rId7"/>
    <sheet name="OK motivations principales" sheetId="3" r:id="rId8"/>
    <sheet name="OK mode de connaissance" sheetId="2" r:id="rId9"/>
    <sheet name="2_donnees EIE et dossiers" sheetId="4" r:id="rId10"/>
    <sheet name="3_BD instruction total" sheetId="22" r:id="rId11"/>
    <sheet name="type et coût appareil" sheetId="5" r:id="rId12"/>
    <sheet name="Dossier majoré" sheetId="30" r:id="rId13"/>
    <sheet name="Lieu installation" sheetId="26" r:id="rId14"/>
    <sheet name="Affectation epci" sheetId="32" r:id="rId15"/>
    <sheet name="détail installateur" sheetId="13" r:id="rId16"/>
    <sheet name="4_questio satisfaction" sheetId="17" r:id="rId17"/>
    <sheet name="OK liste signataires" sheetId="18" r:id="rId18"/>
  </sheets>
  <definedNames>
    <definedName name="_xlnm._FilterDatabase" localSheetId="2" hidden="1">'1_BD questio brut'!$A$1:$AL$526</definedName>
    <definedName name="_xlnm._FilterDatabase" localSheetId="4" hidden="1">'1_BD questio modifié'!$A$1:$AQ$525</definedName>
    <definedName name="_xlnm._FilterDatabase" localSheetId="10" hidden="1">'3_BD instruction total'!$A$1:$BW$582</definedName>
    <definedName name="_xlnm._FilterDatabase" localSheetId="15" hidden="1">'détail installateur'!$A$15:$D$84</definedName>
    <definedName name="_xlnm._FilterDatabase" localSheetId="1" hidden="1">donnees_communes!$A$1:$B$49</definedName>
    <definedName name="_xlnm._FilterDatabase" localSheetId="13" hidden="1">'Lieu installation'!$H$3:$I$37</definedName>
    <definedName name="_xlnm._FilterDatabase" localSheetId="17" hidden="1">'OK liste signataires'!$A$1:$D$110</definedName>
    <definedName name="_xlnm._FilterDatabase" localSheetId="8" hidden="1">'OK mode de connaissance'!$A$4:$N$16</definedName>
  </definedNames>
  <calcPr calcId="162913"/>
  <pivotCaches>
    <pivotCache cacheId="0" r:id="rId19"/>
    <pivotCache cacheId="1" r:id="rId20"/>
    <pivotCache cacheId="2" r:id="rId21"/>
    <pivotCache cacheId="3" r:id="rId22"/>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L5" i="26" l="1"/>
  <c r="M5" i="26"/>
  <c r="L6" i="26"/>
  <c r="M6" i="26"/>
  <c r="L7" i="26"/>
  <c r="M7" i="26"/>
  <c r="L8" i="26"/>
  <c r="M8" i="26"/>
  <c r="L9" i="26"/>
  <c r="M9" i="26"/>
  <c r="L10" i="26"/>
  <c r="M10" i="26"/>
  <c r="L11" i="26"/>
  <c r="M11" i="26"/>
  <c r="L12" i="26"/>
  <c r="M12" i="26"/>
  <c r="L13" i="26"/>
  <c r="M13" i="26"/>
  <c r="M4" i="26"/>
  <c r="L4" i="26"/>
  <c r="J4" i="26"/>
  <c r="J5" i="26"/>
  <c r="J6" i="26"/>
  <c r="J7" i="26"/>
  <c r="J8" i="26"/>
  <c r="J9" i="26"/>
  <c r="J10" i="26"/>
  <c r="J11" i="26"/>
  <c r="J12" i="26"/>
  <c r="J13" i="26"/>
  <c r="J14" i="26"/>
  <c r="J15" i="26"/>
  <c r="J16" i="26"/>
  <c r="J17" i="26"/>
  <c r="J18" i="26"/>
  <c r="J19" i="26"/>
  <c r="J20" i="26"/>
  <c r="J21" i="26"/>
  <c r="J22" i="26"/>
  <c r="J23" i="26"/>
  <c r="J24" i="26"/>
  <c r="J25" i="26"/>
  <c r="J26" i="26"/>
  <c r="J27" i="26"/>
  <c r="J28" i="26"/>
  <c r="J29" i="26"/>
  <c r="J30" i="26"/>
  <c r="J31" i="26"/>
  <c r="J32" i="26"/>
  <c r="J33" i="26"/>
  <c r="J34" i="26"/>
  <c r="J35" i="26"/>
  <c r="J36" i="26"/>
  <c r="J37" i="26"/>
  <c r="J3" i="26"/>
  <c r="L3" i="26"/>
  <c r="M15" i="26"/>
  <c r="N15" i="26" s="1"/>
  <c r="O16" i="13"/>
  <c r="A38" i="10"/>
  <c r="N13" i="26" l="1"/>
  <c r="N12" i="26"/>
  <c r="N8" i="26"/>
  <c r="N9" i="26"/>
  <c r="N10" i="26"/>
  <c r="N6" i="26"/>
  <c r="N7" i="26"/>
  <c r="N11" i="26"/>
  <c r="N5" i="26"/>
  <c r="M14" i="26"/>
  <c r="N14" i="26" s="1"/>
  <c r="N4" i="26"/>
  <c r="K14" i="4"/>
  <c r="M3" i="13" l="1"/>
  <c r="J15" i="13"/>
  <c r="D17" i="13"/>
  <c r="D18" i="13"/>
  <c r="D19" i="13"/>
  <c r="D20" i="13"/>
  <c r="D21" i="13"/>
  <c r="D22" i="13"/>
  <c r="D23" i="13"/>
  <c r="D24" i="13"/>
  <c r="D25" i="13"/>
  <c r="D26" i="13"/>
  <c r="D27" i="13"/>
  <c r="D28" i="13"/>
  <c r="D29" i="13"/>
  <c r="D30" i="13"/>
  <c r="D31" i="13"/>
  <c r="D32" i="13"/>
  <c r="D33" i="13"/>
  <c r="D34" i="13"/>
  <c r="D35" i="13"/>
  <c r="D36" i="13"/>
  <c r="D37" i="13"/>
  <c r="D38" i="13"/>
  <c r="D39" i="13"/>
  <c r="D40" i="13"/>
  <c r="D41" i="13"/>
  <c r="D42" i="13"/>
  <c r="D43" i="13"/>
  <c r="D44" i="13"/>
  <c r="D45" i="13"/>
  <c r="D46" i="13"/>
  <c r="D47" i="13"/>
  <c r="D48" i="13"/>
  <c r="D49" i="13"/>
  <c r="D50" i="13"/>
  <c r="D51" i="13"/>
  <c r="D52" i="13"/>
  <c r="D53" i="13"/>
  <c r="D54" i="13"/>
  <c r="D55" i="13"/>
  <c r="D56" i="13"/>
  <c r="D57" i="13"/>
  <c r="D58" i="13"/>
  <c r="D59" i="13"/>
  <c r="D60" i="13"/>
  <c r="D61" i="13"/>
  <c r="D62" i="13"/>
  <c r="D63" i="13"/>
  <c r="D64" i="13"/>
  <c r="D65" i="13"/>
  <c r="D66" i="13"/>
  <c r="D67" i="13"/>
  <c r="D68" i="13"/>
  <c r="D69" i="13"/>
  <c r="D70" i="13"/>
  <c r="D71" i="13"/>
  <c r="D72" i="13"/>
  <c r="D73" i="13"/>
  <c r="D74" i="13"/>
  <c r="D75" i="13"/>
  <c r="D76" i="13"/>
  <c r="D77" i="13"/>
  <c r="D78" i="13"/>
  <c r="D79" i="13"/>
  <c r="D80" i="13"/>
  <c r="D81" i="13"/>
  <c r="D82" i="13"/>
  <c r="D83" i="13"/>
  <c r="D84" i="13"/>
  <c r="D16" i="13"/>
  <c r="G29" i="5"/>
  <c r="G13" i="5"/>
  <c r="G17" i="5"/>
  <c r="G21" i="5"/>
  <c r="T3" i="5"/>
  <c r="J3" i="5"/>
  <c r="C5" i="5"/>
  <c r="C6" i="5"/>
  <c r="C7" i="5"/>
  <c r="C8" i="5"/>
  <c r="C9" i="5"/>
  <c r="C10" i="5"/>
  <c r="C4" i="5"/>
  <c r="A33" i="4" l="1"/>
  <c r="B33" i="4"/>
  <c r="A34" i="4"/>
  <c r="B34" i="4"/>
  <c r="A35" i="4"/>
  <c r="B35" i="4"/>
  <c r="A36" i="4"/>
  <c r="B36" i="4"/>
  <c r="A37" i="4"/>
  <c r="B37" i="4"/>
  <c r="A38" i="4"/>
  <c r="B38" i="4"/>
  <c r="A39" i="4"/>
  <c r="B39" i="4"/>
  <c r="A40" i="4"/>
  <c r="B40" i="4"/>
  <c r="A41" i="4"/>
  <c r="B41" i="4"/>
  <c r="A42" i="4"/>
  <c r="B42" i="4"/>
  <c r="A43" i="4"/>
  <c r="B43" i="4"/>
  <c r="A44" i="4"/>
  <c r="B44" i="4"/>
  <c r="A45" i="4"/>
  <c r="B45" i="4"/>
  <c r="A46" i="4"/>
  <c r="B46" i="4"/>
  <c r="A47" i="4"/>
  <c r="B47" i="4"/>
  <c r="A48" i="4"/>
  <c r="B48" i="4"/>
  <c r="A49" i="4"/>
  <c r="B49" i="4"/>
  <c r="A50" i="4"/>
  <c r="B50" i="4"/>
  <c r="A51" i="4"/>
  <c r="B51" i="4"/>
  <c r="A52" i="4"/>
  <c r="B52" i="4"/>
  <c r="A53" i="4"/>
  <c r="B53" i="4"/>
  <c r="A54" i="4"/>
  <c r="B54" i="4"/>
  <c r="A55" i="4"/>
  <c r="B55" i="4"/>
  <c r="A56" i="4"/>
  <c r="B56" i="4"/>
  <c r="A574" i="22"/>
  <c r="A3" i="22"/>
  <c r="A4" i="22"/>
  <c r="A5" i="22"/>
  <c r="A6" i="22"/>
  <c r="A7" i="22"/>
  <c r="A8" i="22"/>
  <c r="A9" i="22"/>
  <c r="A10" i="22"/>
  <c r="A11" i="22"/>
  <c r="A12" i="22"/>
  <c r="A13" i="22"/>
  <c r="A14" i="22"/>
  <c r="A15" i="22"/>
  <c r="A16" i="22"/>
  <c r="A17" i="22"/>
  <c r="A18" i="22"/>
  <c r="A19" i="22"/>
  <c r="A20" i="22"/>
  <c r="A21" i="22"/>
  <c r="A22" i="22"/>
  <c r="A23" i="22"/>
  <c r="A24" i="22"/>
  <c r="A25" i="22"/>
  <c r="A26" i="22"/>
  <c r="A27" i="22"/>
  <c r="A28" i="22"/>
  <c r="A29" i="22"/>
  <c r="A30" i="22"/>
  <c r="A31" i="22"/>
  <c r="A32" i="22"/>
  <c r="A33" i="22"/>
  <c r="A34" i="22"/>
  <c r="A35" i="22"/>
  <c r="A36" i="22"/>
  <c r="A37" i="22"/>
  <c r="A38" i="22"/>
  <c r="A39" i="22"/>
  <c r="A40" i="22"/>
  <c r="A41" i="22"/>
  <c r="A42" i="22"/>
  <c r="A43" i="22"/>
  <c r="A44" i="22"/>
  <c r="A45" i="22"/>
  <c r="A46" i="22"/>
  <c r="A47" i="22"/>
  <c r="A48" i="22"/>
  <c r="A49" i="22"/>
  <c r="A50" i="22"/>
  <c r="A51" i="22"/>
  <c r="A52" i="22"/>
  <c r="A53" i="22"/>
  <c r="A54" i="22"/>
  <c r="A55" i="22"/>
  <c r="A56" i="22"/>
  <c r="A57" i="22"/>
  <c r="A58" i="22"/>
  <c r="A59" i="22"/>
  <c r="A60" i="22"/>
  <c r="A61" i="22"/>
  <c r="A62" i="22"/>
  <c r="A63" i="22"/>
  <c r="A64" i="22"/>
  <c r="A65" i="22"/>
  <c r="A66" i="22"/>
  <c r="A67" i="22"/>
  <c r="A68" i="22"/>
  <c r="A69" i="22"/>
  <c r="A70" i="22"/>
  <c r="A71" i="22"/>
  <c r="A72" i="22"/>
  <c r="A73" i="22"/>
  <c r="A74" i="22"/>
  <c r="A75" i="22"/>
  <c r="A76" i="22"/>
  <c r="A77" i="22"/>
  <c r="A78" i="22"/>
  <c r="A79" i="22"/>
  <c r="A80" i="22"/>
  <c r="A81" i="22"/>
  <c r="A82" i="22"/>
  <c r="A83" i="22"/>
  <c r="A84" i="22"/>
  <c r="A85" i="22"/>
  <c r="A86" i="22"/>
  <c r="A87" i="22"/>
  <c r="A88" i="22"/>
  <c r="A89" i="22"/>
  <c r="A90" i="22"/>
  <c r="A91" i="22"/>
  <c r="A92" i="22"/>
  <c r="A93" i="22"/>
  <c r="A94" i="22"/>
  <c r="A95" i="22"/>
  <c r="A96" i="22"/>
  <c r="A97" i="22"/>
  <c r="A98" i="22"/>
  <c r="A99" i="22"/>
  <c r="A100" i="22"/>
  <c r="A101" i="22"/>
  <c r="A102" i="22"/>
  <c r="A103" i="22"/>
  <c r="A104" i="22"/>
  <c r="A105" i="22"/>
  <c r="A106" i="22"/>
  <c r="A107" i="22"/>
  <c r="A108" i="22"/>
  <c r="A109" i="22"/>
  <c r="A110" i="22"/>
  <c r="A111" i="22"/>
  <c r="A112" i="22"/>
  <c r="A113" i="22"/>
  <c r="A114" i="22"/>
  <c r="A115" i="22"/>
  <c r="A116" i="22"/>
  <c r="A117" i="22"/>
  <c r="A118" i="22"/>
  <c r="A119" i="22"/>
  <c r="A120" i="22"/>
  <c r="A121" i="22"/>
  <c r="A122" i="22"/>
  <c r="A123" i="22"/>
  <c r="A124" i="22"/>
  <c r="A125" i="22"/>
  <c r="A126" i="22"/>
  <c r="A127" i="22"/>
  <c r="A128" i="22"/>
  <c r="A129" i="22"/>
  <c r="A130" i="22"/>
  <c r="A131" i="22"/>
  <c r="A132" i="22"/>
  <c r="A133" i="22"/>
  <c r="A134" i="22"/>
  <c r="A135" i="22"/>
  <c r="A136" i="22"/>
  <c r="A137" i="22"/>
  <c r="A138" i="22"/>
  <c r="A139" i="22"/>
  <c r="A140" i="22"/>
  <c r="A141" i="22"/>
  <c r="A142" i="22"/>
  <c r="A143" i="22"/>
  <c r="A144" i="22"/>
  <c r="A145" i="22"/>
  <c r="A146" i="22"/>
  <c r="A147" i="22"/>
  <c r="A148" i="22"/>
  <c r="A149" i="22"/>
  <c r="A150" i="22"/>
  <c r="A151" i="22"/>
  <c r="A152" i="22"/>
  <c r="A153" i="22"/>
  <c r="A154" i="22"/>
  <c r="A155" i="22"/>
  <c r="A156" i="22"/>
  <c r="A157" i="22"/>
  <c r="A158" i="22"/>
  <c r="A159" i="22"/>
  <c r="A160" i="22"/>
  <c r="A161" i="22"/>
  <c r="A162" i="22"/>
  <c r="A163" i="22"/>
  <c r="A164" i="22"/>
  <c r="A165" i="22"/>
  <c r="A166" i="22"/>
  <c r="A167" i="22"/>
  <c r="A168" i="22"/>
  <c r="A169" i="22"/>
  <c r="A170" i="22"/>
  <c r="A171" i="22"/>
  <c r="A172" i="22"/>
  <c r="A173" i="22"/>
  <c r="A174" i="22"/>
  <c r="A175" i="22"/>
  <c r="A176" i="22"/>
  <c r="A177" i="22"/>
  <c r="A178" i="22"/>
  <c r="A179" i="22"/>
  <c r="A180" i="22"/>
  <c r="A181" i="22"/>
  <c r="A182" i="22"/>
  <c r="A183" i="22"/>
  <c r="A184" i="22"/>
  <c r="A185" i="22"/>
  <c r="A186" i="22"/>
  <c r="A187" i="22"/>
  <c r="A188" i="22"/>
  <c r="A189" i="22"/>
  <c r="A190" i="22"/>
  <c r="A191" i="22"/>
  <c r="A192" i="22"/>
  <c r="A193" i="22"/>
  <c r="A194" i="22"/>
  <c r="A195" i="22"/>
  <c r="A196" i="22"/>
  <c r="A197" i="22"/>
  <c r="A198" i="22"/>
  <c r="A199" i="22"/>
  <c r="A200" i="22"/>
  <c r="A201" i="22"/>
  <c r="A202" i="22"/>
  <c r="A203" i="22"/>
  <c r="A204" i="22"/>
  <c r="A205" i="22"/>
  <c r="A206" i="22"/>
  <c r="A207" i="22"/>
  <c r="A208" i="22"/>
  <c r="A209" i="22"/>
  <c r="A210" i="22"/>
  <c r="A211" i="22"/>
  <c r="A212" i="22"/>
  <c r="A213" i="22"/>
  <c r="A214" i="22"/>
  <c r="A215" i="22"/>
  <c r="A216" i="22"/>
  <c r="A217" i="22"/>
  <c r="A218" i="22"/>
  <c r="A219" i="22"/>
  <c r="A220" i="22"/>
  <c r="A221" i="22"/>
  <c r="A222" i="22"/>
  <c r="A223" i="22"/>
  <c r="A224" i="22"/>
  <c r="A225" i="22"/>
  <c r="A226" i="22"/>
  <c r="A227" i="22"/>
  <c r="A228" i="22"/>
  <c r="A229" i="22"/>
  <c r="A230" i="22"/>
  <c r="A231" i="22"/>
  <c r="A232" i="22"/>
  <c r="A233" i="22"/>
  <c r="A234" i="22"/>
  <c r="A235" i="22"/>
  <c r="A236" i="22"/>
  <c r="A237" i="22"/>
  <c r="A238" i="22"/>
  <c r="A239" i="22"/>
  <c r="A240" i="22"/>
  <c r="A241" i="22"/>
  <c r="A242" i="22"/>
  <c r="A243" i="22"/>
  <c r="A244" i="22"/>
  <c r="A245" i="22"/>
  <c r="A246" i="22"/>
  <c r="A247" i="22"/>
  <c r="A248" i="22"/>
  <c r="A249" i="22"/>
  <c r="A250" i="22"/>
  <c r="A251" i="22"/>
  <c r="A252" i="22"/>
  <c r="A253" i="22"/>
  <c r="A254" i="22"/>
  <c r="A255" i="22"/>
  <c r="A256" i="22"/>
  <c r="A257" i="22"/>
  <c r="A258" i="22"/>
  <c r="A259" i="22"/>
  <c r="A260" i="22"/>
  <c r="A261" i="22"/>
  <c r="A262" i="22"/>
  <c r="A263" i="22"/>
  <c r="A264" i="22"/>
  <c r="A265" i="22"/>
  <c r="A266" i="22"/>
  <c r="A267" i="22"/>
  <c r="A268" i="22"/>
  <c r="A269" i="22"/>
  <c r="A270" i="22"/>
  <c r="A271" i="22"/>
  <c r="A272" i="22"/>
  <c r="A273" i="22"/>
  <c r="A274" i="22"/>
  <c r="A275" i="22"/>
  <c r="A276" i="22"/>
  <c r="A277" i="22"/>
  <c r="A278" i="22"/>
  <c r="A279" i="22"/>
  <c r="A280" i="22"/>
  <c r="A281" i="22"/>
  <c r="A282" i="22"/>
  <c r="A283" i="22"/>
  <c r="A284" i="22"/>
  <c r="A285" i="22"/>
  <c r="A286" i="22"/>
  <c r="A287" i="22"/>
  <c r="A288" i="22"/>
  <c r="A289" i="22"/>
  <c r="A290" i="22"/>
  <c r="A291" i="22"/>
  <c r="A292" i="22"/>
  <c r="A293" i="22"/>
  <c r="A294" i="22"/>
  <c r="A295" i="22"/>
  <c r="A296" i="22"/>
  <c r="A297" i="22"/>
  <c r="A298" i="22"/>
  <c r="A299" i="22"/>
  <c r="A300" i="22"/>
  <c r="A301" i="22"/>
  <c r="A302" i="22"/>
  <c r="A303" i="22"/>
  <c r="A304" i="22"/>
  <c r="A305" i="22"/>
  <c r="A306" i="22"/>
  <c r="A307" i="22"/>
  <c r="A308" i="22"/>
  <c r="A309" i="22"/>
  <c r="A310" i="22"/>
  <c r="A311" i="22"/>
  <c r="A312" i="22"/>
  <c r="A313" i="22"/>
  <c r="A314" i="22"/>
  <c r="A315" i="22"/>
  <c r="A316" i="22"/>
  <c r="A317" i="22"/>
  <c r="A318" i="22"/>
  <c r="A319" i="22"/>
  <c r="A320" i="22"/>
  <c r="A321" i="22"/>
  <c r="A322" i="22"/>
  <c r="A323" i="22"/>
  <c r="A324" i="22"/>
  <c r="A325" i="22"/>
  <c r="A326" i="22"/>
  <c r="A327" i="22"/>
  <c r="A328" i="22"/>
  <c r="A329" i="22"/>
  <c r="A330" i="22"/>
  <c r="A331" i="22"/>
  <c r="A332" i="22"/>
  <c r="A333" i="22"/>
  <c r="A334" i="22"/>
  <c r="A335" i="22"/>
  <c r="A336" i="22"/>
  <c r="A337" i="22"/>
  <c r="A338" i="22"/>
  <c r="A339" i="22"/>
  <c r="A340" i="22"/>
  <c r="A341" i="22"/>
  <c r="A342" i="22"/>
  <c r="A343" i="22"/>
  <c r="A344" i="22"/>
  <c r="A345" i="22"/>
  <c r="A346" i="22"/>
  <c r="A347" i="22"/>
  <c r="A348" i="22"/>
  <c r="A349" i="22"/>
  <c r="A350" i="22"/>
  <c r="A351" i="22"/>
  <c r="A352" i="22"/>
  <c r="A353" i="22"/>
  <c r="A354" i="22"/>
  <c r="A355" i="22"/>
  <c r="A356" i="22"/>
  <c r="A357" i="22"/>
  <c r="A358" i="22"/>
  <c r="A359" i="22"/>
  <c r="A360" i="22"/>
  <c r="A361" i="22"/>
  <c r="A362" i="22"/>
  <c r="A363" i="22"/>
  <c r="A364" i="22"/>
  <c r="A365" i="22"/>
  <c r="A366" i="22"/>
  <c r="A367" i="22"/>
  <c r="A368" i="22"/>
  <c r="A369" i="22"/>
  <c r="A370" i="22"/>
  <c r="A371" i="22"/>
  <c r="A372" i="22"/>
  <c r="A373" i="22"/>
  <c r="A374" i="22"/>
  <c r="A375" i="22"/>
  <c r="A376" i="22"/>
  <c r="A377" i="22"/>
  <c r="A378" i="22"/>
  <c r="A379" i="22"/>
  <c r="A380" i="22"/>
  <c r="A381" i="22"/>
  <c r="A382" i="22"/>
  <c r="A383" i="22"/>
  <c r="A384" i="22"/>
  <c r="A385" i="22"/>
  <c r="A386" i="22"/>
  <c r="A387" i="22"/>
  <c r="A388" i="22"/>
  <c r="A389" i="22"/>
  <c r="A390" i="22"/>
  <c r="A391" i="22"/>
  <c r="A392" i="22"/>
  <c r="A393" i="22"/>
  <c r="A394" i="22"/>
  <c r="A395" i="22"/>
  <c r="A396" i="22"/>
  <c r="A397" i="22"/>
  <c r="A398" i="22"/>
  <c r="A399" i="22"/>
  <c r="A400" i="22"/>
  <c r="A401" i="22"/>
  <c r="A402" i="22"/>
  <c r="A403" i="22"/>
  <c r="A404" i="22"/>
  <c r="A405" i="22"/>
  <c r="A406" i="22"/>
  <c r="A407" i="22"/>
  <c r="A408" i="22"/>
  <c r="A409" i="22"/>
  <c r="A410" i="22"/>
  <c r="A411" i="22"/>
  <c r="A412" i="22"/>
  <c r="A413" i="22"/>
  <c r="A414" i="22"/>
  <c r="A415" i="22"/>
  <c r="A416" i="22"/>
  <c r="A417" i="22"/>
  <c r="A418" i="22"/>
  <c r="A419" i="22"/>
  <c r="A420" i="22"/>
  <c r="A421" i="22"/>
  <c r="A422" i="22"/>
  <c r="A423" i="22"/>
  <c r="A424" i="22"/>
  <c r="A425" i="22"/>
  <c r="A426" i="22"/>
  <c r="A427" i="22"/>
  <c r="A428" i="22"/>
  <c r="A429" i="22"/>
  <c r="A430" i="22"/>
  <c r="A431" i="22"/>
  <c r="A432" i="22"/>
  <c r="A433" i="22"/>
  <c r="A434" i="22"/>
  <c r="A435" i="22"/>
  <c r="A436" i="22"/>
  <c r="A437" i="22"/>
  <c r="A438" i="22"/>
  <c r="A439" i="22"/>
  <c r="A440" i="22"/>
  <c r="A441" i="22"/>
  <c r="A442" i="22"/>
  <c r="A443" i="22"/>
  <c r="A444" i="22"/>
  <c r="A445" i="22"/>
  <c r="A446" i="22"/>
  <c r="A447" i="22"/>
  <c r="A448" i="22"/>
  <c r="A449" i="22"/>
  <c r="A450" i="22"/>
  <c r="A451" i="22"/>
  <c r="A452" i="22"/>
  <c r="A453" i="22"/>
  <c r="A454" i="22"/>
  <c r="A455" i="22"/>
  <c r="A456" i="22"/>
  <c r="A457" i="22"/>
  <c r="A458" i="22"/>
  <c r="A459" i="22"/>
  <c r="A460" i="22"/>
  <c r="A461" i="22"/>
  <c r="A462" i="22"/>
  <c r="A463" i="22"/>
  <c r="A464" i="22"/>
  <c r="A465" i="22"/>
  <c r="A466" i="22"/>
  <c r="A467" i="22"/>
  <c r="A468" i="22"/>
  <c r="A469" i="22"/>
  <c r="A470" i="22"/>
  <c r="A471" i="22"/>
  <c r="A472" i="22"/>
  <c r="A473" i="22"/>
  <c r="A474" i="22"/>
  <c r="A475" i="22"/>
  <c r="A476" i="22"/>
  <c r="A477" i="22"/>
  <c r="A478" i="22"/>
  <c r="A479" i="22"/>
  <c r="A480" i="22"/>
  <c r="A481" i="22"/>
  <c r="A482" i="22"/>
  <c r="A483" i="22"/>
  <c r="A484" i="22"/>
  <c r="A485" i="22"/>
  <c r="A486" i="22"/>
  <c r="A487" i="22"/>
  <c r="A488" i="22"/>
  <c r="A489" i="22"/>
  <c r="A490" i="22"/>
  <c r="A491" i="22"/>
  <c r="A492" i="22"/>
  <c r="A493" i="22"/>
  <c r="A494" i="22"/>
  <c r="A495" i="22"/>
  <c r="A496" i="22"/>
  <c r="A497" i="22"/>
  <c r="A498" i="22"/>
  <c r="A499" i="22"/>
  <c r="A500" i="22"/>
  <c r="A501" i="22"/>
  <c r="A502" i="22"/>
  <c r="A503" i="22"/>
  <c r="A504" i="22"/>
  <c r="A505" i="22"/>
  <c r="A506" i="22"/>
  <c r="A507" i="22"/>
  <c r="A508" i="22"/>
  <c r="A509" i="22"/>
  <c r="A510" i="22"/>
  <c r="A511" i="22"/>
  <c r="A512" i="22"/>
  <c r="A513" i="22"/>
  <c r="A514" i="22"/>
  <c r="A515" i="22"/>
  <c r="A516" i="22"/>
  <c r="A517" i="22"/>
  <c r="A518" i="22"/>
  <c r="A519" i="22"/>
  <c r="A520" i="22"/>
  <c r="A521" i="22"/>
  <c r="A522" i="22"/>
  <c r="A523" i="22"/>
  <c r="A524" i="22"/>
  <c r="A525" i="22"/>
  <c r="A526" i="22"/>
  <c r="A527" i="22"/>
  <c r="A528" i="22"/>
  <c r="A529" i="22"/>
  <c r="A530" i="22"/>
  <c r="A531" i="22"/>
  <c r="A532" i="22"/>
  <c r="A533" i="22"/>
  <c r="A534" i="22"/>
  <c r="A535" i="22"/>
  <c r="A536" i="22"/>
  <c r="A537" i="22"/>
  <c r="A538" i="22"/>
  <c r="A539" i="22"/>
  <c r="A540" i="22"/>
  <c r="A541" i="22"/>
  <c r="A542" i="22"/>
  <c r="A543" i="22"/>
  <c r="A544" i="22"/>
  <c r="A545" i="22"/>
  <c r="A546" i="22"/>
  <c r="A547" i="22"/>
  <c r="A548" i="22"/>
  <c r="A549" i="22"/>
  <c r="A550" i="22"/>
  <c r="A551" i="22"/>
  <c r="A552" i="22"/>
  <c r="A553" i="22"/>
  <c r="A554" i="22"/>
  <c r="A555" i="22"/>
  <c r="A556" i="22"/>
  <c r="A557" i="22"/>
  <c r="A558" i="22"/>
  <c r="A559" i="22"/>
  <c r="A560" i="22"/>
  <c r="A561" i="22"/>
  <c r="A562" i="22"/>
  <c r="A563" i="22"/>
  <c r="A564" i="22"/>
  <c r="A565" i="22"/>
  <c r="A566" i="22"/>
  <c r="A567" i="22"/>
  <c r="A568" i="22"/>
  <c r="A569" i="22"/>
  <c r="A570" i="22"/>
  <c r="A571" i="22"/>
  <c r="A572" i="22"/>
  <c r="A573" i="22"/>
  <c r="A2" i="22"/>
  <c r="B3" i="22"/>
  <c r="B4" i="22"/>
  <c r="B5" i="22"/>
  <c r="B6" i="22"/>
  <c r="B7" i="22"/>
  <c r="B8" i="22"/>
  <c r="B9" i="22"/>
  <c r="B10" i="22"/>
  <c r="B11" i="22"/>
  <c r="B12" i="22"/>
  <c r="B13" i="22"/>
  <c r="B14" i="22"/>
  <c r="B15" i="22"/>
  <c r="B16" i="22"/>
  <c r="B17" i="22"/>
  <c r="B18" i="22"/>
  <c r="B19" i="22"/>
  <c r="B20" i="22"/>
  <c r="B21" i="22"/>
  <c r="B22" i="22"/>
  <c r="B23" i="22"/>
  <c r="B24" i="22"/>
  <c r="B25" i="22"/>
  <c r="B26" i="22"/>
  <c r="B27" i="22"/>
  <c r="B28" i="22"/>
  <c r="B29" i="22"/>
  <c r="B30" i="22"/>
  <c r="B31" i="22"/>
  <c r="B32" i="22"/>
  <c r="B33" i="22"/>
  <c r="B34" i="22"/>
  <c r="B35" i="22"/>
  <c r="B36" i="22"/>
  <c r="B37" i="22"/>
  <c r="B38" i="22"/>
  <c r="B39" i="22"/>
  <c r="B40" i="22"/>
  <c r="B41" i="22"/>
  <c r="B42" i="22"/>
  <c r="B43" i="22"/>
  <c r="B44" i="22"/>
  <c r="B45" i="22"/>
  <c r="B46" i="22"/>
  <c r="B47" i="22"/>
  <c r="B48" i="22"/>
  <c r="B49" i="22"/>
  <c r="B50" i="22"/>
  <c r="B51" i="22"/>
  <c r="B52" i="22"/>
  <c r="B53" i="22"/>
  <c r="B54" i="22"/>
  <c r="B55" i="22"/>
  <c r="B56" i="22"/>
  <c r="B57" i="22"/>
  <c r="B58" i="22"/>
  <c r="B59" i="22"/>
  <c r="B60" i="22"/>
  <c r="B61" i="22"/>
  <c r="B62" i="22"/>
  <c r="B63" i="22"/>
  <c r="B64" i="22"/>
  <c r="B65" i="22"/>
  <c r="B66" i="22"/>
  <c r="B67" i="22"/>
  <c r="B68" i="22"/>
  <c r="B69" i="22"/>
  <c r="B70" i="22"/>
  <c r="B71" i="22"/>
  <c r="B72" i="22"/>
  <c r="B73" i="22"/>
  <c r="B74" i="22"/>
  <c r="B75" i="22"/>
  <c r="B76" i="22"/>
  <c r="B77" i="22"/>
  <c r="B78" i="22"/>
  <c r="B79" i="22"/>
  <c r="B80" i="22"/>
  <c r="B81" i="22"/>
  <c r="B82" i="22"/>
  <c r="B83" i="22"/>
  <c r="B84" i="22"/>
  <c r="B85" i="22"/>
  <c r="B86" i="22"/>
  <c r="B87" i="22"/>
  <c r="B88" i="22"/>
  <c r="B89" i="22"/>
  <c r="B90" i="22"/>
  <c r="B91" i="22"/>
  <c r="B92" i="22"/>
  <c r="B93" i="22"/>
  <c r="B94" i="22"/>
  <c r="B95" i="22"/>
  <c r="B96" i="22"/>
  <c r="B97" i="22"/>
  <c r="B98" i="22"/>
  <c r="B99" i="22"/>
  <c r="B100" i="22"/>
  <c r="B101" i="22"/>
  <c r="B102" i="22"/>
  <c r="B103" i="22"/>
  <c r="B104" i="22"/>
  <c r="B105" i="22"/>
  <c r="B106" i="22"/>
  <c r="B107" i="22"/>
  <c r="B108" i="22"/>
  <c r="B109" i="22"/>
  <c r="B110" i="22"/>
  <c r="B111" i="22"/>
  <c r="B112" i="22"/>
  <c r="B113" i="22"/>
  <c r="B114" i="22"/>
  <c r="B115" i="22"/>
  <c r="B116" i="22"/>
  <c r="B117" i="22"/>
  <c r="B118" i="22"/>
  <c r="B119" i="22"/>
  <c r="B120" i="22"/>
  <c r="B121" i="22"/>
  <c r="B122" i="22"/>
  <c r="B123" i="22"/>
  <c r="B124" i="22"/>
  <c r="B125" i="22"/>
  <c r="B126" i="22"/>
  <c r="B127" i="22"/>
  <c r="B128" i="22"/>
  <c r="B129" i="22"/>
  <c r="B130" i="22"/>
  <c r="B131" i="22"/>
  <c r="B132" i="22"/>
  <c r="B133" i="22"/>
  <c r="B134" i="22"/>
  <c r="B135" i="22"/>
  <c r="B136" i="22"/>
  <c r="B137" i="22"/>
  <c r="B138" i="22"/>
  <c r="B139" i="22"/>
  <c r="B140" i="22"/>
  <c r="B141" i="22"/>
  <c r="B142" i="22"/>
  <c r="B143" i="22"/>
  <c r="B144" i="22"/>
  <c r="B145" i="22"/>
  <c r="B146" i="22"/>
  <c r="B147" i="22"/>
  <c r="B148" i="22"/>
  <c r="B149" i="22"/>
  <c r="B150" i="22"/>
  <c r="B151" i="22"/>
  <c r="B152" i="22"/>
  <c r="B153" i="22"/>
  <c r="B154" i="22"/>
  <c r="B155" i="22"/>
  <c r="B156" i="22"/>
  <c r="B157" i="22"/>
  <c r="B158" i="22"/>
  <c r="B159" i="22"/>
  <c r="B160" i="22"/>
  <c r="B161" i="22"/>
  <c r="B162" i="22"/>
  <c r="B163" i="22"/>
  <c r="B164" i="22"/>
  <c r="B165" i="22"/>
  <c r="B166" i="22"/>
  <c r="B167" i="22"/>
  <c r="B168" i="22"/>
  <c r="B169" i="22"/>
  <c r="B170" i="22"/>
  <c r="B171" i="22"/>
  <c r="B172" i="22"/>
  <c r="B173" i="22"/>
  <c r="B174" i="22"/>
  <c r="B175" i="22"/>
  <c r="B176" i="22"/>
  <c r="B177" i="22"/>
  <c r="B178" i="22"/>
  <c r="B179" i="22"/>
  <c r="B180" i="22"/>
  <c r="B181" i="22"/>
  <c r="B182" i="22"/>
  <c r="B183" i="22"/>
  <c r="B184" i="22"/>
  <c r="B185" i="22"/>
  <c r="B186" i="22"/>
  <c r="B187" i="22"/>
  <c r="B188" i="22"/>
  <c r="B189" i="22"/>
  <c r="B190" i="22"/>
  <c r="B191" i="22"/>
  <c r="B192" i="22"/>
  <c r="B193" i="22"/>
  <c r="B194" i="22"/>
  <c r="B195" i="22"/>
  <c r="B196" i="22"/>
  <c r="B197" i="22"/>
  <c r="B198" i="22"/>
  <c r="B199" i="22"/>
  <c r="B200" i="22"/>
  <c r="B201" i="22"/>
  <c r="B202" i="22"/>
  <c r="B203" i="22"/>
  <c r="B204" i="22"/>
  <c r="B205" i="22"/>
  <c r="B206" i="22"/>
  <c r="B207" i="22"/>
  <c r="B208" i="22"/>
  <c r="B209" i="22"/>
  <c r="B210" i="22"/>
  <c r="B211" i="22"/>
  <c r="B212" i="22"/>
  <c r="B213" i="22"/>
  <c r="B214" i="22"/>
  <c r="B215" i="22"/>
  <c r="B216" i="22"/>
  <c r="B217" i="22"/>
  <c r="B218" i="22"/>
  <c r="B219" i="22"/>
  <c r="B220" i="22"/>
  <c r="B221" i="22"/>
  <c r="B222" i="22"/>
  <c r="B223" i="22"/>
  <c r="B224" i="22"/>
  <c r="B225" i="22"/>
  <c r="B226" i="22"/>
  <c r="B227" i="22"/>
  <c r="B228" i="22"/>
  <c r="B229" i="22"/>
  <c r="B230" i="22"/>
  <c r="B231" i="22"/>
  <c r="B232" i="22"/>
  <c r="B233" i="22"/>
  <c r="B234" i="22"/>
  <c r="B235" i="22"/>
  <c r="B236" i="22"/>
  <c r="B237" i="22"/>
  <c r="B238" i="22"/>
  <c r="B239" i="22"/>
  <c r="B240" i="22"/>
  <c r="B241" i="22"/>
  <c r="B242" i="22"/>
  <c r="B243" i="22"/>
  <c r="B244" i="22"/>
  <c r="B245" i="22"/>
  <c r="B246" i="22"/>
  <c r="B247" i="22"/>
  <c r="B248" i="22"/>
  <c r="B249" i="22"/>
  <c r="B250" i="22"/>
  <c r="B251" i="22"/>
  <c r="B252" i="22"/>
  <c r="B253" i="22"/>
  <c r="B254" i="22"/>
  <c r="B255" i="22"/>
  <c r="B256" i="22"/>
  <c r="B257" i="22"/>
  <c r="B258" i="22"/>
  <c r="B259" i="22"/>
  <c r="B260" i="22"/>
  <c r="B261" i="22"/>
  <c r="B262" i="22"/>
  <c r="B263" i="22"/>
  <c r="B264" i="22"/>
  <c r="B265" i="22"/>
  <c r="B266" i="22"/>
  <c r="B267" i="22"/>
  <c r="B268" i="22"/>
  <c r="B269" i="22"/>
  <c r="B270" i="22"/>
  <c r="B271" i="22"/>
  <c r="B272" i="22"/>
  <c r="B273" i="22"/>
  <c r="B274" i="22"/>
  <c r="B275" i="22"/>
  <c r="B276" i="22"/>
  <c r="B277" i="22"/>
  <c r="B278" i="22"/>
  <c r="B279" i="22"/>
  <c r="B280" i="22"/>
  <c r="B281" i="22"/>
  <c r="B282" i="22"/>
  <c r="B283" i="22"/>
  <c r="B284" i="22"/>
  <c r="B285" i="22"/>
  <c r="B286" i="22"/>
  <c r="B287" i="22"/>
  <c r="B288" i="22"/>
  <c r="B289" i="22"/>
  <c r="B290" i="22"/>
  <c r="B291" i="22"/>
  <c r="B292" i="22"/>
  <c r="B293" i="22"/>
  <c r="B294" i="22"/>
  <c r="B295" i="22"/>
  <c r="B296" i="22"/>
  <c r="B297" i="22"/>
  <c r="B298" i="22"/>
  <c r="B299" i="22"/>
  <c r="B300" i="22"/>
  <c r="B301" i="22"/>
  <c r="B302" i="22"/>
  <c r="B303" i="22"/>
  <c r="B304" i="22"/>
  <c r="B305" i="22"/>
  <c r="B306" i="22"/>
  <c r="B307" i="22"/>
  <c r="B308" i="22"/>
  <c r="B309" i="22"/>
  <c r="B310" i="22"/>
  <c r="B311" i="22"/>
  <c r="B312" i="22"/>
  <c r="B313" i="22"/>
  <c r="B314" i="22"/>
  <c r="B315" i="22"/>
  <c r="B316" i="22"/>
  <c r="B317" i="22"/>
  <c r="B318" i="22"/>
  <c r="B319" i="22"/>
  <c r="B320" i="22"/>
  <c r="B321" i="22"/>
  <c r="B322" i="22"/>
  <c r="B323" i="22"/>
  <c r="B324" i="22"/>
  <c r="B325" i="22"/>
  <c r="B326" i="22"/>
  <c r="B327" i="22"/>
  <c r="B328" i="22"/>
  <c r="B329" i="22"/>
  <c r="B330" i="22"/>
  <c r="B331" i="22"/>
  <c r="B332" i="22"/>
  <c r="B333" i="22"/>
  <c r="B334" i="22"/>
  <c r="B335" i="22"/>
  <c r="B336" i="22"/>
  <c r="B337" i="22"/>
  <c r="B338" i="22"/>
  <c r="B339" i="22"/>
  <c r="B340" i="22"/>
  <c r="B341" i="22"/>
  <c r="B342" i="22"/>
  <c r="B343" i="22"/>
  <c r="B344" i="22"/>
  <c r="B345" i="22"/>
  <c r="B346" i="22"/>
  <c r="B347" i="22"/>
  <c r="B348" i="22"/>
  <c r="B349" i="22"/>
  <c r="B350" i="22"/>
  <c r="B351" i="22"/>
  <c r="B352" i="22"/>
  <c r="B353" i="22"/>
  <c r="B354" i="22"/>
  <c r="B355" i="22"/>
  <c r="B356" i="22"/>
  <c r="B357" i="22"/>
  <c r="B358" i="22"/>
  <c r="B359" i="22"/>
  <c r="B360" i="22"/>
  <c r="B361" i="22"/>
  <c r="B362" i="22"/>
  <c r="B363" i="22"/>
  <c r="B364" i="22"/>
  <c r="B365" i="22"/>
  <c r="B366" i="22"/>
  <c r="B367" i="22"/>
  <c r="B368" i="22"/>
  <c r="B369" i="22"/>
  <c r="B370" i="22"/>
  <c r="B371" i="22"/>
  <c r="B372" i="22"/>
  <c r="B373" i="22"/>
  <c r="B374" i="22"/>
  <c r="B375" i="22"/>
  <c r="B376" i="22"/>
  <c r="B377" i="22"/>
  <c r="B378" i="22"/>
  <c r="B379" i="22"/>
  <c r="B380" i="22"/>
  <c r="B381" i="22"/>
  <c r="B382" i="22"/>
  <c r="B383" i="22"/>
  <c r="B384" i="22"/>
  <c r="B385" i="22"/>
  <c r="B386" i="22"/>
  <c r="B387" i="22"/>
  <c r="B388" i="22"/>
  <c r="B389" i="22"/>
  <c r="B390" i="22"/>
  <c r="B391" i="22"/>
  <c r="B392" i="22"/>
  <c r="B393" i="22"/>
  <c r="B394" i="22"/>
  <c r="B395" i="22"/>
  <c r="B396" i="22"/>
  <c r="B397" i="22"/>
  <c r="B398" i="22"/>
  <c r="B399" i="22"/>
  <c r="B400" i="22"/>
  <c r="B401" i="22"/>
  <c r="B402" i="22"/>
  <c r="B403" i="22"/>
  <c r="B404" i="22"/>
  <c r="B405" i="22"/>
  <c r="B406" i="22"/>
  <c r="B407" i="22"/>
  <c r="B408" i="22"/>
  <c r="B409" i="22"/>
  <c r="B410" i="22"/>
  <c r="B411" i="22"/>
  <c r="B412" i="22"/>
  <c r="B413" i="22"/>
  <c r="B414" i="22"/>
  <c r="B415" i="22"/>
  <c r="B416" i="22"/>
  <c r="B417" i="22"/>
  <c r="B418" i="22"/>
  <c r="B419" i="22"/>
  <c r="B420" i="22"/>
  <c r="B421" i="22"/>
  <c r="B422" i="22"/>
  <c r="B423" i="22"/>
  <c r="B424" i="22"/>
  <c r="B425" i="22"/>
  <c r="B426" i="22"/>
  <c r="B427" i="22"/>
  <c r="B428" i="22"/>
  <c r="B429" i="22"/>
  <c r="B430" i="22"/>
  <c r="B431" i="22"/>
  <c r="B432" i="22"/>
  <c r="B433" i="22"/>
  <c r="B434" i="22"/>
  <c r="B435" i="22"/>
  <c r="B436" i="22"/>
  <c r="B437" i="22"/>
  <c r="B438" i="22"/>
  <c r="B439" i="22"/>
  <c r="B440" i="22"/>
  <c r="B441" i="22"/>
  <c r="B442" i="22"/>
  <c r="B443" i="22"/>
  <c r="B444" i="22"/>
  <c r="B445" i="22"/>
  <c r="B446" i="22"/>
  <c r="B447" i="22"/>
  <c r="B448" i="22"/>
  <c r="B449" i="22"/>
  <c r="B450" i="22"/>
  <c r="B451" i="22"/>
  <c r="B452" i="22"/>
  <c r="B453" i="22"/>
  <c r="B454" i="22"/>
  <c r="B455" i="22"/>
  <c r="B456" i="22"/>
  <c r="B457" i="22"/>
  <c r="B458" i="22"/>
  <c r="B459" i="22"/>
  <c r="B460" i="22"/>
  <c r="B461" i="22"/>
  <c r="B462" i="22"/>
  <c r="B463" i="22"/>
  <c r="B464" i="22"/>
  <c r="B465" i="22"/>
  <c r="B466" i="22"/>
  <c r="B467" i="22"/>
  <c r="B468" i="22"/>
  <c r="B469" i="22"/>
  <c r="B470" i="22"/>
  <c r="B471" i="22"/>
  <c r="B472" i="22"/>
  <c r="B473" i="22"/>
  <c r="B474" i="22"/>
  <c r="B475" i="22"/>
  <c r="B476" i="22"/>
  <c r="B477" i="22"/>
  <c r="B478" i="22"/>
  <c r="B479" i="22"/>
  <c r="B480" i="22"/>
  <c r="B481" i="22"/>
  <c r="B482" i="22"/>
  <c r="B483" i="22"/>
  <c r="B484" i="22"/>
  <c r="B485" i="22"/>
  <c r="B486" i="22"/>
  <c r="B487" i="22"/>
  <c r="B488" i="22"/>
  <c r="B489" i="22"/>
  <c r="B490" i="22"/>
  <c r="B491" i="22"/>
  <c r="B492" i="22"/>
  <c r="B493" i="22"/>
  <c r="B494" i="22"/>
  <c r="B495" i="22"/>
  <c r="B496" i="22"/>
  <c r="B497" i="22"/>
  <c r="B498" i="22"/>
  <c r="B499" i="22"/>
  <c r="B500" i="22"/>
  <c r="B501" i="22"/>
  <c r="B502" i="22"/>
  <c r="B503" i="22"/>
  <c r="B504" i="22"/>
  <c r="B505" i="22"/>
  <c r="B506" i="22"/>
  <c r="B507" i="22"/>
  <c r="B508" i="22"/>
  <c r="B509" i="22"/>
  <c r="B510" i="22"/>
  <c r="B511" i="22"/>
  <c r="B512" i="22"/>
  <c r="B513" i="22"/>
  <c r="B514" i="22"/>
  <c r="B515" i="22"/>
  <c r="B516" i="22"/>
  <c r="B517" i="22"/>
  <c r="B518" i="22"/>
  <c r="B519" i="22"/>
  <c r="B520" i="22"/>
  <c r="B521" i="22"/>
  <c r="B522" i="22"/>
  <c r="B523" i="22"/>
  <c r="B524" i="22"/>
  <c r="B525" i="22"/>
  <c r="B526" i="22"/>
  <c r="B527" i="22"/>
  <c r="B528" i="22"/>
  <c r="B529" i="22"/>
  <c r="B530" i="22"/>
  <c r="B531" i="22"/>
  <c r="B532" i="22"/>
  <c r="B533" i="22"/>
  <c r="B534" i="22"/>
  <c r="B535" i="22"/>
  <c r="B536" i="22"/>
  <c r="B537" i="22"/>
  <c r="B538" i="22"/>
  <c r="B539" i="22"/>
  <c r="B540" i="22"/>
  <c r="B541" i="22"/>
  <c r="B542" i="22"/>
  <c r="B543" i="22"/>
  <c r="B544" i="22"/>
  <c r="B545" i="22"/>
  <c r="B546" i="22"/>
  <c r="B547" i="22"/>
  <c r="B548" i="22"/>
  <c r="B549" i="22"/>
  <c r="B550" i="22"/>
  <c r="B551" i="22"/>
  <c r="B552" i="22"/>
  <c r="B553" i="22"/>
  <c r="B554" i="22"/>
  <c r="B555" i="22"/>
  <c r="B556" i="22"/>
  <c r="B557" i="22"/>
  <c r="B558" i="22"/>
  <c r="B559" i="22"/>
  <c r="B560" i="22"/>
  <c r="B561" i="22"/>
  <c r="B562" i="22"/>
  <c r="B563" i="22"/>
  <c r="B564" i="22"/>
  <c r="B565" i="22"/>
  <c r="B566" i="22"/>
  <c r="B567" i="22"/>
  <c r="B568" i="22"/>
  <c r="B569" i="22"/>
  <c r="B570" i="22"/>
  <c r="B571" i="22"/>
  <c r="B572" i="22"/>
  <c r="B573" i="22"/>
  <c r="B574" i="22"/>
  <c r="B2" i="22"/>
  <c r="B32" i="4"/>
  <c r="A32" i="4"/>
  <c r="B31" i="4"/>
  <c r="A31" i="4"/>
  <c r="B30" i="4"/>
  <c r="A30" i="4"/>
  <c r="B29" i="4"/>
  <c r="A29" i="4"/>
  <c r="B28" i="4"/>
  <c r="A28" i="4"/>
  <c r="B27" i="4"/>
  <c r="A27" i="4"/>
  <c r="B26" i="4"/>
  <c r="A26" i="4"/>
  <c r="B25" i="4"/>
  <c r="A25" i="4"/>
  <c r="B24" i="4"/>
  <c r="A24" i="4"/>
  <c r="B23" i="4"/>
  <c r="A23" i="4"/>
  <c r="B22" i="4"/>
  <c r="A22" i="4"/>
  <c r="B21" i="4"/>
  <c r="A21" i="4"/>
  <c r="B20" i="4"/>
  <c r="A20" i="4"/>
  <c r="B19" i="4"/>
  <c r="A19" i="4"/>
  <c r="B18" i="4"/>
  <c r="A18" i="4"/>
  <c r="B17" i="4"/>
  <c r="A17" i="4"/>
  <c r="B16" i="4"/>
  <c r="A16" i="4"/>
  <c r="B15" i="4"/>
  <c r="A15" i="4"/>
  <c r="B14" i="4"/>
  <c r="A14" i="4"/>
  <c r="B13" i="4"/>
  <c r="A13" i="4"/>
  <c r="B12" i="4"/>
  <c r="A12" i="4"/>
  <c r="B11" i="4"/>
  <c r="A11" i="4"/>
  <c r="B10" i="4"/>
  <c r="A10" i="4"/>
  <c r="B9" i="4"/>
  <c r="A9" i="4"/>
  <c r="B8" i="4"/>
  <c r="A8" i="4"/>
  <c r="B7" i="4"/>
  <c r="A7" i="4"/>
  <c r="B6" i="4"/>
  <c r="A6" i="4"/>
  <c r="B5" i="4"/>
  <c r="A5" i="4"/>
  <c r="B4" i="4"/>
  <c r="A4" i="4"/>
  <c r="B3" i="4"/>
  <c r="A3" i="4"/>
  <c r="E30" i="5" l="1"/>
  <c r="E31" i="5"/>
  <c r="F19" i="5"/>
  <c r="E18" i="5"/>
  <c r="F14" i="5"/>
  <c r="F15" i="5"/>
  <c r="E15" i="5"/>
  <c r="F30" i="5"/>
  <c r="F31" i="5"/>
  <c r="F24" i="5"/>
  <c r="F23" i="5"/>
  <c r="F22" i="5"/>
  <c r="F18" i="5"/>
  <c r="E24" i="5"/>
  <c r="E23" i="5"/>
  <c r="E22" i="5"/>
  <c r="E19" i="5"/>
  <c r="E14" i="5"/>
  <c r="H8" i="5"/>
  <c r="F5" i="5"/>
  <c r="F9" i="5"/>
  <c r="D6" i="5"/>
  <c r="D10" i="5"/>
  <c r="H5" i="5"/>
  <c r="H9" i="5"/>
  <c r="F6" i="5"/>
  <c r="F10" i="5"/>
  <c r="D7" i="5"/>
  <c r="D4" i="5"/>
  <c r="H6" i="5"/>
  <c r="H10" i="5"/>
  <c r="F7" i="5"/>
  <c r="F4" i="5"/>
  <c r="D8" i="5"/>
  <c r="H7" i="5"/>
  <c r="H4" i="5"/>
  <c r="F8" i="5"/>
  <c r="D5" i="5"/>
  <c r="J5" i="5" s="1"/>
  <c r="D9" i="5"/>
  <c r="D56" i="4"/>
  <c r="D54" i="4"/>
  <c r="D52" i="4"/>
  <c r="D50" i="4"/>
  <c r="D48" i="4"/>
  <c r="D46" i="4"/>
  <c r="D44" i="4"/>
  <c r="D42" i="4"/>
  <c r="D40" i="4"/>
  <c r="D38" i="4"/>
  <c r="D36" i="4"/>
  <c r="D34" i="4"/>
  <c r="D55" i="4"/>
  <c r="D53" i="4"/>
  <c r="D51" i="4"/>
  <c r="D49" i="4"/>
  <c r="D47" i="4"/>
  <c r="D45" i="4"/>
  <c r="D43" i="4"/>
  <c r="D41" i="4"/>
  <c r="D39" i="4"/>
  <c r="D37" i="4"/>
  <c r="D35" i="4"/>
  <c r="D33" i="4"/>
  <c r="F32" i="5" l="1"/>
  <c r="J9" i="5"/>
  <c r="J7" i="5"/>
  <c r="J10" i="5"/>
  <c r="J8" i="5"/>
  <c r="J6" i="5"/>
  <c r="A51" i="10" l="1"/>
  <c r="Q2" i="34"/>
  <c r="D357" i="22"/>
  <c r="D362" i="22"/>
  <c r="D573" i="22" l="1"/>
  <c r="D571" i="22"/>
  <c r="D570" i="22"/>
  <c r="D557" i="22"/>
  <c r="D555" i="22"/>
  <c r="D553" i="22"/>
  <c r="D552" i="22"/>
  <c r="D550" i="22"/>
  <c r="D549" i="22"/>
  <c r="D548" i="22"/>
  <c r="D547" i="22"/>
  <c r="D546" i="22"/>
  <c r="D545" i="22"/>
  <c r="D544" i="22"/>
  <c r="D543" i="22"/>
  <c r="D542" i="22"/>
  <c r="D541" i="22"/>
  <c r="D540" i="22"/>
  <c r="D539" i="22"/>
  <c r="D538" i="22"/>
  <c r="D537" i="22"/>
  <c r="D535" i="22"/>
  <c r="D534" i="22"/>
  <c r="D533" i="22"/>
  <c r="D532" i="22"/>
  <c r="D531" i="22"/>
  <c r="D530" i="22"/>
  <c r="D529" i="22"/>
  <c r="D528" i="22"/>
  <c r="D526" i="22"/>
  <c r="D525" i="22"/>
  <c r="D524" i="22"/>
  <c r="D523" i="22"/>
  <c r="D522" i="22"/>
  <c r="D521" i="22"/>
  <c r="D520" i="22"/>
  <c r="D519" i="22"/>
  <c r="D518" i="22"/>
  <c r="D517" i="22"/>
  <c r="D516" i="22"/>
  <c r="D515" i="22"/>
  <c r="D514" i="22"/>
  <c r="D513" i="22"/>
  <c r="D512" i="22"/>
  <c r="D511" i="22"/>
  <c r="D510" i="22"/>
  <c r="D509" i="22"/>
  <c r="D508" i="22"/>
  <c r="D507" i="22"/>
  <c r="D506" i="22"/>
  <c r="D505" i="22"/>
  <c r="D504" i="22"/>
  <c r="D503" i="22"/>
  <c r="D502" i="22"/>
  <c r="D501" i="22"/>
  <c r="D500" i="22"/>
  <c r="D499" i="22"/>
  <c r="D498" i="22"/>
  <c r="D497" i="22"/>
  <c r="D496" i="22"/>
  <c r="D495" i="22"/>
  <c r="D494" i="22"/>
  <c r="D493" i="22"/>
  <c r="D492" i="22"/>
  <c r="D491" i="22"/>
  <c r="D490" i="22"/>
  <c r="D489" i="22"/>
  <c r="D488" i="22"/>
  <c r="D487" i="22"/>
  <c r="D486" i="22"/>
  <c r="D485" i="22"/>
  <c r="D484" i="22"/>
  <c r="D483" i="22"/>
  <c r="D482" i="22"/>
  <c r="D481" i="22"/>
  <c r="D480" i="22"/>
  <c r="D479" i="22"/>
  <c r="D478" i="22"/>
  <c r="D477" i="22"/>
  <c r="D476" i="22"/>
  <c r="D475" i="22"/>
  <c r="D474" i="22"/>
  <c r="D473" i="22"/>
  <c r="D472" i="22"/>
  <c r="D471" i="22"/>
  <c r="D470" i="22"/>
  <c r="D469" i="22"/>
  <c r="D468" i="22"/>
  <c r="D467" i="22"/>
  <c r="D466" i="22"/>
  <c r="D465" i="22"/>
  <c r="D464" i="22"/>
  <c r="D463" i="22"/>
  <c r="D462" i="22"/>
  <c r="D461" i="22"/>
  <c r="D460" i="22"/>
  <c r="D459" i="22"/>
  <c r="D458" i="22"/>
  <c r="D457" i="22"/>
  <c r="D456" i="22"/>
  <c r="D455" i="22"/>
  <c r="D454" i="22"/>
  <c r="D453" i="22"/>
  <c r="D452" i="22"/>
  <c r="D451" i="22"/>
  <c r="D450" i="22"/>
  <c r="D449" i="22"/>
  <c r="D448" i="22"/>
  <c r="D447" i="22"/>
  <c r="D446" i="22"/>
  <c r="D445" i="22"/>
  <c r="D444" i="22"/>
  <c r="D443" i="22"/>
  <c r="D442" i="22"/>
  <c r="D441" i="22"/>
  <c r="D440" i="22"/>
  <c r="D439" i="22"/>
  <c r="D438" i="22"/>
  <c r="D437" i="22"/>
  <c r="D436" i="22"/>
  <c r="D435" i="22"/>
  <c r="D434" i="22"/>
  <c r="D433" i="22"/>
  <c r="D432" i="22"/>
  <c r="D431" i="22"/>
  <c r="D430" i="22"/>
  <c r="D429" i="22"/>
  <c r="D428" i="22"/>
  <c r="D427" i="22"/>
  <c r="D426" i="22"/>
  <c r="D425" i="22"/>
  <c r="D424" i="22"/>
  <c r="D423" i="22"/>
  <c r="D422" i="22"/>
  <c r="D421" i="22"/>
  <c r="D420" i="22"/>
  <c r="D419" i="22"/>
  <c r="D418" i="22"/>
  <c r="D417" i="22"/>
  <c r="D416" i="22"/>
  <c r="D415" i="22"/>
  <c r="D414" i="22"/>
  <c r="D413" i="22"/>
  <c r="D412" i="22"/>
  <c r="D411" i="22"/>
  <c r="D410" i="22"/>
  <c r="D409" i="22"/>
  <c r="D408" i="22"/>
  <c r="D407" i="22"/>
  <c r="D406" i="22"/>
  <c r="D405" i="22"/>
  <c r="D404" i="22"/>
  <c r="D403" i="22"/>
  <c r="D402" i="22"/>
  <c r="D401" i="22"/>
  <c r="D400" i="22"/>
  <c r="D399" i="22"/>
  <c r="D398" i="22"/>
  <c r="D397" i="22"/>
  <c r="D396" i="22"/>
  <c r="D395" i="22"/>
  <c r="D394" i="22"/>
  <c r="D393" i="22"/>
  <c r="D392" i="22"/>
  <c r="D391" i="22"/>
  <c r="D390" i="22"/>
  <c r="D389" i="22"/>
  <c r="D388" i="22"/>
  <c r="D387" i="22"/>
  <c r="D386" i="22"/>
  <c r="D385" i="22"/>
  <c r="D384" i="22"/>
  <c r="D383" i="22"/>
  <c r="D382" i="22"/>
  <c r="D381" i="22"/>
  <c r="D380" i="22"/>
  <c r="D379" i="22"/>
  <c r="D378" i="22"/>
  <c r="D377" i="22"/>
  <c r="D376" i="22"/>
  <c r="D375" i="22"/>
  <c r="D374" i="22"/>
  <c r="D373" i="22"/>
  <c r="D372" i="22"/>
  <c r="D371" i="22"/>
  <c r="D370" i="22"/>
  <c r="D369" i="22"/>
  <c r="D368" i="22"/>
  <c r="D367" i="22"/>
  <c r="D366" i="22"/>
  <c r="D365" i="22"/>
  <c r="D364" i="22"/>
  <c r="D363" i="22"/>
  <c r="D361" i="22"/>
  <c r="D360" i="22"/>
  <c r="D359" i="22"/>
  <c r="D358" i="22"/>
  <c r="D356" i="22"/>
  <c r="D355" i="22"/>
  <c r="D354" i="22"/>
  <c r="D353" i="22"/>
  <c r="D352" i="22"/>
  <c r="D351" i="22"/>
  <c r="D350" i="22"/>
  <c r="D349" i="22"/>
  <c r="D348" i="22"/>
  <c r="D347" i="22"/>
  <c r="D346" i="22"/>
  <c r="D345" i="22"/>
  <c r="D344" i="22"/>
  <c r="D343" i="22"/>
  <c r="D342" i="22"/>
  <c r="D341" i="22"/>
  <c r="D340" i="22"/>
  <c r="D339" i="22"/>
  <c r="D338" i="22"/>
  <c r="D337" i="22"/>
  <c r="D336" i="22"/>
  <c r="D335" i="22"/>
  <c r="D334" i="22"/>
  <c r="D333" i="22"/>
  <c r="D332" i="22"/>
  <c r="D331" i="22"/>
  <c r="D330" i="22"/>
  <c r="D329" i="22"/>
  <c r="D328" i="22"/>
  <c r="D327" i="22"/>
  <c r="D326" i="22"/>
  <c r="D325" i="22"/>
  <c r="D324" i="22"/>
  <c r="D323" i="22"/>
  <c r="D322" i="22"/>
  <c r="D321" i="22"/>
  <c r="D320" i="22"/>
  <c r="D319" i="22"/>
  <c r="D318" i="22"/>
  <c r="D317" i="22"/>
  <c r="D316" i="22"/>
  <c r="D315" i="22"/>
  <c r="D314" i="22"/>
  <c r="D313" i="22"/>
  <c r="D312" i="22"/>
  <c r="D311" i="22"/>
  <c r="D310" i="22"/>
  <c r="D309" i="22"/>
  <c r="D308" i="22"/>
  <c r="D307" i="22"/>
  <c r="D306" i="22"/>
  <c r="D305" i="22"/>
  <c r="D304" i="22"/>
  <c r="D303" i="22"/>
  <c r="D302" i="22"/>
  <c r="D301" i="22"/>
  <c r="D300" i="22"/>
  <c r="D299" i="22"/>
  <c r="D298" i="22"/>
  <c r="D297" i="22"/>
  <c r="D296" i="22"/>
  <c r="D295" i="22"/>
  <c r="D294" i="22"/>
  <c r="D293" i="22"/>
  <c r="D292" i="22"/>
  <c r="D291" i="22"/>
  <c r="D290" i="22"/>
  <c r="D289" i="22"/>
  <c r="D288" i="22"/>
  <c r="D287" i="22"/>
  <c r="D286" i="22"/>
  <c r="D285" i="22"/>
  <c r="D284" i="22"/>
  <c r="D283" i="22"/>
  <c r="D282" i="22"/>
  <c r="D281" i="22"/>
  <c r="D280" i="22"/>
  <c r="D279" i="22"/>
  <c r="D278" i="22"/>
  <c r="D277" i="22"/>
  <c r="D276" i="22"/>
  <c r="D275" i="22"/>
  <c r="D274" i="22"/>
  <c r="D273" i="22"/>
  <c r="D272" i="22"/>
  <c r="D271" i="22"/>
  <c r="D270" i="22"/>
  <c r="D269" i="22"/>
  <c r="D268" i="22"/>
  <c r="D267" i="22"/>
  <c r="D266" i="22"/>
  <c r="D265" i="22"/>
  <c r="D264" i="22"/>
  <c r="D263" i="22"/>
  <c r="D262" i="22"/>
  <c r="D261" i="22"/>
  <c r="D260" i="22"/>
  <c r="D259" i="22"/>
  <c r="D258" i="22"/>
  <c r="D257" i="22"/>
  <c r="D256" i="22"/>
  <c r="D255" i="22"/>
  <c r="D254" i="22"/>
  <c r="D253" i="22"/>
  <c r="D252" i="22"/>
  <c r="D251" i="22"/>
  <c r="D250" i="22"/>
  <c r="D249" i="22"/>
  <c r="D248" i="22"/>
  <c r="D247" i="22"/>
  <c r="D246" i="22"/>
  <c r="D245" i="22"/>
  <c r="D244" i="22"/>
  <c r="D243" i="22"/>
  <c r="D242" i="22"/>
  <c r="D241" i="22"/>
  <c r="D240" i="22"/>
  <c r="D239" i="22"/>
  <c r="D238" i="22"/>
  <c r="D237" i="22"/>
  <c r="D236" i="22"/>
  <c r="D235" i="22"/>
  <c r="D234" i="22"/>
  <c r="D233" i="22"/>
  <c r="D232" i="22"/>
  <c r="D231" i="22"/>
  <c r="D230" i="22"/>
  <c r="D229" i="22"/>
  <c r="D228" i="22"/>
  <c r="D227" i="22"/>
  <c r="D226" i="22"/>
  <c r="D225" i="22"/>
  <c r="D224" i="22"/>
  <c r="D223" i="22"/>
  <c r="D222" i="22"/>
  <c r="D221" i="22"/>
  <c r="D220" i="22"/>
  <c r="D219" i="22"/>
  <c r="D218" i="22"/>
  <c r="D217" i="22"/>
  <c r="D216" i="22"/>
  <c r="D215" i="22"/>
  <c r="D214" i="22"/>
  <c r="D213" i="22"/>
  <c r="D212" i="22"/>
  <c r="D211" i="22"/>
  <c r="D210" i="22"/>
  <c r="D209" i="22"/>
  <c r="D208" i="22"/>
  <c r="D207" i="22"/>
  <c r="D206" i="22"/>
  <c r="D205" i="22"/>
  <c r="D204" i="22"/>
  <c r="D203" i="22"/>
  <c r="D202" i="22"/>
  <c r="D201" i="22"/>
  <c r="D200" i="22"/>
  <c r="D199" i="22"/>
  <c r="D198" i="22"/>
  <c r="D197" i="22"/>
  <c r="D196" i="22"/>
  <c r="D195" i="22"/>
  <c r="D194" i="22"/>
  <c r="D193" i="22"/>
  <c r="D192" i="22"/>
  <c r="D191" i="22"/>
  <c r="D190" i="22"/>
  <c r="D189" i="22"/>
  <c r="D188" i="22"/>
  <c r="D187" i="22"/>
  <c r="D186" i="22"/>
  <c r="D185" i="22"/>
  <c r="D184" i="22"/>
  <c r="D183" i="22"/>
  <c r="D182" i="22"/>
  <c r="D181" i="22"/>
  <c r="D180" i="22"/>
  <c r="D179" i="22"/>
  <c r="D178" i="22"/>
  <c r="D177" i="22"/>
  <c r="D176" i="22"/>
  <c r="D175" i="22"/>
  <c r="D174" i="22"/>
  <c r="D173" i="22"/>
  <c r="D172" i="22"/>
  <c r="D171" i="22"/>
  <c r="D170" i="22"/>
  <c r="D169" i="22"/>
  <c r="D168" i="22"/>
  <c r="D167" i="22"/>
  <c r="D166" i="22"/>
  <c r="D165" i="22"/>
  <c r="D164" i="22"/>
  <c r="D163" i="22"/>
  <c r="D162" i="22"/>
  <c r="D161" i="22"/>
  <c r="D160" i="22"/>
  <c r="D159" i="22"/>
  <c r="D158" i="22"/>
  <c r="D157" i="22"/>
  <c r="D156" i="22"/>
  <c r="D155" i="22"/>
  <c r="D154" i="22"/>
  <c r="D153" i="22"/>
  <c r="D152" i="22"/>
  <c r="D151" i="22"/>
  <c r="D150" i="22"/>
  <c r="D149" i="22"/>
  <c r="D148" i="22"/>
  <c r="D147" i="22"/>
  <c r="D146" i="22"/>
  <c r="D145" i="22"/>
  <c r="D144" i="22"/>
  <c r="D143" i="22"/>
  <c r="D142" i="22"/>
  <c r="D141" i="22"/>
  <c r="D140" i="22"/>
  <c r="D139" i="22"/>
  <c r="D138" i="22"/>
  <c r="D137" i="22"/>
  <c r="D136" i="22"/>
  <c r="D135" i="22"/>
  <c r="D134" i="22"/>
  <c r="D133" i="22"/>
  <c r="D132" i="22"/>
  <c r="D131" i="22"/>
  <c r="D130" i="22"/>
  <c r="D129" i="22"/>
  <c r="D128" i="22"/>
  <c r="D127" i="22"/>
  <c r="D126" i="22"/>
  <c r="D125" i="22"/>
  <c r="D124" i="22"/>
  <c r="D123" i="22"/>
  <c r="D122" i="22"/>
  <c r="D121" i="22"/>
  <c r="D120" i="22"/>
  <c r="D119" i="22"/>
  <c r="D118" i="22"/>
  <c r="D117" i="22"/>
  <c r="D116" i="22"/>
  <c r="D115" i="22"/>
  <c r="D114" i="22"/>
  <c r="D113" i="22"/>
  <c r="D112" i="22"/>
  <c r="D111" i="22"/>
  <c r="D110" i="22"/>
  <c r="D109" i="22"/>
  <c r="D108" i="22"/>
  <c r="D107" i="22"/>
  <c r="D106" i="22"/>
  <c r="D105" i="22"/>
  <c r="D104" i="22"/>
  <c r="D103" i="22"/>
  <c r="D102" i="22"/>
  <c r="D101" i="22"/>
  <c r="D100" i="22"/>
  <c r="D99" i="22"/>
  <c r="D98" i="22"/>
  <c r="D97" i="22"/>
  <c r="D96" i="22"/>
  <c r="D95" i="22"/>
  <c r="D94" i="22"/>
  <c r="D93" i="22"/>
  <c r="D92" i="22"/>
  <c r="D91" i="22"/>
  <c r="D90" i="22"/>
  <c r="D89" i="22"/>
  <c r="D88" i="22"/>
  <c r="D87" i="22"/>
  <c r="D86" i="22"/>
  <c r="D85" i="22"/>
  <c r="D84" i="22"/>
  <c r="D83" i="22"/>
  <c r="D82" i="22"/>
  <c r="D81" i="22"/>
  <c r="D80" i="22"/>
  <c r="D79" i="22"/>
  <c r="D78" i="22"/>
  <c r="D77" i="22"/>
  <c r="D76" i="22"/>
  <c r="D75" i="22"/>
  <c r="D74" i="22"/>
  <c r="D73" i="22"/>
  <c r="D72" i="22"/>
  <c r="D71" i="22"/>
  <c r="D70" i="22"/>
  <c r="D69" i="22"/>
  <c r="D68" i="22"/>
  <c r="D67" i="22"/>
  <c r="D66" i="22"/>
  <c r="D65" i="22"/>
  <c r="D64" i="22"/>
  <c r="D63" i="22"/>
  <c r="D62" i="22"/>
  <c r="D61" i="22"/>
  <c r="D60" i="22"/>
  <c r="D59" i="22"/>
  <c r="D58" i="22"/>
  <c r="D57" i="22"/>
  <c r="D56" i="22"/>
  <c r="D55" i="22"/>
  <c r="D54" i="22"/>
  <c r="D53" i="22"/>
  <c r="D52" i="22"/>
  <c r="D51" i="22"/>
  <c r="D50" i="22"/>
  <c r="D49" i="22"/>
  <c r="D48" i="22"/>
  <c r="D47" i="22"/>
  <c r="D46" i="22"/>
  <c r="D45" i="22"/>
  <c r="D44" i="22"/>
  <c r="D43" i="22"/>
  <c r="D42" i="22"/>
  <c r="D41" i="22"/>
  <c r="D40" i="22"/>
  <c r="D39" i="22"/>
  <c r="D38" i="22"/>
  <c r="D37" i="22"/>
  <c r="D36" i="22"/>
  <c r="D35" i="22"/>
  <c r="D34" i="22"/>
  <c r="D33" i="22"/>
  <c r="D32" i="22"/>
  <c r="D31" i="22"/>
  <c r="D30" i="22"/>
  <c r="D29" i="22"/>
  <c r="D28" i="22"/>
  <c r="D27" i="22"/>
  <c r="D26" i="22"/>
  <c r="D25" i="22"/>
  <c r="D24" i="22"/>
  <c r="D23" i="22"/>
  <c r="D22" i="22"/>
  <c r="D21" i="22"/>
  <c r="D20" i="22"/>
  <c r="D19" i="22"/>
  <c r="D18" i="22"/>
  <c r="D17" i="22"/>
  <c r="D16" i="22"/>
  <c r="D15" i="22"/>
  <c r="D14" i="22"/>
  <c r="D13" i="22"/>
  <c r="D12" i="22"/>
  <c r="D11" i="22"/>
  <c r="D10" i="22"/>
  <c r="D9" i="22"/>
  <c r="D8" i="22"/>
  <c r="D7" i="22"/>
  <c r="D6" i="22"/>
  <c r="D5" i="22"/>
  <c r="D4" i="22"/>
  <c r="D3" i="22"/>
  <c r="D2" i="22"/>
  <c r="BJ573" i="22" l="1"/>
  <c r="BO573" i="22" s="1"/>
  <c r="BP573" i="22" s="1"/>
  <c r="BN571" i="22"/>
  <c r="BJ571" i="22"/>
  <c r="BJ570" i="22"/>
  <c r="BO570" i="22" s="1"/>
  <c r="BP570" i="22" s="1"/>
  <c r="BQ570" i="22" s="1"/>
  <c r="BJ557" i="22"/>
  <c r="BO557" i="22" s="1"/>
  <c r="BN555" i="22"/>
  <c r="BJ555" i="22"/>
  <c r="BJ553" i="22"/>
  <c r="BO553" i="22" s="1"/>
  <c r="BJ552" i="22"/>
  <c r="BO552" i="22" s="1"/>
  <c r="BN550" i="22"/>
  <c r="BJ550" i="22"/>
  <c r="BJ549" i="22"/>
  <c r="BO549" i="22" s="1"/>
  <c r="BP549" i="22" s="1"/>
  <c r="BN548" i="22"/>
  <c r="BJ548" i="22"/>
  <c r="BN547" i="22"/>
  <c r="BJ547" i="22"/>
  <c r="BJ546" i="22"/>
  <c r="BO546" i="22" s="1"/>
  <c r="BJ545" i="22"/>
  <c r="BO545" i="22" s="1"/>
  <c r="BP545" i="22" s="1"/>
  <c r="BJ544" i="22"/>
  <c r="BO544" i="22" s="1"/>
  <c r="BN543" i="22"/>
  <c r="BJ543" i="22"/>
  <c r="BJ542" i="22"/>
  <c r="BO542" i="22" s="1"/>
  <c r="BJ541" i="22"/>
  <c r="BO541" i="22" s="1"/>
  <c r="BO540" i="22"/>
  <c r="BN540" i="22"/>
  <c r="BJ540" i="22"/>
  <c r="BJ539" i="22"/>
  <c r="BO539" i="22" s="1"/>
  <c r="BJ538" i="22"/>
  <c r="BO538" i="22" s="1"/>
  <c r="BJ537" i="22"/>
  <c r="BO537" i="22" s="1"/>
  <c r="BJ535" i="22"/>
  <c r="BO535" i="22" s="1"/>
  <c r="BN534" i="22"/>
  <c r="BJ534" i="22"/>
  <c r="BJ533" i="22"/>
  <c r="BO533" i="22" s="1"/>
  <c r="BP533" i="22" s="1"/>
  <c r="BQ533" i="22" s="1"/>
  <c r="BN532" i="22"/>
  <c r="BJ532" i="22"/>
  <c r="BJ531" i="22"/>
  <c r="BO531" i="22" s="1"/>
  <c r="BP531" i="22" s="1"/>
  <c r="BJ530" i="22"/>
  <c r="BO530" i="22" s="1"/>
  <c r="BP530" i="22" s="1"/>
  <c r="BN529" i="22"/>
  <c r="BJ529" i="22"/>
  <c r="BN528" i="22"/>
  <c r="BJ528" i="22"/>
  <c r="BJ526" i="22"/>
  <c r="BO526" i="22" s="1"/>
  <c r="BN525" i="22"/>
  <c r="BJ525" i="22"/>
  <c r="BO525" i="22" s="1"/>
  <c r="BP525" i="22" s="1"/>
  <c r="BN524" i="22"/>
  <c r="BJ524" i="22"/>
  <c r="BO524" i="22" s="1"/>
  <c r="BP524" i="22" s="1"/>
  <c r="BN523" i="22"/>
  <c r="BJ523" i="22"/>
  <c r="BN522" i="22"/>
  <c r="BJ522" i="22"/>
  <c r="BO521" i="22"/>
  <c r="BP521" i="22" s="1"/>
  <c r="BQ521" i="22" s="1"/>
  <c r="BJ520" i="22"/>
  <c r="BO520" i="22" s="1"/>
  <c r="BN519" i="22"/>
  <c r="BJ519" i="22"/>
  <c r="BJ518" i="22"/>
  <c r="BO518" i="22" s="1"/>
  <c r="BO517" i="22"/>
  <c r="BJ517" i="22"/>
  <c r="BN516" i="22"/>
  <c r="BJ516" i="22"/>
  <c r="BO516" i="22" s="1"/>
  <c r="BP516" i="22" s="1"/>
  <c r="BN515" i="22"/>
  <c r="BJ515" i="22"/>
  <c r="BJ514" i="22"/>
  <c r="BO514" i="22" s="1"/>
  <c r="BJ513" i="22"/>
  <c r="BO513" i="22" s="1"/>
  <c r="BN512" i="22"/>
  <c r="BO512" i="22" s="1"/>
  <c r="BJ512" i="22"/>
  <c r="BN511" i="22"/>
  <c r="BJ511" i="22"/>
  <c r="BO511" i="22" s="1"/>
  <c r="BJ510" i="22"/>
  <c r="BO510" i="22" s="1"/>
  <c r="BP510" i="22" s="1"/>
  <c r="BQ510" i="22" s="1"/>
  <c r="BJ509" i="22"/>
  <c r="BO509" i="22" s="1"/>
  <c r="BP509" i="22" s="1"/>
  <c r="BQ509" i="22" s="1"/>
  <c r="BN508" i="22"/>
  <c r="BJ508" i="22"/>
  <c r="BN507" i="22"/>
  <c r="BJ507" i="22"/>
  <c r="BJ506" i="22"/>
  <c r="BO506" i="22" s="1"/>
  <c r="BJ505" i="22"/>
  <c r="BO505" i="22" s="1"/>
  <c r="BJ504" i="22"/>
  <c r="BO504" i="22" s="1"/>
  <c r="BJ502" i="22"/>
  <c r="BO502" i="22" s="1"/>
  <c r="BJ501" i="22"/>
  <c r="BO501" i="22" s="1"/>
  <c r="BN500" i="22"/>
  <c r="BJ500" i="22"/>
  <c r="BJ499" i="22"/>
  <c r="BO499" i="22" s="1"/>
  <c r="BJ498" i="22"/>
  <c r="BO498" i="22" s="1"/>
  <c r="BJ497" i="22"/>
  <c r="BO497" i="22" s="1"/>
  <c r="BP497" i="22" s="1"/>
  <c r="BJ496" i="22"/>
  <c r="BO496" i="22" s="1"/>
  <c r="BN495" i="22"/>
  <c r="BO495" i="22" s="1"/>
  <c r="BJ495" i="22"/>
  <c r="BJ494" i="22"/>
  <c r="BO494" i="22" s="1"/>
  <c r="BP494" i="22" s="1"/>
  <c r="BQ494" i="22" s="1"/>
  <c r="BN493" i="22"/>
  <c r="BJ493" i="22"/>
  <c r="BO493" i="22" s="1"/>
  <c r="BP493" i="22" s="1"/>
  <c r="BQ493" i="22" s="1"/>
  <c r="BN492" i="22"/>
  <c r="BJ492" i="22"/>
  <c r="BO492" i="22" s="1"/>
  <c r="BN491" i="22"/>
  <c r="BJ491" i="22"/>
  <c r="BO490" i="22"/>
  <c r="BP490" i="22" s="1"/>
  <c r="BN489" i="22"/>
  <c r="BO489" i="22" s="1"/>
  <c r="BJ489" i="22"/>
  <c r="BN488" i="22"/>
  <c r="BJ488" i="22"/>
  <c r="BN487" i="22"/>
  <c r="BJ487" i="22"/>
  <c r="BN486" i="22"/>
  <c r="BJ486" i="22"/>
  <c r="BO485" i="22"/>
  <c r="BN484" i="22"/>
  <c r="BJ484" i="22"/>
  <c r="BO484" i="22" s="1"/>
  <c r="BN483" i="22"/>
  <c r="BO483" i="22" s="1"/>
  <c r="BJ483" i="22"/>
  <c r="BN482" i="22"/>
  <c r="BJ482" i="22"/>
  <c r="BJ481" i="22"/>
  <c r="BO481" i="22" s="1"/>
  <c r="BP481" i="22" s="1"/>
  <c r="BQ481" i="22" s="1"/>
  <c r="BR480" i="22"/>
  <c r="BN480" i="22"/>
  <c r="BJ480" i="22"/>
  <c r="BJ478" i="22"/>
  <c r="BO478" i="22" s="1"/>
  <c r="BN477" i="22"/>
  <c r="BJ477" i="22"/>
  <c r="BN476" i="22"/>
  <c r="BJ476" i="22"/>
  <c r="BO476" i="22" s="1"/>
  <c r="BP476" i="22" s="1"/>
  <c r="BJ475" i="22"/>
  <c r="BO475" i="22" s="1"/>
  <c r="BJ474" i="22"/>
  <c r="BO474" i="22" s="1"/>
  <c r="BJ473" i="22"/>
  <c r="BO473" i="22" s="1"/>
  <c r="BJ472" i="22"/>
  <c r="BO472" i="22" s="1"/>
  <c r="BJ471" i="22"/>
  <c r="BO471" i="22" s="1"/>
  <c r="AB471" i="22"/>
  <c r="BN470" i="22"/>
  <c r="BJ470" i="22"/>
  <c r="BJ469" i="22"/>
  <c r="BO469" i="22" s="1"/>
  <c r="BJ468" i="22"/>
  <c r="BO468" i="22" s="1"/>
  <c r="BJ467" i="22"/>
  <c r="BO467" i="22" s="1"/>
  <c r="BN466" i="22"/>
  <c r="BJ466" i="22"/>
  <c r="BJ465" i="22"/>
  <c r="BO465" i="22" s="1"/>
  <c r="BN464" i="22"/>
  <c r="BJ464" i="22"/>
  <c r="BO464" i="22" s="1"/>
  <c r="BP464" i="22" s="1"/>
  <c r="BP463" i="22"/>
  <c r="BN463" i="22"/>
  <c r="BJ463" i="22"/>
  <c r="BJ462" i="22"/>
  <c r="BO462" i="22" s="1"/>
  <c r="BN461" i="22"/>
  <c r="BJ461" i="22"/>
  <c r="BJ460" i="22"/>
  <c r="BO460" i="22" s="1"/>
  <c r="BP460" i="22" s="1"/>
  <c r="BJ459" i="22"/>
  <c r="BO459" i="22" s="1"/>
  <c r="BR458" i="22"/>
  <c r="BN458" i="22"/>
  <c r="BJ458" i="22"/>
  <c r="BN457" i="22"/>
  <c r="BJ457" i="22"/>
  <c r="BJ456" i="22"/>
  <c r="BO456" i="22" s="1"/>
  <c r="BJ455" i="22"/>
  <c r="BO455" i="22" s="1"/>
  <c r="BJ454" i="22"/>
  <c r="BO454" i="22" s="1"/>
  <c r="BN453" i="22"/>
  <c r="BJ453" i="22"/>
  <c r="BJ452" i="22"/>
  <c r="BO452" i="22" s="1"/>
  <c r="BJ451" i="22"/>
  <c r="BO451" i="22" s="1"/>
  <c r="BN450" i="22"/>
  <c r="BJ450" i="22"/>
  <c r="BJ449" i="22"/>
  <c r="BO449" i="22" s="1"/>
  <c r="BJ448" i="22"/>
  <c r="BO448" i="22" s="1"/>
  <c r="BP448" i="22" s="1"/>
  <c r="BJ447" i="22"/>
  <c r="BO447" i="22" s="1"/>
  <c r="BQ447" i="22" s="1"/>
  <c r="BJ446" i="22"/>
  <c r="BO446" i="22" s="1"/>
  <c r="BN445" i="22"/>
  <c r="BJ445" i="22"/>
  <c r="BN444" i="22"/>
  <c r="BJ444" i="22"/>
  <c r="BJ443" i="22"/>
  <c r="BO443" i="22" s="1"/>
  <c r="BN442" i="22"/>
  <c r="BM442" i="22"/>
  <c r="BL442" i="22"/>
  <c r="BK442" i="22"/>
  <c r="BJ442" i="22"/>
  <c r="BJ441" i="22"/>
  <c r="BO441" i="22" s="1"/>
  <c r="BQ441" i="22" s="1"/>
  <c r="BN440" i="22"/>
  <c r="BJ440" i="22"/>
  <c r="BN439" i="22"/>
  <c r="BJ439" i="22"/>
  <c r="BO439" i="22" s="1"/>
  <c r="BQ439" i="22" s="1"/>
  <c r="BN438" i="22"/>
  <c r="BJ438" i="22"/>
  <c r="BJ437" i="22"/>
  <c r="BO437" i="22" s="1"/>
  <c r="BP437" i="22" s="1"/>
  <c r="BN435" i="22"/>
  <c r="BJ435" i="22"/>
  <c r="BN434" i="22"/>
  <c r="BO434" i="22" s="1"/>
  <c r="BP434" i="22" s="1"/>
  <c r="BQ434" i="22" s="1"/>
  <c r="BJ434" i="22"/>
  <c r="BN433" i="22"/>
  <c r="BJ433" i="22"/>
  <c r="BO433" i="22" s="1"/>
  <c r="BN431" i="22"/>
  <c r="BJ431" i="22"/>
  <c r="BO431" i="22" s="1"/>
  <c r="BQ431" i="22" s="1"/>
  <c r="BN430" i="22"/>
  <c r="BJ430" i="22"/>
  <c r="BO430" i="22" s="1"/>
  <c r="BN429" i="22"/>
  <c r="BO429" i="22" s="1"/>
  <c r="BJ429" i="22"/>
  <c r="BJ428" i="22"/>
  <c r="BO428" i="22" s="1"/>
  <c r="BQ428" i="22" s="1"/>
  <c r="BJ427" i="22"/>
  <c r="BO427" i="22" s="1"/>
  <c r="BQ427" i="22" s="1"/>
  <c r="BJ426" i="22"/>
  <c r="BO426" i="22" s="1"/>
  <c r="BJ425" i="22"/>
  <c r="BO425" i="22" s="1"/>
  <c r="BJ424" i="22"/>
  <c r="BO424" i="22" s="1"/>
  <c r="BQ424" i="22" s="1"/>
  <c r="BR417" i="22"/>
  <c r="BJ417" i="22"/>
  <c r="BO417" i="22" s="1"/>
  <c r="BP417" i="22" s="1"/>
  <c r="BN416" i="22"/>
  <c r="BJ416" i="22"/>
  <c r="AW416" i="22"/>
  <c r="BQ407" i="22"/>
  <c r="BN401" i="22"/>
  <c r="BJ401" i="22"/>
  <c r="BJ400" i="22"/>
  <c r="BO400" i="22" s="1"/>
  <c r="AB400" i="22"/>
  <c r="BR399" i="22"/>
  <c r="BN399" i="22"/>
  <c r="BO399" i="22" s="1"/>
  <c r="BJ399" i="22"/>
  <c r="BN398" i="22"/>
  <c r="BJ398" i="22"/>
  <c r="BO398" i="22" s="1"/>
  <c r="BQ398" i="22" s="1"/>
  <c r="BR397" i="22"/>
  <c r="BJ397" i="22"/>
  <c r="BN396" i="22"/>
  <c r="BJ396" i="22"/>
  <c r="BO396" i="22" s="1"/>
  <c r="BP396" i="22" s="1"/>
  <c r="BJ395" i="22"/>
  <c r="BO395" i="22" s="1"/>
  <c r="BQ395" i="22" s="1"/>
  <c r="BR394" i="22"/>
  <c r="BN394" i="22"/>
  <c r="BJ394" i="22"/>
  <c r="BO394" i="22" s="1"/>
  <c r="BP394" i="22" s="1"/>
  <c r="BR391" i="22"/>
  <c r="BN391" i="22"/>
  <c r="BJ391" i="22"/>
  <c r="BN390" i="22"/>
  <c r="BO390" i="22" s="1"/>
  <c r="BJ390" i="22"/>
  <c r="BN389" i="22"/>
  <c r="BJ389" i="22"/>
  <c r="BJ388" i="22"/>
  <c r="BO388" i="22" s="1"/>
  <c r="BP388" i="22" s="1"/>
  <c r="BN387" i="22"/>
  <c r="BJ387" i="22"/>
  <c r="BJ386" i="22"/>
  <c r="BO386" i="22" s="1"/>
  <c r="BN385" i="22"/>
  <c r="BJ385" i="22"/>
  <c r="BR384" i="22"/>
  <c r="BN384" i="22"/>
  <c r="BJ384" i="22"/>
  <c r="BO384" i="22" s="1"/>
  <c r="BQ384" i="22" s="1"/>
  <c r="AB383" i="22"/>
  <c r="BN376" i="22"/>
  <c r="BJ376" i="22"/>
  <c r="BN375" i="22"/>
  <c r="BJ375" i="22"/>
  <c r="BR373" i="22"/>
  <c r="BJ373" i="22"/>
  <c r="BO373" i="22" s="1"/>
  <c r="BJ372" i="22"/>
  <c r="BO372" i="22" s="1"/>
  <c r="BP372" i="22" s="1"/>
  <c r="BN371" i="22"/>
  <c r="BJ371" i="22"/>
  <c r="BN370" i="22"/>
  <c r="BJ370" i="22"/>
  <c r="AB370" i="22"/>
  <c r="BJ369" i="22"/>
  <c r="BO369" i="22" s="1"/>
  <c r="BN368" i="22"/>
  <c r="BJ368" i="22"/>
  <c r="BJ367" i="22"/>
  <c r="BO367" i="22" s="1"/>
  <c r="AB366" i="22"/>
  <c r="BJ365" i="22"/>
  <c r="BO365" i="22" s="1"/>
  <c r="BN364" i="22"/>
  <c r="BJ364" i="22"/>
  <c r="BJ346" i="22"/>
  <c r="BO346" i="22" s="1"/>
  <c r="BP346" i="22" s="1"/>
  <c r="BJ345" i="22"/>
  <c r="BO345" i="22" s="1"/>
  <c r="BP345" i="22" s="1"/>
  <c r="AB345" i="22"/>
  <c r="BJ344" i="22"/>
  <c r="BO344" i="22" s="1"/>
  <c r="AB344" i="22"/>
  <c r="BJ340" i="22"/>
  <c r="BO340" i="22" s="1"/>
  <c r="BP340" i="22" s="1"/>
  <c r="BJ339" i="22"/>
  <c r="BO339" i="22" s="1"/>
  <c r="BR338" i="22"/>
  <c r="BJ338" i="22"/>
  <c r="BO338" i="22" s="1"/>
  <c r="BP338" i="22" s="1"/>
  <c r="BQ338" i="22" s="1"/>
  <c r="BO337" i="22"/>
  <c r="BQ337" i="22" s="1"/>
  <c r="BJ336" i="22"/>
  <c r="BO336" i="22" s="1"/>
  <c r="BO335" i="22"/>
  <c r="BN334" i="22"/>
  <c r="BJ334" i="22"/>
  <c r="BR333" i="22"/>
  <c r="BJ333" i="22"/>
  <c r="BO333" i="22" s="1"/>
  <c r="BJ332" i="22"/>
  <c r="BO332" i="22" s="1"/>
  <c r="BP332" i="22" s="1"/>
  <c r="BO331" i="22"/>
  <c r="BJ331" i="22"/>
  <c r="BJ330" i="22"/>
  <c r="BO330" i="22" s="1"/>
  <c r="BP330" i="22" s="1"/>
  <c r="BN329" i="22"/>
  <c r="BJ329" i="22"/>
  <c r="BO328" i="22"/>
  <c r="BP328" i="22" s="1"/>
  <c r="BN327" i="22"/>
  <c r="BJ327" i="22"/>
  <c r="BN326" i="22"/>
  <c r="BJ326" i="22"/>
  <c r="BN325" i="22"/>
  <c r="BJ325" i="22"/>
  <c r="BO325" i="22" s="1"/>
  <c r="AB325" i="22"/>
  <c r="BN324" i="22"/>
  <c r="BJ324" i="22"/>
  <c r="BN323" i="22"/>
  <c r="BJ323" i="22"/>
  <c r="BN322" i="22"/>
  <c r="BJ322" i="22"/>
  <c r="BR321" i="22"/>
  <c r="BN321" i="22"/>
  <c r="BJ321" i="22"/>
  <c r="BN320" i="22"/>
  <c r="BJ320" i="22"/>
  <c r="BO320" i="22" s="1"/>
  <c r="BN319" i="22"/>
  <c r="BJ319" i="22"/>
  <c r="BN318" i="22"/>
  <c r="BJ318" i="22"/>
  <c r="BN317" i="22"/>
  <c r="BJ317" i="22"/>
  <c r="BN316" i="22"/>
  <c r="BJ316" i="22"/>
  <c r="BJ315" i="22"/>
  <c r="BO315" i="22" s="1"/>
  <c r="BN314" i="22"/>
  <c r="BJ314" i="22"/>
  <c r="BN313" i="22"/>
  <c r="BJ313" i="22"/>
  <c r="BN312" i="22"/>
  <c r="BJ312" i="22"/>
  <c r="BO312" i="22" s="1"/>
  <c r="BJ311" i="22"/>
  <c r="BO311" i="22" s="1"/>
  <c r="BJ310" i="22"/>
  <c r="BO310" i="22" s="1"/>
  <c r="BN309" i="22"/>
  <c r="BJ309" i="22"/>
  <c r="BN308" i="22"/>
  <c r="BJ308" i="22"/>
  <c r="BO308" i="22" s="1"/>
  <c r="BP308" i="22" s="1"/>
  <c r="BN307" i="22"/>
  <c r="BJ307" i="22"/>
  <c r="BN306" i="22"/>
  <c r="BJ306" i="22"/>
  <c r="BN305" i="22"/>
  <c r="BO305" i="22" s="1"/>
  <c r="BJ305" i="22"/>
  <c r="BJ304" i="22"/>
  <c r="BO304" i="22" s="1"/>
  <c r="BP304" i="22" s="1"/>
  <c r="BR303" i="22"/>
  <c r="BN303" i="22"/>
  <c r="BJ303" i="22"/>
  <c r="BO303" i="22" s="1"/>
  <c r="BP303" i="22" s="1"/>
  <c r="BN302" i="22"/>
  <c r="BJ302" i="22"/>
  <c r="BN301" i="22"/>
  <c r="BJ301" i="22"/>
  <c r="BJ300" i="22"/>
  <c r="BO300" i="22" s="1"/>
  <c r="BP300" i="22" s="1"/>
  <c r="BN299" i="22"/>
  <c r="BJ299" i="22"/>
  <c r="BN298" i="22"/>
  <c r="BJ298" i="22"/>
  <c r="BN297" i="22"/>
  <c r="BJ297" i="22"/>
  <c r="BJ296" i="22"/>
  <c r="BO296" i="22" s="1"/>
  <c r="AB296" i="22"/>
  <c r="BN295" i="22"/>
  <c r="BO295" i="22" s="1"/>
  <c r="BJ295" i="22"/>
  <c r="BN294" i="22"/>
  <c r="BJ294" i="22"/>
  <c r="BO294" i="22" s="1"/>
  <c r="BP294" i="22" s="1"/>
  <c r="BN293" i="22"/>
  <c r="BJ293" i="22"/>
  <c r="BN292" i="22"/>
  <c r="BJ292" i="22"/>
  <c r="BO292" i="22" s="1"/>
  <c r="BN291" i="22"/>
  <c r="BJ291" i="22"/>
  <c r="BN290" i="22"/>
  <c r="BJ290" i="22"/>
  <c r="BN289" i="22"/>
  <c r="BJ289" i="22"/>
  <c r="BR288" i="22"/>
  <c r="BN288" i="22"/>
  <c r="BJ288" i="22"/>
  <c r="BN287" i="22"/>
  <c r="BJ287" i="22"/>
  <c r="BN286" i="22"/>
  <c r="BJ286" i="22"/>
  <c r="BN285" i="22"/>
  <c r="BJ285" i="22"/>
  <c r="BN284" i="22"/>
  <c r="BO284" i="22" s="1"/>
  <c r="BJ284" i="22"/>
  <c r="BJ283" i="22"/>
  <c r="BO283" i="22" s="1"/>
  <c r="BP283" i="22" s="1"/>
  <c r="BN282" i="22"/>
  <c r="BJ282" i="22"/>
  <c r="BN281" i="22"/>
  <c r="BJ281" i="22"/>
  <c r="BJ280" i="22"/>
  <c r="BO280" i="22" s="1"/>
  <c r="BJ279" i="22"/>
  <c r="BO279" i="22" s="1"/>
  <c r="BJ278" i="22"/>
  <c r="BO278" i="22" s="1"/>
  <c r="BJ277" i="22"/>
  <c r="BO277" i="22" s="1"/>
  <c r="BN276" i="22"/>
  <c r="BJ276" i="22"/>
  <c r="BJ275" i="22"/>
  <c r="BO275" i="22" s="1"/>
  <c r="BP275" i="22" s="1"/>
  <c r="BN274" i="22"/>
  <c r="BJ274" i="22"/>
  <c r="BJ273" i="22"/>
  <c r="BO273" i="22" s="1"/>
  <c r="BP273" i="22" s="1"/>
  <c r="BJ272" i="22"/>
  <c r="BO272" i="22" s="1"/>
  <c r="BP272" i="22" s="1"/>
  <c r="BJ271" i="22"/>
  <c r="BO271" i="22" s="1"/>
  <c r="BP271" i="22" s="1"/>
  <c r="BQ271" i="22" s="1"/>
  <c r="BJ270" i="22"/>
  <c r="BO270" i="22" s="1"/>
  <c r="BP270" i="22" s="1"/>
  <c r="BN269" i="22"/>
  <c r="BJ269" i="22"/>
  <c r="BJ268" i="22"/>
  <c r="BO268" i="22" s="1"/>
  <c r="BJ267" i="22"/>
  <c r="BO267" i="22" s="1"/>
  <c r="BJ266" i="22"/>
  <c r="BO266" i="22" s="1"/>
  <c r="BN265" i="22"/>
  <c r="BJ265" i="22"/>
  <c r="BJ264" i="22"/>
  <c r="BO264" i="22" s="1"/>
  <c r="BO263" i="22"/>
  <c r="BJ263" i="22"/>
  <c r="BJ262" i="22"/>
  <c r="BO262" i="22" s="1"/>
  <c r="AB262" i="22"/>
  <c r="BJ261" i="22"/>
  <c r="BO261" i="22" s="1"/>
  <c r="BJ260" i="22"/>
  <c r="BO260" i="22" s="1"/>
  <c r="BP260" i="22" s="1"/>
  <c r="BN259" i="22"/>
  <c r="BJ259" i="22"/>
  <c r="BN258" i="22"/>
  <c r="BJ258" i="22"/>
  <c r="BJ257" i="22"/>
  <c r="BO257" i="22" s="1"/>
  <c r="BR256" i="22"/>
  <c r="BN256" i="22"/>
  <c r="BJ256" i="22"/>
  <c r="AB256" i="22"/>
  <c r="BO255" i="22"/>
  <c r="BP255" i="22" s="1"/>
  <c r="BQ255" i="22" s="1"/>
  <c r="BJ255" i="22"/>
  <c r="BR254" i="22"/>
  <c r="BN254" i="22"/>
  <c r="BJ254" i="22"/>
  <c r="BJ253" i="22"/>
  <c r="BO253" i="22" s="1"/>
  <c r="BP253" i="22" s="1"/>
  <c r="BN252" i="22"/>
  <c r="BJ252" i="22"/>
  <c r="AB252" i="22"/>
  <c r="BN251" i="22"/>
  <c r="BJ251" i="22"/>
  <c r="BN250" i="22"/>
  <c r="BJ250" i="22"/>
  <c r="BN249" i="22"/>
  <c r="BJ249" i="22"/>
  <c r="BN248" i="22"/>
  <c r="BJ248" i="22"/>
  <c r="BO248" i="22" s="1"/>
  <c r="BN247" i="22"/>
  <c r="BJ247" i="22"/>
  <c r="BJ246" i="22"/>
  <c r="BO246" i="22" s="1"/>
  <c r="BN245" i="22"/>
  <c r="BJ245" i="22"/>
  <c r="BN244" i="22"/>
  <c r="BJ244" i="22"/>
  <c r="BN243" i="22"/>
  <c r="BJ243" i="22"/>
  <c r="BJ242" i="22"/>
  <c r="BO242" i="22" s="1"/>
  <c r="BP242" i="22" s="1"/>
  <c r="BQ242" i="22" s="1"/>
  <c r="BN241" i="22"/>
  <c r="BJ241" i="22"/>
  <c r="BN240" i="22"/>
  <c r="BJ240" i="22"/>
  <c r="BJ239" i="22"/>
  <c r="BO239" i="22" s="1"/>
  <c r="BN238" i="22"/>
  <c r="BJ238" i="22"/>
  <c r="BN237" i="22"/>
  <c r="BO237" i="22" s="1"/>
  <c r="BJ237" i="22"/>
  <c r="BN236" i="22"/>
  <c r="BJ236" i="22"/>
  <c r="BJ235" i="22"/>
  <c r="BO235" i="22" s="1"/>
  <c r="BP235" i="22" s="1"/>
  <c r="BN234" i="22"/>
  <c r="BJ234" i="22"/>
  <c r="BO234" i="22" s="1"/>
  <c r="BP234" i="22" s="1"/>
  <c r="BN233" i="22"/>
  <c r="BO233" i="22" s="1"/>
  <c r="BJ233" i="22"/>
  <c r="BN232" i="22"/>
  <c r="BO232" i="22" s="1"/>
  <c r="BJ232" i="22"/>
  <c r="BN231" i="22"/>
  <c r="BJ231" i="22"/>
  <c r="BN230" i="22"/>
  <c r="BJ230" i="22"/>
  <c r="BN229" i="22"/>
  <c r="BJ229" i="22"/>
  <c r="BN228" i="22"/>
  <c r="BO228" i="22" s="1"/>
  <c r="BJ228" i="22"/>
  <c r="BN227" i="22"/>
  <c r="BJ227" i="22"/>
  <c r="BJ226" i="22"/>
  <c r="BO226" i="22" s="1"/>
  <c r="BJ225" i="22"/>
  <c r="BO225" i="22" s="1"/>
  <c r="BJ224" i="22"/>
  <c r="BO224" i="22" s="1"/>
  <c r="BP224" i="22" s="1"/>
  <c r="BQ224" i="22" s="1"/>
  <c r="BN223" i="22"/>
  <c r="BJ223" i="22"/>
  <c r="AB223" i="22"/>
  <c r="BN222" i="22"/>
  <c r="BJ222" i="22"/>
  <c r="BN221" i="22"/>
  <c r="BJ221" i="22"/>
  <c r="BJ220" i="22"/>
  <c r="BO220" i="22" s="1"/>
  <c r="BP220" i="22" s="1"/>
  <c r="BN219" i="22"/>
  <c r="BJ219" i="22"/>
  <c r="BJ218" i="22"/>
  <c r="BO218" i="22" s="1"/>
  <c r="BN217" i="22"/>
  <c r="BO217" i="22" s="1"/>
  <c r="BJ217" i="22"/>
  <c r="BN216" i="22"/>
  <c r="BJ216" i="22"/>
  <c r="BN215" i="22"/>
  <c r="BJ215" i="22"/>
  <c r="AB215" i="22"/>
  <c r="BJ214" i="22"/>
  <c r="BO214" i="22" s="1"/>
  <c r="BP214" i="22" s="1"/>
  <c r="BJ213" i="22"/>
  <c r="BO213" i="22" s="1"/>
  <c r="BJ212" i="22"/>
  <c r="BO212" i="22" s="1"/>
  <c r="BN211" i="22"/>
  <c r="BJ211" i="22"/>
  <c r="BN210" i="22"/>
  <c r="BJ210" i="22"/>
  <c r="BN209" i="22"/>
  <c r="BJ209" i="22"/>
  <c r="BO209" i="22" s="1"/>
  <c r="BN208" i="22"/>
  <c r="BJ208" i="22"/>
  <c r="BN207" i="22"/>
  <c r="BJ207" i="22"/>
  <c r="AB207" i="22"/>
  <c r="BJ206" i="22"/>
  <c r="BO206" i="22" s="1"/>
  <c r="BP206" i="22" s="1"/>
  <c r="BQ206" i="22" s="1"/>
  <c r="BN205" i="22"/>
  <c r="BJ205" i="22"/>
  <c r="BO205" i="22" s="1"/>
  <c r="BP205" i="22" s="1"/>
  <c r="BJ204" i="22"/>
  <c r="BO204" i="22" s="1"/>
  <c r="BP204" i="22" s="1"/>
  <c r="BQ204" i="22" s="1"/>
  <c r="BJ203" i="22"/>
  <c r="BO203" i="22" s="1"/>
  <c r="BP203" i="22" s="1"/>
  <c r="BQ203" i="22" s="1"/>
  <c r="BJ202" i="22"/>
  <c r="BO202" i="22" s="1"/>
  <c r="BN201" i="22"/>
  <c r="BJ201" i="22"/>
  <c r="BJ200" i="22"/>
  <c r="BO200" i="22" s="1"/>
  <c r="BN199" i="22"/>
  <c r="BJ199" i="22"/>
  <c r="BO199" i="22" s="1"/>
  <c r="BP199" i="22" s="1"/>
  <c r="BN198" i="22"/>
  <c r="BJ198" i="22"/>
  <c r="BJ197" i="22"/>
  <c r="BO197" i="22" s="1"/>
  <c r="BP197" i="22" s="1"/>
  <c r="BQ197" i="22" s="1"/>
  <c r="BR196" i="22"/>
  <c r="BN196" i="22"/>
  <c r="BJ196" i="22"/>
  <c r="BJ195" i="22"/>
  <c r="BO195" i="22" s="1"/>
  <c r="BN194" i="22"/>
  <c r="BJ194" i="22"/>
  <c r="BN193" i="22"/>
  <c r="BJ193" i="22"/>
  <c r="BN192" i="22"/>
  <c r="BJ192" i="22"/>
  <c r="BO192" i="22" s="1"/>
  <c r="BP192" i="22" s="1"/>
  <c r="BN191" i="22"/>
  <c r="BJ191" i="22"/>
  <c r="BN190" i="22"/>
  <c r="BJ190" i="22"/>
  <c r="BO190" i="22" s="1"/>
  <c r="BN189" i="22"/>
  <c r="BJ189" i="22"/>
  <c r="BR188" i="22"/>
  <c r="BN188" i="22"/>
  <c r="BJ188" i="22"/>
  <c r="BN187" i="22"/>
  <c r="BJ187" i="22"/>
  <c r="BN186" i="22"/>
  <c r="BJ186" i="22"/>
  <c r="BJ185" i="22"/>
  <c r="BO185" i="22" s="1"/>
  <c r="BN184" i="22"/>
  <c r="BJ184" i="22"/>
  <c r="BN183" i="22"/>
  <c r="BJ183" i="22"/>
  <c r="BN182" i="22"/>
  <c r="BO182" i="22" s="1"/>
  <c r="BJ182" i="22"/>
  <c r="BJ181" i="22"/>
  <c r="BO181" i="22" s="1"/>
  <c r="BN180" i="22"/>
  <c r="BJ180" i="22"/>
  <c r="BN179" i="22"/>
  <c r="BJ179" i="22"/>
  <c r="BN178" i="22"/>
  <c r="BJ178" i="22"/>
  <c r="BO178" i="22" s="1"/>
  <c r="BP178" i="22" s="1"/>
  <c r="BQ178" i="22" s="1"/>
  <c r="BJ177" i="22"/>
  <c r="BO177" i="22" s="1"/>
  <c r="BN176" i="22"/>
  <c r="BJ176" i="22"/>
  <c r="BN175" i="22"/>
  <c r="BJ175" i="22"/>
  <c r="BN174" i="22"/>
  <c r="BJ174" i="22"/>
  <c r="BO174" i="22" s="1"/>
  <c r="BN173" i="22"/>
  <c r="BJ173" i="22"/>
  <c r="BN172" i="22"/>
  <c r="BJ172" i="22"/>
  <c r="BO172" i="22" s="1"/>
  <c r="BN171" i="22"/>
  <c r="BJ171" i="22"/>
  <c r="AB171" i="22"/>
  <c r="BJ170" i="22"/>
  <c r="BO170" i="22" s="1"/>
  <c r="BP170" i="22" s="1"/>
  <c r="BJ169" i="22"/>
  <c r="BO169" i="22" s="1"/>
  <c r="BN168" i="22"/>
  <c r="BJ168" i="22"/>
  <c r="BN167" i="22"/>
  <c r="BJ167" i="22"/>
  <c r="BJ166" i="22"/>
  <c r="BO166" i="22" s="1"/>
  <c r="AB166" i="22"/>
  <c r="BN165" i="22"/>
  <c r="BJ165" i="22"/>
  <c r="BO165" i="22" s="1"/>
  <c r="BJ164" i="22"/>
  <c r="BO164" i="22" s="1"/>
  <c r="BN163" i="22"/>
  <c r="BJ163" i="22"/>
  <c r="AB163" i="22"/>
  <c r="BJ162" i="22"/>
  <c r="BO162" i="22" s="1"/>
  <c r="BJ161" i="22"/>
  <c r="BO161" i="22" s="1"/>
  <c r="BN160" i="22"/>
  <c r="BJ160" i="22"/>
  <c r="BJ159" i="22"/>
  <c r="BO159" i="22" s="1"/>
  <c r="BN158" i="22"/>
  <c r="BJ158" i="22"/>
  <c r="BO158" i="22" s="1"/>
  <c r="BN157" i="22"/>
  <c r="BJ157" i="22"/>
  <c r="BJ156" i="22"/>
  <c r="BO156" i="22" s="1"/>
  <c r="BP156" i="22" s="1"/>
  <c r="BJ155" i="22"/>
  <c r="BO155" i="22" s="1"/>
  <c r="BP155" i="22" s="1"/>
  <c r="BJ154" i="22"/>
  <c r="BO154" i="22" s="1"/>
  <c r="BP154" i="22" s="1"/>
  <c r="BN153" i="22"/>
  <c r="BJ153" i="22"/>
  <c r="BN152" i="22"/>
  <c r="BJ152" i="22"/>
  <c r="BO151" i="22"/>
  <c r="BJ151" i="22"/>
  <c r="BJ150" i="22"/>
  <c r="BO150" i="22" s="1"/>
  <c r="BN149" i="22"/>
  <c r="BJ149" i="22"/>
  <c r="BN148" i="22"/>
  <c r="BJ148" i="22"/>
  <c r="BN147" i="22"/>
  <c r="BJ147" i="22"/>
  <c r="BN146" i="22"/>
  <c r="BJ146" i="22"/>
  <c r="BN145" i="22"/>
  <c r="BJ145" i="22"/>
  <c r="BN144" i="22"/>
  <c r="BJ144" i="22"/>
  <c r="BO144" i="22" s="1"/>
  <c r="BJ143" i="22"/>
  <c r="BO143" i="22" s="1"/>
  <c r="BP143" i="22" s="1"/>
  <c r="BJ142" i="22"/>
  <c r="BO142" i="22" s="1"/>
  <c r="BP142" i="22" s="1"/>
  <c r="BJ141" i="22"/>
  <c r="BO141" i="22" s="1"/>
  <c r="BP141" i="22" s="1"/>
  <c r="BN140" i="22"/>
  <c r="BJ140" i="22"/>
  <c r="BJ139" i="22"/>
  <c r="BO139" i="22" s="1"/>
  <c r="BJ138" i="22"/>
  <c r="BO138" i="22" s="1"/>
  <c r="BN137" i="22"/>
  <c r="BO137" i="22" s="1"/>
  <c r="BJ137" i="22"/>
  <c r="BN136" i="22"/>
  <c r="BJ136" i="22"/>
  <c r="BN135" i="22"/>
  <c r="BJ135" i="22"/>
  <c r="BN134" i="22"/>
  <c r="BJ134" i="22"/>
  <c r="BN133" i="22"/>
  <c r="BO133" i="22" s="1"/>
  <c r="BJ133" i="22"/>
  <c r="BN132" i="22"/>
  <c r="BJ132" i="22"/>
  <c r="AB132" i="22"/>
  <c r="BN131" i="22"/>
  <c r="BJ131" i="22"/>
  <c r="BJ130" i="22"/>
  <c r="BO130" i="22" s="1"/>
  <c r="BN129" i="22"/>
  <c r="BO129" i="22" s="1"/>
  <c r="BJ129" i="22"/>
  <c r="BJ128" i="22"/>
  <c r="BO128" i="22" s="1"/>
  <c r="BN127" i="22"/>
  <c r="BJ127" i="22"/>
  <c r="BO127" i="22" s="1"/>
  <c r="BJ126" i="22"/>
  <c r="BO126" i="22" s="1"/>
  <c r="BP126" i="22" s="1"/>
  <c r="BN125" i="22"/>
  <c r="BJ125" i="22"/>
  <c r="BJ124" i="22"/>
  <c r="BO124" i="22" s="1"/>
  <c r="BP124" i="22" s="1"/>
  <c r="BJ123" i="22"/>
  <c r="BO123" i="22" s="1"/>
  <c r="BP123" i="22" s="1"/>
  <c r="BJ122" i="22"/>
  <c r="BO122" i="22" s="1"/>
  <c r="BP122" i="22" s="1"/>
  <c r="BN121" i="22"/>
  <c r="BJ121" i="22"/>
  <c r="BN120" i="22"/>
  <c r="BO120" i="22" s="1"/>
  <c r="BJ120" i="22"/>
  <c r="BN119" i="22"/>
  <c r="BJ119" i="22"/>
  <c r="BO119" i="22" s="1"/>
  <c r="BJ118" i="22"/>
  <c r="BO118" i="22" s="1"/>
  <c r="BN117" i="22"/>
  <c r="BJ117" i="22"/>
  <c r="BO117" i="22" s="1"/>
  <c r="BN116" i="22"/>
  <c r="BJ116" i="22"/>
  <c r="BN115" i="22"/>
  <c r="BJ115" i="22"/>
  <c r="BN114" i="22"/>
  <c r="BJ114" i="22"/>
  <c r="BN113" i="22"/>
  <c r="BJ113" i="22"/>
  <c r="BO113" i="22" s="1"/>
  <c r="BP113" i="22" s="1"/>
  <c r="BN112" i="22"/>
  <c r="BJ112" i="22"/>
  <c r="BN111" i="22"/>
  <c r="BJ111" i="22"/>
  <c r="BN110" i="22"/>
  <c r="BJ110" i="22"/>
  <c r="BN109" i="22"/>
  <c r="BJ109" i="22"/>
  <c r="BN108" i="22"/>
  <c r="BJ108" i="22"/>
  <c r="BN107" i="22"/>
  <c r="BJ107" i="22"/>
  <c r="BN106" i="22"/>
  <c r="BJ106" i="22"/>
  <c r="BJ105" i="22"/>
  <c r="BO105" i="22" s="1"/>
  <c r="BP105" i="22" s="1"/>
  <c r="BQ105" i="22" s="1"/>
  <c r="BN104" i="22"/>
  <c r="BJ104" i="22"/>
  <c r="BJ103" i="22"/>
  <c r="BO103" i="22" s="1"/>
  <c r="BP103" i="22" s="1"/>
  <c r="BJ102" i="22"/>
  <c r="BO102" i="22" s="1"/>
  <c r="BP102" i="22" s="1"/>
  <c r="BJ101" i="22"/>
  <c r="BO101" i="22" s="1"/>
  <c r="BP101" i="22" s="1"/>
  <c r="BN100" i="22"/>
  <c r="BJ100" i="22"/>
  <c r="BN99" i="22"/>
  <c r="BJ99" i="22"/>
  <c r="BN98" i="22"/>
  <c r="BJ98" i="22"/>
  <c r="BN97" i="22"/>
  <c r="BJ97" i="22"/>
  <c r="BJ96" i="22"/>
  <c r="BO96" i="22" s="1"/>
  <c r="BP96" i="22" s="1"/>
  <c r="AB96" i="22"/>
  <c r="BN95" i="22"/>
  <c r="BJ95" i="22"/>
  <c r="BN94" i="22"/>
  <c r="BJ94" i="22"/>
  <c r="BN93" i="22"/>
  <c r="BJ93" i="22"/>
  <c r="BO93" i="22" s="1"/>
  <c r="BN92" i="22"/>
  <c r="BJ92" i="22"/>
  <c r="BJ91" i="22"/>
  <c r="BO91" i="22" s="1"/>
  <c r="BN90" i="22"/>
  <c r="BJ90" i="22"/>
  <c r="BN89" i="22"/>
  <c r="BO89" i="22" s="1"/>
  <c r="BJ89" i="22"/>
  <c r="BN88" i="22"/>
  <c r="BJ88" i="22"/>
  <c r="BJ87" i="22"/>
  <c r="BO87" i="22" s="1"/>
  <c r="BP87" i="22" s="1"/>
  <c r="BN86" i="22"/>
  <c r="BJ86" i="22"/>
  <c r="BO86" i="22" s="1"/>
  <c r="BP86" i="22" s="1"/>
  <c r="BJ85" i="22"/>
  <c r="BO85" i="22" s="1"/>
  <c r="BN84" i="22"/>
  <c r="BJ84" i="22"/>
  <c r="BN83" i="22"/>
  <c r="BJ83" i="22"/>
  <c r="BN82" i="22"/>
  <c r="BJ82" i="22"/>
  <c r="BN81" i="22"/>
  <c r="BJ81" i="22"/>
  <c r="BO80" i="22"/>
  <c r="BJ80" i="22"/>
  <c r="BN79" i="22"/>
  <c r="BJ79" i="22"/>
  <c r="BN78" i="22"/>
  <c r="BJ78" i="22"/>
  <c r="BJ77" i="22"/>
  <c r="BO77" i="22" s="1"/>
  <c r="BP77" i="22" s="1"/>
  <c r="BQ77" i="22" s="1"/>
  <c r="BO76" i="22"/>
  <c r="BP76" i="22" s="1"/>
  <c r="BQ76" i="22" s="1"/>
  <c r="BJ76" i="22"/>
  <c r="BJ75" i="22"/>
  <c r="BO75" i="22" s="1"/>
  <c r="BP75" i="22" s="1"/>
  <c r="BQ75" i="22" s="1"/>
  <c r="BN74" i="22"/>
  <c r="BJ74" i="22"/>
  <c r="BN73" i="22"/>
  <c r="BJ73" i="22"/>
  <c r="BJ72" i="22"/>
  <c r="BO72" i="22" s="1"/>
  <c r="BN71" i="22"/>
  <c r="BJ71" i="22"/>
  <c r="BJ70" i="22"/>
  <c r="BO70" i="22" s="1"/>
  <c r="BJ69" i="22"/>
  <c r="BO69" i="22" s="1"/>
  <c r="BP69" i="22" s="1"/>
  <c r="BN68" i="22"/>
  <c r="BO68" i="22" s="1"/>
  <c r="BJ68" i="22"/>
  <c r="BJ67" i="22"/>
  <c r="BO67" i="22" s="1"/>
  <c r="BP67" i="22" s="1"/>
  <c r="BQ67" i="22" s="1"/>
  <c r="BN66" i="22"/>
  <c r="BJ66" i="22"/>
  <c r="BN65" i="22"/>
  <c r="BJ65" i="22"/>
  <c r="BJ64" i="22"/>
  <c r="BO64" i="22" s="1"/>
  <c r="BO63" i="22"/>
  <c r="BN63" i="22"/>
  <c r="BJ63" i="22"/>
  <c r="BN62" i="22"/>
  <c r="BJ62" i="22"/>
  <c r="BN61" i="22"/>
  <c r="BJ61" i="22"/>
  <c r="BJ60" i="22"/>
  <c r="BO60" i="22" s="1"/>
  <c r="BP60" i="22" s="1"/>
  <c r="BJ59" i="22"/>
  <c r="BO59" i="22" s="1"/>
  <c r="BP59" i="22" s="1"/>
  <c r="BN58" i="22"/>
  <c r="BJ58" i="22"/>
  <c r="BJ57" i="22"/>
  <c r="BO57" i="22" s="1"/>
  <c r="BJ56" i="22"/>
  <c r="BO56" i="22" s="1"/>
  <c r="BJ55" i="22"/>
  <c r="BO55" i="22" s="1"/>
  <c r="BJ54" i="22"/>
  <c r="BO54" i="22" s="1"/>
  <c r="BJ53" i="22"/>
  <c r="BO53" i="22" s="1"/>
  <c r="BJ52" i="22"/>
  <c r="BO52" i="22" s="1"/>
  <c r="BN51" i="22"/>
  <c r="BJ51" i="22"/>
  <c r="BJ50" i="22"/>
  <c r="BO50" i="22" s="1"/>
  <c r="BJ49" i="22"/>
  <c r="BO49" i="22" s="1"/>
  <c r="BP49" i="22" s="1"/>
  <c r="BN48" i="22"/>
  <c r="BJ48" i="22"/>
  <c r="BO48" i="22" s="1"/>
  <c r="BN47" i="22"/>
  <c r="BJ47" i="22"/>
  <c r="BN46" i="22"/>
  <c r="BJ46" i="22"/>
  <c r="BJ45" i="22"/>
  <c r="BO45" i="22" s="1"/>
  <c r="BN44" i="22"/>
  <c r="BJ44" i="22"/>
  <c r="BJ43" i="22"/>
  <c r="BO43" i="22" s="1"/>
  <c r="BP43" i="22" s="1"/>
  <c r="BO42" i="22"/>
  <c r="BJ42" i="22"/>
  <c r="BN41" i="22"/>
  <c r="BJ41" i="22"/>
  <c r="BJ40" i="22"/>
  <c r="BO40" i="22" s="1"/>
  <c r="BP40" i="22" s="1"/>
  <c r="BQ40" i="22" s="1"/>
  <c r="BO39" i="22"/>
  <c r="BP39" i="22" s="1"/>
  <c r="BQ39" i="22" s="1"/>
  <c r="BN38" i="22"/>
  <c r="BJ38" i="22"/>
  <c r="BO38" i="22" s="1"/>
  <c r="BP38" i="22" s="1"/>
  <c r="BN37" i="22"/>
  <c r="BJ37" i="22"/>
  <c r="BO36" i="22"/>
  <c r="BN35" i="22"/>
  <c r="BJ35" i="22"/>
  <c r="BJ34" i="22"/>
  <c r="BO34" i="22" s="1"/>
  <c r="BP34" i="22" s="1"/>
  <c r="BN33" i="22"/>
  <c r="BJ33" i="22"/>
  <c r="BO33" i="22" s="1"/>
  <c r="BP33" i="22" s="1"/>
  <c r="BN32" i="22"/>
  <c r="BJ32" i="22"/>
  <c r="BN31" i="22"/>
  <c r="BJ31" i="22"/>
  <c r="BO31" i="22" s="1"/>
  <c r="BN30" i="22"/>
  <c r="BJ30" i="22"/>
  <c r="BJ29" i="22"/>
  <c r="BO29" i="22" s="1"/>
  <c r="BP29" i="22" s="1"/>
  <c r="BN28" i="22"/>
  <c r="BJ28" i="22"/>
  <c r="BN27" i="22"/>
  <c r="BJ27" i="22"/>
  <c r="BO27" i="22" s="1"/>
  <c r="BJ26" i="22"/>
  <c r="BO26" i="22" s="1"/>
  <c r="BP26" i="22" s="1"/>
  <c r="BJ25" i="22"/>
  <c r="BO25" i="22" s="1"/>
  <c r="BN24" i="22"/>
  <c r="BJ24" i="22"/>
  <c r="BO24" i="22" s="1"/>
  <c r="BJ23" i="22"/>
  <c r="BO23" i="22" s="1"/>
  <c r="BP23" i="22" s="1"/>
  <c r="BQ23" i="22" s="1"/>
  <c r="BN22" i="22"/>
  <c r="BJ22" i="22"/>
  <c r="BN21" i="22"/>
  <c r="BJ21" i="22"/>
  <c r="BN20" i="22"/>
  <c r="BJ20" i="22"/>
  <c r="BO20" i="22" s="1"/>
  <c r="BO19" i="22"/>
  <c r="BP19" i="22" s="1"/>
  <c r="BN18" i="22"/>
  <c r="BJ18" i="22"/>
  <c r="BJ17" i="22"/>
  <c r="BO17" i="22" s="1"/>
  <c r="BP17" i="22" s="1"/>
  <c r="BJ16" i="22"/>
  <c r="BO16" i="22" s="1"/>
  <c r="BN15" i="22"/>
  <c r="BJ15" i="22"/>
  <c r="BO15" i="22" s="1"/>
  <c r="BJ14" i="22"/>
  <c r="BO14" i="22" s="1"/>
  <c r="BP14" i="22" s="1"/>
  <c r="BQ14" i="22" s="1"/>
  <c r="BN13" i="22"/>
  <c r="BJ13" i="22"/>
  <c r="BJ12" i="22"/>
  <c r="BO12" i="22" s="1"/>
  <c r="BP12" i="22" s="1"/>
  <c r="BJ11" i="22"/>
  <c r="BO11" i="22" s="1"/>
  <c r="BP11" i="22" s="1"/>
  <c r="BO10" i="22"/>
  <c r="BN9" i="22"/>
  <c r="BJ9" i="22"/>
  <c r="BN8" i="22"/>
  <c r="BJ8" i="22"/>
  <c r="BN7" i="22"/>
  <c r="BJ7" i="22"/>
  <c r="BO7" i="22" s="1"/>
  <c r="BO6" i="22"/>
  <c r="BJ6" i="22"/>
  <c r="BO5" i="22"/>
  <c r="BN4" i="22"/>
  <c r="BJ4" i="22"/>
  <c r="BO4" i="22" s="1"/>
  <c r="BO3" i="22"/>
  <c r="BO2" i="22"/>
  <c r="BO8" i="22" l="1"/>
  <c r="BP8" i="22" s="1"/>
  <c r="BO47" i="22"/>
  <c r="BP47" i="22" s="1"/>
  <c r="BQ47" i="22" s="1"/>
  <c r="BO92" i="22"/>
  <c r="BP92" i="22" s="1"/>
  <c r="BO100" i="22"/>
  <c r="BP100" i="22" s="1"/>
  <c r="BO110" i="22"/>
  <c r="BO196" i="22"/>
  <c r="BO215" i="22"/>
  <c r="BO251" i="22"/>
  <c r="BO302" i="22"/>
  <c r="BP302" i="22" s="1"/>
  <c r="BO306" i="22"/>
  <c r="BP306" i="22" s="1"/>
  <c r="BO508" i="22"/>
  <c r="BP508" i="22" s="1"/>
  <c r="BQ508" i="22" s="1"/>
  <c r="BO238" i="22"/>
  <c r="BO243" i="22"/>
  <c r="BO79" i="22"/>
  <c r="BO83" i="22"/>
  <c r="BO152" i="22"/>
  <c r="BO276" i="22"/>
  <c r="BO323" i="22"/>
  <c r="BO482" i="22"/>
  <c r="BO44" i="22"/>
  <c r="BO131" i="22"/>
  <c r="BP131" i="22" s="1"/>
  <c r="BO145" i="22"/>
  <c r="BO291" i="22"/>
  <c r="BO324" i="22"/>
  <c r="BO438" i="22"/>
  <c r="BQ438" i="22" s="1"/>
  <c r="BO450" i="22"/>
  <c r="BQ450" i="22" s="1"/>
  <c r="BO21" i="22"/>
  <c r="BP21" i="22" s="1"/>
  <c r="BO94" i="22"/>
  <c r="BO116" i="22"/>
  <c r="BP116" i="22" s="1"/>
  <c r="BO249" i="22"/>
  <c r="BO256" i="22"/>
  <c r="BO313" i="22"/>
  <c r="BO321" i="22"/>
  <c r="BO442" i="22"/>
  <c r="BP442" i="22" s="1"/>
  <c r="BO522" i="22"/>
  <c r="BO62" i="22"/>
  <c r="BO146" i="22"/>
  <c r="BO250" i="22"/>
  <c r="BP250" i="22" s="1"/>
  <c r="BO274" i="22"/>
  <c r="BO285" i="22"/>
  <c r="BO329" i="22"/>
  <c r="BP329" i="22" s="1"/>
  <c r="BO453" i="22"/>
  <c r="BO18" i="22"/>
  <c r="BO32" i="22"/>
  <c r="BO73" i="22"/>
  <c r="BP73" i="22" s="1"/>
  <c r="BO78" i="22"/>
  <c r="BO187" i="22"/>
  <c r="BO191" i="22"/>
  <c r="BO281" i="22"/>
  <c r="BP281" i="22" s="1"/>
  <c r="BO319" i="22"/>
  <c r="BO322" i="22"/>
  <c r="BP322" i="22" s="1"/>
  <c r="BO528" i="22"/>
  <c r="BO547" i="22"/>
  <c r="BP547" i="22" s="1"/>
  <c r="BQ547" i="22" s="1"/>
  <c r="BQ192" i="22"/>
  <c r="BO61" i="22"/>
  <c r="BP61" i="22" s="1"/>
  <c r="BQ61" i="22" s="1"/>
  <c r="BO95" i="22"/>
  <c r="BP95" i="22" s="1"/>
  <c r="BQ95" i="22" s="1"/>
  <c r="BO109" i="22"/>
  <c r="BP109" i="22" s="1"/>
  <c r="BO114" i="22"/>
  <c r="BP114" i="22" s="1"/>
  <c r="BQ114" i="22" s="1"/>
  <c r="BO121" i="22"/>
  <c r="BP121" i="22" s="1"/>
  <c r="BO149" i="22"/>
  <c r="BP149" i="22" s="1"/>
  <c r="BQ149" i="22" s="1"/>
  <c r="BO160" i="22"/>
  <c r="BP160" i="22" s="1"/>
  <c r="BQ160" i="22" s="1"/>
  <c r="BO175" i="22"/>
  <c r="BP175" i="22" s="1"/>
  <c r="BQ175" i="22" s="1"/>
  <c r="BO184" i="22"/>
  <c r="BP184" i="22" s="1"/>
  <c r="BQ184" i="22" s="1"/>
  <c r="BO222" i="22"/>
  <c r="BP222" i="22" s="1"/>
  <c r="BQ222" i="22" s="1"/>
  <c r="BO227" i="22"/>
  <c r="BP227" i="22" s="1"/>
  <c r="BQ227" i="22" s="1"/>
  <c r="BO231" i="22"/>
  <c r="BP231" i="22" s="1"/>
  <c r="BQ231" i="22" s="1"/>
  <c r="BO241" i="22"/>
  <c r="BP241" i="22" s="1"/>
  <c r="BQ241" i="22" s="1"/>
  <c r="BO245" i="22"/>
  <c r="BP245" i="22" s="1"/>
  <c r="BQ245" i="22" s="1"/>
  <c r="BO269" i="22"/>
  <c r="BP269" i="22" s="1"/>
  <c r="BQ269" i="22" s="1"/>
  <c r="BO327" i="22"/>
  <c r="BO389" i="22"/>
  <c r="BP389" i="22" s="1"/>
  <c r="BO445" i="22"/>
  <c r="BP445" i="22" s="1"/>
  <c r="BQ445" i="22" s="1"/>
  <c r="BO477" i="22"/>
  <c r="BP477" i="22" s="1"/>
  <c r="BQ477" i="22" s="1"/>
  <c r="BO487" i="22"/>
  <c r="BP487" i="22" s="1"/>
  <c r="BQ487" i="22" s="1"/>
  <c r="BO314" i="22"/>
  <c r="BP314" i="22" s="1"/>
  <c r="BO316" i="22"/>
  <c r="BP316" i="22" s="1"/>
  <c r="BQ316" i="22" s="1"/>
  <c r="BO326" i="22"/>
  <c r="BP326" i="22" s="1"/>
  <c r="BQ326" i="22" s="1"/>
  <c r="BO364" i="22"/>
  <c r="BP364" i="22" s="1"/>
  <c r="BO28" i="22"/>
  <c r="BP28" i="22" s="1"/>
  <c r="BO41" i="22"/>
  <c r="BP41" i="22" s="1"/>
  <c r="BQ41" i="22" s="1"/>
  <c r="BO90" i="22"/>
  <c r="BP90" i="22" s="1"/>
  <c r="BQ90" i="22" s="1"/>
  <c r="BO98" i="22"/>
  <c r="BP98" i="22" s="1"/>
  <c r="BQ98" i="22" s="1"/>
  <c r="BO108" i="22"/>
  <c r="BP108" i="22" s="1"/>
  <c r="BO132" i="22"/>
  <c r="BP132" i="22" s="1"/>
  <c r="BQ132" i="22" s="1"/>
  <c r="BO134" i="22"/>
  <c r="BP134" i="22" s="1"/>
  <c r="BO136" i="22"/>
  <c r="BP136" i="22" s="1"/>
  <c r="BQ136" i="22" s="1"/>
  <c r="BO180" i="22"/>
  <c r="BO183" i="22"/>
  <c r="BP183" i="22" s="1"/>
  <c r="BQ183" i="22" s="1"/>
  <c r="BO198" i="22"/>
  <c r="BP198" i="22" s="1"/>
  <c r="BO221" i="22"/>
  <c r="BO236" i="22"/>
  <c r="BP236" i="22" s="1"/>
  <c r="BO244" i="22"/>
  <c r="BP244" i="22" s="1"/>
  <c r="BQ244" i="22" s="1"/>
  <c r="BO252" i="22"/>
  <c r="BP252" i="22" s="1"/>
  <c r="BQ252" i="22" s="1"/>
  <c r="BO259" i="22"/>
  <c r="BP259" i="22" s="1"/>
  <c r="BQ259" i="22" s="1"/>
  <c r="BO288" i="22"/>
  <c r="BP288" i="22" s="1"/>
  <c r="BQ288" i="22" s="1"/>
  <c r="BO299" i="22"/>
  <c r="BP299" i="22" s="1"/>
  <c r="BQ299" i="22" s="1"/>
  <c r="BO368" i="22"/>
  <c r="BP368" i="22" s="1"/>
  <c r="BO370" i="22"/>
  <c r="BP370" i="22" s="1"/>
  <c r="BQ370" i="22" s="1"/>
  <c r="BO385" i="22"/>
  <c r="BQ385" i="22" s="1"/>
  <c r="BO401" i="22"/>
  <c r="BQ401" i="22" s="1"/>
  <c r="BO416" i="22"/>
  <c r="BQ416" i="22" s="1"/>
  <c r="BO463" i="22"/>
  <c r="BQ463" i="22" s="1"/>
  <c r="BO480" i="22"/>
  <c r="BP480" i="22" s="1"/>
  <c r="BO486" i="22"/>
  <c r="BP486" i="22" s="1"/>
  <c r="BO488" i="22"/>
  <c r="BP488" i="22" s="1"/>
  <c r="BQ488" i="22" s="1"/>
  <c r="BO507" i="22"/>
  <c r="BP507" i="22" s="1"/>
  <c r="BQ507" i="22" s="1"/>
  <c r="BO519" i="22"/>
  <c r="BP519" i="22" s="1"/>
  <c r="BO529" i="22"/>
  <c r="BP529" i="22" s="1"/>
  <c r="BQ529" i="22" s="1"/>
  <c r="BO532" i="22"/>
  <c r="BP532" i="22" s="1"/>
  <c r="BQ532" i="22" s="1"/>
  <c r="BO534" i="22"/>
  <c r="BP534" i="22" s="1"/>
  <c r="BQ534" i="22" s="1"/>
  <c r="BO543" i="22"/>
  <c r="BP543" i="22" s="1"/>
  <c r="BO548" i="22"/>
  <c r="BP548" i="22" s="1"/>
  <c r="BQ548" i="22" s="1"/>
  <c r="BO555" i="22"/>
  <c r="BP555" i="22" s="1"/>
  <c r="BQ555" i="22" s="1"/>
  <c r="BR555" i="22" s="1"/>
  <c r="BO571" i="22"/>
  <c r="BP571" i="22" s="1"/>
  <c r="BQ571" i="22" s="1"/>
  <c r="BQ425" i="22"/>
  <c r="BP425" i="22"/>
  <c r="BO107" i="22"/>
  <c r="BP107" i="22" s="1"/>
  <c r="BQ107" i="22" s="1"/>
  <c r="BO189" i="22"/>
  <c r="BP189" i="22" s="1"/>
  <c r="BQ189" i="22" s="1"/>
  <c r="BP369" i="22"/>
  <c r="BQ369" i="22"/>
  <c r="BO9" i="22"/>
  <c r="BP9" i="22" s="1"/>
  <c r="BQ9" i="22" s="1"/>
  <c r="BO22" i="22"/>
  <c r="BP22" i="22" s="1"/>
  <c r="BQ22" i="22" s="1"/>
  <c r="BO51" i="22"/>
  <c r="BP51" i="22" s="1"/>
  <c r="BQ51" i="22" s="1"/>
  <c r="BO82" i="22"/>
  <c r="BP82" i="22" s="1"/>
  <c r="BQ82" i="22" s="1"/>
  <c r="BO88" i="22"/>
  <c r="BP88" i="22" s="1"/>
  <c r="BQ88" i="22" s="1"/>
  <c r="BO97" i="22"/>
  <c r="BP97" i="22" s="1"/>
  <c r="BQ97" i="22" s="1"/>
  <c r="BO104" i="22"/>
  <c r="BP104" i="22" s="1"/>
  <c r="BQ104" i="22" s="1"/>
  <c r="BO106" i="22"/>
  <c r="BP106" i="22" s="1"/>
  <c r="BQ106" i="22" s="1"/>
  <c r="BO111" i="22"/>
  <c r="BP111" i="22" s="1"/>
  <c r="BQ111" i="22" s="1"/>
  <c r="BO135" i="22"/>
  <c r="BP135" i="22" s="1"/>
  <c r="BQ135" i="22" s="1"/>
  <c r="BO163" i="22"/>
  <c r="BP163" i="22" s="1"/>
  <c r="BQ163" i="22" s="1"/>
  <c r="BO167" i="22"/>
  <c r="BP167" i="22" s="1"/>
  <c r="BO171" i="22"/>
  <c r="BP171" i="22" s="1"/>
  <c r="BQ171" i="22" s="1"/>
  <c r="BQ426" i="22"/>
  <c r="BP426" i="22"/>
  <c r="BO13" i="22"/>
  <c r="BP13" i="22" s="1"/>
  <c r="BQ13" i="22" s="1"/>
  <c r="BO30" i="22"/>
  <c r="BP30" i="22" s="1"/>
  <c r="BQ30" i="22" s="1"/>
  <c r="BO35" i="22"/>
  <c r="BP35" i="22" s="1"/>
  <c r="BQ35" i="22" s="1"/>
  <c r="BO37" i="22"/>
  <c r="BP37" i="22" s="1"/>
  <c r="BQ37" i="22" s="1"/>
  <c r="BO74" i="22"/>
  <c r="BP74" i="22" s="1"/>
  <c r="BQ74" i="22" s="1"/>
  <c r="BO140" i="22"/>
  <c r="BP140" i="22" s="1"/>
  <c r="BO147" i="22"/>
  <c r="BP147" i="22" s="1"/>
  <c r="BO157" i="22"/>
  <c r="BP157" i="22" s="1"/>
  <c r="BO179" i="22"/>
  <c r="BP179" i="22" s="1"/>
  <c r="BQ179" i="22" s="1"/>
  <c r="BO201" i="22"/>
  <c r="BP201" i="22" s="1"/>
  <c r="BQ201" i="22" s="1"/>
  <c r="BO309" i="22"/>
  <c r="BP309" i="22" s="1"/>
  <c r="BQ309" i="22" s="1"/>
  <c r="BO435" i="22"/>
  <c r="BP435" i="22" s="1"/>
  <c r="BQ435" i="22" s="1"/>
  <c r="BO466" i="22"/>
  <c r="BP466" i="22" s="1"/>
  <c r="BQ466" i="22" s="1"/>
  <c r="BO523" i="22"/>
  <c r="BP523" i="22" s="1"/>
  <c r="BQ523" i="22" s="1"/>
  <c r="BO550" i="22"/>
  <c r="BP550" i="22" s="1"/>
  <c r="BQ550" i="22" s="1"/>
  <c r="BO186" i="22"/>
  <c r="BP186" i="22" s="1"/>
  <c r="BQ186" i="22" s="1"/>
  <c r="BO193" i="22"/>
  <c r="BP193" i="22" s="1"/>
  <c r="BQ193" i="22" s="1"/>
  <c r="BO210" i="22"/>
  <c r="BP210" i="22" s="1"/>
  <c r="BQ210" i="22" s="1"/>
  <c r="BO216" i="22"/>
  <c r="BP216" i="22" s="1"/>
  <c r="BQ216" i="22" s="1"/>
  <c r="BQ372" i="22"/>
  <c r="BO375" i="22"/>
  <c r="BP375" i="22" s="1"/>
  <c r="BO440" i="22"/>
  <c r="BQ440" i="22" s="1"/>
  <c r="BO500" i="22"/>
  <c r="BP500" i="22" s="1"/>
  <c r="BQ500" i="22" s="1"/>
  <c r="BO66" i="22"/>
  <c r="BP66" i="22" s="1"/>
  <c r="BQ66" i="22" s="1"/>
  <c r="BO71" i="22"/>
  <c r="BP71" i="22" s="1"/>
  <c r="BQ71" i="22" s="1"/>
  <c r="BO81" i="22"/>
  <c r="BP81" i="22" s="1"/>
  <c r="BO84" i="22"/>
  <c r="BP84" i="22" s="1"/>
  <c r="BQ84" i="22" s="1"/>
  <c r="BO99" i="22"/>
  <c r="BO112" i="22"/>
  <c r="BP112" i="22" s="1"/>
  <c r="BO115" i="22"/>
  <c r="BP115" i="22" s="1"/>
  <c r="BQ115" i="22" s="1"/>
  <c r="BO125" i="22"/>
  <c r="BP125" i="22" s="1"/>
  <c r="BQ125" i="22" s="1"/>
  <c r="BO148" i="22"/>
  <c r="BP148" i="22" s="1"/>
  <c r="BO153" i="22"/>
  <c r="BO168" i="22"/>
  <c r="BP168" i="22" s="1"/>
  <c r="BO173" i="22"/>
  <c r="BP173" i="22" s="1"/>
  <c r="BQ173" i="22" s="1"/>
  <c r="BO176" i="22"/>
  <c r="BP176" i="22" s="1"/>
  <c r="BQ176" i="22" s="1"/>
  <c r="BO194" i="22"/>
  <c r="BP194" i="22" s="1"/>
  <c r="BO207" i="22"/>
  <c r="BP207" i="22" s="1"/>
  <c r="BQ207" i="22" s="1"/>
  <c r="BO211" i="22"/>
  <c r="BP211" i="22" s="1"/>
  <c r="BQ211" i="22" s="1"/>
  <c r="BO219" i="22"/>
  <c r="BP219" i="22" s="1"/>
  <c r="BQ219" i="22" s="1"/>
  <c r="BO247" i="22"/>
  <c r="BP247" i="22" s="1"/>
  <c r="BO258" i="22"/>
  <c r="BP258" i="22" s="1"/>
  <c r="BQ258" i="22" s="1"/>
  <c r="BO282" i="22"/>
  <c r="BP282" i="22" s="1"/>
  <c r="BO287" i="22"/>
  <c r="BP287" i="22" s="1"/>
  <c r="BO290" i="22"/>
  <c r="BP290" i="22" s="1"/>
  <c r="BQ290" i="22" s="1"/>
  <c r="BO298" i="22"/>
  <c r="BP298" i="22" s="1"/>
  <c r="BO301" i="22"/>
  <c r="BP301" i="22" s="1"/>
  <c r="BQ301" i="22" s="1"/>
  <c r="BO307" i="22"/>
  <c r="BP307" i="22" s="1"/>
  <c r="BQ307" i="22" s="1"/>
  <c r="BO371" i="22"/>
  <c r="BP371" i="22" s="1"/>
  <c r="BQ371" i="22" s="1"/>
  <c r="BO376" i="22"/>
  <c r="BP376" i="22" s="1"/>
  <c r="BO391" i="22"/>
  <c r="BQ391" i="22" s="1"/>
  <c r="BO444" i="22"/>
  <c r="BP444" i="22" s="1"/>
  <c r="BO458" i="22"/>
  <c r="BP458" i="22" s="1"/>
  <c r="BQ458" i="22" s="1"/>
  <c r="BO461" i="22"/>
  <c r="BP461" i="22" s="1"/>
  <c r="BQ461" i="22" s="1"/>
  <c r="BO470" i="22"/>
  <c r="BP470" i="22" s="1"/>
  <c r="BQ470" i="22" s="1"/>
  <c r="BO491" i="22"/>
  <c r="BP491" i="22" s="1"/>
  <c r="BQ491" i="22" s="1"/>
  <c r="BO515" i="22"/>
  <c r="BP515" i="22" s="1"/>
  <c r="BQ346" i="22"/>
  <c r="BQ417" i="22"/>
  <c r="BP424" i="22"/>
  <c r="BP428" i="22"/>
  <c r="BQ388" i="22"/>
  <c r="BQ394" i="22"/>
  <c r="BP427" i="22"/>
  <c r="BQ448" i="22"/>
  <c r="BQ530" i="22"/>
  <c r="BQ170" i="22"/>
  <c r="BP36" i="22"/>
  <c r="BQ36" i="22" s="1"/>
  <c r="BP471" i="22"/>
  <c r="BQ471" i="22" s="1"/>
  <c r="BP472" i="22"/>
  <c r="BQ472" i="22" s="1"/>
  <c r="BP473" i="22"/>
  <c r="BQ473" i="22" s="1"/>
  <c r="BP474" i="22"/>
  <c r="BQ474" i="22" s="1"/>
  <c r="BP475" i="22"/>
  <c r="BQ475" i="22" s="1"/>
  <c r="BQ101" i="22"/>
  <c r="BQ116" i="22"/>
  <c r="BQ303" i="22"/>
  <c r="BP384" i="22"/>
  <c r="BP395" i="22"/>
  <c r="BP438" i="22"/>
  <c r="BP441" i="22"/>
  <c r="BQ11" i="22"/>
  <c r="BQ270" i="22"/>
  <c r="BQ272" i="22"/>
  <c r="BP447" i="22"/>
  <c r="BP526" i="22"/>
  <c r="BQ526" i="22" s="1"/>
  <c r="BP10" i="22"/>
  <c r="BQ10" i="22" s="1"/>
  <c r="BQ103" i="22"/>
  <c r="BP226" i="22"/>
  <c r="BQ226" i="22" s="1"/>
  <c r="BQ273" i="22"/>
  <c r="BQ281" i="22"/>
  <c r="BQ283" i="22"/>
  <c r="BP313" i="22"/>
  <c r="BQ313" i="22" s="1"/>
  <c r="BQ345" i="22"/>
  <c r="BP431" i="22"/>
  <c r="BQ437" i="22"/>
  <c r="BP439" i="22"/>
  <c r="BP517" i="22"/>
  <c r="BQ517" i="22" s="1"/>
  <c r="BP518" i="22"/>
  <c r="BQ518" i="22" s="1"/>
  <c r="BQ525" i="22"/>
  <c r="BQ92" i="22"/>
  <c r="BQ306" i="22"/>
  <c r="BP398" i="22"/>
  <c r="BQ516" i="22"/>
  <c r="BQ524" i="22"/>
  <c r="BP55" i="22"/>
  <c r="BQ55" i="22" s="1"/>
  <c r="BP18" i="22"/>
  <c r="BQ18" i="22" s="1"/>
  <c r="BP45" i="22"/>
  <c r="BQ45" i="22" s="1"/>
  <c r="BP57" i="22"/>
  <c r="BQ57" i="22" s="1"/>
  <c r="BP79" i="22"/>
  <c r="BQ79" i="22" s="1"/>
  <c r="BP53" i="22"/>
  <c r="BQ53" i="22" s="1"/>
  <c r="BP64" i="22"/>
  <c r="BQ64" i="22" s="1"/>
  <c r="BP321" i="22"/>
  <c r="BQ321" i="22" s="1"/>
  <c r="BP325" i="22"/>
  <c r="BQ325" i="22" s="1"/>
  <c r="BP4" i="22"/>
  <c r="BQ4" i="22" s="1"/>
  <c r="BP7" i="22"/>
  <c r="BQ7" i="22" s="1"/>
  <c r="BP27" i="22"/>
  <c r="BQ27" i="22" s="1"/>
  <c r="BP52" i="22"/>
  <c r="BQ52" i="22" s="1"/>
  <c r="BP56" i="22"/>
  <c r="BQ56" i="22" s="1"/>
  <c r="BP80" i="22"/>
  <c r="BQ80" i="22" s="1"/>
  <c r="BP85" i="22"/>
  <c r="BQ85" i="22" s="1"/>
  <c r="BP110" i="22"/>
  <c r="BQ110" i="22" s="1"/>
  <c r="BP119" i="22"/>
  <c r="BQ119" i="22" s="1"/>
  <c r="BP182" i="22"/>
  <c r="BQ182" i="22" s="1"/>
  <c r="BP185" i="22"/>
  <c r="BQ185" i="22" s="1"/>
  <c r="BP187" i="22"/>
  <c r="BQ187" i="22" s="1"/>
  <c r="BP196" i="22"/>
  <c r="BQ196" i="22" s="1"/>
  <c r="BP213" i="22"/>
  <c r="BQ213" i="22" s="1"/>
  <c r="BP218" i="22"/>
  <c r="BQ218" i="22" s="1"/>
  <c r="BP257" i="22"/>
  <c r="BQ257" i="22" s="1"/>
  <c r="BP327" i="22"/>
  <c r="BQ327" i="22" s="1"/>
  <c r="BP336" i="22"/>
  <c r="BQ336" i="22" s="1"/>
  <c r="BQ344" i="22"/>
  <c r="BP344" i="22"/>
  <c r="BQ399" i="22"/>
  <c r="BP399" i="22"/>
  <c r="BQ451" i="22"/>
  <c r="BP451" i="22"/>
  <c r="BP462" i="22"/>
  <c r="BQ462" i="22" s="1"/>
  <c r="BP3" i="22"/>
  <c r="BQ3" i="22" s="1"/>
  <c r="BP16" i="22"/>
  <c r="BQ16" i="22" s="1"/>
  <c r="BP68" i="22"/>
  <c r="BQ68" i="22" s="1"/>
  <c r="BQ87" i="22"/>
  <c r="BP89" i="22"/>
  <c r="BQ89" i="22" s="1"/>
  <c r="BQ123" i="22"/>
  <c r="BP138" i="22"/>
  <c r="BQ138" i="22" s="1"/>
  <c r="BQ142" i="22"/>
  <c r="BQ155" i="22"/>
  <c r="BP164" i="22"/>
  <c r="BQ164" i="22" s="1"/>
  <c r="BP174" i="22"/>
  <c r="BQ174" i="22" s="1"/>
  <c r="BP181" i="22"/>
  <c r="BQ181" i="22" s="1"/>
  <c r="BP221" i="22"/>
  <c r="BQ221" i="22" s="1"/>
  <c r="BP238" i="22"/>
  <c r="BQ238" i="22" s="1"/>
  <c r="BP295" i="22"/>
  <c r="BQ295" i="22" s="1"/>
  <c r="BP25" i="22"/>
  <c r="BQ25" i="22" s="1"/>
  <c r="BP94" i="22"/>
  <c r="BQ94" i="22" s="1"/>
  <c r="BP190" i="22"/>
  <c r="BQ190" i="22" s="1"/>
  <c r="BP212" i="22"/>
  <c r="BQ212" i="22" s="1"/>
  <c r="BQ214" i="22"/>
  <c r="BP215" i="22"/>
  <c r="BQ215" i="22" s="1"/>
  <c r="BP217" i="22"/>
  <c r="BQ217" i="22" s="1"/>
  <c r="BP251" i="22"/>
  <c r="BQ251" i="22" s="1"/>
  <c r="BP278" i="22"/>
  <c r="BQ278" i="22" s="1"/>
  <c r="BP285" i="22"/>
  <c r="BQ285" i="22" s="1"/>
  <c r="BP315" i="22"/>
  <c r="BQ315" i="22" s="1"/>
  <c r="BP319" i="22"/>
  <c r="BQ319" i="22" s="1"/>
  <c r="BQ19" i="22"/>
  <c r="BP20" i="22"/>
  <c r="BQ20" i="22" s="1"/>
  <c r="BQ26" i="22"/>
  <c r="BP32" i="22"/>
  <c r="BQ32" i="22" s="1"/>
  <c r="BQ43" i="22"/>
  <c r="BP44" i="22"/>
  <c r="BQ44" i="22" s="1"/>
  <c r="B18" i="5" s="1"/>
  <c r="BP54" i="22"/>
  <c r="BQ54" i="22" s="1"/>
  <c r="BP63" i="22"/>
  <c r="BQ63" i="22" s="1"/>
  <c r="BP72" i="22"/>
  <c r="BQ72" i="22" s="1"/>
  <c r="BP130" i="22"/>
  <c r="BQ130" i="22" s="1"/>
  <c r="BP137" i="22"/>
  <c r="BQ137" i="22" s="1"/>
  <c r="BP151" i="22"/>
  <c r="BQ151" i="22" s="1"/>
  <c r="BP165" i="22"/>
  <c r="BQ165" i="22" s="1"/>
  <c r="BP191" i="22"/>
  <c r="BQ191" i="22" s="1"/>
  <c r="BP200" i="22"/>
  <c r="BQ200" i="22" s="1"/>
  <c r="BQ205" i="22"/>
  <c r="BP237" i="22"/>
  <c r="BQ237" i="22" s="1"/>
  <c r="BP246" i="22"/>
  <c r="BQ246" i="22" s="1"/>
  <c r="BP365" i="22"/>
  <c r="BQ365" i="22"/>
  <c r="BP433" i="22"/>
  <c r="BQ433" i="22" s="1"/>
  <c r="BP465" i="22"/>
  <c r="BQ465" i="22" s="1"/>
  <c r="BP467" i="22"/>
  <c r="BQ467" i="22" s="1"/>
  <c r="BP505" i="22"/>
  <c r="BQ505" i="22" s="1"/>
  <c r="BP544" i="22"/>
  <c r="BQ544" i="22" s="1"/>
  <c r="BP553" i="22"/>
  <c r="BQ553" i="22" s="1"/>
  <c r="BP6" i="22"/>
  <c r="BQ6" i="22" s="1"/>
  <c r="BQ29" i="22"/>
  <c r="BP31" i="22"/>
  <c r="BQ31" i="22" s="1"/>
  <c r="BQ34" i="22"/>
  <c r="BP48" i="22"/>
  <c r="BQ48" i="22" s="1"/>
  <c r="BQ60" i="22"/>
  <c r="BP62" i="22"/>
  <c r="BQ62" i="22" s="1"/>
  <c r="BP91" i="22"/>
  <c r="BQ91" i="22" s="1"/>
  <c r="BP118" i="22"/>
  <c r="BQ118" i="22" s="1"/>
  <c r="BP128" i="22"/>
  <c r="BQ128" i="22" s="1"/>
  <c r="BP133" i="22"/>
  <c r="BQ133" i="22" s="1"/>
  <c r="BP145" i="22"/>
  <c r="BQ145" i="22" s="1"/>
  <c r="BP158" i="22"/>
  <c r="BQ158" i="22" s="1"/>
  <c r="BP292" i="22"/>
  <c r="BQ292" i="22" s="1"/>
  <c r="BP5" i="22"/>
  <c r="BQ5" i="22" s="1"/>
  <c r="BQ12" i="22"/>
  <c r="BP15" i="22"/>
  <c r="BQ15" i="22" s="1"/>
  <c r="BP42" i="22"/>
  <c r="BQ42" i="22" s="1"/>
  <c r="BQ100" i="22"/>
  <c r="BQ102" i="22"/>
  <c r="BQ113" i="22"/>
  <c r="BP120" i="22"/>
  <c r="BQ120" i="22" s="1"/>
  <c r="BP139" i="22"/>
  <c r="BQ139" i="22" s="1"/>
  <c r="BP144" i="22"/>
  <c r="BQ144" i="22" s="1"/>
  <c r="BP150" i="22"/>
  <c r="BQ150" i="22" s="1"/>
  <c r="BP152" i="22"/>
  <c r="BQ152" i="22" s="1"/>
  <c r="BP161" i="22"/>
  <c r="BQ161" i="22" s="1"/>
  <c r="BP166" i="22"/>
  <c r="BQ166" i="22" s="1"/>
  <c r="BP169" i="22"/>
  <c r="BQ169" i="22" s="1"/>
  <c r="BP2" i="22"/>
  <c r="BQ2" i="22" s="1"/>
  <c r="BQ8" i="22"/>
  <c r="BQ17" i="22"/>
  <c r="BQ21" i="22"/>
  <c r="BP24" i="22"/>
  <c r="BQ24" i="22" s="1"/>
  <c r="BQ33" i="22"/>
  <c r="BQ38" i="22"/>
  <c r="BO46" i="22"/>
  <c r="BQ49" i="22"/>
  <c r="BP50" i="22"/>
  <c r="BQ50" i="22" s="1"/>
  <c r="BO58" i="22"/>
  <c r="BQ59" i="22"/>
  <c r="BO65" i="22"/>
  <c r="BQ69" i="22"/>
  <c r="BP70" i="22"/>
  <c r="BQ70" i="22" s="1"/>
  <c r="BQ73" i="22"/>
  <c r="BP78" i="22"/>
  <c r="BQ78" i="22" s="1"/>
  <c r="BP83" i="22"/>
  <c r="BQ83" i="22" s="1"/>
  <c r="BQ86" i="22"/>
  <c r="BP93" i="22"/>
  <c r="BQ93" i="22" s="1"/>
  <c r="BQ96" i="22"/>
  <c r="BP99" i="22"/>
  <c r="BQ99" i="22" s="1"/>
  <c r="BP117" i="22"/>
  <c r="BQ117" i="22" s="1"/>
  <c r="BQ122" i="22"/>
  <c r="BQ124" i="22"/>
  <c r="BQ126" i="22"/>
  <c r="BP127" i="22"/>
  <c r="BQ127" i="22" s="1"/>
  <c r="BP129" i="22"/>
  <c r="BQ129" i="22" s="1"/>
  <c r="BQ131" i="22"/>
  <c r="BQ141" i="22"/>
  <c r="BQ143" i="22"/>
  <c r="BP146" i="22"/>
  <c r="BQ146" i="22" s="1"/>
  <c r="BQ154" i="22"/>
  <c r="BQ156" i="22"/>
  <c r="BP159" i="22"/>
  <c r="BQ159" i="22" s="1"/>
  <c r="BP162" i="22"/>
  <c r="BQ162" i="22" s="1"/>
  <c r="BP172" i="22"/>
  <c r="BQ172" i="22" s="1"/>
  <c r="BP177" i="22"/>
  <c r="BQ177" i="22" s="1"/>
  <c r="BP180" i="22"/>
  <c r="BQ180" i="22" s="1"/>
  <c r="BP195" i="22"/>
  <c r="BQ195" i="22" s="1"/>
  <c r="BQ199" i="22"/>
  <c r="BP202" i="22"/>
  <c r="BQ202" i="22" s="1"/>
  <c r="BP225" i="22"/>
  <c r="BQ225" i="22" s="1"/>
  <c r="BP239" i="22"/>
  <c r="BQ239" i="22" s="1"/>
  <c r="BP249" i="22"/>
  <c r="BQ249" i="22" s="1"/>
  <c r="BP263" i="22"/>
  <c r="BQ263" i="22" s="1"/>
  <c r="BP312" i="22"/>
  <c r="BQ312" i="22" s="1"/>
  <c r="BP266" i="22"/>
  <c r="BQ266" i="22" s="1"/>
  <c r="BP274" i="22"/>
  <c r="BQ274" i="22" s="1"/>
  <c r="BP279" i="22"/>
  <c r="BQ279" i="22" s="1"/>
  <c r="BP284" i="22"/>
  <c r="BQ284" i="22" s="1"/>
  <c r="BP291" i="22"/>
  <c r="BQ291" i="22" s="1"/>
  <c r="BP305" i="22"/>
  <c r="BQ305" i="22" s="1"/>
  <c r="BP320" i="22"/>
  <c r="BQ320" i="22" s="1"/>
  <c r="BP331" i="22"/>
  <c r="BQ331" i="22" s="1"/>
  <c r="BP386" i="22"/>
  <c r="BQ386" i="22"/>
  <c r="BQ390" i="22"/>
  <c r="BP390" i="22"/>
  <c r="BP397" i="22"/>
  <c r="BO397" i="22"/>
  <c r="BQ397" i="22" s="1"/>
  <c r="BP430" i="22"/>
  <c r="BQ430" i="22"/>
  <c r="BQ446" i="22"/>
  <c r="BP446" i="22"/>
  <c r="BQ453" i="22"/>
  <c r="BP453" i="22"/>
  <c r="BQ456" i="22"/>
  <c r="BP456" i="22"/>
  <c r="BP459" i="22"/>
  <c r="BQ459" i="22" s="1"/>
  <c r="BP233" i="22"/>
  <c r="BQ233" i="22" s="1"/>
  <c r="BP243" i="22"/>
  <c r="BQ243" i="22" s="1"/>
  <c r="BP209" i="22"/>
  <c r="BQ209" i="22" s="1"/>
  <c r="BP228" i="22"/>
  <c r="BQ228" i="22" s="1"/>
  <c r="BP232" i="22"/>
  <c r="BQ232" i="22" s="1"/>
  <c r="BQ234" i="22"/>
  <c r="BQ235" i="22"/>
  <c r="BP256" i="22"/>
  <c r="BQ256" i="22" s="1"/>
  <c r="BP262" i="22"/>
  <c r="BQ262" i="22" s="1"/>
  <c r="BP264" i="22"/>
  <c r="BQ264" i="22" s="1"/>
  <c r="BP267" i="22"/>
  <c r="BQ267" i="22" s="1"/>
  <c r="BP276" i="22"/>
  <c r="BQ276" i="22" s="1"/>
  <c r="BP280" i="22"/>
  <c r="BQ280" i="22" s="1"/>
  <c r="BP310" i="22"/>
  <c r="BQ310" i="22" s="1"/>
  <c r="BQ322" i="22"/>
  <c r="BP324" i="22"/>
  <c r="BQ324" i="22" s="1"/>
  <c r="BP333" i="22"/>
  <c r="BQ333" i="22" s="1"/>
  <c r="BP335" i="22"/>
  <c r="BQ335" i="22" s="1"/>
  <c r="BP367" i="22"/>
  <c r="BQ367" i="22" s="1"/>
  <c r="BP373" i="22"/>
  <c r="BQ373" i="22" s="1"/>
  <c r="BQ429" i="22"/>
  <c r="BP429" i="22"/>
  <c r="BQ452" i="22"/>
  <c r="BP452" i="22"/>
  <c r="BO188" i="22"/>
  <c r="BO208" i="22"/>
  <c r="BQ220" i="22"/>
  <c r="BO229" i="22"/>
  <c r="BP248" i="22"/>
  <c r="BQ248" i="22" s="1"/>
  <c r="BQ250" i="22"/>
  <c r="BQ253" i="22"/>
  <c r="BP261" i="22"/>
  <c r="BQ261" i="22" s="1"/>
  <c r="BP268" i="22"/>
  <c r="BQ268" i="22" s="1"/>
  <c r="BP277" i="22"/>
  <c r="BQ277" i="22" s="1"/>
  <c r="BQ294" i="22"/>
  <c r="BP296" i="22"/>
  <c r="BQ296" i="22" s="1"/>
  <c r="BQ302" i="22"/>
  <c r="BP311" i="22"/>
  <c r="BQ311" i="22" s="1"/>
  <c r="BP323" i="22"/>
  <c r="BQ323" i="22" s="1"/>
  <c r="BP339" i="22"/>
  <c r="BQ339" i="22" s="1"/>
  <c r="BQ400" i="22"/>
  <c r="BP400" i="22"/>
  <c r="BO230" i="22"/>
  <c r="BO240" i="22"/>
  <c r="BQ275" i="22"/>
  <c r="BO293" i="22"/>
  <c r="BQ304" i="22"/>
  <c r="BO317" i="22"/>
  <c r="BQ317" i="22" s="1"/>
  <c r="BQ328" i="22"/>
  <c r="BQ332" i="22"/>
  <c r="BQ442" i="22"/>
  <c r="BQ455" i="22"/>
  <c r="BP455" i="22"/>
  <c r="BP478" i="22"/>
  <c r="BQ478" i="22" s="1"/>
  <c r="BP485" i="22"/>
  <c r="BQ485" i="22" s="1"/>
  <c r="BP501" i="22"/>
  <c r="BQ501" i="22" s="1"/>
  <c r="BP506" i="22"/>
  <c r="BQ506" i="22" s="1"/>
  <c r="BP512" i="22"/>
  <c r="BQ512" i="22" s="1"/>
  <c r="BP542" i="22"/>
  <c r="BQ542" i="22" s="1"/>
  <c r="BO223" i="22"/>
  <c r="BO254" i="22"/>
  <c r="BQ260" i="22"/>
  <c r="BO265" i="22"/>
  <c r="BO286" i="22"/>
  <c r="BO289" i="22"/>
  <c r="BO297" i="22"/>
  <c r="BQ300" i="22"/>
  <c r="BQ308" i="22"/>
  <c r="BO318" i="22"/>
  <c r="BQ330" i="22"/>
  <c r="BO334" i="22"/>
  <c r="BQ340" i="22"/>
  <c r="BQ396" i="22"/>
  <c r="BP443" i="22"/>
  <c r="BQ443" i="22" s="1"/>
  <c r="BQ449" i="22"/>
  <c r="BP449" i="22"/>
  <c r="BQ454" i="22"/>
  <c r="BP454" i="22"/>
  <c r="BP469" i="22"/>
  <c r="BQ469" i="22" s="1"/>
  <c r="BQ464" i="22"/>
  <c r="BP468" i="22"/>
  <c r="BQ468" i="22" s="1"/>
  <c r="BP483" i="22"/>
  <c r="BQ483" i="22" s="1"/>
  <c r="BP489" i="22"/>
  <c r="BQ489" i="22" s="1"/>
  <c r="BP502" i="22"/>
  <c r="BQ502" i="22" s="1"/>
  <c r="BP513" i="22"/>
  <c r="BQ513" i="22" s="1"/>
  <c r="BP528" i="22"/>
  <c r="BQ528" i="22" s="1"/>
  <c r="BP535" i="22"/>
  <c r="BQ535" i="22" s="1"/>
  <c r="BP540" i="22"/>
  <c r="BQ540" i="22" s="1"/>
  <c r="BP546" i="22"/>
  <c r="BQ546" i="22" s="1"/>
  <c r="BO387" i="22"/>
  <c r="BP450" i="22"/>
  <c r="BO457" i="22"/>
  <c r="BQ460" i="22"/>
  <c r="BP482" i="22"/>
  <c r="BQ482" i="22" s="1"/>
  <c r="BP484" i="22"/>
  <c r="BQ484" i="22" s="1"/>
  <c r="BP492" i="22"/>
  <c r="BQ492" i="22" s="1"/>
  <c r="BP496" i="22"/>
  <c r="BQ496" i="22" s="1"/>
  <c r="BP504" i="22"/>
  <c r="BQ504" i="22" s="1"/>
  <c r="BP514" i="22"/>
  <c r="BQ514" i="22" s="1"/>
  <c r="BP539" i="22"/>
  <c r="BQ539" i="22" s="1"/>
  <c r="BP541" i="22"/>
  <c r="BQ541" i="22" s="1"/>
  <c r="BP552" i="22"/>
  <c r="BQ552" i="22" s="1"/>
  <c r="BP495" i="22"/>
  <c r="BQ495" i="22" s="1"/>
  <c r="BP499" i="22"/>
  <c r="BQ499" i="22" s="1"/>
  <c r="BP511" i="22"/>
  <c r="BQ511" i="22" s="1"/>
  <c r="BP522" i="22"/>
  <c r="BQ522" i="22" s="1"/>
  <c r="BQ531" i="22"/>
  <c r="BP538" i="22"/>
  <c r="BQ538" i="22" s="1"/>
  <c r="BP557" i="22"/>
  <c r="BQ557" i="22" s="1"/>
  <c r="BQ476" i="22"/>
  <c r="BQ490" i="22"/>
  <c r="BQ497" i="22"/>
  <c r="BP498" i="22"/>
  <c r="BQ498" i="22" s="1"/>
  <c r="BP520" i="22"/>
  <c r="BQ520" i="22" s="1"/>
  <c r="BP537" i="22"/>
  <c r="BQ537" i="22" s="1"/>
  <c r="BQ545" i="22"/>
  <c r="BQ549" i="22"/>
  <c r="BQ573" i="22"/>
  <c r="B15" i="5" l="1"/>
  <c r="B31" i="5"/>
  <c r="B24" i="5"/>
  <c r="D18" i="5"/>
  <c r="BQ389" i="22"/>
  <c r="BQ444" i="22"/>
  <c r="BQ157" i="22"/>
  <c r="BQ480" i="22"/>
  <c r="BP385" i="22"/>
  <c r="BQ519" i="22"/>
  <c r="BQ314" i="22"/>
  <c r="BQ287" i="22"/>
  <c r="BQ236" i="22"/>
  <c r="BQ148" i="22"/>
  <c r="BQ167" i="22"/>
  <c r="BQ375" i="22"/>
  <c r="BQ140" i="22"/>
  <c r="BQ247" i="22"/>
  <c r="BQ112" i="22"/>
  <c r="BP401" i="22"/>
  <c r="BQ28" i="22"/>
  <c r="BQ108" i="22"/>
  <c r="BQ194" i="22"/>
  <c r="BP440" i="22"/>
  <c r="BQ543" i="22"/>
  <c r="BQ486" i="22"/>
  <c r="BQ81" i="22"/>
  <c r="BP416" i="22"/>
  <c r="BQ134" i="22"/>
  <c r="BP391" i="22"/>
  <c r="BQ121" i="22"/>
  <c r="BQ109" i="22"/>
  <c r="BQ147" i="22"/>
  <c r="BQ368" i="22"/>
  <c r="BQ198" i="22"/>
  <c r="BQ376" i="22"/>
  <c r="BQ364" i="22"/>
  <c r="BQ282" i="22"/>
  <c r="BP153" i="22"/>
  <c r="BQ153" i="22" s="1"/>
  <c r="BQ515" i="22"/>
  <c r="BQ298" i="22"/>
  <c r="BQ168" i="22"/>
  <c r="BQ387" i="22"/>
  <c r="BP387" i="22"/>
  <c r="BP318" i="22"/>
  <c r="BQ318" i="22" s="1"/>
  <c r="BP289" i="22"/>
  <c r="BQ289" i="22" s="1"/>
  <c r="BP208" i="22"/>
  <c r="BQ208" i="22" s="1"/>
  <c r="BP58" i="22"/>
  <c r="BQ58" i="22" s="1"/>
  <c r="BP286" i="22"/>
  <c r="BQ286" i="22" s="1"/>
  <c r="BP223" i="22"/>
  <c r="BQ223" i="22" s="1"/>
  <c r="BP188" i="22"/>
  <c r="BQ188" i="22" s="1"/>
  <c r="BP457" i="22"/>
  <c r="BQ457" i="22" s="1"/>
  <c r="D14" i="5" s="1"/>
  <c r="BP334" i="22"/>
  <c r="BQ334" i="22" s="1"/>
  <c r="BP265" i="22"/>
  <c r="BQ265" i="22" s="1"/>
  <c r="BP240" i="22"/>
  <c r="BQ240" i="22" s="1"/>
  <c r="BP229" i="22"/>
  <c r="BQ229" i="22" s="1"/>
  <c r="BP65" i="22"/>
  <c r="BQ65" i="22" s="1"/>
  <c r="BP254" i="22"/>
  <c r="BQ254" i="22" s="1"/>
  <c r="BP293" i="22"/>
  <c r="BQ293" i="22" s="1"/>
  <c r="BP297" i="22"/>
  <c r="BQ297" i="22" s="1"/>
  <c r="BP230" i="22"/>
  <c r="BQ230" i="22" s="1"/>
  <c r="BP46" i="22"/>
  <c r="BQ46" i="22" s="1"/>
  <c r="C24" i="5" l="1"/>
  <c r="D23" i="5"/>
  <c r="B14" i="5"/>
  <c r="C18" i="5"/>
  <c r="C31" i="5"/>
  <c r="C22" i="5"/>
  <c r="G22" i="5"/>
  <c r="D30" i="5"/>
  <c r="C23" i="5"/>
  <c r="C14" i="5"/>
  <c r="G24" i="5"/>
  <c r="C30" i="5"/>
  <c r="B30" i="5"/>
  <c r="C19" i="5"/>
  <c r="C15" i="5"/>
  <c r="B23" i="5"/>
  <c r="B22" i="5"/>
  <c r="D19" i="5"/>
  <c r="D15" i="5"/>
  <c r="D31" i="5"/>
  <c r="D24" i="5"/>
  <c r="G14" i="5"/>
  <c r="G23" i="5"/>
  <c r="G15" i="5"/>
  <c r="D22" i="5"/>
  <c r="B19" i="5"/>
  <c r="J3" i="34" a="1"/>
  <c r="J3" i="34" s="1"/>
  <c r="J4" i="34" a="1"/>
  <c r="J4" i="34" s="1"/>
  <c r="J5" i="34" a="1"/>
  <c r="J5" i="34" s="1"/>
  <c r="J6" i="34" a="1"/>
  <c r="J6" i="34" s="1"/>
  <c r="J2" i="34" a="1"/>
  <c r="J2" i="34" s="1"/>
  <c r="C517" i="34"/>
  <c r="C515" i="34"/>
  <c r="C513" i="34"/>
  <c r="C512" i="34"/>
  <c r="C510" i="34"/>
  <c r="C509" i="34"/>
  <c r="C508" i="34"/>
  <c r="C507" i="34"/>
  <c r="C506" i="34"/>
  <c r="C505" i="34"/>
  <c r="C504" i="34"/>
  <c r="C503" i="34"/>
  <c r="C502" i="34"/>
  <c r="C501" i="34"/>
  <c r="C500" i="34"/>
  <c r="C499" i="34"/>
  <c r="C497" i="34"/>
  <c r="C496" i="34"/>
  <c r="C495" i="34"/>
  <c r="C494" i="34"/>
  <c r="C493" i="34"/>
  <c r="C492" i="34"/>
  <c r="C491" i="34"/>
  <c r="C490" i="34"/>
  <c r="C488" i="34"/>
  <c r="C487" i="34"/>
  <c r="C486" i="34"/>
  <c r="C485" i="34"/>
  <c r="C484" i="34"/>
  <c r="C483" i="34"/>
  <c r="C482" i="34"/>
  <c r="C481" i="34"/>
  <c r="C480" i="34"/>
  <c r="C479" i="34"/>
  <c r="C478" i="34"/>
  <c r="C477" i="34"/>
  <c r="C476" i="34"/>
  <c r="C475" i="34"/>
  <c r="C474" i="34"/>
  <c r="C473" i="34"/>
  <c r="C472" i="34"/>
  <c r="C471" i="34"/>
  <c r="C470" i="34"/>
  <c r="C469" i="34"/>
  <c r="C468" i="34"/>
  <c r="C467" i="34"/>
  <c r="C466" i="34"/>
  <c r="C465" i="34"/>
  <c r="C464" i="34"/>
  <c r="C463" i="34"/>
  <c r="C462" i="34"/>
  <c r="C461" i="34"/>
  <c r="C460" i="34"/>
  <c r="C459" i="34"/>
  <c r="C458" i="34"/>
  <c r="C457" i="34"/>
  <c r="C456" i="34"/>
  <c r="C455" i="34"/>
  <c r="C454" i="34"/>
  <c r="C453" i="34"/>
  <c r="C452" i="34"/>
  <c r="C451" i="34"/>
  <c r="C450" i="34"/>
  <c r="C449" i="34"/>
  <c r="C448" i="34"/>
  <c r="C447" i="34"/>
  <c r="C446" i="34"/>
  <c r="C445" i="34"/>
  <c r="C444" i="34"/>
  <c r="C443" i="34"/>
  <c r="C442" i="34"/>
  <c r="C441" i="34"/>
  <c r="C440" i="34"/>
  <c r="C439" i="34"/>
  <c r="C438" i="34"/>
  <c r="C437" i="34"/>
  <c r="C436" i="34"/>
  <c r="C435" i="34"/>
  <c r="C434" i="34"/>
  <c r="C433" i="34"/>
  <c r="C432" i="34"/>
  <c r="C431" i="34"/>
  <c r="C430" i="34"/>
  <c r="C429" i="34"/>
  <c r="C428" i="34"/>
  <c r="C427" i="34"/>
  <c r="C426" i="34"/>
  <c r="C425" i="34"/>
  <c r="C424" i="34"/>
  <c r="C423" i="34"/>
  <c r="C422" i="34"/>
  <c r="C421" i="34"/>
  <c r="C420" i="34"/>
  <c r="C419" i="34"/>
  <c r="C418" i="34"/>
  <c r="C417" i="34"/>
  <c r="C416" i="34"/>
  <c r="C415" i="34"/>
  <c r="C414" i="34"/>
  <c r="C413" i="34"/>
  <c r="C412" i="34"/>
  <c r="C411" i="34"/>
  <c r="C410" i="34"/>
  <c r="C409" i="34"/>
  <c r="C408" i="34"/>
  <c r="C407" i="34"/>
  <c r="C406" i="34"/>
  <c r="C405" i="34"/>
  <c r="C404" i="34"/>
  <c r="C403" i="34"/>
  <c r="C402" i="34"/>
  <c r="C401" i="34"/>
  <c r="C400" i="34"/>
  <c r="C399" i="34"/>
  <c r="C398" i="34"/>
  <c r="C397" i="34"/>
  <c r="C396" i="34"/>
  <c r="C395" i="34"/>
  <c r="C394" i="34"/>
  <c r="C393" i="34"/>
  <c r="C392" i="34"/>
  <c r="C391" i="34"/>
  <c r="C390" i="34"/>
  <c r="C389" i="34"/>
  <c r="C388" i="34"/>
  <c r="C387" i="34"/>
  <c r="C386" i="34"/>
  <c r="C385" i="34"/>
  <c r="C384" i="34"/>
  <c r="C383" i="34"/>
  <c r="C382" i="34"/>
  <c r="C381" i="34"/>
  <c r="C380" i="34"/>
  <c r="C379" i="34"/>
  <c r="C378" i="34"/>
  <c r="C377" i="34"/>
  <c r="C376" i="34"/>
  <c r="C375" i="34"/>
  <c r="C374" i="34"/>
  <c r="C373" i="34"/>
  <c r="C372" i="34"/>
  <c r="C371" i="34"/>
  <c r="C370" i="34"/>
  <c r="C369" i="34"/>
  <c r="C368" i="34"/>
  <c r="C367" i="34"/>
  <c r="C366" i="34"/>
  <c r="C365" i="34"/>
  <c r="C364" i="34"/>
  <c r="C363" i="34"/>
  <c r="C362" i="34"/>
  <c r="C361" i="34"/>
  <c r="C360" i="34"/>
  <c r="C359" i="34"/>
  <c r="C358" i="34"/>
  <c r="C357" i="34"/>
  <c r="C356" i="34"/>
  <c r="C355" i="34"/>
  <c r="C354" i="34"/>
  <c r="C353" i="34"/>
  <c r="C352" i="34"/>
  <c r="C351" i="34"/>
  <c r="C350" i="34"/>
  <c r="C349" i="34"/>
  <c r="C348" i="34"/>
  <c r="C347" i="34"/>
  <c r="C346" i="34"/>
  <c r="C345" i="34"/>
  <c r="C344" i="34"/>
  <c r="C343" i="34"/>
  <c r="C342" i="34"/>
  <c r="C341" i="34"/>
  <c r="C340" i="34"/>
  <c r="C339" i="34"/>
  <c r="C338" i="34"/>
  <c r="C337" i="34"/>
  <c r="C336" i="34"/>
  <c r="C335" i="34"/>
  <c r="C334" i="34"/>
  <c r="C333" i="34"/>
  <c r="C332" i="34"/>
  <c r="C331" i="34"/>
  <c r="C330" i="34"/>
  <c r="C329" i="34"/>
  <c r="C328" i="34"/>
  <c r="C327" i="34"/>
  <c r="C326" i="34"/>
  <c r="C325" i="34"/>
  <c r="C324" i="34"/>
  <c r="C323" i="34"/>
  <c r="C322" i="34"/>
  <c r="C321" i="34"/>
  <c r="C320" i="34"/>
  <c r="C319" i="34"/>
  <c r="C318" i="34"/>
  <c r="C317" i="34"/>
  <c r="C316" i="34"/>
  <c r="C315" i="34"/>
  <c r="C314" i="34"/>
  <c r="C313" i="34"/>
  <c r="C312" i="34"/>
  <c r="C311" i="34"/>
  <c r="C310" i="34"/>
  <c r="C309" i="34"/>
  <c r="C308" i="34"/>
  <c r="C307" i="34"/>
  <c r="C306" i="34"/>
  <c r="C305" i="34"/>
  <c r="C304" i="34"/>
  <c r="C303" i="34"/>
  <c r="C302" i="34"/>
  <c r="C301" i="34"/>
  <c r="C300" i="34"/>
  <c r="C299" i="34"/>
  <c r="C298" i="34"/>
  <c r="C297" i="34"/>
  <c r="C296" i="34"/>
  <c r="C295" i="34"/>
  <c r="C294" i="34"/>
  <c r="C293" i="34"/>
  <c r="C292" i="34"/>
  <c r="C291" i="34"/>
  <c r="C290" i="34"/>
  <c r="C289" i="34"/>
  <c r="C288" i="34"/>
  <c r="C287" i="34"/>
  <c r="C286" i="34"/>
  <c r="C285" i="34"/>
  <c r="C284" i="34"/>
  <c r="C283" i="34"/>
  <c r="C282" i="34"/>
  <c r="C281" i="34"/>
  <c r="C280" i="34"/>
  <c r="C279" i="34"/>
  <c r="C278" i="34"/>
  <c r="C277" i="34"/>
  <c r="C276" i="34"/>
  <c r="C275" i="34"/>
  <c r="C274" i="34"/>
  <c r="C273" i="34"/>
  <c r="C272" i="34"/>
  <c r="C271" i="34"/>
  <c r="C270" i="34"/>
  <c r="C269" i="34"/>
  <c r="C268" i="34"/>
  <c r="C267" i="34"/>
  <c r="C266" i="34"/>
  <c r="C265" i="34"/>
  <c r="C264" i="34"/>
  <c r="C263" i="34"/>
  <c r="C262" i="34"/>
  <c r="C261" i="34"/>
  <c r="C260" i="34"/>
  <c r="C259" i="34"/>
  <c r="C258" i="34"/>
  <c r="C257" i="34"/>
  <c r="C256" i="34"/>
  <c r="C255" i="34"/>
  <c r="C254" i="34"/>
  <c r="C253" i="34"/>
  <c r="C252" i="34"/>
  <c r="C251" i="34"/>
  <c r="C250" i="34"/>
  <c r="C249" i="34"/>
  <c r="C248" i="34"/>
  <c r="C247" i="34"/>
  <c r="C246" i="34"/>
  <c r="C245" i="34"/>
  <c r="C244" i="34"/>
  <c r="C243" i="34"/>
  <c r="C242" i="34"/>
  <c r="C241" i="34"/>
  <c r="C240" i="34"/>
  <c r="C239" i="34"/>
  <c r="C238" i="34"/>
  <c r="C237" i="34"/>
  <c r="C236" i="34"/>
  <c r="C235" i="34"/>
  <c r="C234" i="34"/>
  <c r="C233" i="34"/>
  <c r="C232" i="34"/>
  <c r="C231" i="34"/>
  <c r="C230" i="34"/>
  <c r="C229" i="34"/>
  <c r="C228" i="34"/>
  <c r="C227" i="34"/>
  <c r="C226" i="34"/>
  <c r="C225" i="34"/>
  <c r="C224" i="34"/>
  <c r="C223" i="34"/>
  <c r="C222" i="34"/>
  <c r="C221" i="34"/>
  <c r="C220" i="34"/>
  <c r="C219" i="34"/>
  <c r="C218" i="34"/>
  <c r="C217" i="34"/>
  <c r="C216" i="34"/>
  <c r="C215" i="34"/>
  <c r="C214" i="34"/>
  <c r="C213" i="34"/>
  <c r="C212" i="34"/>
  <c r="C211" i="34"/>
  <c r="C210" i="34"/>
  <c r="C209" i="34"/>
  <c r="C208" i="34"/>
  <c r="C207" i="34"/>
  <c r="C206" i="34"/>
  <c r="C205" i="34"/>
  <c r="C204" i="34"/>
  <c r="C203" i="34"/>
  <c r="C202" i="34"/>
  <c r="C201" i="34"/>
  <c r="C200" i="34"/>
  <c r="C199" i="34"/>
  <c r="C198" i="34"/>
  <c r="C197" i="34"/>
  <c r="C196" i="34"/>
  <c r="C195" i="34"/>
  <c r="C194" i="34"/>
  <c r="C193" i="34"/>
  <c r="C192" i="34"/>
  <c r="C191" i="34"/>
  <c r="C190" i="34"/>
  <c r="C189" i="34"/>
  <c r="C188" i="34"/>
  <c r="C187" i="34"/>
  <c r="C186" i="34"/>
  <c r="C185" i="34"/>
  <c r="C184" i="34"/>
  <c r="C183" i="34"/>
  <c r="C182" i="34"/>
  <c r="C181" i="34"/>
  <c r="C180" i="34"/>
  <c r="C179" i="34"/>
  <c r="C178" i="34"/>
  <c r="C177" i="34"/>
  <c r="C176" i="34"/>
  <c r="C175" i="34"/>
  <c r="C174" i="34"/>
  <c r="C173" i="34"/>
  <c r="C172" i="34"/>
  <c r="C171" i="34"/>
  <c r="C170" i="34"/>
  <c r="C169" i="34"/>
  <c r="C168" i="34"/>
  <c r="C167" i="34"/>
  <c r="C166" i="34"/>
  <c r="C165" i="34"/>
  <c r="C164" i="34"/>
  <c r="C163" i="34"/>
  <c r="C162" i="34"/>
  <c r="C161" i="34"/>
  <c r="C160" i="34"/>
  <c r="C159" i="34"/>
  <c r="C158" i="34"/>
  <c r="C157" i="34"/>
  <c r="C156" i="34"/>
  <c r="C155" i="34"/>
  <c r="C154" i="34"/>
  <c r="C153" i="34"/>
  <c r="C152" i="34"/>
  <c r="C151" i="34"/>
  <c r="C150" i="34"/>
  <c r="C149" i="34"/>
  <c r="C148" i="34"/>
  <c r="C147" i="34"/>
  <c r="C146" i="34"/>
  <c r="C145" i="34"/>
  <c r="C144" i="34"/>
  <c r="C143" i="34"/>
  <c r="C142" i="34"/>
  <c r="C141" i="34"/>
  <c r="C140" i="34"/>
  <c r="C139" i="34"/>
  <c r="C138" i="34"/>
  <c r="C137" i="34"/>
  <c r="C136" i="34"/>
  <c r="C135" i="34"/>
  <c r="C134" i="34"/>
  <c r="C133" i="34"/>
  <c r="C132" i="34"/>
  <c r="C131" i="34"/>
  <c r="C130" i="34"/>
  <c r="C129" i="34"/>
  <c r="C128" i="34"/>
  <c r="C127" i="34"/>
  <c r="C126" i="34"/>
  <c r="C125" i="34"/>
  <c r="C124" i="34"/>
  <c r="C123" i="34"/>
  <c r="C122" i="34"/>
  <c r="C121" i="34"/>
  <c r="C120" i="34"/>
  <c r="C119" i="34"/>
  <c r="C118" i="34"/>
  <c r="C117" i="34"/>
  <c r="C116" i="34"/>
  <c r="C115" i="34"/>
  <c r="C114" i="34"/>
  <c r="C113" i="34"/>
  <c r="C112" i="34"/>
  <c r="C111" i="34"/>
  <c r="C110" i="34"/>
  <c r="C109" i="34"/>
  <c r="C108" i="34"/>
  <c r="C107" i="34"/>
  <c r="C106" i="34"/>
  <c r="C105" i="34"/>
  <c r="C104" i="34"/>
  <c r="C103" i="34"/>
  <c r="C102" i="34"/>
  <c r="C101" i="34"/>
  <c r="C100" i="34"/>
  <c r="C99" i="34"/>
  <c r="C98" i="34"/>
  <c r="C97" i="34"/>
  <c r="C96" i="34"/>
  <c r="C95" i="34"/>
  <c r="C94" i="34"/>
  <c r="C93" i="34"/>
  <c r="C92" i="34"/>
  <c r="C91" i="34"/>
  <c r="C90" i="34"/>
  <c r="C89" i="34"/>
  <c r="C88" i="34"/>
  <c r="C87" i="34"/>
  <c r="C86" i="34"/>
  <c r="C85" i="34"/>
  <c r="C84" i="34"/>
  <c r="C83" i="34"/>
  <c r="C82" i="34"/>
  <c r="C81" i="34"/>
  <c r="C80" i="34"/>
  <c r="C79" i="34"/>
  <c r="C78" i="34"/>
  <c r="C77" i="34"/>
  <c r="C76" i="34"/>
  <c r="C75" i="34"/>
  <c r="C74" i="34"/>
  <c r="C73" i="34"/>
  <c r="C72" i="34"/>
  <c r="C71" i="34"/>
  <c r="C70" i="34"/>
  <c r="C69" i="34"/>
  <c r="C68" i="34"/>
  <c r="C67" i="34"/>
  <c r="C66" i="34"/>
  <c r="C65" i="34"/>
  <c r="C64" i="34"/>
  <c r="C63" i="34"/>
  <c r="C62" i="34"/>
  <c r="C61" i="34"/>
  <c r="C60" i="34"/>
  <c r="C59" i="34"/>
  <c r="C58" i="34"/>
  <c r="C57" i="34"/>
  <c r="C56" i="34"/>
  <c r="C55" i="34"/>
  <c r="C54" i="34"/>
  <c r="C53" i="34"/>
  <c r="C52" i="34"/>
  <c r="C51" i="34"/>
  <c r="C50" i="34"/>
  <c r="C49" i="34"/>
  <c r="C48" i="34"/>
  <c r="C47" i="34"/>
  <c r="C46" i="34"/>
  <c r="C45" i="34"/>
  <c r="C44" i="34"/>
  <c r="C43" i="34"/>
  <c r="C42" i="34"/>
  <c r="C41" i="34"/>
  <c r="C40" i="34"/>
  <c r="C39" i="34"/>
  <c r="C38" i="34"/>
  <c r="C37" i="34"/>
  <c r="C36" i="34"/>
  <c r="C35" i="34"/>
  <c r="C34" i="34"/>
  <c r="C33" i="34"/>
  <c r="C32" i="34"/>
  <c r="C31" i="34"/>
  <c r="C30" i="34"/>
  <c r="C29" i="34"/>
  <c r="C28" i="34"/>
  <c r="C27" i="34"/>
  <c r="C26" i="34"/>
  <c r="C25" i="34"/>
  <c r="C24" i="34"/>
  <c r="C23" i="34"/>
  <c r="C22" i="34"/>
  <c r="C21" i="34"/>
  <c r="C20" i="34"/>
  <c r="C19" i="34"/>
  <c r="C18" i="34"/>
  <c r="C17" i="34"/>
  <c r="C16" i="34"/>
  <c r="C15" i="34"/>
  <c r="C14" i="34"/>
  <c r="C13" i="34"/>
  <c r="C12" i="34"/>
  <c r="C11" i="34"/>
  <c r="C10" i="34"/>
  <c r="C9" i="34"/>
  <c r="C8" i="34"/>
  <c r="C7" i="34"/>
  <c r="C6" i="34"/>
  <c r="C2" i="34"/>
  <c r="C3" i="34"/>
  <c r="C4" i="34"/>
  <c r="C5" i="34"/>
  <c r="A155" i="34" l="1"/>
  <c r="B155" i="34"/>
  <c r="L3" i="30"/>
  <c r="L4" i="2"/>
  <c r="A27" i="3"/>
  <c r="L3" i="3"/>
  <c r="X4" i="9" l="1"/>
  <c r="V4" i="9"/>
  <c r="L18" i="10"/>
  <c r="L3" i="10"/>
  <c r="AB2" i="34" l="1"/>
  <c r="AB3" i="34"/>
  <c r="AE3" i="34" a="1"/>
  <c r="AE3" i="34" s="1"/>
  <c r="AE4" i="34" a="1"/>
  <c r="AE4" i="34" s="1"/>
  <c r="AE5" i="34" a="1"/>
  <c r="AE5" i="34" s="1"/>
  <c r="AE6" i="34" a="1"/>
  <c r="AE6" i="34" s="1"/>
  <c r="AE7" i="34" a="1"/>
  <c r="AE7" i="34" s="1"/>
  <c r="AE8" i="34" a="1"/>
  <c r="AE8" i="34" s="1"/>
  <c r="AE9" i="34" a="1"/>
  <c r="AE9" i="34" s="1"/>
  <c r="AE10" i="34" a="1"/>
  <c r="AE10" i="34" s="1"/>
  <c r="AE11" i="34" a="1"/>
  <c r="AE11" i="34" s="1"/>
  <c r="AE12" i="34" a="1"/>
  <c r="AE12" i="34" s="1"/>
  <c r="AE13" i="34" a="1"/>
  <c r="AE13" i="34" s="1"/>
  <c r="AE14" i="34" a="1"/>
  <c r="AE14" i="34" s="1"/>
  <c r="AE15" i="34" a="1"/>
  <c r="AE15" i="34" s="1"/>
  <c r="AE16" i="34" a="1"/>
  <c r="AE16" i="34" s="1"/>
  <c r="AE17" i="34" a="1"/>
  <c r="AE17" i="34" s="1"/>
  <c r="AE18" i="34" a="1"/>
  <c r="AE18" i="34" s="1"/>
  <c r="AE19" i="34" a="1"/>
  <c r="AE19" i="34" s="1"/>
  <c r="AE20" i="34" a="1"/>
  <c r="AE20" i="34" s="1"/>
  <c r="AE21" i="34" a="1"/>
  <c r="AE21" i="34" s="1"/>
  <c r="AE22" i="34" a="1"/>
  <c r="AE22" i="34" s="1"/>
  <c r="AE23" i="34" a="1"/>
  <c r="AE23" i="34" s="1"/>
  <c r="AE24" i="34" a="1"/>
  <c r="AE24" i="34" s="1"/>
  <c r="AE25" i="34" a="1"/>
  <c r="AE25" i="34" s="1"/>
  <c r="AE26" i="34" a="1"/>
  <c r="AE26" i="34" s="1"/>
  <c r="AE27" i="34" a="1"/>
  <c r="AE27" i="34" s="1"/>
  <c r="AE28" i="34" a="1"/>
  <c r="AE28" i="34" s="1"/>
  <c r="AE29" i="34" a="1"/>
  <c r="AE29" i="34" s="1"/>
  <c r="AE30" i="34" a="1"/>
  <c r="AE30" i="34" s="1"/>
  <c r="AE31" i="34" a="1"/>
  <c r="AE31" i="34" s="1"/>
  <c r="AE32" i="34" a="1"/>
  <c r="AE32" i="34" s="1"/>
  <c r="AE33" i="34" a="1"/>
  <c r="AE33" i="34" s="1"/>
  <c r="AE34" i="34" a="1"/>
  <c r="AE34" i="34" s="1"/>
  <c r="AE35" i="34" a="1"/>
  <c r="AE35" i="34" s="1"/>
  <c r="AE36" i="34" a="1"/>
  <c r="AE36" i="34" s="1"/>
  <c r="AE37" i="34" a="1"/>
  <c r="AE37" i="34" s="1"/>
  <c r="AE38" i="34" a="1"/>
  <c r="AE38" i="34" s="1"/>
  <c r="AE39" i="34" a="1"/>
  <c r="AE39" i="34" s="1"/>
  <c r="AE40" i="34" a="1"/>
  <c r="AE40" i="34" s="1"/>
  <c r="AE41" i="34" a="1"/>
  <c r="AE41" i="34" s="1"/>
  <c r="AE42" i="34" a="1"/>
  <c r="AE42" i="34" s="1"/>
  <c r="AE43" i="34" a="1"/>
  <c r="AE43" i="34" s="1"/>
  <c r="AE44" i="34" a="1"/>
  <c r="AE44" i="34" s="1"/>
  <c r="AE45" i="34" a="1"/>
  <c r="AE45" i="34" s="1"/>
  <c r="AE46" i="34" a="1"/>
  <c r="AE46" i="34" s="1"/>
  <c r="AE47" i="34" a="1"/>
  <c r="AE47" i="34" s="1"/>
  <c r="AE48" i="34" a="1"/>
  <c r="AE48" i="34" s="1"/>
  <c r="AE49" i="34" a="1"/>
  <c r="AE49" i="34" s="1"/>
  <c r="AE50" i="34" a="1"/>
  <c r="AE50" i="34" s="1"/>
  <c r="AE51" i="34" a="1"/>
  <c r="AE51" i="34" s="1"/>
  <c r="AE52" i="34" a="1"/>
  <c r="AE52" i="34" s="1"/>
  <c r="AE53" i="34" a="1"/>
  <c r="AE53" i="34" s="1"/>
  <c r="AE54" i="34" a="1"/>
  <c r="AE54" i="34" s="1"/>
  <c r="AE55" i="34" a="1"/>
  <c r="AE55" i="34" s="1"/>
  <c r="AE56" i="34" a="1"/>
  <c r="AE56" i="34" s="1"/>
  <c r="AE57" i="34" a="1"/>
  <c r="AE57" i="34" s="1"/>
  <c r="AE58" i="34" a="1"/>
  <c r="AE58" i="34" s="1"/>
  <c r="AE59" i="34" a="1"/>
  <c r="AE59" i="34" s="1"/>
  <c r="AE60" i="34" a="1"/>
  <c r="AE60" i="34" s="1"/>
  <c r="AE61" i="34" a="1"/>
  <c r="AE61" i="34" s="1"/>
  <c r="AE62" i="34" a="1"/>
  <c r="AE62" i="34" s="1"/>
  <c r="AE63" i="34" a="1"/>
  <c r="AE63" i="34" s="1"/>
  <c r="AE64" i="34" a="1"/>
  <c r="AE64" i="34" s="1"/>
  <c r="AE65" i="34" a="1"/>
  <c r="AE65" i="34" s="1"/>
  <c r="AE66" i="34" a="1"/>
  <c r="AE66" i="34" s="1"/>
  <c r="AE67" i="34" a="1"/>
  <c r="AE67" i="34" s="1"/>
  <c r="AE68" i="34" a="1"/>
  <c r="AE68" i="34" s="1"/>
  <c r="AE69" i="34" a="1"/>
  <c r="AE69" i="34" s="1"/>
  <c r="AE70" i="34" a="1"/>
  <c r="AE70" i="34" s="1"/>
  <c r="AE71" i="34" a="1"/>
  <c r="AE71" i="34" s="1"/>
  <c r="AE72" i="34" a="1"/>
  <c r="AE72" i="34" s="1"/>
  <c r="AE73" i="34" a="1"/>
  <c r="AE73" i="34" s="1"/>
  <c r="AE74" i="34" a="1"/>
  <c r="AE74" i="34" s="1"/>
  <c r="AE75" i="34" a="1"/>
  <c r="AE75" i="34" s="1"/>
  <c r="AE76" i="34" a="1"/>
  <c r="AE76" i="34" s="1"/>
  <c r="AE77" i="34" a="1"/>
  <c r="AE77" i="34" s="1"/>
  <c r="AE78" i="34" a="1"/>
  <c r="AE78" i="34" s="1"/>
  <c r="AE79" i="34" a="1"/>
  <c r="AE79" i="34" s="1"/>
  <c r="AE80" i="34" a="1"/>
  <c r="AE80" i="34" s="1"/>
  <c r="AE81" i="34" a="1"/>
  <c r="AE81" i="34" s="1"/>
  <c r="AE82" i="34" a="1"/>
  <c r="AE82" i="34" s="1"/>
  <c r="AE83" i="34" a="1"/>
  <c r="AE83" i="34" s="1"/>
  <c r="AE84" i="34" a="1"/>
  <c r="AE84" i="34" s="1"/>
  <c r="AE85" i="34" a="1"/>
  <c r="AE85" i="34" s="1"/>
  <c r="AE86" i="34" a="1"/>
  <c r="AE86" i="34" s="1"/>
  <c r="AE87" i="34" a="1"/>
  <c r="AE87" i="34" s="1"/>
  <c r="AE88" i="34" a="1"/>
  <c r="AE88" i="34" s="1"/>
  <c r="AE89" i="34" a="1"/>
  <c r="AE89" i="34" s="1"/>
  <c r="AE90" i="34" a="1"/>
  <c r="AE90" i="34" s="1"/>
  <c r="AE91" i="34" a="1"/>
  <c r="AE91" i="34" s="1"/>
  <c r="AE92" i="34" a="1"/>
  <c r="AE92" i="34" s="1"/>
  <c r="AE93" i="34" a="1"/>
  <c r="AE93" i="34" s="1"/>
  <c r="AE94" i="34" a="1"/>
  <c r="AE94" i="34" s="1"/>
  <c r="AE95" i="34" a="1"/>
  <c r="AE95" i="34" s="1"/>
  <c r="AE96" i="34" a="1"/>
  <c r="AE96" i="34" s="1"/>
  <c r="AE97" i="34" a="1"/>
  <c r="AE97" i="34" s="1"/>
  <c r="AE98" i="34" a="1"/>
  <c r="AE98" i="34" s="1"/>
  <c r="AE99" i="34" a="1"/>
  <c r="AE99" i="34" s="1"/>
  <c r="AE100" i="34" a="1"/>
  <c r="AE100" i="34" s="1"/>
  <c r="AE101" i="34" a="1"/>
  <c r="AE101" i="34" s="1"/>
  <c r="AE102" i="34" a="1"/>
  <c r="AE102" i="34" s="1"/>
  <c r="AE103" i="34" a="1"/>
  <c r="AE103" i="34" s="1"/>
  <c r="AE104" i="34" a="1"/>
  <c r="AE104" i="34" s="1"/>
  <c r="AE105" i="34" a="1"/>
  <c r="AE105" i="34" s="1"/>
  <c r="AE106" i="34" a="1"/>
  <c r="AE106" i="34" s="1"/>
  <c r="AE107" i="34" a="1"/>
  <c r="AE107" i="34" s="1"/>
  <c r="AE108" i="34" a="1"/>
  <c r="AE108" i="34" s="1"/>
  <c r="AE109" i="34" a="1"/>
  <c r="AE109" i="34" s="1"/>
  <c r="AE110" i="34" a="1"/>
  <c r="AE110" i="34" s="1"/>
  <c r="AE111" i="34" a="1"/>
  <c r="AE111" i="34" s="1"/>
  <c r="AE112" i="34" a="1"/>
  <c r="AE112" i="34" s="1"/>
  <c r="AE113" i="34" a="1"/>
  <c r="AE113" i="34" s="1"/>
  <c r="AE114" i="34" a="1"/>
  <c r="AE114" i="34" s="1"/>
  <c r="AE115" i="34" a="1"/>
  <c r="AE115" i="34" s="1"/>
  <c r="AE116" i="34" a="1"/>
  <c r="AE116" i="34" s="1"/>
  <c r="AE117" i="34" a="1"/>
  <c r="AE117" i="34" s="1"/>
  <c r="AE118" i="34" a="1"/>
  <c r="AE118" i="34" s="1"/>
  <c r="AE119" i="34" a="1"/>
  <c r="AE119" i="34" s="1"/>
  <c r="AE120" i="34" a="1"/>
  <c r="AE120" i="34" s="1"/>
  <c r="AE121" i="34" a="1"/>
  <c r="AE121" i="34" s="1"/>
  <c r="AE122" i="34" a="1"/>
  <c r="AE122" i="34" s="1"/>
  <c r="AE123" i="34" a="1"/>
  <c r="AE123" i="34" s="1"/>
  <c r="AE124" i="34" a="1"/>
  <c r="AE124" i="34" s="1"/>
  <c r="AE125" i="34" a="1"/>
  <c r="AE125" i="34" s="1"/>
  <c r="AE126" i="34" a="1"/>
  <c r="AE126" i="34" s="1"/>
  <c r="AE127" i="34" a="1"/>
  <c r="AE127" i="34" s="1"/>
  <c r="AE128" i="34" a="1"/>
  <c r="AE128" i="34" s="1"/>
  <c r="AE129" i="34" a="1"/>
  <c r="AE129" i="34" s="1"/>
  <c r="AE130" i="34" a="1"/>
  <c r="AE130" i="34" s="1"/>
  <c r="AE131" i="34" a="1"/>
  <c r="AE131" i="34" s="1"/>
  <c r="AE132" i="34" a="1"/>
  <c r="AE132" i="34" s="1"/>
  <c r="AE133" i="34" a="1"/>
  <c r="AE133" i="34" s="1"/>
  <c r="AE134" i="34" a="1"/>
  <c r="AE134" i="34" s="1"/>
  <c r="AE135" i="34" a="1"/>
  <c r="AE135" i="34" s="1"/>
  <c r="AE136" i="34" a="1"/>
  <c r="AE136" i="34" s="1"/>
  <c r="AE137" i="34" a="1"/>
  <c r="AE137" i="34" s="1"/>
  <c r="AE138" i="34" a="1"/>
  <c r="AE138" i="34" s="1"/>
  <c r="AE139" i="34" a="1"/>
  <c r="AE139" i="34" s="1"/>
  <c r="AE140" i="34" a="1"/>
  <c r="AE140" i="34" s="1"/>
  <c r="AE141" i="34" a="1"/>
  <c r="AE141" i="34" s="1"/>
  <c r="AE142" i="34" a="1"/>
  <c r="AE142" i="34" s="1"/>
  <c r="AE143" i="34" a="1"/>
  <c r="AE143" i="34" s="1"/>
  <c r="AE144" i="34" a="1"/>
  <c r="AE144" i="34" s="1"/>
  <c r="AE145" i="34" a="1"/>
  <c r="AE145" i="34" s="1"/>
  <c r="AE146" i="34" a="1"/>
  <c r="AE146" i="34" s="1"/>
  <c r="AE147" i="34" a="1"/>
  <c r="AE147" i="34" s="1"/>
  <c r="AE148" i="34" a="1"/>
  <c r="AE148" i="34" s="1"/>
  <c r="AE149" i="34" a="1"/>
  <c r="AE149" i="34" s="1"/>
  <c r="AE150" i="34" a="1"/>
  <c r="AE150" i="34" s="1"/>
  <c r="AE151" i="34" a="1"/>
  <c r="AE151" i="34" s="1"/>
  <c r="AE152" i="34" a="1"/>
  <c r="AE152" i="34" s="1"/>
  <c r="AE153" i="34" a="1"/>
  <c r="AE153" i="34" s="1"/>
  <c r="AE154" i="34" a="1"/>
  <c r="AE154" i="34" s="1"/>
  <c r="AE155" i="34" a="1"/>
  <c r="AE155" i="34" s="1"/>
  <c r="AE156" i="34" a="1"/>
  <c r="AE156" i="34" s="1"/>
  <c r="AE157" i="34" a="1"/>
  <c r="AE157" i="34" s="1"/>
  <c r="AE158" i="34" a="1"/>
  <c r="AE158" i="34" s="1"/>
  <c r="AE159" i="34" a="1"/>
  <c r="AE159" i="34" s="1"/>
  <c r="AE160" i="34" a="1"/>
  <c r="AE160" i="34" s="1"/>
  <c r="AE161" i="34" a="1"/>
  <c r="AE161" i="34" s="1"/>
  <c r="AE162" i="34" a="1"/>
  <c r="AE162" i="34" s="1"/>
  <c r="AE163" i="34" a="1"/>
  <c r="AE163" i="34" s="1"/>
  <c r="AE164" i="34" a="1"/>
  <c r="AE164" i="34" s="1"/>
  <c r="AE165" i="34" a="1"/>
  <c r="AE165" i="34" s="1"/>
  <c r="AE166" i="34" a="1"/>
  <c r="AE166" i="34" s="1"/>
  <c r="AE167" i="34" a="1"/>
  <c r="AE167" i="34" s="1"/>
  <c r="AE168" i="34" a="1"/>
  <c r="AE168" i="34" s="1"/>
  <c r="AE169" i="34" a="1"/>
  <c r="AE169" i="34" s="1"/>
  <c r="AE170" i="34" a="1"/>
  <c r="AE170" i="34" s="1"/>
  <c r="AE171" i="34" a="1"/>
  <c r="AE171" i="34" s="1"/>
  <c r="AE172" i="34" a="1"/>
  <c r="AE172" i="34" s="1"/>
  <c r="AE173" i="34" a="1"/>
  <c r="AE173" i="34" s="1"/>
  <c r="AE174" i="34" a="1"/>
  <c r="AE174" i="34" s="1"/>
  <c r="AE175" i="34" a="1"/>
  <c r="AE175" i="34" s="1"/>
  <c r="AE176" i="34" a="1"/>
  <c r="AE176" i="34" s="1"/>
  <c r="AE177" i="34" a="1"/>
  <c r="AE177" i="34" s="1"/>
  <c r="AE178" i="34" a="1"/>
  <c r="AE178" i="34" s="1"/>
  <c r="AE179" i="34" a="1"/>
  <c r="AE179" i="34" s="1"/>
  <c r="AE180" i="34" a="1"/>
  <c r="AE180" i="34" s="1"/>
  <c r="AE181" i="34" a="1"/>
  <c r="AE181" i="34" s="1"/>
  <c r="AE182" i="34" a="1"/>
  <c r="AE182" i="34" s="1"/>
  <c r="AE183" i="34" a="1"/>
  <c r="AE183" i="34" s="1"/>
  <c r="AE184" i="34" a="1"/>
  <c r="AE184" i="34" s="1"/>
  <c r="AE185" i="34" a="1"/>
  <c r="AE185" i="34" s="1"/>
  <c r="AE186" i="34" a="1"/>
  <c r="AE186" i="34" s="1"/>
  <c r="AE187" i="34" a="1"/>
  <c r="AE187" i="34" s="1"/>
  <c r="AE188" i="34" a="1"/>
  <c r="AE188" i="34" s="1"/>
  <c r="AE189" i="34" a="1"/>
  <c r="AE189" i="34" s="1"/>
  <c r="AE190" i="34" a="1"/>
  <c r="AE190" i="34" s="1"/>
  <c r="AE191" i="34" a="1"/>
  <c r="AE191" i="34" s="1"/>
  <c r="AE192" i="34" a="1"/>
  <c r="AE192" i="34" s="1"/>
  <c r="AE193" i="34" a="1"/>
  <c r="AE193" i="34" s="1"/>
  <c r="AE194" i="34" a="1"/>
  <c r="AE194" i="34" s="1"/>
  <c r="AE195" i="34" a="1"/>
  <c r="AE195" i="34" s="1"/>
  <c r="AE196" i="34" a="1"/>
  <c r="AE196" i="34" s="1"/>
  <c r="AE197" i="34" a="1"/>
  <c r="AE197" i="34" s="1"/>
  <c r="AE198" i="34" a="1"/>
  <c r="AE198" i="34" s="1"/>
  <c r="AE199" i="34" a="1"/>
  <c r="AE199" i="34" s="1"/>
  <c r="AE200" i="34" a="1"/>
  <c r="AE200" i="34" s="1"/>
  <c r="AE201" i="34" a="1"/>
  <c r="AE201" i="34" s="1"/>
  <c r="AE202" i="34" a="1"/>
  <c r="AE202" i="34" s="1"/>
  <c r="AE203" i="34" a="1"/>
  <c r="AE203" i="34" s="1"/>
  <c r="AE204" i="34" a="1"/>
  <c r="AE204" i="34" s="1"/>
  <c r="AE205" i="34" a="1"/>
  <c r="AE205" i="34" s="1"/>
  <c r="AE206" i="34" a="1"/>
  <c r="AE206" i="34" s="1"/>
  <c r="AE207" i="34" a="1"/>
  <c r="AE207" i="34" s="1"/>
  <c r="AE208" i="34" a="1"/>
  <c r="AE208" i="34" s="1"/>
  <c r="AE209" i="34" a="1"/>
  <c r="AE209" i="34" s="1"/>
  <c r="AE210" i="34" a="1"/>
  <c r="AE210" i="34" s="1"/>
  <c r="AE211" i="34" a="1"/>
  <c r="AE211" i="34" s="1"/>
  <c r="AE212" i="34" a="1"/>
  <c r="AE212" i="34" s="1"/>
  <c r="AE213" i="34" a="1"/>
  <c r="AE213" i="34" s="1"/>
  <c r="AE214" i="34" a="1"/>
  <c r="AE214" i="34" s="1"/>
  <c r="AE215" i="34" a="1"/>
  <c r="AE215" i="34" s="1"/>
  <c r="AE216" i="34" a="1"/>
  <c r="AE216" i="34" s="1"/>
  <c r="AE217" i="34" a="1"/>
  <c r="AE217" i="34" s="1"/>
  <c r="AE218" i="34" a="1"/>
  <c r="AE218" i="34" s="1"/>
  <c r="AE219" i="34" a="1"/>
  <c r="AE219" i="34" s="1"/>
  <c r="AE220" i="34" a="1"/>
  <c r="AE220" i="34" s="1"/>
  <c r="AE221" i="34" a="1"/>
  <c r="AE221" i="34" s="1"/>
  <c r="AE222" i="34" a="1"/>
  <c r="AE222" i="34" s="1"/>
  <c r="AE223" i="34" a="1"/>
  <c r="AE223" i="34" s="1"/>
  <c r="AE224" i="34" a="1"/>
  <c r="AE224" i="34" s="1"/>
  <c r="AE225" i="34" a="1"/>
  <c r="AE225" i="34" s="1"/>
  <c r="AE226" i="34" a="1"/>
  <c r="AE226" i="34" s="1"/>
  <c r="AE227" i="34" a="1"/>
  <c r="AE227" i="34" s="1"/>
  <c r="AE228" i="34" a="1"/>
  <c r="AE228" i="34" s="1"/>
  <c r="AE229" i="34" a="1"/>
  <c r="AE229" i="34" s="1"/>
  <c r="AE230" i="34" a="1"/>
  <c r="AE230" i="34" s="1"/>
  <c r="AE231" i="34" a="1"/>
  <c r="AE231" i="34" s="1"/>
  <c r="AE232" i="34" a="1"/>
  <c r="AE232" i="34" s="1"/>
  <c r="AE233" i="34" a="1"/>
  <c r="AE233" i="34" s="1"/>
  <c r="AE234" i="34" a="1"/>
  <c r="AE234" i="34" s="1"/>
  <c r="AE235" i="34" a="1"/>
  <c r="AE235" i="34" s="1"/>
  <c r="AE236" i="34" a="1"/>
  <c r="AE236" i="34" s="1"/>
  <c r="AE237" i="34" a="1"/>
  <c r="AE237" i="34" s="1"/>
  <c r="AE238" i="34" a="1"/>
  <c r="AE238" i="34" s="1"/>
  <c r="AE239" i="34" a="1"/>
  <c r="AE239" i="34" s="1"/>
  <c r="AE240" i="34" a="1"/>
  <c r="AE240" i="34" s="1"/>
  <c r="AE241" i="34" a="1"/>
  <c r="AE241" i="34" s="1"/>
  <c r="AE242" i="34" a="1"/>
  <c r="AE242" i="34" s="1"/>
  <c r="AE243" i="34" a="1"/>
  <c r="AE243" i="34" s="1"/>
  <c r="AE244" i="34" a="1"/>
  <c r="AE244" i="34" s="1"/>
  <c r="AE245" i="34" a="1"/>
  <c r="AE245" i="34" s="1"/>
  <c r="AE246" i="34" a="1"/>
  <c r="AE246" i="34" s="1"/>
  <c r="AE247" i="34" a="1"/>
  <c r="AE247" i="34" s="1"/>
  <c r="AE248" i="34" a="1"/>
  <c r="AE248" i="34" s="1"/>
  <c r="AE249" i="34" a="1"/>
  <c r="AE249" i="34" s="1"/>
  <c r="AE250" i="34" a="1"/>
  <c r="AE250" i="34" s="1"/>
  <c r="AE251" i="34" a="1"/>
  <c r="AE251" i="34" s="1"/>
  <c r="AE252" i="34" a="1"/>
  <c r="AE252" i="34" s="1"/>
  <c r="AE253" i="34" a="1"/>
  <c r="AE253" i="34" s="1"/>
  <c r="AE254" i="34" a="1"/>
  <c r="AE254" i="34" s="1"/>
  <c r="AE255" i="34" a="1"/>
  <c r="AE255" i="34" s="1"/>
  <c r="AE256" i="34" a="1"/>
  <c r="AE256" i="34" s="1"/>
  <c r="AE257" i="34" a="1"/>
  <c r="AE257" i="34" s="1"/>
  <c r="AE258" i="34" a="1"/>
  <c r="AE258" i="34" s="1"/>
  <c r="AE259" i="34" a="1"/>
  <c r="AE259" i="34" s="1"/>
  <c r="AE260" i="34" a="1"/>
  <c r="AE260" i="34" s="1"/>
  <c r="AE261" i="34" a="1"/>
  <c r="AE261" i="34" s="1"/>
  <c r="AE262" i="34" a="1"/>
  <c r="AE262" i="34" s="1"/>
  <c r="AE263" i="34" a="1"/>
  <c r="AE263" i="34" s="1"/>
  <c r="AE264" i="34" a="1"/>
  <c r="AE264" i="34" s="1"/>
  <c r="AE265" i="34" a="1"/>
  <c r="AE265" i="34" s="1"/>
  <c r="AE266" i="34" a="1"/>
  <c r="AE266" i="34" s="1"/>
  <c r="AE267" i="34" a="1"/>
  <c r="AE267" i="34" s="1"/>
  <c r="AE268" i="34" a="1"/>
  <c r="AE268" i="34" s="1"/>
  <c r="AE269" i="34" a="1"/>
  <c r="AE269" i="34" s="1"/>
  <c r="AE270" i="34" a="1"/>
  <c r="AE270" i="34" s="1"/>
  <c r="AE271" i="34" a="1"/>
  <c r="AE271" i="34" s="1"/>
  <c r="AE272" i="34" a="1"/>
  <c r="AE272" i="34" s="1"/>
  <c r="AE273" i="34" a="1"/>
  <c r="AE273" i="34" s="1"/>
  <c r="AE274" i="34" a="1"/>
  <c r="AE274" i="34" s="1"/>
  <c r="AE275" i="34" a="1"/>
  <c r="AE275" i="34" s="1"/>
  <c r="AE276" i="34" a="1"/>
  <c r="AE276" i="34" s="1"/>
  <c r="AE277" i="34" a="1"/>
  <c r="AE277" i="34" s="1"/>
  <c r="AE278" i="34" a="1"/>
  <c r="AE278" i="34" s="1"/>
  <c r="AE279" i="34" a="1"/>
  <c r="AE279" i="34" s="1"/>
  <c r="AE280" i="34" a="1"/>
  <c r="AE280" i="34" s="1"/>
  <c r="AE281" i="34" a="1"/>
  <c r="AE281" i="34" s="1"/>
  <c r="AE282" i="34" a="1"/>
  <c r="AE282" i="34" s="1"/>
  <c r="AE283" i="34" a="1"/>
  <c r="AE283" i="34" s="1"/>
  <c r="AE284" i="34" a="1"/>
  <c r="AE284" i="34" s="1"/>
  <c r="AE285" i="34" a="1"/>
  <c r="AE285" i="34" s="1"/>
  <c r="AE286" i="34" a="1"/>
  <c r="AE286" i="34" s="1"/>
  <c r="AE287" i="34" a="1"/>
  <c r="AE287" i="34" s="1"/>
  <c r="AE288" i="34" a="1"/>
  <c r="AE288" i="34" s="1"/>
  <c r="AE289" i="34" a="1"/>
  <c r="AE289" i="34" s="1"/>
  <c r="AE290" i="34" a="1"/>
  <c r="AE290" i="34" s="1"/>
  <c r="AE291" i="34" a="1"/>
  <c r="AE291" i="34" s="1"/>
  <c r="AE292" i="34" a="1"/>
  <c r="AE292" i="34" s="1"/>
  <c r="AE293" i="34" a="1"/>
  <c r="AE293" i="34" s="1"/>
  <c r="AE294" i="34" a="1"/>
  <c r="AE294" i="34" s="1"/>
  <c r="AE295" i="34" a="1"/>
  <c r="AE295" i="34" s="1"/>
  <c r="AE296" i="34" a="1"/>
  <c r="AE296" i="34" s="1"/>
  <c r="AE297" i="34" a="1"/>
  <c r="AE297" i="34" s="1"/>
  <c r="AE298" i="34" a="1"/>
  <c r="AE298" i="34" s="1"/>
  <c r="AE299" i="34" a="1"/>
  <c r="AE299" i="34" s="1"/>
  <c r="AE300" i="34" a="1"/>
  <c r="AE300" i="34" s="1"/>
  <c r="AE301" i="34" a="1"/>
  <c r="AE301" i="34" s="1"/>
  <c r="AE302" i="34" a="1"/>
  <c r="AE302" i="34" s="1"/>
  <c r="AE303" i="34" a="1"/>
  <c r="AE303" i="34" s="1"/>
  <c r="AE304" i="34" a="1"/>
  <c r="AE304" i="34" s="1"/>
  <c r="AE305" i="34" a="1"/>
  <c r="AE305" i="34" s="1"/>
  <c r="AE306" i="34" a="1"/>
  <c r="AE306" i="34" s="1"/>
  <c r="AE307" i="34" a="1"/>
  <c r="AE307" i="34" s="1"/>
  <c r="AE308" i="34" a="1"/>
  <c r="AE308" i="34" s="1"/>
  <c r="AE309" i="34" a="1"/>
  <c r="AE309" i="34" s="1"/>
  <c r="AE310" i="34" a="1"/>
  <c r="AE310" i="34" s="1"/>
  <c r="AE311" i="34" a="1"/>
  <c r="AE311" i="34" s="1"/>
  <c r="AE312" i="34" a="1"/>
  <c r="AE312" i="34" s="1"/>
  <c r="AE313" i="34" a="1"/>
  <c r="AE313" i="34" s="1"/>
  <c r="AE314" i="34" a="1"/>
  <c r="AE314" i="34" s="1"/>
  <c r="AE315" i="34" a="1"/>
  <c r="AE315" i="34" s="1"/>
  <c r="AE316" i="34" a="1"/>
  <c r="AE316" i="34" s="1"/>
  <c r="AE317" i="34" a="1"/>
  <c r="AE317" i="34" s="1"/>
  <c r="AE318" i="34" a="1"/>
  <c r="AE318" i="34" s="1"/>
  <c r="AE319" i="34" a="1"/>
  <c r="AE319" i="34" s="1"/>
  <c r="AE320" i="34" a="1"/>
  <c r="AE320" i="34" s="1"/>
  <c r="AE321" i="34" a="1"/>
  <c r="AE321" i="34" s="1"/>
  <c r="AE322" i="34" a="1"/>
  <c r="AE322" i="34" s="1"/>
  <c r="AE323" i="34" a="1"/>
  <c r="AE323" i="34" s="1"/>
  <c r="AE324" i="34" a="1"/>
  <c r="AE324" i="34" s="1"/>
  <c r="AE325" i="34" a="1"/>
  <c r="AE325" i="34" s="1"/>
  <c r="AE326" i="34" a="1"/>
  <c r="AE326" i="34" s="1"/>
  <c r="AE327" i="34" a="1"/>
  <c r="AE327" i="34" s="1"/>
  <c r="AE328" i="34" a="1"/>
  <c r="AE328" i="34" s="1"/>
  <c r="AE329" i="34" a="1"/>
  <c r="AE329" i="34" s="1"/>
  <c r="AE330" i="34" a="1"/>
  <c r="AE330" i="34" s="1"/>
  <c r="AE331" i="34" a="1"/>
  <c r="AE331" i="34" s="1"/>
  <c r="AE332" i="34" a="1"/>
  <c r="AE332" i="34" s="1"/>
  <c r="AE333" i="34" a="1"/>
  <c r="AE333" i="34" s="1"/>
  <c r="AE334" i="34" a="1"/>
  <c r="AE334" i="34" s="1"/>
  <c r="AE335" i="34" a="1"/>
  <c r="AE335" i="34" s="1"/>
  <c r="AE336" i="34" a="1"/>
  <c r="AE336" i="34" s="1"/>
  <c r="AE337" i="34" a="1"/>
  <c r="AE337" i="34" s="1"/>
  <c r="AE338" i="34" a="1"/>
  <c r="AE338" i="34" s="1"/>
  <c r="AE339" i="34" a="1"/>
  <c r="AE339" i="34" s="1"/>
  <c r="AE340" i="34" a="1"/>
  <c r="AE340" i="34" s="1"/>
  <c r="AE341" i="34" a="1"/>
  <c r="AE341" i="34" s="1"/>
  <c r="AE342" i="34" a="1"/>
  <c r="AE342" i="34" s="1"/>
  <c r="AE343" i="34" a="1"/>
  <c r="AE343" i="34" s="1"/>
  <c r="AE344" i="34" a="1"/>
  <c r="AE344" i="34" s="1"/>
  <c r="AE345" i="34" a="1"/>
  <c r="AE345" i="34" s="1"/>
  <c r="AE346" i="34" a="1"/>
  <c r="AE346" i="34" s="1"/>
  <c r="AE347" i="34" a="1"/>
  <c r="AE347" i="34" s="1"/>
  <c r="AE348" i="34" a="1"/>
  <c r="AE348" i="34" s="1"/>
  <c r="AE349" i="34" a="1"/>
  <c r="AE349" i="34" s="1"/>
  <c r="AE350" i="34" a="1"/>
  <c r="AE350" i="34" s="1"/>
  <c r="AE351" i="34" a="1"/>
  <c r="AE351" i="34" s="1"/>
  <c r="AE352" i="34" a="1"/>
  <c r="AE352" i="34" s="1"/>
  <c r="AE353" i="34" a="1"/>
  <c r="AE353" i="34" s="1"/>
  <c r="AE354" i="34" a="1"/>
  <c r="AE354" i="34" s="1"/>
  <c r="AE355" i="34" a="1"/>
  <c r="AE355" i="34" s="1"/>
  <c r="AE356" i="34" a="1"/>
  <c r="AE356" i="34" s="1"/>
  <c r="AE357" i="34" a="1"/>
  <c r="AE357" i="34" s="1"/>
  <c r="AE358" i="34" a="1"/>
  <c r="AE358" i="34" s="1"/>
  <c r="AE359" i="34" a="1"/>
  <c r="AE359" i="34" s="1"/>
  <c r="AE360" i="34" a="1"/>
  <c r="AE360" i="34" s="1"/>
  <c r="AE361" i="34" a="1"/>
  <c r="AE361" i="34" s="1"/>
  <c r="AE362" i="34" a="1"/>
  <c r="AE362" i="34" s="1"/>
  <c r="AE363" i="34" a="1"/>
  <c r="AE363" i="34" s="1"/>
  <c r="AE364" i="34" a="1"/>
  <c r="AE364" i="34" s="1"/>
  <c r="AE365" i="34" a="1"/>
  <c r="AE365" i="34" s="1"/>
  <c r="AE366" i="34" a="1"/>
  <c r="AE366" i="34" s="1"/>
  <c r="AE367" i="34" a="1"/>
  <c r="AE367" i="34" s="1"/>
  <c r="AE368" i="34" a="1"/>
  <c r="AE368" i="34" s="1"/>
  <c r="AE369" i="34" a="1"/>
  <c r="AE369" i="34" s="1"/>
  <c r="AE370" i="34" a="1"/>
  <c r="AE370" i="34" s="1"/>
  <c r="AE371" i="34" a="1"/>
  <c r="AE371" i="34" s="1"/>
  <c r="AE372" i="34" a="1"/>
  <c r="AE372" i="34" s="1"/>
  <c r="AE373" i="34" a="1"/>
  <c r="AE373" i="34" s="1"/>
  <c r="AE374" i="34" a="1"/>
  <c r="AE374" i="34" s="1"/>
  <c r="AE375" i="34" a="1"/>
  <c r="AE375" i="34" s="1"/>
  <c r="AE376" i="34" a="1"/>
  <c r="AE376" i="34" s="1"/>
  <c r="AE377" i="34" a="1"/>
  <c r="AE377" i="34" s="1"/>
  <c r="AE378" i="34" a="1"/>
  <c r="AE378" i="34" s="1"/>
  <c r="AE379" i="34" a="1"/>
  <c r="AE379" i="34" s="1"/>
  <c r="AE380" i="34" a="1"/>
  <c r="AE380" i="34" s="1"/>
  <c r="AE381" i="34" a="1"/>
  <c r="AE381" i="34" s="1"/>
  <c r="AE382" i="34" a="1"/>
  <c r="AE382" i="34" s="1"/>
  <c r="AE383" i="34" a="1"/>
  <c r="AE383" i="34" s="1"/>
  <c r="AE384" i="34" a="1"/>
  <c r="AE384" i="34" s="1"/>
  <c r="AE385" i="34" a="1"/>
  <c r="AE385" i="34" s="1"/>
  <c r="AE386" i="34" a="1"/>
  <c r="AE386" i="34" s="1"/>
  <c r="AE387" i="34" a="1"/>
  <c r="AE387" i="34" s="1"/>
  <c r="AE388" i="34" a="1"/>
  <c r="AE388" i="34" s="1"/>
  <c r="AE389" i="34" a="1"/>
  <c r="AE389" i="34" s="1"/>
  <c r="AE390" i="34" a="1"/>
  <c r="AE390" i="34" s="1"/>
  <c r="AE391" i="34" a="1"/>
  <c r="AE391" i="34" s="1"/>
  <c r="AE392" i="34" a="1"/>
  <c r="AE392" i="34" s="1"/>
  <c r="AE393" i="34" a="1"/>
  <c r="AE393" i="34" s="1"/>
  <c r="AE394" i="34" a="1"/>
  <c r="AE394" i="34" s="1"/>
  <c r="AE395" i="34" a="1"/>
  <c r="AE395" i="34" s="1"/>
  <c r="AE396" i="34" a="1"/>
  <c r="AE396" i="34" s="1"/>
  <c r="AE397" i="34" a="1"/>
  <c r="AE397" i="34" s="1"/>
  <c r="AE398" i="34" a="1"/>
  <c r="AE398" i="34" s="1"/>
  <c r="AE399" i="34" a="1"/>
  <c r="AE399" i="34" s="1"/>
  <c r="AE400" i="34" a="1"/>
  <c r="AE400" i="34" s="1"/>
  <c r="AE401" i="34" a="1"/>
  <c r="AE401" i="34" s="1"/>
  <c r="AE402" i="34" a="1"/>
  <c r="AE402" i="34" s="1"/>
  <c r="AE403" i="34" a="1"/>
  <c r="AE403" i="34" s="1"/>
  <c r="AE404" i="34" a="1"/>
  <c r="AE404" i="34" s="1"/>
  <c r="AE405" i="34" a="1"/>
  <c r="AE405" i="34" s="1"/>
  <c r="AE406" i="34" a="1"/>
  <c r="AE406" i="34" s="1"/>
  <c r="AE407" i="34" a="1"/>
  <c r="AE407" i="34" s="1"/>
  <c r="AE408" i="34" a="1"/>
  <c r="AE408" i="34" s="1"/>
  <c r="AE409" i="34" a="1"/>
  <c r="AE409" i="34" s="1"/>
  <c r="AE410" i="34" a="1"/>
  <c r="AE410" i="34" s="1"/>
  <c r="AE411" i="34" a="1"/>
  <c r="AE411" i="34" s="1"/>
  <c r="AE412" i="34" a="1"/>
  <c r="AE412" i="34" s="1"/>
  <c r="AE413" i="34" a="1"/>
  <c r="AE413" i="34" s="1"/>
  <c r="AE414" i="34" a="1"/>
  <c r="AE414" i="34" s="1"/>
  <c r="AE415" i="34" a="1"/>
  <c r="AE415" i="34" s="1"/>
  <c r="AE416" i="34" a="1"/>
  <c r="AE416" i="34" s="1"/>
  <c r="AE417" i="34" a="1"/>
  <c r="AE417" i="34" s="1"/>
  <c r="AE418" i="34" a="1"/>
  <c r="AE418" i="34" s="1"/>
  <c r="AE419" i="34" a="1"/>
  <c r="AE419" i="34" s="1"/>
  <c r="AE420" i="34" a="1"/>
  <c r="AE420" i="34" s="1"/>
  <c r="AE421" i="34" a="1"/>
  <c r="AE421" i="34" s="1"/>
  <c r="AE422" i="34" a="1"/>
  <c r="AE422" i="34" s="1"/>
  <c r="AE423" i="34" a="1"/>
  <c r="AE423" i="34" s="1"/>
  <c r="AE424" i="34" a="1"/>
  <c r="AE424" i="34" s="1"/>
  <c r="AE425" i="34" a="1"/>
  <c r="AE425" i="34" s="1"/>
  <c r="AE426" i="34" a="1"/>
  <c r="AE426" i="34" s="1"/>
  <c r="AE427" i="34" a="1"/>
  <c r="AE427" i="34" s="1"/>
  <c r="AE428" i="34" a="1"/>
  <c r="AE428" i="34" s="1"/>
  <c r="AE429" i="34" a="1"/>
  <c r="AE429" i="34" s="1"/>
  <c r="AE430" i="34" a="1"/>
  <c r="AE430" i="34" s="1"/>
  <c r="AE431" i="34" a="1"/>
  <c r="AE431" i="34" s="1"/>
  <c r="AE432" i="34" a="1"/>
  <c r="AE432" i="34" s="1"/>
  <c r="AE433" i="34" a="1"/>
  <c r="AE433" i="34" s="1"/>
  <c r="AE434" i="34" a="1"/>
  <c r="AE434" i="34" s="1"/>
  <c r="AE435" i="34" a="1"/>
  <c r="AE435" i="34" s="1"/>
  <c r="AE436" i="34" a="1"/>
  <c r="AE436" i="34" s="1"/>
  <c r="AE437" i="34" a="1"/>
  <c r="AE437" i="34" s="1"/>
  <c r="AE438" i="34" a="1"/>
  <c r="AE438" i="34" s="1"/>
  <c r="AE439" i="34" a="1"/>
  <c r="AE439" i="34" s="1"/>
  <c r="AE440" i="34" a="1"/>
  <c r="AE440" i="34" s="1"/>
  <c r="AE441" i="34" a="1"/>
  <c r="AE441" i="34" s="1"/>
  <c r="AE442" i="34" a="1"/>
  <c r="AE442" i="34" s="1"/>
  <c r="AE443" i="34" a="1"/>
  <c r="AE443" i="34" s="1"/>
  <c r="AE444" i="34" a="1"/>
  <c r="AE444" i="34" s="1"/>
  <c r="AE445" i="34" a="1"/>
  <c r="AE445" i="34" s="1"/>
  <c r="AE446" i="34" a="1"/>
  <c r="AE446" i="34" s="1"/>
  <c r="AE447" i="34" a="1"/>
  <c r="AE447" i="34" s="1"/>
  <c r="AE448" i="34" a="1"/>
  <c r="AE448" i="34" s="1"/>
  <c r="AE449" i="34" a="1"/>
  <c r="AE449" i="34" s="1"/>
  <c r="AE450" i="34" a="1"/>
  <c r="AE450" i="34" s="1"/>
  <c r="AE451" i="34" a="1"/>
  <c r="AE451" i="34" s="1"/>
  <c r="AE452" i="34" a="1"/>
  <c r="AE452" i="34" s="1"/>
  <c r="AE453" i="34" a="1"/>
  <c r="AE453" i="34" s="1"/>
  <c r="AE454" i="34" a="1"/>
  <c r="AE454" i="34" s="1"/>
  <c r="AE455" i="34" a="1"/>
  <c r="AE455" i="34" s="1"/>
  <c r="AE456" i="34" a="1"/>
  <c r="AE456" i="34" s="1"/>
  <c r="AE457" i="34" a="1"/>
  <c r="AE457" i="34" s="1"/>
  <c r="AE458" i="34" a="1"/>
  <c r="AE458" i="34" s="1"/>
  <c r="AE459" i="34" a="1"/>
  <c r="AE459" i="34" s="1"/>
  <c r="AE460" i="34" a="1"/>
  <c r="AE460" i="34" s="1"/>
  <c r="AE461" i="34" a="1"/>
  <c r="AE461" i="34" s="1"/>
  <c r="AE462" i="34" a="1"/>
  <c r="AE462" i="34" s="1"/>
  <c r="AE463" i="34" a="1"/>
  <c r="AE463" i="34" s="1"/>
  <c r="AE464" i="34" a="1"/>
  <c r="AE464" i="34" s="1"/>
  <c r="AE465" i="34" a="1"/>
  <c r="AE465" i="34" s="1"/>
  <c r="AE466" i="34" a="1"/>
  <c r="AE466" i="34" s="1"/>
  <c r="AE467" i="34" a="1"/>
  <c r="AE467" i="34" s="1"/>
  <c r="AE468" i="34" a="1"/>
  <c r="AE468" i="34" s="1"/>
  <c r="AE469" i="34" a="1"/>
  <c r="AE469" i="34" s="1"/>
  <c r="AE470" i="34" a="1"/>
  <c r="AE470" i="34" s="1"/>
  <c r="AE471" i="34" a="1"/>
  <c r="AE471" i="34" s="1"/>
  <c r="AE472" i="34" a="1"/>
  <c r="AE472" i="34" s="1"/>
  <c r="AE473" i="34" a="1"/>
  <c r="AE473" i="34" s="1"/>
  <c r="AE474" i="34" a="1"/>
  <c r="AE474" i="34" s="1"/>
  <c r="AE475" i="34" a="1"/>
  <c r="AE475" i="34" s="1"/>
  <c r="AE476" i="34" a="1"/>
  <c r="AE476" i="34" s="1"/>
  <c r="AE477" i="34" a="1"/>
  <c r="AE477" i="34" s="1"/>
  <c r="AE478" i="34" a="1"/>
  <c r="AE478" i="34" s="1"/>
  <c r="AE479" i="34" a="1"/>
  <c r="AE479" i="34" s="1"/>
  <c r="AE480" i="34" a="1"/>
  <c r="AE480" i="34" s="1"/>
  <c r="AE481" i="34" a="1"/>
  <c r="AE481" i="34" s="1"/>
  <c r="AE482" i="34" a="1"/>
  <c r="AE482" i="34" s="1"/>
  <c r="AE483" i="34" a="1"/>
  <c r="AE483" i="34" s="1"/>
  <c r="AE484" i="34" a="1"/>
  <c r="AE484" i="34" s="1"/>
  <c r="AE485" i="34" a="1"/>
  <c r="AE485" i="34" s="1"/>
  <c r="AE486" i="34" a="1"/>
  <c r="AE486" i="34" s="1"/>
  <c r="AE487" i="34" a="1"/>
  <c r="AE487" i="34" s="1"/>
  <c r="AE488" i="34" a="1"/>
  <c r="AE488" i="34" s="1"/>
  <c r="AE490" i="34" a="1"/>
  <c r="AE490" i="34" s="1"/>
  <c r="AE491" i="34" a="1"/>
  <c r="AE491" i="34" s="1"/>
  <c r="AE492" i="34" a="1"/>
  <c r="AE492" i="34" s="1"/>
  <c r="AE493" i="34" a="1"/>
  <c r="AE493" i="34" s="1"/>
  <c r="AE494" i="34" a="1"/>
  <c r="AE494" i="34" s="1"/>
  <c r="AE495" i="34" a="1"/>
  <c r="AE495" i="34" s="1"/>
  <c r="AE496" i="34" a="1"/>
  <c r="AE496" i="34" s="1"/>
  <c r="AE497" i="34" a="1"/>
  <c r="AE497" i="34" s="1"/>
  <c r="AE499" i="34" a="1"/>
  <c r="AE499" i="34" s="1"/>
  <c r="AE500" i="34" a="1"/>
  <c r="AE500" i="34" s="1"/>
  <c r="AE501" i="34" a="1"/>
  <c r="AE501" i="34" s="1"/>
  <c r="AE502" i="34" a="1"/>
  <c r="AE502" i="34" s="1"/>
  <c r="AE503" i="34" a="1"/>
  <c r="AE503" i="34" s="1"/>
  <c r="AE504" i="34" a="1"/>
  <c r="AE504" i="34" s="1"/>
  <c r="AE505" i="34" a="1"/>
  <c r="AE505" i="34" s="1"/>
  <c r="AE506" i="34" a="1"/>
  <c r="AE506" i="34" s="1"/>
  <c r="AE507" i="34" a="1"/>
  <c r="AE507" i="34" s="1"/>
  <c r="AE508" i="34" a="1"/>
  <c r="AE508" i="34" s="1"/>
  <c r="AE509" i="34" a="1"/>
  <c r="AE509" i="34" s="1"/>
  <c r="AE510" i="34" a="1"/>
  <c r="AE510" i="34" s="1"/>
  <c r="AE512" i="34" a="1"/>
  <c r="AE512" i="34" s="1"/>
  <c r="AE513" i="34" a="1"/>
  <c r="AE513" i="34" s="1"/>
  <c r="AE515" i="34" a="1"/>
  <c r="AE515" i="34" s="1"/>
  <c r="AE517" i="34" a="1"/>
  <c r="AE517" i="34" s="1"/>
  <c r="AA3" i="34" a="1"/>
  <c r="AA3" i="34" s="1"/>
  <c r="AA4" i="34" a="1"/>
  <c r="AA4" i="34" s="1"/>
  <c r="AA5" i="34" a="1"/>
  <c r="AA5" i="34" s="1"/>
  <c r="AA6" i="34" a="1"/>
  <c r="AA6" i="34" s="1"/>
  <c r="AA7" i="34" a="1"/>
  <c r="AA7" i="34" s="1"/>
  <c r="AA8" i="34" a="1"/>
  <c r="AA8" i="34" s="1"/>
  <c r="AA9" i="34" a="1"/>
  <c r="AA9" i="34" s="1"/>
  <c r="AA10" i="34" a="1"/>
  <c r="AA10" i="34" s="1"/>
  <c r="AA11" i="34" a="1"/>
  <c r="AA11" i="34" s="1"/>
  <c r="AA12" i="34" a="1"/>
  <c r="AA12" i="34" s="1"/>
  <c r="AA13" i="34" a="1"/>
  <c r="AA13" i="34" s="1"/>
  <c r="AA14" i="34" a="1"/>
  <c r="AA14" i="34" s="1"/>
  <c r="AA15" i="34" a="1"/>
  <c r="AA15" i="34" s="1"/>
  <c r="AA16" i="34" a="1"/>
  <c r="AA16" i="34" s="1"/>
  <c r="AA17" i="34" a="1"/>
  <c r="AA17" i="34" s="1"/>
  <c r="AA18" i="34" a="1"/>
  <c r="AA18" i="34" s="1"/>
  <c r="AA19" i="34" a="1"/>
  <c r="AA19" i="34" s="1"/>
  <c r="AA20" i="34" a="1"/>
  <c r="AA20" i="34" s="1"/>
  <c r="AA21" i="34" a="1"/>
  <c r="AA21" i="34" s="1"/>
  <c r="AA22" i="34" a="1"/>
  <c r="AA22" i="34" s="1"/>
  <c r="AA23" i="34" a="1"/>
  <c r="AA23" i="34" s="1"/>
  <c r="AA24" i="34" a="1"/>
  <c r="AA24" i="34" s="1"/>
  <c r="AA25" i="34" a="1"/>
  <c r="AA25" i="34" s="1"/>
  <c r="AA26" i="34" a="1"/>
  <c r="AA26" i="34" s="1"/>
  <c r="AA27" i="34" a="1"/>
  <c r="AA27" i="34" s="1"/>
  <c r="AA28" i="34" a="1"/>
  <c r="AA28" i="34" s="1"/>
  <c r="AA29" i="34" a="1"/>
  <c r="AA29" i="34" s="1"/>
  <c r="AA30" i="34" a="1"/>
  <c r="AA30" i="34" s="1"/>
  <c r="AA31" i="34" a="1"/>
  <c r="AA31" i="34" s="1"/>
  <c r="AA32" i="34" a="1"/>
  <c r="AA32" i="34" s="1"/>
  <c r="AA33" i="34" a="1"/>
  <c r="AA33" i="34" s="1"/>
  <c r="AA34" i="34" a="1"/>
  <c r="AA34" i="34" s="1"/>
  <c r="AA35" i="34" a="1"/>
  <c r="AA35" i="34" s="1"/>
  <c r="AA36" i="34" a="1"/>
  <c r="AA36" i="34" s="1"/>
  <c r="AA37" i="34" a="1"/>
  <c r="AA37" i="34" s="1"/>
  <c r="AA38" i="34" a="1"/>
  <c r="AA38" i="34" s="1"/>
  <c r="AA39" i="34" a="1"/>
  <c r="AA39" i="34" s="1"/>
  <c r="AA40" i="34" a="1"/>
  <c r="AA40" i="34" s="1"/>
  <c r="AA41" i="34" a="1"/>
  <c r="AA41" i="34" s="1"/>
  <c r="AA42" i="34" a="1"/>
  <c r="AA42" i="34" s="1"/>
  <c r="AA43" i="34" a="1"/>
  <c r="AA43" i="34" s="1"/>
  <c r="AA44" i="34" a="1"/>
  <c r="AA44" i="34" s="1"/>
  <c r="AA45" i="34" a="1"/>
  <c r="AA45" i="34" s="1"/>
  <c r="AA46" i="34" a="1"/>
  <c r="AA46" i="34" s="1"/>
  <c r="AA47" i="34" a="1"/>
  <c r="AA47" i="34" s="1"/>
  <c r="AA48" i="34" a="1"/>
  <c r="AA48" i="34" s="1"/>
  <c r="AA49" i="34" a="1"/>
  <c r="AA49" i="34" s="1"/>
  <c r="AA50" i="34" a="1"/>
  <c r="AA50" i="34" s="1"/>
  <c r="AA51" i="34" a="1"/>
  <c r="AA51" i="34" s="1"/>
  <c r="AA52" i="34" a="1"/>
  <c r="AA52" i="34" s="1"/>
  <c r="AA53" i="34" a="1"/>
  <c r="AA53" i="34" s="1"/>
  <c r="AA54" i="34" a="1"/>
  <c r="AA54" i="34" s="1"/>
  <c r="AA55" i="34" a="1"/>
  <c r="AA55" i="34" s="1"/>
  <c r="AA56" i="34" a="1"/>
  <c r="AA56" i="34" s="1"/>
  <c r="AA57" i="34" a="1"/>
  <c r="AA57" i="34" s="1"/>
  <c r="AA58" i="34" a="1"/>
  <c r="AA58" i="34" s="1"/>
  <c r="AA59" i="34" a="1"/>
  <c r="AA59" i="34" s="1"/>
  <c r="AA60" i="34" a="1"/>
  <c r="AA60" i="34" s="1"/>
  <c r="AA61" i="34" a="1"/>
  <c r="AA61" i="34" s="1"/>
  <c r="AA62" i="34" a="1"/>
  <c r="AA62" i="34" s="1"/>
  <c r="AA63" i="34" a="1"/>
  <c r="AA63" i="34" s="1"/>
  <c r="AA64" i="34" a="1"/>
  <c r="AA64" i="34" s="1"/>
  <c r="AA65" i="34" a="1"/>
  <c r="AA65" i="34" s="1"/>
  <c r="AA66" i="34" a="1"/>
  <c r="AA66" i="34" s="1"/>
  <c r="AA67" i="34" a="1"/>
  <c r="AA67" i="34" s="1"/>
  <c r="AA68" i="34" a="1"/>
  <c r="AA68" i="34" s="1"/>
  <c r="AA69" i="34" a="1"/>
  <c r="AA69" i="34" s="1"/>
  <c r="AA70" i="34" a="1"/>
  <c r="AA70" i="34" s="1"/>
  <c r="AA71" i="34" a="1"/>
  <c r="AA71" i="34" s="1"/>
  <c r="AA72" i="34" a="1"/>
  <c r="AA72" i="34" s="1"/>
  <c r="AA73" i="34" a="1"/>
  <c r="AA73" i="34" s="1"/>
  <c r="AA74" i="34" a="1"/>
  <c r="AA74" i="34" s="1"/>
  <c r="AA75" i="34" a="1"/>
  <c r="AA75" i="34" s="1"/>
  <c r="AA76" i="34" a="1"/>
  <c r="AA76" i="34" s="1"/>
  <c r="AA77" i="34" a="1"/>
  <c r="AA77" i="34" s="1"/>
  <c r="AA78" i="34" a="1"/>
  <c r="AA78" i="34" s="1"/>
  <c r="AA79" i="34" a="1"/>
  <c r="AA79" i="34" s="1"/>
  <c r="AA80" i="34" a="1"/>
  <c r="AA80" i="34" s="1"/>
  <c r="AA81" i="34" a="1"/>
  <c r="AA81" i="34" s="1"/>
  <c r="AA82" i="34" a="1"/>
  <c r="AA82" i="34" s="1"/>
  <c r="AA83" i="34" a="1"/>
  <c r="AA83" i="34" s="1"/>
  <c r="AA84" i="34" a="1"/>
  <c r="AA84" i="34" s="1"/>
  <c r="AA85" i="34" a="1"/>
  <c r="AA85" i="34" s="1"/>
  <c r="AA86" i="34" a="1"/>
  <c r="AA86" i="34" s="1"/>
  <c r="AA87" i="34" a="1"/>
  <c r="AA87" i="34" s="1"/>
  <c r="AA88" i="34" a="1"/>
  <c r="AA88" i="34" s="1"/>
  <c r="AA89" i="34" a="1"/>
  <c r="AA89" i="34" s="1"/>
  <c r="AA90" i="34" a="1"/>
  <c r="AA90" i="34" s="1"/>
  <c r="AA91" i="34" a="1"/>
  <c r="AA91" i="34" s="1"/>
  <c r="AA92" i="34" a="1"/>
  <c r="AA92" i="34" s="1"/>
  <c r="AA93" i="34" a="1"/>
  <c r="AA93" i="34" s="1"/>
  <c r="AA94" i="34" a="1"/>
  <c r="AA94" i="34" s="1"/>
  <c r="AA95" i="34" a="1"/>
  <c r="AA95" i="34" s="1"/>
  <c r="AA96" i="34" a="1"/>
  <c r="AA96" i="34" s="1"/>
  <c r="AA97" i="34" a="1"/>
  <c r="AA97" i="34" s="1"/>
  <c r="AA98" i="34" a="1"/>
  <c r="AA98" i="34" s="1"/>
  <c r="AA99" i="34" a="1"/>
  <c r="AA99" i="34" s="1"/>
  <c r="AA100" i="34" a="1"/>
  <c r="AA100" i="34" s="1"/>
  <c r="AA101" i="34" a="1"/>
  <c r="AA101" i="34" s="1"/>
  <c r="AA102" i="34" a="1"/>
  <c r="AA102" i="34" s="1"/>
  <c r="AA103" i="34" a="1"/>
  <c r="AA103" i="34" s="1"/>
  <c r="AA104" i="34" a="1"/>
  <c r="AA104" i="34" s="1"/>
  <c r="AA105" i="34" a="1"/>
  <c r="AA105" i="34" s="1"/>
  <c r="AA106" i="34" a="1"/>
  <c r="AA106" i="34" s="1"/>
  <c r="AA107" i="34" a="1"/>
  <c r="AA107" i="34" s="1"/>
  <c r="AA108" i="34" a="1"/>
  <c r="AA108" i="34" s="1"/>
  <c r="AA109" i="34" a="1"/>
  <c r="AA109" i="34" s="1"/>
  <c r="AA110" i="34" a="1"/>
  <c r="AA110" i="34" s="1"/>
  <c r="AA111" i="34" a="1"/>
  <c r="AA111" i="34" s="1"/>
  <c r="AA112" i="34" a="1"/>
  <c r="AA112" i="34" s="1"/>
  <c r="AA113" i="34" a="1"/>
  <c r="AA113" i="34" s="1"/>
  <c r="AA114" i="34" a="1"/>
  <c r="AA114" i="34" s="1"/>
  <c r="AA115" i="34" a="1"/>
  <c r="AA115" i="34" s="1"/>
  <c r="AA116" i="34" a="1"/>
  <c r="AA116" i="34" s="1"/>
  <c r="AA117" i="34" a="1"/>
  <c r="AA117" i="34" s="1"/>
  <c r="AA118" i="34" a="1"/>
  <c r="AA118" i="34" s="1"/>
  <c r="AA119" i="34" a="1"/>
  <c r="AA119" i="34" s="1"/>
  <c r="AA120" i="34" a="1"/>
  <c r="AA120" i="34" s="1"/>
  <c r="AA121" i="34" a="1"/>
  <c r="AA121" i="34" s="1"/>
  <c r="AA122" i="34" a="1"/>
  <c r="AA122" i="34" s="1"/>
  <c r="AA123" i="34" a="1"/>
  <c r="AA123" i="34" s="1"/>
  <c r="AA124" i="34" a="1"/>
  <c r="AA124" i="34" s="1"/>
  <c r="AA125" i="34" a="1"/>
  <c r="AA125" i="34" s="1"/>
  <c r="AA126" i="34" a="1"/>
  <c r="AA126" i="34" s="1"/>
  <c r="AA127" i="34" a="1"/>
  <c r="AA127" i="34" s="1"/>
  <c r="AA128" i="34" a="1"/>
  <c r="AA128" i="34" s="1"/>
  <c r="AA129" i="34" a="1"/>
  <c r="AA129" i="34" s="1"/>
  <c r="AA130" i="34" a="1"/>
  <c r="AA130" i="34" s="1"/>
  <c r="AA131" i="34" a="1"/>
  <c r="AA131" i="34" s="1"/>
  <c r="AA132" i="34" a="1"/>
  <c r="AA132" i="34" s="1"/>
  <c r="AA133" i="34" a="1"/>
  <c r="AA133" i="34" s="1"/>
  <c r="AA134" i="34" a="1"/>
  <c r="AA134" i="34" s="1"/>
  <c r="AA135" i="34" a="1"/>
  <c r="AA135" i="34" s="1"/>
  <c r="AA136" i="34" a="1"/>
  <c r="AA136" i="34" s="1"/>
  <c r="AA137" i="34" a="1"/>
  <c r="AA137" i="34" s="1"/>
  <c r="AA138" i="34" a="1"/>
  <c r="AA138" i="34" s="1"/>
  <c r="AA139" i="34" a="1"/>
  <c r="AA139" i="34" s="1"/>
  <c r="AA140" i="34" a="1"/>
  <c r="AA140" i="34" s="1"/>
  <c r="AA141" i="34" a="1"/>
  <c r="AA141" i="34" s="1"/>
  <c r="AA142" i="34" a="1"/>
  <c r="AA142" i="34" s="1"/>
  <c r="AA143" i="34" a="1"/>
  <c r="AA143" i="34" s="1"/>
  <c r="AA144" i="34" a="1"/>
  <c r="AA144" i="34" s="1"/>
  <c r="AA145" i="34" a="1"/>
  <c r="AA145" i="34" s="1"/>
  <c r="AA146" i="34" a="1"/>
  <c r="AA146" i="34" s="1"/>
  <c r="AA147" i="34" a="1"/>
  <c r="AA147" i="34" s="1"/>
  <c r="AA148" i="34" a="1"/>
  <c r="AA148" i="34" s="1"/>
  <c r="AA149" i="34" a="1"/>
  <c r="AA149" i="34" s="1"/>
  <c r="AA150" i="34" a="1"/>
  <c r="AA150" i="34" s="1"/>
  <c r="AA151" i="34" a="1"/>
  <c r="AA151" i="34" s="1"/>
  <c r="AA152" i="34" a="1"/>
  <c r="AA152" i="34" s="1"/>
  <c r="AA153" i="34" a="1"/>
  <c r="AA153" i="34" s="1"/>
  <c r="AA154" i="34" a="1"/>
  <c r="AA154" i="34" s="1"/>
  <c r="AA155" i="34" a="1"/>
  <c r="AA155" i="34" s="1"/>
  <c r="AA156" i="34" a="1"/>
  <c r="AA156" i="34" s="1"/>
  <c r="AA157" i="34" a="1"/>
  <c r="AA157" i="34" s="1"/>
  <c r="AA158" i="34" a="1"/>
  <c r="AA158" i="34" s="1"/>
  <c r="AA159" i="34" a="1"/>
  <c r="AA159" i="34" s="1"/>
  <c r="AA160" i="34" a="1"/>
  <c r="AA160" i="34" s="1"/>
  <c r="AA161" i="34" a="1"/>
  <c r="AA161" i="34" s="1"/>
  <c r="AA162" i="34" a="1"/>
  <c r="AA162" i="34" s="1"/>
  <c r="AA163" i="34" a="1"/>
  <c r="AA163" i="34" s="1"/>
  <c r="AA164" i="34" a="1"/>
  <c r="AA164" i="34" s="1"/>
  <c r="AA165" i="34" a="1"/>
  <c r="AA165" i="34" s="1"/>
  <c r="AA166" i="34" a="1"/>
  <c r="AA166" i="34" s="1"/>
  <c r="AA167" i="34" a="1"/>
  <c r="AA167" i="34" s="1"/>
  <c r="AA168" i="34" a="1"/>
  <c r="AA168" i="34" s="1"/>
  <c r="AA169" i="34" a="1"/>
  <c r="AA169" i="34" s="1"/>
  <c r="AA170" i="34" a="1"/>
  <c r="AA170" i="34" s="1"/>
  <c r="AA171" i="34" a="1"/>
  <c r="AA171" i="34" s="1"/>
  <c r="AA172" i="34" a="1"/>
  <c r="AA172" i="34" s="1"/>
  <c r="AA173" i="34" a="1"/>
  <c r="AA173" i="34" s="1"/>
  <c r="AA174" i="34" a="1"/>
  <c r="AA174" i="34" s="1"/>
  <c r="AA175" i="34" a="1"/>
  <c r="AA175" i="34" s="1"/>
  <c r="AA176" i="34" a="1"/>
  <c r="AA176" i="34" s="1"/>
  <c r="AA177" i="34" a="1"/>
  <c r="AA177" i="34" s="1"/>
  <c r="AA178" i="34" a="1"/>
  <c r="AA178" i="34" s="1"/>
  <c r="AA179" i="34" a="1"/>
  <c r="AA179" i="34" s="1"/>
  <c r="AA180" i="34" a="1"/>
  <c r="AA180" i="34" s="1"/>
  <c r="AA181" i="34" a="1"/>
  <c r="AA181" i="34" s="1"/>
  <c r="AA182" i="34" a="1"/>
  <c r="AA182" i="34" s="1"/>
  <c r="AA183" i="34" a="1"/>
  <c r="AA183" i="34" s="1"/>
  <c r="AA184" i="34" a="1"/>
  <c r="AA184" i="34" s="1"/>
  <c r="AA185" i="34" a="1"/>
  <c r="AA185" i="34" s="1"/>
  <c r="AA186" i="34" a="1"/>
  <c r="AA186" i="34" s="1"/>
  <c r="AA187" i="34" a="1"/>
  <c r="AA187" i="34" s="1"/>
  <c r="AA188" i="34" a="1"/>
  <c r="AA188" i="34" s="1"/>
  <c r="AA189" i="34" a="1"/>
  <c r="AA189" i="34" s="1"/>
  <c r="AA190" i="34" a="1"/>
  <c r="AA190" i="34" s="1"/>
  <c r="AA191" i="34" a="1"/>
  <c r="AA191" i="34" s="1"/>
  <c r="AA192" i="34" a="1"/>
  <c r="AA192" i="34" s="1"/>
  <c r="AA193" i="34" a="1"/>
  <c r="AA193" i="34" s="1"/>
  <c r="AA194" i="34" a="1"/>
  <c r="AA194" i="34" s="1"/>
  <c r="AA195" i="34" a="1"/>
  <c r="AA195" i="34" s="1"/>
  <c r="AA196" i="34" a="1"/>
  <c r="AA196" i="34" s="1"/>
  <c r="AA197" i="34" a="1"/>
  <c r="AA197" i="34" s="1"/>
  <c r="AA198" i="34" a="1"/>
  <c r="AA198" i="34" s="1"/>
  <c r="AA199" i="34" a="1"/>
  <c r="AA199" i="34" s="1"/>
  <c r="AA200" i="34" a="1"/>
  <c r="AA200" i="34" s="1"/>
  <c r="AA201" i="34" a="1"/>
  <c r="AA201" i="34" s="1"/>
  <c r="AA202" i="34" a="1"/>
  <c r="AA202" i="34" s="1"/>
  <c r="AA203" i="34" a="1"/>
  <c r="AA203" i="34" s="1"/>
  <c r="AA204" i="34" a="1"/>
  <c r="AA204" i="34" s="1"/>
  <c r="AA205" i="34" a="1"/>
  <c r="AA205" i="34" s="1"/>
  <c r="AA206" i="34" a="1"/>
  <c r="AA206" i="34" s="1"/>
  <c r="AA207" i="34" a="1"/>
  <c r="AA207" i="34" s="1"/>
  <c r="AA208" i="34" a="1"/>
  <c r="AA208" i="34" s="1"/>
  <c r="AA209" i="34" a="1"/>
  <c r="AA209" i="34" s="1"/>
  <c r="AA210" i="34" a="1"/>
  <c r="AA210" i="34" s="1"/>
  <c r="AA211" i="34" a="1"/>
  <c r="AA211" i="34" s="1"/>
  <c r="AA212" i="34" a="1"/>
  <c r="AA212" i="34" s="1"/>
  <c r="AA213" i="34" a="1"/>
  <c r="AA213" i="34" s="1"/>
  <c r="AA214" i="34" a="1"/>
  <c r="AA214" i="34" s="1"/>
  <c r="AA215" i="34" a="1"/>
  <c r="AA215" i="34" s="1"/>
  <c r="AA216" i="34" a="1"/>
  <c r="AA216" i="34" s="1"/>
  <c r="AA217" i="34" a="1"/>
  <c r="AA217" i="34" s="1"/>
  <c r="AA218" i="34" a="1"/>
  <c r="AA218" i="34" s="1"/>
  <c r="AA219" i="34" a="1"/>
  <c r="AA219" i="34" s="1"/>
  <c r="AA220" i="34" a="1"/>
  <c r="AA220" i="34" s="1"/>
  <c r="AA221" i="34" a="1"/>
  <c r="AA221" i="34" s="1"/>
  <c r="AA222" i="34" a="1"/>
  <c r="AA222" i="34" s="1"/>
  <c r="AA223" i="34" a="1"/>
  <c r="AA223" i="34" s="1"/>
  <c r="AA224" i="34" a="1"/>
  <c r="AA224" i="34" s="1"/>
  <c r="AA225" i="34" a="1"/>
  <c r="AA225" i="34" s="1"/>
  <c r="AA226" i="34" a="1"/>
  <c r="AA226" i="34" s="1"/>
  <c r="AA227" i="34" a="1"/>
  <c r="AA227" i="34" s="1"/>
  <c r="AA228" i="34" a="1"/>
  <c r="AA228" i="34" s="1"/>
  <c r="AA229" i="34" a="1"/>
  <c r="AA229" i="34" s="1"/>
  <c r="AA230" i="34" a="1"/>
  <c r="AA230" i="34" s="1"/>
  <c r="AA231" i="34" a="1"/>
  <c r="AA231" i="34" s="1"/>
  <c r="AA232" i="34" a="1"/>
  <c r="AA232" i="34" s="1"/>
  <c r="AA233" i="34" a="1"/>
  <c r="AA233" i="34" s="1"/>
  <c r="AA234" i="34" a="1"/>
  <c r="AA234" i="34" s="1"/>
  <c r="AA235" i="34" a="1"/>
  <c r="AA235" i="34" s="1"/>
  <c r="AA236" i="34" a="1"/>
  <c r="AA236" i="34" s="1"/>
  <c r="AA237" i="34" a="1"/>
  <c r="AA237" i="34" s="1"/>
  <c r="AA238" i="34" a="1"/>
  <c r="AA238" i="34" s="1"/>
  <c r="AA239" i="34" a="1"/>
  <c r="AA239" i="34" s="1"/>
  <c r="AA240" i="34" a="1"/>
  <c r="AA240" i="34" s="1"/>
  <c r="AA241" i="34" a="1"/>
  <c r="AA241" i="34" s="1"/>
  <c r="AA242" i="34" a="1"/>
  <c r="AA242" i="34" s="1"/>
  <c r="AA243" i="34" a="1"/>
  <c r="AA243" i="34" s="1"/>
  <c r="AA244" i="34" a="1"/>
  <c r="AA244" i="34" s="1"/>
  <c r="AA245" i="34" a="1"/>
  <c r="AA245" i="34" s="1"/>
  <c r="AA246" i="34" a="1"/>
  <c r="AA246" i="34" s="1"/>
  <c r="AA247" i="34" a="1"/>
  <c r="AA247" i="34" s="1"/>
  <c r="AA248" i="34" a="1"/>
  <c r="AA248" i="34" s="1"/>
  <c r="AA249" i="34" a="1"/>
  <c r="AA249" i="34" s="1"/>
  <c r="AA250" i="34" a="1"/>
  <c r="AA250" i="34" s="1"/>
  <c r="AA251" i="34" a="1"/>
  <c r="AA251" i="34" s="1"/>
  <c r="AA252" i="34" a="1"/>
  <c r="AA252" i="34" s="1"/>
  <c r="AA253" i="34" a="1"/>
  <c r="AA253" i="34" s="1"/>
  <c r="AA254" i="34" a="1"/>
  <c r="AA254" i="34" s="1"/>
  <c r="AA255" i="34" a="1"/>
  <c r="AA255" i="34" s="1"/>
  <c r="AA256" i="34" a="1"/>
  <c r="AA256" i="34" s="1"/>
  <c r="AA257" i="34" a="1"/>
  <c r="AA257" i="34" s="1"/>
  <c r="AA258" i="34" a="1"/>
  <c r="AA258" i="34" s="1"/>
  <c r="AA259" i="34" a="1"/>
  <c r="AA259" i="34" s="1"/>
  <c r="AA260" i="34" a="1"/>
  <c r="AA260" i="34" s="1"/>
  <c r="AA261" i="34" a="1"/>
  <c r="AA261" i="34" s="1"/>
  <c r="AA262" i="34" a="1"/>
  <c r="AA262" i="34" s="1"/>
  <c r="AA263" i="34" a="1"/>
  <c r="AA263" i="34" s="1"/>
  <c r="AA264" i="34" a="1"/>
  <c r="AA264" i="34" s="1"/>
  <c r="AA265" i="34" a="1"/>
  <c r="AA265" i="34" s="1"/>
  <c r="AA266" i="34" a="1"/>
  <c r="AA266" i="34" s="1"/>
  <c r="AA267" i="34" a="1"/>
  <c r="AA267" i="34" s="1"/>
  <c r="AA268" i="34" a="1"/>
  <c r="AA268" i="34" s="1"/>
  <c r="AA269" i="34" a="1"/>
  <c r="AA269" i="34" s="1"/>
  <c r="AA270" i="34" a="1"/>
  <c r="AA270" i="34" s="1"/>
  <c r="AA271" i="34" a="1"/>
  <c r="AA271" i="34" s="1"/>
  <c r="AA272" i="34" a="1"/>
  <c r="AA272" i="34" s="1"/>
  <c r="AA273" i="34" a="1"/>
  <c r="AA273" i="34" s="1"/>
  <c r="AA274" i="34" a="1"/>
  <c r="AA274" i="34" s="1"/>
  <c r="AA275" i="34" a="1"/>
  <c r="AA275" i="34" s="1"/>
  <c r="AA276" i="34" a="1"/>
  <c r="AA276" i="34" s="1"/>
  <c r="AA277" i="34" a="1"/>
  <c r="AA277" i="34" s="1"/>
  <c r="AA278" i="34" a="1"/>
  <c r="AA278" i="34" s="1"/>
  <c r="AA279" i="34" a="1"/>
  <c r="AA279" i="34" s="1"/>
  <c r="AA280" i="34" a="1"/>
  <c r="AA280" i="34" s="1"/>
  <c r="AA281" i="34" a="1"/>
  <c r="AA281" i="34" s="1"/>
  <c r="AA282" i="34" a="1"/>
  <c r="AA282" i="34" s="1"/>
  <c r="AA283" i="34" a="1"/>
  <c r="AA283" i="34" s="1"/>
  <c r="AA284" i="34" a="1"/>
  <c r="AA284" i="34" s="1"/>
  <c r="AA285" i="34" a="1"/>
  <c r="AA285" i="34" s="1"/>
  <c r="AA286" i="34" a="1"/>
  <c r="AA286" i="34" s="1"/>
  <c r="AA287" i="34" a="1"/>
  <c r="AA287" i="34" s="1"/>
  <c r="AA288" i="34" a="1"/>
  <c r="AA288" i="34" s="1"/>
  <c r="AA289" i="34" a="1"/>
  <c r="AA289" i="34" s="1"/>
  <c r="AA290" i="34" a="1"/>
  <c r="AA290" i="34" s="1"/>
  <c r="AA291" i="34" a="1"/>
  <c r="AA291" i="34" s="1"/>
  <c r="AA292" i="34" a="1"/>
  <c r="AA292" i="34" s="1"/>
  <c r="AA293" i="34" a="1"/>
  <c r="AA293" i="34" s="1"/>
  <c r="AA294" i="34" a="1"/>
  <c r="AA294" i="34" s="1"/>
  <c r="AA295" i="34" a="1"/>
  <c r="AA295" i="34" s="1"/>
  <c r="AA296" i="34" a="1"/>
  <c r="AA296" i="34" s="1"/>
  <c r="AA297" i="34" a="1"/>
  <c r="AA297" i="34" s="1"/>
  <c r="AA298" i="34" a="1"/>
  <c r="AA298" i="34" s="1"/>
  <c r="AA299" i="34" a="1"/>
  <c r="AA299" i="34" s="1"/>
  <c r="AA300" i="34" a="1"/>
  <c r="AA300" i="34" s="1"/>
  <c r="AA301" i="34" a="1"/>
  <c r="AA301" i="34" s="1"/>
  <c r="AA302" i="34" a="1"/>
  <c r="AA302" i="34" s="1"/>
  <c r="AA303" i="34" a="1"/>
  <c r="AA303" i="34" s="1"/>
  <c r="AA304" i="34" a="1"/>
  <c r="AA304" i="34" s="1"/>
  <c r="AA305" i="34" a="1"/>
  <c r="AA305" i="34" s="1"/>
  <c r="AA306" i="34" a="1"/>
  <c r="AA306" i="34" s="1"/>
  <c r="AA307" i="34" a="1"/>
  <c r="AA307" i="34" s="1"/>
  <c r="AA308" i="34" a="1"/>
  <c r="AA308" i="34" s="1"/>
  <c r="AA309" i="34" a="1"/>
  <c r="AA309" i="34" s="1"/>
  <c r="AA310" i="34" a="1"/>
  <c r="AA310" i="34" s="1"/>
  <c r="AA311" i="34" a="1"/>
  <c r="AA311" i="34" s="1"/>
  <c r="AA312" i="34" a="1"/>
  <c r="AA312" i="34" s="1"/>
  <c r="AA313" i="34" a="1"/>
  <c r="AA313" i="34" s="1"/>
  <c r="AA314" i="34" a="1"/>
  <c r="AA314" i="34" s="1"/>
  <c r="AA315" i="34" a="1"/>
  <c r="AA315" i="34" s="1"/>
  <c r="AA316" i="34" a="1"/>
  <c r="AA316" i="34" s="1"/>
  <c r="AA317" i="34" a="1"/>
  <c r="AA317" i="34" s="1"/>
  <c r="AA318" i="34" a="1"/>
  <c r="AA318" i="34" s="1"/>
  <c r="AA319" i="34" a="1"/>
  <c r="AA319" i="34" s="1"/>
  <c r="AA320" i="34" a="1"/>
  <c r="AA320" i="34" s="1"/>
  <c r="AA321" i="34" a="1"/>
  <c r="AA321" i="34" s="1"/>
  <c r="AA322" i="34" a="1"/>
  <c r="AA322" i="34" s="1"/>
  <c r="AA323" i="34" a="1"/>
  <c r="AA323" i="34" s="1"/>
  <c r="AA324" i="34" a="1"/>
  <c r="AA324" i="34" s="1"/>
  <c r="AA325" i="34" a="1"/>
  <c r="AA325" i="34" s="1"/>
  <c r="AA326" i="34" a="1"/>
  <c r="AA326" i="34" s="1"/>
  <c r="AA327" i="34" a="1"/>
  <c r="AA327" i="34" s="1"/>
  <c r="AA328" i="34" a="1"/>
  <c r="AA328" i="34" s="1"/>
  <c r="AA329" i="34" a="1"/>
  <c r="AA329" i="34" s="1"/>
  <c r="AA330" i="34" a="1"/>
  <c r="AA330" i="34" s="1"/>
  <c r="AA331" i="34" a="1"/>
  <c r="AA331" i="34" s="1"/>
  <c r="AA332" i="34" a="1"/>
  <c r="AA332" i="34" s="1"/>
  <c r="AA333" i="34" a="1"/>
  <c r="AA333" i="34" s="1"/>
  <c r="AA334" i="34" a="1"/>
  <c r="AA334" i="34" s="1"/>
  <c r="AA335" i="34" a="1"/>
  <c r="AA335" i="34" s="1"/>
  <c r="AA336" i="34" a="1"/>
  <c r="AA336" i="34" s="1"/>
  <c r="AA337" i="34" a="1"/>
  <c r="AA337" i="34" s="1"/>
  <c r="AA338" i="34" a="1"/>
  <c r="AA338" i="34" s="1"/>
  <c r="AA339" i="34" a="1"/>
  <c r="AA339" i="34" s="1"/>
  <c r="AA340" i="34" a="1"/>
  <c r="AA340" i="34" s="1"/>
  <c r="AA341" i="34" a="1"/>
  <c r="AA341" i="34" s="1"/>
  <c r="AA342" i="34" a="1"/>
  <c r="AA342" i="34" s="1"/>
  <c r="AA343" i="34" a="1"/>
  <c r="AA343" i="34" s="1"/>
  <c r="AA344" i="34" a="1"/>
  <c r="AA344" i="34" s="1"/>
  <c r="AA345" i="34" a="1"/>
  <c r="AA345" i="34" s="1"/>
  <c r="AA346" i="34" a="1"/>
  <c r="AA346" i="34" s="1"/>
  <c r="AA347" i="34" a="1"/>
  <c r="AA347" i="34" s="1"/>
  <c r="AA348" i="34" a="1"/>
  <c r="AA348" i="34" s="1"/>
  <c r="AA349" i="34" a="1"/>
  <c r="AA349" i="34" s="1"/>
  <c r="AA350" i="34" a="1"/>
  <c r="AA350" i="34" s="1"/>
  <c r="AA351" i="34" a="1"/>
  <c r="AA351" i="34" s="1"/>
  <c r="AA352" i="34" a="1"/>
  <c r="AA352" i="34" s="1"/>
  <c r="AA353" i="34" a="1"/>
  <c r="AA353" i="34" s="1"/>
  <c r="AA354" i="34" a="1"/>
  <c r="AA354" i="34" s="1"/>
  <c r="AA355" i="34" a="1"/>
  <c r="AA355" i="34" s="1"/>
  <c r="AA356" i="34" a="1"/>
  <c r="AA356" i="34" s="1"/>
  <c r="AA357" i="34" a="1"/>
  <c r="AA357" i="34" s="1"/>
  <c r="AA358" i="34" a="1"/>
  <c r="AA358" i="34" s="1"/>
  <c r="AA359" i="34" a="1"/>
  <c r="AA359" i="34" s="1"/>
  <c r="AA360" i="34" a="1"/>
  <c r="AA360" i="34" s="1"/>
  <c r="AA361" i="34" a="1"/>
  <c r="AA361" i="34" s="1"/>
  <c r="AA362" i="34" a="1"/>
  <c r="AA362" i="34" s="1"/>
  <c r="AA363" i="34" a="1"/>
  <c r="AA363" i="34" s="1"/>
  <c r="AA364" i="34" a="1"/>
  <c r="AA364" i="34" s="1"/>
  <c r="AA365" i="34" a="1"/>
  <c r="AA365" i="34" s="1"/>
  <c r="AA366" i="34" a="1"/>
  <c r="AA366" i="34" s="1"/>
  <c r="AA367" i="34" a="1"/>
  <c r="AA367" i="34" s="1"/>
  <c r="AA368" i="34" a="1"/>
  <c r="AA368" i="34" s="1"/>
  <c r="AA369" i="34" a="1"/>
  <c r="AA369" i="34" s="1"/>
  <c r="AA370" i="34" a="1"/>
  <c r="AA370" i="34" s="1"/>
  <c r="AA371" i="34" a="1"/>
  <c r="AA371" i="34" s="1"/>
  <c r="AA372" i="34" a="1"/>
  <c r="AA372" i="34" s="1"/>
  <c r="AA373" i="34" a="1"/>
  <c r="AA373" i="34" s="1"/>
  <c r="AA374" i="34" a="1"/>
  <c r="AA374" i="34" s="1"/>
  <c r="AA375" i="34" a="1"/>
  <c r="AA375" i="34" s="1"/>
  <c r="AA376" i="34" a="1"/>
  <c r="AA376" i="34" s="1"/>
  <c r="AA377" i="34" a="1"/>
  <c r="AA377" i="34" s="1"/>
  <c r="AA378" i="34" a="1"/>
  <c r="AA378" i="34" s="1"/>
  <c r="AA379" i="34" a="1"/>
  <c r="AA379" i="34" s="1"/>
  <c r="AA380" i="34" a="1"/>
  <c r="AA380" i="34" s="1"/>
  <c r="AA381" i="34" a="1"/>
  <c r="AA381" i="34" s="1"/>
  <c r="AA382" i="34" a="1"/>
  <c r="AA382" i="34" s="1"/>
  <c r="AA383" i="34" a="1"/>
  <c r="AA383" i="34" s="1"/>
  <c r="AA384" i="34" a="1"/>
  <c r="AA384" i="34" s="1"/>
  <c r="AA385" i="34" a="1"/>
  <c r="AA385" i="34" s="1"/>
  <c r="AA386" i="34" a="1"/>
  <c r="AA386" i="34" s="1"/>
  <c r="AA387" i="34" a="1"/>
  <c r="AA387" i="34" s="1"/>
  <c r="AA388" i="34" a="1"/>
  <c r="AA388" i="34" s="1"/>
  <c r="AA389" i="34" a="1"/>
  <c r="AA389" i="34" s="1"/>
  <c r="AA390" i="34" a="1"/>
  <c r="AA390" i="34" s="1"/>
  <c r="AA391" i="34" a="1"/>
  <c r="AA391" i="34" s="1"/>
  <c r="AA392" i="34" a="1"/>
  <c r="AA392" i="34" s="1"/>
  <c r="AA393" i="34" a="1"/>
  <c r="AA393" i="34" s="1"/>
  <c r="AA394" i="34" a="1"/>
  <c r="AA394" i="34" s="1"/>
  <c r="AA395" i="34" a="1"/>
  <c r="AA395" i="34" s="1"/>
  <c r="AA396" i="34" a="1"/>
  <c r="AA396" i="34" s="1"/>
  <c r="AA397" i="34" a="1"/>
  <c r="AA397" i="34" s="1"/>
  <c r="AA398" i="34" a="1"/>
  <c r="AA398" i="34" s="1"/>
  <c r="AA399" i="34" a="1"/>
  <c r="AA399" i="34" s="1"/>
  <c r="AA400" i="34" a="1"/>
  <c r="AA400" i="34" s="1"/>
  <c r="AA401" i="34" a="1"/>
  <c r="AA401" i="34" s="1"/>
  <c r="AA402" i="34" a="1"/>
  <c r="AA402" i="34" s="1"/>
  <c r="AA403" i="34" a="1"/>
  <c r="AA403" i="34" s="1"/>
  <c r="AA404" i="34" a="1"/>
  <c r="AA404" i="34" s="1"/>
  <c r="AA405" i="34" a="1"/>
  <c r="AA405" i="34" s="1"/>
  <c r="AA406" i="34" a="1"/>
  <c r="AA406" i="34" s="1"/>
  <c r="AA407" i="34" a="1"/>
  <c r="AA407" i="34" s="1"/>
  <c r="AA408" i="34" a="1"/>
  <c r="AA408" i="34" s="1"/>
  <c r="AA409" i="34" a="1"/>
  <c r="AA409" i="34" s="1"/>
  <c r="AA410" i="34" a="1"/>
  <c r="AA410" i="34" s="1"/>
  <c r="AA411" i="34" a="1"/>
  <c r="AA411" i="34" s="1"/>
  <c r="AA412" i="34" a="1"/>
  <c r="AA412" i="34" s="1"/>
  <c r="AA413" i="34" a="1"/>
  <c r="AA413" i="34" s="1"/>
  <c r="AA414" i="34" a="1"/>
  <c r="AA414" i="34" s="1"/>
  <c r="AA415" i="34" a="1"/>
  <c r="AA415" i="34" s="1"/>
  <c r="AA416" i="34" a="1"/>
  <c r="AA416" i="34" s="1"/>
  <c r="AA417" i="34" a="1"/>
  <c r="AA417" i="34" s="1"/>
  <c r="AA418" i="34" a="1"/>
  <c r="AA418" i="34" s="1"/>
  <c r="AA419" i="34" a="1"/>
  <c r="AA419" i="34" s="1"/>
  <c r="AA420" i="34" a="1"/>
  <c r="AA420" i="34" s="1"/>
  <c r="AA421" i="34" a="1"/>
  <c r="AA421" i="34" s="1"/>
  <c r="AA422" i="34" a="1"/>
  <c r="AA422" i="34" s="1"/>
  <c r="AA423" i="34" a="1"/>
  <c r="AA423" i="34" s="1"/>
  <c r="AA424" i="34" a="1"/>
  <c r="AA424" i="34" s="1"/>
  <c r="AA425" i="34" a="1"/>
  <c r="AA425" i="34" s="1"/>
  <c r="AA426" i="34" a="1"/>
  <c r="AA426" i="34" s="1"/>
  <c r="AA427" i="34" a="1"/>
  <c r="AA427" i="34" s="1"/>
  <c r="AA428" i="34" a="1"/>
  <c r="AA428" i="34" s="1"/>
  <c r="AA429" i="34" a="1"/>
  <c r="AA429" i="34" s="1"/>
  <c r="AA430" i="34" a="1"/>
  <c r="AA430" i="34" s="1"/>
  <c r="AA431" i="34" a="1"/>
  <c r="AA431" i="34" s="1"/>
  <c r="AA432" i="34" a="1"/>
  <c r="AA432" i="34" s="1"/>
  <c r="AA433" i="34" a="1"/>
  <c r="AA433" i="34" s="1"/>
  <c r="AA434" i="34" a="1"/>
  <c r="AA434" i="34" s="1"/>
  <c r="AA435" i="34" a="1"/>
  <c r="AA435" i="34" s="1"/>
  <c r="AA436" i="34" a="1"/>
  <c r="AA436" i="34" s="1"/>
  <c r="AA437" i="34" a="1"/>
  <c r="AA437" i="34" s="1"/>
  <c r="AA438" i="34" a="1"/>
  <c r="AA438" i="34" s="1"/>
  <c r="AA439" i="34" a="1"/>
  <c r="AA439" i="34" s="1"/>
  <c r="AA440" i="34" a="1"/>
  <c r="AA440" i="34" s="1"/>
  <c r="AA441" i="34" a="1"/>
  <c r="AA441" i="34" s="1"/>
  <c r="AA442" i="34" a="1"/>
  <c r="AA442" i="34" s="1"/>
  <c r="AA443" i="34" a="1"/>
  <c r="AA443" i="34" s="1"/>
  <c r="AA444" i="34" a="1"/>
  <c r="AA444" i="34" s="1"/>
  <c r="AA445" i="34" a="1"/>
  <c r="AA445" i="34" s="1"/>
  <c r="AA446" i="34" a="1"/>
  <c r="AA446" i="34" s="1"/>
  <c r="AA447" i="34" a="1"/>
  <c r="AA447" i="34" s="1"/>
  <c r="AA448" i="34" a="1"/>
  <c r="AA448" i="34" s="1"/>
  <c r="AA449" i="34" a="1"/>
  <c r="AA449" i="34" s="1"/>
  <c r="AA450" i="34" a="1"/>
  <c r="AA450" i="34" s="1"/>
  <c r="AA451" i="34" a="1"/>
  <c r="AA451" i="34" s="1"/>
  <c r="AA452" i="34" a="1"/>
  <c r="AA452" i="34" s="1"/>
  <c r="AA453" i="34" a="1"/>
  <c r="AA453" i="34" s="1"/>
  <c r="AA454" i="34" a="1"/>
  <c r="AA454" i="34" s="1"/>
  <c r="AA455" i="34" a="1"/>
  <c r="AA455" i="34" s="1"/>
  <c r="AA456" i="34" a="1"/>
  <c r="AA456" i="34" s="1"/>
  <c r="AA457" i="34" a="1"/>
  <c r="AA457" i="34" s="1"/>
  <c r="AA458" i="34" a="1"/>
  <c r="AA458" i="34" s="1"/>
  <c r="AA459" i="34" a="1"/>
  <c r="AA459" i="34" s="1"/>
  <c r="AA460" i="34" a="1"/>
  <c r="AA460" i="34" s="1"/>
  <c r="AA461" i="34" a="1"/>
  <c r="AA461" i="34" s="1"/>
  <c r="AA462" i="34" a="1"/>
  <c r="AA462" i="34" s="1"/>
  <c r="AA463" i="34" a="1"/>
  <c r="AA463" i="34" s="1"/>
  <c r="AA464" i="34" a="1"/>
  <c r="AA464" i="34" s="1"/>
  <c r="AA465" i="34" a="1"/>
  <c r="AA465" i="34" s="1"/>
  <c r="AA466" i="34" a="1"/>
  <c r="AA466" i="34" s="1"/>
  <c r="AA467" i="34" a="1"/>
  <c r="AA467" i="34" s="1"/>
  <c r="AA468" i="34" a="1"/>
  <c r="AA468" i="34" s="1"/>
  <c r="AA469" i="34" a="1"/>
  <c r="AA469" i="34" s="1"/>
  <c r="AA470" i="34" a="1"/>
  <c r="AA470" i="34" s="1"/>
  <c r="AA471" i="34" a="1"/>
  <c r="AA471" i="34" s="1"/>
  <c r="AA472" i="34" a="1"/>
  <c r="AA472" i="34" s="1"/>
  <c r="AA473" i="34" a="1"/>
  <c r="AA473" i="34" s="1"/>
  <c r="AA474" i="34" a="1"/>
  <c r="AA474" i="34" s="1"/>
  <c r="AA475" i="34" a="1"/>
  <c r="AA475" i="34" s="1"/>
  <c r="AA476" i="34" a="1"/>
  <c r="AA476" i="34" s="1"/>
  <c r="AA477" i="34" a="1"/>
  <c r="AA477" i="34" s="1"/>
  <c r="AA478" i="34" a="1"/>
  <c r="AA478" i="34" s="1"/>
  <c r="AA479" i="34" a="1"/>
  <c r="AA479" i="34" s="1"/>
  <c r="AA480" i="34" a="1"/>
  <c r="AA480" i="34" s="1"/>
  <c r="AA481" i="34" a="1"/>
  <c r="AA481" i="34" s="1"/>
  <c r="AA482" i="34" a="1"/>
  <c r="AA482" i="34" s="1"/>
  <c r="AA483" i="34" a="1"/>
  <c r="AA483" i="34" s="1"/>
  <c r="AA484" i="34" a="1"/>
  <c r="AA484" i="34" s="1"/>
  <c r="AA485" i="34" a="1"/>
  <c r="AA485" i="34" s="1"/>
  <c r="AA486" i="34" a="1"/>
  <c r="AA486" i="34" s="1"/>
  <c r="AA487" i="34" a="1"/>
  <c r="AA487" i="34" s="1"/>
  <c r="AA488" i="34" a="1"/>
  <c r="AA488" i="34" s="1"/>
  <c r="AA490" i="34" a="1"/>
  <c r="AA490" i="34" s="1"/>
  <c r="AA491" i="34" a="1"/>
  <c r="AA491" i="34" s="1"/>
  <c r="AA492" i="34" a="1"/>
  <c r="AA492" i="34" s="1"/>
  <c r="AA493" i="34" a="1"/>
  <c r="AA493" i="34" s="1"/>
  <c r="AA494" i="34" a="1"/>
  <c r="AA494" i="34" s="1"/>
  <c r="AA495" i="34" a="1"/>
  <c r="AA495" i="34" s="1"/>
  <c r="AA496" i="34" a="1"/>
  <c r="AA496" i="34" s="1"/>
  <c r="AA497" i="34" a="1"/>
  <c r="AA497" i="34" s="1"/>
  <c r="AA499" i="34" a="1"/>
  <c r="AA499" i="34" s="1"/>
  <c r="AA500" i="34" a="1"/>
  <c r="AA500" i="34" s="1"/>
  <c r="AA501" i="34" a="1"/>
  <c r="AA501" i="34" s="1"/>
  <c r="AA502" i="34" a="1"/>
  <c r="AA502" i="34" s="1"/>
  <c r="AA503" i="34" a="1"/>
  <c r="AA503" i="34" s="1"/>
  <c r="AA504" i="34" a="1"/>
  <c r="AA504" i="34" s="1"/>
  <c r="AA505" i="34" a="1"/>
  <c r="AA505" i="34" s="1"/>
  <c r="AA506" i="34" a="1"/>
  <c r="AA506" i="34" s="1"/>
  <c r="AA507" i="34" a="1"/>
  <c r="AA507" i="34" s="1"/>
  <c r="AA508" i="34" a="1"/>
  <c r="AA508" i="34" s="1"/>
  <c r="AA509" i="34" a="1"/>
  <c r="AA509" i="34" s="1"/>
  <c r="AA510" i="34" a="1"/>
  <c r="AA510" i="34" s="1"/>
  <c r="AA512" i="34" a="1"/>
  <c r="AA512" i="34" s="1"/>
  <c r="AA513" i="34" a="1"/>
  <c r="AA513" i="34" s="1"/>
  <c r="AA515" i="34" a="1"/>
  <c r="AA515" i="34" s="1"/>
  <c r="AA517" i="34" a="1"/>
  <c r="AA517" i="34" s="1"/>
  <c r="AE2" i="34" a="1"/>
  <c r="AE2" i="34" s="1"/>
  <c r="AA2" i="34" a="1"/>
  <c r="AA2" i="34" s="1"/>
  <c r="J517" i="34" l="1" a="1"/>
  <c r="J517" i="34" s="1"/>
  <c r="J515" i="34" a="1"/>
  <c r="J515" i="34" s="1"/>
  <c r="J513" i="34" a="1"/>
  <c r="J513" i="34" s="1"/>
  <c r="J512" i="34" a="1"/>
  <c r="J512" i="34" s="1"/>
  <c r="J510" i="34" a="1"/>
  <c r="J510" i="34" s="1"/>
  <c r="J509" i="34" a="1"/>
  <c r="J509" i="34" s="1"/>
  <c r="J508" i="34" a="1"/>
  <c r="J508" i="34" s="1"/>
  <c r="J507" i="34" a="1"/>
  <c r="J507" i="34" s="1"/>
  <c r="J506" i="34" a="1"/>
  <c r="J506" i="34" s="1"/>
  <c r="J505" i="34" a="1"/>
  <c r="J505" i="34" s="1"/>
  <c r="J504" i="34" a="1"/>
  <c r="J504" i="34" s="1"/>
  <c r="J503" i="34" a="1"/>
  <c r="J503" i="34" s="1"/>
  <c r="J502" i="34" a="1"/>
  <c r="J502" i="34" s="1"/>
  <c r="J501" i="34" a="1"/>
  <c r="J501" i="34" s="1"/>
  <c r="J500" i="34" a="1"/>
  <c r="J500" i="34" s="1"/>
  <c r="J499" i="34" a="1"/>
  <c r="J499" i="34" s="1"/>
  <c r="J497" i="34" a="1"/>
  <c r="J497" i="34" s="1"/>
  <c r="J496" i="34" a="1"/>
  <c r="J496" i="34" s="1"/>
  <c r="J495" i="34" a="1"/>
  <c r="J495" i="34" s="1"/>
  <c r="J494" i="34" a="1"/>
  <c r="J494" i="34" s="1"/>
  <c r="J493" i="34" a="1"/>
  <c r="J493" i="34" s="1"/>
  <c r="J492" i="34" a="1"/>
  <c r="J492" i="34" s="1"/>
  <c r="J491" i="34" a="1"/>
  <c r="J491" i="34" s="1"/>
  <c r="J490" i="34" a="1"/>
  <c r="J490" i="34" s="1"/>
  <c r="J488" i="34" a="1"/>
  <c r="J488" i="34" s="1"/>
  <c r="J487" i="34" a="1"/>
  <c r="J487" i="34" s="1"/>
  <c r="J486" i="34" a="1"/>
  <c r="J486" i="34" s="1"/>
  <c r="J485" i="34" a="1"/>
  <c r="J485" i="34" s="1"/>
  <c r="J484" i="34" a="1"/>
  <c r="J484" i="34" s="1"/>
  <c r="J483" i="34" a="1"/>
  <c r="J483" i="34" s="1"/>
  <c r="J482" i="34" a="1"/>
  <c r="J482" i="34" s="1"/>
  <c r="J481" i="34" a="1"/>
  <c r="J481" i="34" s="1"/>
  <c r="J480" i="34" a="1"/>
  <c r="J480" i="34" s="1"/>
  <c r="J479" i="34" a="1"/>
  <c r="J479" i="34" s="1"/>
  <c r="J478" i="34" a="1"/>
  <c r="J478" i="34" s="1"/>
  <c r="J477" i="34" a="1"/>
  <c r="J477" i="34" s="1"/>
  <c r="J476" i="34" a="1"/>
  <c r="J476" i="34" s="1"/>
  <c r="J475" i="34" a="1"/>
  <c r="J475" i="34" s="1"/>
  <c r="J474" i="34" a="1"/>
  <c r="J474" i="34" s="1"/>
  <c r="J473" i="34" a="1"/>
  <c r="J473" i="34" s="1"/>
  <c r="J472" i="34" a="1"/>
  <c r="J472" i="34" s="1"/>
  <c r="J471" i="34" a="1"/>
  <c r="J471" i="34" s="1"/>
  <c r="J470" i="34" a="1"/>
  <c r="J470" i="34" s="1"/>
  <c r="J469" i="34" a="1"/>
  <c r="J469" i="34" s="1"/>
  <c r="J468" i="34" a="1"/>
  <c r="J468" i="34" s="1"/>
  <c r="J467" i="34" a="1"/>
  <c r="J467" i="34" s="1"/>
  <c r="J466" i="34" a="1"/>
  <c r="J466" i="34" s="1"/>
  <c r="J465" i="34" a="1"/>
  <c r="J465" i="34" s="1"/>
  <c r="J464" i="34" a="1"/>
  <c r="J464" i="34" s="1"/>
  <c r="J463" i="34" a="1"/>
  <c r="J463" i="34" s="1"/>
  <c r="J462" i="34" a="1"/>
  <c r="J462" i="34" s="1"/>
  <c r="J461" i="34" a="1"/>
  <c r="J461" i="34" s="1"/>
  <c r="J460" i="34" a="1"/>
  <c r="J460" i="34" s="1"/>
  <c r="J459" i="34" a="1"/>
  <c r="J459" i="34" s="1"/>
  <c r="J458" i="34" a="1"/>
  <c r="J458" i="34" s="1"/>
  <c r="J457" i="34" a="1"/>
  <c r="J457" i="34" s="1"/>
  <c r="J456" i="34" a="1"/>
  <c r="J456" i="34" s="1"/>
  <c r="J455" i="34" a="1"/>
  <c r="J455" i="34" s="1"/>
  <c r="J454" i="34" a="1"/>
  <c r="J454" i="34" s="1"/>
  <c r="J453" i="34" a="1"/>
  <c r="J453" i="34" s="1"/>
  <c r="J452" i="34" a="1"/>
  <c r="J452" i="34" s="1"/>
  <c r="J451" i="34" a="1"/>
  <c r="J451" i="34" s="1"/>
  <c r="J450" i="34" a="1"/>
  <c r="J450" i="34" s="1"/>
  <c r="J449" i="34" a="1"/>
  <c r="J449" i="34" s="1"/>
  <c r="J448" i="34" a="1"/>
  <c r="J448" i="34" s="1"/>
  <c r="J447" i="34" a="1"/>
  <c r="J447" i="34" s="1"/>
  <c r="J446" i="34" a="1"/>
  <c r="J446" i="34" s="1"/>
  <c r="J445" i="34" a="1"/>
  <c r="J445" i="34" s="1"/>
  <c r="J444" i="34" a="1"/>
  <c r="J444" i="34" s="1"/>
  <c r="J443" i="34" a="1"/>
  <c r="J443" i="34" s="1"/>
  <c r="J442" i="34" a="1"/>
  <c r="J442" i="34" s="1"/>
  <c r="J441" i="34" a="1"/>
  <c r="J441" i="34" s="1"/>
  <c r="J440" i="34" a="1"/>
  <c r="J440" i="34" s="1"/>
  <c r="J439" i="34" a="1"/>
  <c r="J439" i="34" s="1"/>
  <c r="J438" i="34" a="1"/>
  <c r="J438" i="34" s="1"/>
  <c r="J437" i="34" a="1"/>
  <c r="J437" i="34" s="1"/>
  <c r="J436" i="34" a="1"/>
  <c r="J436" i="34" s="1"/>
  <c r="J435" i="34" a="1"/>
  <c r="J435" i="34" s="1"/>
  <c r="J434" i="34" a="1"/>
  <c r="J434" i="34" s="1"/>
  <c r="J433" i="34" a="1"/>
  <c r="J433" i="34" s="1"/>
  <c r="J432" i="34" a="1"/>
  <c r="J432" i="34" s="1"/>
  <c r="J431" i="34" a="1"/>
  <c r="J431" i="34" s="1"/>
  <c r="J430" i="34" a="1"/>
  <c r="J430" i="34" s="1"/>
  <c r="J429" i="34" a="1"/>
  <c r="J429" i="34" s="1"/>
  <c r="J428" i="34" a="1"/>
  <c r="J428" i="34" s="1"/>
  <c r="J427" i="34" a="1"/>
  <c r="J427" i="34" s="1"/>
  <c r="J426" i="34" a="1"/>
  <c r="J426" i="34" s="1"/>
  <c r="J425" i="34" a="1"/>
  <c r="J425" i="34" s="1"/>
  <c r="J424" i="34" a="1"/>
  <c r="J424" i="34" s="1"/>
  <c r="J423" i="34" a="1"/>
  <c r="J423" i="34" s="1"/>
  <c r="J422" i="34" a="1"/>
  <c r="J422" i="34" s="1"/>
  <c r="J421" i="34" a="1"/>
  <c r="J421" i="34" s="1"/>
  <c r="J420" i="34" a="1"/>
  <c r="J420" i="34" s="1"/>
  <c r="J419" i="34" a="1"/>
  <c r="J419" i="34" s="1"/>
  <c r="J418" i="34" a="1"/>
  <c r="J418" i="34" s="1"/>
  <c r="J417" i="34" a="1"/>
  <c r="J417" i="34" s="1"/>
  <c r="J416" i="34" a="1"/>
  <c r="J416" i="34" s="1"/>
  <c r="J415" i="34" a="1"/>
  <c r="J415" i="34" s="1"/>
  <c r="J414" i="34" a="1"/>
  <c r="J414" i="34" s="1"/>
  <c r="J413" i="34" a="1"/>
  <c r="J413" i="34" s="1"/>
  <c r="J412" i="34" a="1"/>
  <c r="J412" i="34" s="1"/>
  <c r="J411" i="34" a="1"/>
  <c r="J411" i="34" s="1"/>
  <c r="J410" i="34" a="1"/>
  <c r="J410" i="34" s="1"/>
  <c r="J409" i="34" a="1"/>
  <c r="J409" i="34" s="1"/>
  <c r="J408" i="34" a="1"/>
  <c r="J408" i="34" s="1"/>
  <c r="J407" i="34" a="1"/>
  <c r="J407" i="34" s="1"/>
  <c r="J406" i="34" a="1"/>
  <c r="J406" i="34" s="1"/>
  <c r="J405" i="34" a="1"/>
  <c r="J405" i="34" s="1"/>
  <c r="J404" i="34" a="1"/>
  <c r="J404" i="34" s="1"/>
  <c r="J403" i="34" a="1"/>
  <c r="J403" i="34" s="1"/>
  <c r="J402" i="34" a="1"/>
  <c r="J402" i="34" s="1"/>
  <c r="J401" i="34" a="1"/>
  <c r="J401" i="34" s="1"/>
  <c r="J400" i="34" a="1"/>
  <c r="J400" i="34" s="1"/>
  <c r="J399" i="34" a="1"/>
  <c r="J399" i="34" s="1"/>
  <c r="J398" i="34" a="1"/>
  <c r="J398" i="34" s="1"/>
  <c r="J397" i="34" a="1"/>
  <c r="J397" i="34" s="1"/>
  <c r="J396" i="34" a="1"/>
  <c r="J396" i="34" s="1"/>
  <c r="J395" i="34" a="1"/>
  <c r="J395" i="34" s="1"/>
  <c r="J394" i="34" a="1"/>
  <c r="J394" i="34" s="1"/>
  <c r="J393" i="34" a="1"/>
  <c r="J393" i="34" s="1"/>
  <c r="J392" i="34" a="1"/>
  <c r="J392" i="34" s="1"/>
  <c r="J391" i="34" a="1"/>
  <c r="J391" i="34" s="1"/>
  <c r="J390" i="34" a="1"/>
  <c r="J390" i="34" s="1"/>
  <c r="J389" i="34" a="1"/>
  <c r="J389" i="34" s="1"/>
  <c r="J388" i="34" a="1"/>
  <c r="J388" i="34" s="1"/>
  <c r="J387" i="34" a="1"/>
  <c r="J387" i="34" s="1"/>
  <c r="J386" i="34" a="1"/>
  <c r="J386" i="34" s="1"/>
  <c r="J385" i="34" a="1"/>
  <c r="J385" i="34" s="1"/>
  <c r="J384" i="34" a="1"/>
  <c r="J384" i="34" s="1"/>
  <c r="J383" i="34" a="1"/>
  <c r="J383" i="34" s="1"/>
  <c r="J382" i="34" a="1"/>
  <c r="J382" i="34" s="1"/>
  <c r="J381" i="34" a="1"/>
  <c r="J381" i="34" s="1"/>
  <c r="J380" i="34" a="1"/>
  <c r="J380" i="34" s="1"/>
  <c r="J379" i="34" a="1"/>
  <c r="J379" i="34" s="1"/>
  <c r="J378" i="34" a="1"/>
  <c r="J378" i="34" s="1"/>
  <c r="J377" i="34" a="1"/>
  <c r="J377" i="34" s="1"/>
  <c r="J376" i="34" a="1"/>
  <c r="J376" i="34" s="1"/>
  <c r="J375" i="34" a="1"/>
  <c r="J375" i="34" s="1"/>
  <c r="J374" i="34" a="1"/>
  <c r="J374" i="34" s="1"/>
  <c r="J373" i="34" a="1"/>
  <c r="J373" i="34" s="1"/>
  <c r="J372" i="34" a="1"/>
  <c r="J372" i="34" s="1"/>
  <c r="J371" i="34" a="1"/>
  <c r="J371" i="34" s="1"/>
  <c r="J370" i="34" a="1"/>
  <c r="J370" i="34" s="1"/>
  <c r="J369" i="34" a="1"/>
  <c r="J369" i="34" s="1"/>
  <c r="J368" i="34" a="1"/>
  <c r="J368" i="34" s="1"/>
  <c r="J367" i="34" a="1"/>
  <c r="J367" i="34" s="1"/>
  <c r="J366" i="34" a="1"/>
  <c r="J366" i="34" s="1"/>
  <c r="J365" i="34" a="1"/>
  <c r="J365" i="34" s="1"/>
  <c r="J364" i="34" a="1"/>
  <c r="J364" i="34" s="1"/>
  <c r="J363" i="34" a="1"/>
  <c r="J363" i="34" s="1"/>
  <c r="J362" i="34" a="1"/>
  <c r="J362" i="34" s="1"/>
  <c r="J361" i="34" a="1"/>
  <c r="J361" i="34" s="1"/>
  <c r="J360" i="34" a="1"/>
  <c r="J360" i="34" s="1"/>
  <c r="J359" i="34" a="1"/>
  <c r="J359" i="34" s="1"/>
  <c r="J358" i="34" a="1"/>
  <c r="J358" i="34" s="1"/>
  <c r="J357" i="34" a="1"/>
  <c r="J357" i="34" s="1"/>
  <c r="J356" i="34" a="1"/>
  <c r="J356" i="34" s="1"/>
  <c r="J355" i="34" a="1"/>
  <c r="J355" i="34" s="1"/>
  <c r="J354" i="34" a="1"/>
  <c r="J354" i="34" s="1"/>
  <c r="J353" i="34" a="1"/>
  <c r="J353" i="34" s="1"/>
  <c r="J352" i="34" a="1"/>
  <c r="J352" i="34" s="1"/>
  <c r="J351" i="34" a="1"/>
  <c r="J351" i="34" s="1"/>
  <c r="J350" i="34" a="1"/>
  <c r="J350" i="34" s="1"/>
  <c r="J349" i="34" a="1"/>
  <c r="J349" i="34" s="1"/>
  <c r="J348" i="34" a="1"/>
  <c r="J348" i="34" s="1"/>
  <c r="J347" i="34" a="1"/>
  <c r="J347" i="34" s="1"/>
  <c r="J346" i="34" a="1"/>
  <c r="J346" i="34" s="1"/>
  <c r="J345" i="34" a="1"/>
  <c r="J345" i="34" s="1"/>
  <c r="J344" i="34" a="1"/>
  <c r="J344" i="34" s="1"/>
  <c r="J343" i="34" a="1"/>
  <c r="J343" i="34" s="1"/>
  <c r="J342" i="34" a="1"/>
  <c r="J342" i="34" s="1"/>
  <c r="J341" i="34" a="1"/>
  <c r="J341" i="34" s="1"/>
  <c r="J340" i="34" a="1"/>
  <c r="J340" i="34" s="1"/>
  <c r="J339" i="34" a="1"/>
  <c r="J339" i="34" s="1"/>
  <c r="J338" i="34" a="1"/>
  <c r="J338" i="34" s="1"/>
  <c r="J337" i="34" a="1"/>
  <c r="J337" i="34" s="1"/>
  <c r="J336" i="34" a="1"/>
  <c r="J336" i="34" s="1"/>
  <c r="J335" i="34" a="1"/>
  <c r="J335" i="34" s="1"/>
  <c r="J334" i="34" a="1"/>
  <c r="J334" i="34" s="1"/>
  <c r="J333" i="34" a="1"/>
  <c r="J333" i="34" s="1"/>
  <c r="J332" i="34" a="1"/>
  <c r="J332" i="34" s="1"/>
  <c r="J331" i="34" a="1"/>
  <c r="J331" i="34" s="1"/>
  <c r="J330" i="34" a="1"/>
  <c r="J330" i="34" s="1"/>
  <c r="J329" i="34" a="1"/>
  <c r="J329" i="34" s="1"/>
  <c r="J328" i="34" a="1"/>
  <c r="J328" i="34" s="1"/>
  <c r="J327" i="34" a="1"/>
  <c r="J327" i="34" s="1"/>
  <c r="J326" i="34" a="1"/>
  <c r="J326" i="34" s="1"/>
  <c r="J325" i="34" a="1"/>
  <c r="J325" i="34" s="1"/>
  <c r="J324" i="34" a="1"/>
  <c r="J324" i="34" s="1"/>
  <c r="J323" i="34" a="1"/>
  <c r="J323" i="34" s="1"/>
  <c r="J322" i="34" a="1"/>
  <c r="J322" i="34" s="1"/>
  <c r="J321" i="34" a="1"/>
  <c r="J321" i="34" s="1"/>
  <c r="J320" i="34" a="1"/>
  <c r="J320" i="34" s="1"/>
  <c r="J319" i="34" a="1"/>
  <c r="J319" i="34" s="1"/>
  <c r="J318" i="34" a="1"/>
  <c r="J318" i="34" s="1"/>
  <c r="J317" i="34" a="1"/>
  <c r="J317" i="34" s="1"/>
  <c r="J316" i="34" a="1"/>
  <c r="J316" i="34" s="1"/>
  <c r="J315" i="34" a="1"/>
  <c r="J315" i="34" s="1"/>
  <c r="J314" i="34" a="1"/>
  <c r="J314" i="34" s="1"/>
  <c r="J313" i="34" a="1"/>
  <c r="J313" i="34" s="1"/>
  <c r="J312" i="34" a="1"/>
  <c r="J312" i="34" s="1"/>
  <c r="J311" i="34" a="1"/>
  <c r="J311" i="34" s="1"/>
  <c r="J310" i="34" a="1"/>
  <c r="J310" i="34" s="1"/>
  <c r="J309" i="34" a="1"/>
  <c r="J309" i="34" s="1"/>
  <c r="J308" i="34" a="1"/>
  <c r="J308" i="34" s="1"/>
  <c r="J307" i="34" a="1"/>
  <c r="J307" i="34" s="1"/>
  <c r="J306" i="34" a="1"/>
  <c r="J306" i="34" s="1"/>
  <c r="J305" i="34" a="1"/>
  <c r="J305" i="34" s="1"/>
  <c r="J304" i="34" a="1"/>
  <c r="J304" i="34" s="1"/>
  <c r="J303" i="34" a="1"/>
  <c r="J303" i="34" s="1"/>
  <c r="J302" i="34" a="1"/>
  <c r="J302" i="34" s="1"/>
  <c r="J301" i="34" a="1"/>
  <c r="J301" i="34" s="1"/>
  <c r="J300" i="34" a="1"/>
  <c r="J300" i="34" s="1"/>
  <c r="J299" i="34" a="1"/>
  <c r="J299" i="34" s="1"/>
  <c r="J298" i="34" a="1"/>
  <c r="J298" i="34" s="1"/>
  <c r="J297" i="34" a="1"/>
  <c r="J297" i="34" s="1"/>
  <c r="J296" i="34" a="1"/>
  <c r="J296" i="34" s="1"/>
  <c r="J295" i="34" a="1"/>
  <c r="J295" i="34" s="1"/>
  <c r="J294" i="34" a="1"/>
  <c r="J294" i="34" s="1"/>
  <c r="J293" i="34" a="1"/>
  <c r="J293" i="34" s="1"/>
  <c r="J292" i="34" a="1"/>
  <c r="J292" i="34" s="1"/>
  <c r="J291" i="34" a="1"/>
  <c r="J291" i="34" s="1"/>
  <c r="J290" i="34" a="1"/>
  <c r="J290" i="34" s="1"/>
  <c r="J289" i="34" a="1"/>
  <c r="J289" i="34" s="1"/>
  <c r="J288" i="34" a="1"/>
  <c r="J288" i="34" s="1"/>
  <c r="J287" i="34" a="1"/>
  <c r="J287" i="34" s="1"/>
  <c r="J286" i="34" a="1"/>
  <c r="J286" i="34" s="1"/>
  <c r="J285" i="34" a="1"/>
  <c r="J285" i="34" s="1"/>
  <c r="J284" i="34" a="1"/>
  <c r="J284" i="34" s="1"/>
  <c r="J283" i="34" a="1"/>
  <c r="J283" i="34" s="1"/>
  <c r="J282" i="34" a="1"/>
  <c r="J282" i="34" s="1"/>
  <c r="J281" i="34" a="1"/>
  <c r="J281" i="34" s="1"/>
  <c r="J280" i="34" a="1"/>
  <c r="J280" i="34" s="1"/>
  <c r="J279" i="34" a="1"/>
  <c r="J279" i="34" s="1"/>
  <c r="J278" i="34" a="1"/>
  <c r="J278" i="34" s="1"/>
  <c r="J277" i="34" a="1"/>
  <c r="J277" i="34" s="1"/>
  <c r="J276" i="34" a="1"/>
  <c r="J276" i="34" s="1"/>
  <c r="J275" i="34" a="1"/>
  <c r="J275" i="34" s="1"/>
  <c r="J274" i="34" a="1"/>
  <c r="J274" i="34" s="1"/>
  <c r="J273" i="34" a="1"/>
  <c r="J273" i="34" s="1"/>
  <c r="J272" i="34" a="1"/>
  <c r="J272" i="34" s="1"/>
  <c r="J271" i="34" a="1"/>
  <c r="J271" i="34" s="1"/>
  <c r="J270" i="34" a="1"/>
  <c r="J270" i="34" s="1"/>
  <c r="J269" i="34" a="1"/>
  <c r="J269" i="34" s="1"/>
  <c r="J268" i="34" a="1"/>
  <c r="J268" i="34" s="1"/>
  <c r="J267" i="34" a="1"/>
  <c r="J267" i="34" s="1"/>
  <c r="J266" i="34" a="1"/>
  <c r="J266" i="34" s="1"/>
  <c r="J265" i="34" a="1"/>
  <c r="J265" i="34" s="1"/>
  <c r="J264" i="34" a="1"/>
  <c r="J264" i="34" s="1"/>
  <c r="J263" i="34" a="1"/>
  <c r="J263" i="34" s="1"/>
  <c r="J262" i="34" a="1"/>
  <c r="J262" i="34" s="1"/>
  <c r="J261" i="34" a="1"/>
  <c r="J261" i="34" s="1"/>
  <c r="J260" i="34" a="1"/>
  <c r="J260" i="34" s="1"/>
  <c r="J259" i="34" a="1"/>
  <c r="J259" i="34" s="1"/>
  <c r="J258" i="34" a="1"/>
  <c r="J258" i="34" s="1"/>
  <c r="J257" i="34" a="1"/>
  <c r="J257" i="34" s="1"/>
  <c r="J256" i="34" a="1"/>
  <c r="J256" i="34" s="1"/>
  <c r="J255" i="34" a="1"/>
  <c r="J255" i="34" s="1"/>
  <c r="J254" i="34" a="1"/>
  <c r="J254" i="34" s="1"/>
  <c r="J253" i="34" a="1"/>
  <c r="J253" i="34" s="1"/>
  <c r="J252" i="34" a="1"/>
  <c r="J252" i="34" s="1"/>
  <c r="J251" i="34" a="1"/>
  <c r="J251" i="34" s="1"/>
  <c r="J250" i="34" a="1"/>
  <c r="J250" i="34" s="1"/>
  <c r="J249" i="34" a="1"/>
  <c r="J249" i="34" s="1"/>
  <c r="J248" i="34" a="1"/>
  <c r="J248" i="34" s="1"/>
  <c r="J247" i="34" a="1"/>
  <c r="J247" i="34" s="1"/>
  <c r="J246" i="34" a="1"/>
  <c r="J246" i="34" s="1"/>
  <c r="J245" i="34" a="1"/>
  <c r="J245" i="34" s="1"/>
  <c r="J244" i="34" a="1"/>
  <c r="J244" i="34" s="1"/>
  <c r="J243" i="34" a="1"/>
  <c r="J243" i="34" s="1"/>
  <c r="J242" i="34" a="1"/>
  <c r="J242" i="34" s="1"/>
  <c r="J241" i="34" a="1"/>
  <c r="J241" i="34" s="1"/>
  <c r="J240" i="34" a="1"/>
  <c r="J240" i="34" s="1"/>
  <c r="J239" i="34" a="1"/>
  <c r="J239" i="34" s="1"/>
  <c r="J238" i="34" a="1"/>
  <c r="J238" i="34" s="1"/>
  <c r="J237" i="34" a="1"/>
  <c r="J237" i="34" s="1"/>
  <c r="J236" i="34" a="1"/>
  <c r="J236" i="34" s="1"/>
  <c r="J235" i="34" a="1"/>
  <c r="J235" i="34" s="1"/>
  <c r="J234" i="34" a="1"/>
  <c r="J234" i="34" s="1"/>
  <c r="J233" i="34" a="1"/>
  <c r="J233" i="34" s="1"/>
  <c r="J232" i="34" a="1"/>
  <c r="J232" i="34" s="1"/>
  <c r="J231" i="34" a="1"/>
  <c r="J231" i="34" s="1"/>
  <c r="J230" i="34" a="1"/>
  <c r="J230" i="34" s="1"/>
  <c r="J229" i="34" a="1"/>
  <c r="J229" i="34" s="1"/>
  <c r="J228" i="34" a="1"/>
  <c r="J228" i="34" s="1"/>
  <c r="J227" i="34" a="1"/>
  <c r="J227" i="34" s="1"/>
  <c r="J226" i="34" a="1"/>
  <c r="J226" i="34" s="1"/>
  <c r="J225" i="34" a="1"/>
  <c r="J225" i="34" s="1"/>
  <c r="J224" i="34" a="1"/>
  <c r="J224" i="34" s="1"/>
  <c r="J223" i="34" a="1"/>
  <c r="J223" i="34" s="1"/>
  <c r="J222" i="34" a="1"/>
  <c r="J222" i="34" s="1"/>
  <c r="J221" i="34" a="1"/>
  <c r="J221" i="34" s="1"/>
  <c r="J220" i="34" a="1"/>
  <c r="J220" i="34" s="1"/>
  <c r="J219" i="34" a="1"/>
  <c r="J219" i="34" s="1"/>
  <c r="J218" i="34" a="1"/>
  <c r="J218" i="34" s="1"/>
  <c r="J217" i="34" a="1"/>
  <c r="J217" i="34" s="1"/>
  <c r="J216" i="34" a="1"/>
  <c r="J216" i="34" s="1"/>
  <c r="J215" i="34" a="1"/>
  <c r="J215" i="34" s="1"/>
  <c r="J214" i="34" a="1"/>
  <c r="J214" i="34" s="1"/>
  <c r="J213" i="34" a="1"/>
  <c r="J213" i="34" s="1"/>
  <c r="J212" i="34" a="1"/>
  <c r="J212" i="34" s="1"/>
  <c r="J211" i="34" a="1"/>
  <c r="J211" i="34" s="1"/>
  <c r="J210" i="34" a="1"/>
  <c r="J210" i="34" s="1"/>
  <c r="J209" i="34" a="1"/>
  <c r="J209" i="34" s="1"/>
  <c r="J208" i="34" a="1"/>
  <c r="J208" i="34" s="1"/>
  <c r="J207" i="34" a="1"/>
  <c r="J207" i="34" s="1"/>
  <c r="J206" i="34" a="1"/>
  <c r="J206" i="34" s="1"/>
  <c r="J205" i="34" a="1"/>
  <c r="J205" i="34" s="1"/>
  <c r="J204" i="34" a="1"/>
  <c r="J204" i="34" s="1"/>
  <c r="J203" i="34" a="1"/>
  <c r="J203" i="34" s="1"/>
  <c r="J202" i="34" a="1"/>
  <c r="J202" i="34" s="1"/>
  <c r="J201" i="34" a="1"/>
  <c r="J201" i="34" s="1"/>
  <c r="J200" i="34" a="1"/>
  <c r="J200" i="34" s="1"/>
  <c r="J199" i="34" a="1"/>
  <c r="J199" i="34" s="1"/>
  <c r="J198" i="34" a="1"/>
  <c r="J198" i="34" s="1"/>
  <c r="J197" i="34" a="1"/>
  <c r="J197" i="34" s="1"/>
  <c r="J196" i="34" a="1"/>
  <c r="J196" i="34" s="1"/>
  <c r="J195" i="34" a="1"/>
  <c r="J195" i="34" s="1"/>
  <c r="J194" i="34" a="1"/>
  <c r="J194" i="34" s="1"/>
  <c r="J193" i="34" a="1"/>
  <c r="J193" i="34" s="1"/>
  <c r="J192" i="34" a="1"/>
  <c r="J192" i="34" s="1"/>
  <c r="J191" i="34" a="1"/>
  <c r="J191" i="34" s="1"/>
  <c r="J190" i="34" a="1"/>
  <c r="J190" i="34" s="1"/>
  <c r="J189" i="34" a="1"/>
  <c r="J189" i="34" s="1"/>
  <c r="J188" i="34" a="1"/>
  <c r="J188" i="34" s="1"/>
  <c r="J187" i="34" a="1"/>
  <c r="J187" i="34" s="1"/>
  <c r="J186" i="34" a="1"/>
  <c r="J186" i="34" s="1"/>
  <c r="J185" i="34" a="1"/>
  <c r="J185" i="34" s="1"/>
  <c r="J184" i="34" a="1"/>
  <c r="J184" i="34" s="1"/>
  <c r="J183" i="34" a="1"/>
  <c r="J183" i="34" s="1"/>
  <c r="J182" i="34" a="1"/>
  <c r="J182" i="34" s="1"/>
  <c r="J181" i="34" a="1"/>
  <c r="J181" i="34" s="1"/>
  <c r="J180" i="34" a="1"/>
  <c r="J180" i="34" s="1"/>
  <c r="J179" i="34" a="1"/>
  <c r="J179" i="34" s="1"/>
  <c r="J178" i="34" a="1"/>
  <c r="J178" i="34" s="1"/>
  <c r="J177" i="34" a="1"/>
  <c r="J177" i="34" s="1"/>
  <c r="J176" i="34" a="1"/>
  <c r="J176" i="34" s="1"/>
  <c r="J175" i="34" a="1"/>
  <c r="J175" i="34" s="1"/>
  <c r="J174" i="34" a="1"/>
  <c r="J174" i="34" s="1"/>
  <c r="J173" i="34" a="1"/>
  <c r="J173" i="34" s="1"/>
  <c r="J172" i="34" a="1"/>
  <c r="J172" i="34" s="1"/>
  <c r="J171" i="34" a="1"/>
  <c r="J171" i="34" s="1"/>
  <c r="J170" i="34" a="1"/>
  <c r="J170" i="34" s="1"/>
  <c r="J169" i="34" a="1"/>
  <c r="J169" i="34" s="1"/>
  <c r="J168" i="34" a="1"/>
  <c r="J168" i="34" s="1"/>
  <c r="J167" i="34" a="1"/>
  <c r="J167" i="34" s="1"/>
  <c r="J166" i="34" a="1"/>
  <c r="J166" i="34" s="1"/>
  <c r="J165" i="34" a="1"/>
  <c r="J165" i="34" s="1"/>
  <c r="J164" i="34" a="1"/>
  <c r="J164" i="34" s="1"/>
  <c r="J163" i="34" a="1"/>
  <c r="J163" i="34" s="1"/>
  <c r="J162" i="34" a="1"/>
  <c r="J162" i="34" s="1"/>
  <c r="J161" i="34" a="1"/>
  <c r="J161" i="34" s="1"/>
  <c r="J160" i="34" a="1"/>
  <c r="J160" i="34" s="1"/>
  <c r="J159" i="34" a="1"/>
  <c r="J159" i="34" s="1"/>
  <c r="J158" i="34" a="1"/>
  <c r="J158" i="34" s="1"/>
  <c r="J157" i="34" a="1"/>
  <c r="J157" i="34" s="1"/>
  <c r="J156" i="34" a="1"/>
  <c r="J156" i="34" s="1"/>
  <c r="J155" i="34" a="1"/>
  <c r="J155" i="34" s="1"/>
  <c r="J154" i="34" a="1"/>
  <c r="J154" i="34" s="1"/>
  <c r="J153" i="34" a="1"/>
  <c r="J153" i="34" s="1"/>
  <c r="J152" i="34" a="1"/>
  <c r="J152" i="34" s="1"/>
  <c r="J151" i="34" a="1"/>
  <c r="J151" i="34" s="1"/>
  <c r="J150" i="34" a="1"/>
  <c r="J150" i="34" s="1"/>
  <c r="J149" i="34" a="1"/>
  <c r="J149" i="34" s="1"/>
  <c r="J148" i="34" a="1"/>
  <c r="J148" i="34" s="1"/>
  <c r="J147" i="34" a="1"/>
  <c r="J147" i="34" s="1"/>
  <c r="J146" i="34" a="1"/>
  <c r="J146" i="34" s="1"/>
  <c r="J145" i="34" a="1"/>
  <c r="J145" i="34" s="1"/>
  <c r="J144" i="34" a="1"/>
  <c r="J144" i="34" s="1"/>
  <c r="J143" i="34" a="1"/>
  <c r="J143" i="34" s="1"/>
  <c r="J142" i="34" a="1"/>
  <c r="J142" i="34" s="1"/>
  <c r="J141" i="34" a="1"/>
  <c r="J141" i="34" s="1"/>
  <c r="J140" i="34" a="1"/>
  <c r="J140" i="34" s="1"/>
  <c r="J139" i="34" a="1"/>
  <c r="J139" i="34" s="1"/>
  <c r="J138" i="34" a="1"/>
  <c r="J138" i="34" s="1"/>
  <c r="J137" i="34" a="1"/>
  <c r="J137" i="34" s="1"/>
  <c r="J136" i="34" a="1"/>
  <c r="J136" i="34" s="1"/>
  <c r="J135" i="34" a="1"/>
  <c r="J135" i="34" s="1"/>
  <c r="J134" i="34" a="1"/>
  <c r="J134" i="34" s="1"/>
  <c r="J133" i="34" a="1"/>
  <c r="J133" i="34" s="1"/>
  <c r="J132" i="34" a="1"/>
  <c r="J132" i="34" s="1"/>
  <c r="J131" i="34" a="1"/>
  <c r="J131" i="34" s="1"/>
  <c r="J130" i="34" a="1"/>
  <c r="J130" i="34" s="1"/>
  <c r="J129" i="34" a="1"/>
  <c r="J129" i="34" s="1"/>
  <c r="J128" i="34" a="1"/>
  <c r="J128" i="34" s="1"/>
  <c r="J127" i="34" a="1"/>
  <c r="J127" i="34" s="1"/>
  <c r="J126" i="34" a="1"/>
  <c r="J126" i="34" s="1"/>
  <c r="J125" i="34" a="1"/>
  <c r="J125" i="34" s="1"/>
  <c r="J124" i="34" a="1"/>
  <c r="J124" i="34" s="1"/>
  <c r="J123" i="34" a="1"/>
  <c r="J123" i="34" s="1"/>
  <c r="J122" i="34" a="1"/>
  <c r="J122" i="34" s="1"/>
  <c r="J121" i="34" a="1"/>
  <c r="J121" i="34" s="1"/>
  <c r="J120" i="34" a="1"/>
  <c r="J120" i="34" s="1"/>
  <c r="J119" i="34" a="1"/>
  <c r="J119" i="34" s="1"/>
  <c r="J118" i="34" a="1"/>
  <c r="J118" i="34" s="1"/>
  <c r="J117" i="34" a="1"/>
  <c r="J117" i="34" s="1"/>
  <c r="J116" i="34" a="1"/>
  <c r="J116" i="34" s="1"/>
  <c r="J115" i="34" a="1"/>
  <c r="J115" i="34" s="1"/>
  <c r="J114" i="34" a="1"/>
  <c r="J114" i="34" s="1"/>
  <c r="J113" i="34" a="1"/>
  <c r="J113" i="34" s="1"/>
  <c r="J112" i="34" a="1"/>
  <c r="J112" i="34" s="1"/>
  <c r="J111" i="34" a="1"/>
  <c r="J111" i="34" s="1"/>
  <c r="J110" i="34" a="1"/>
  <c r="J110" i="34" s="1"/>
  <c r="J109" i="34" a="1"/>
  <c r="J109" i="34" s="1"/>
  <c r="J108" i="34" a="1"/>
  <c r="J108" i="34" s="1"/>
  <c r="J107" i="34" a="1"/>
  <c r="J107" i="34" s="1"/>
  <c r="J106" i="34" a="1"/>
  <c r="J106" i="34" s="1"/>
  <c r="J105" i="34" a="1"/>
  <c r="J105" i="34" s="1"/>
  <c r="J104" i="34" a="1"/>
  <c r="J104" i="34" s="1"/>
  <c r="J103" i="34" a="1"/>
  <c r="J103" i="34" s="1"/>
  <c r="J102" i="34" a="1"/>
  <c r="J102" i="34" s="1"/>
  <c r="J101" i="34" a="1"/>
  <c r="J101" i="34" s="1"/>
  <c r="J100" i="34" a="1"/>
  <c r="J100" i="34" s="1"/>
  <c r="J99" i="34" a="1"/>
  <c r="J99" i="34" s="1"/>
  <c r="J98" i="34" a="1"/>
  <c r="J98" i="34" s="1"/>
  <c r="J97" i="34" a="1"/>
  <c r="J97" i="34" s="1"/>
  <c r="J96" i="34" a="1"/>
  <c r="J96" i="34" s="1"/>
  <c r="J95" i="34" a="1"/>
  <c r="J95" i="34" s="1"/>
  <c r="J94" i="34" a="1"/>
  <c r="J94" i="34" s="1"/>
  <c r="J93" i="34" a="1"/>
  <c r="J93" i="34" s="1"/>
  <c r="J92" i="34" a="1"/>
  <c r="J92" i="34" s="1"/>
  <c r="J91" i="34" a="1"/>
  <c r="J91" i="34" s="1"/>
  <c r="J90" i="34" a="1"/>
  <c r="J90" i="34" s="1"/>
  <c r="J89" i="34" a="1"/>
  <c r="J89" i="34" s="1"/>
  <c r="J88" i="34" a="1"/>
  <c r="J88" i="34" s="1"/>
  <c r="J87" i="34" a="1"/>
  <c r="J87" i="34" s="1"/>
  <c r="J86" i="34" a="1"/>
  <c r="J86" i="34" s="1"/>
  <c r="J85" i="34" a="1"/>
  <c r="J85" i="34" s="1"/>
  <c r="J84" i="34" a="1"/>
  <c r="J84" i="34" s="1"/>
  <c r="J83" i="34" a="1"/>
  <c r="J83" i="34" s="1"/>
  <c r="J82" i="34" a="1"/>
  <c r="J82" i="34" s="1"/>
  <c r="J81" i="34" a="1"/>
  <c r="J81" i="34" s="1"/>
  <c r="J80" i="34" a="1"/>
  <c r="J80" i="34" s="1"/>
  <c r="J79" i="34" a="1"/>
  <c r="J79" i="34" s="1"/>
  <c r="J78" i="34" a="1"/>
  <c r="J78" i="34" s="1"/>
  <c r="J77" i="34" a="1"/>
  <c r="J77" i="34" s="1"/>
  <c r="J76" i="34" a="1"/>
  <c r="J76" i="34" s="1"/>
  <c r="J75" i="34" a="1"/>
  <c r="J75" i="34" s="1"/>
  <c r="J74" i="34" a="1"/>
  <c r="J74" i="34" s="1"/>
  <c r="J73" i="34" a="1"/>
  <c r="J73" i="34" s="1"/>
  <c r="J72" i="34" a="1"/>
  <c r="J72" i="34" s="1"/>
  <c r="J71" i="34" a="1"/>
  <c r="J71" i="34" s="1"/>
  <c r="J70" i="34" a="1"/>
  <c r="J70" i="34" s="1"/>
  <c r="J69" i="34" a="1"/>
  <c r="J69" i="34" s="1"/>
  <c r="J68" i="34" a="1"/>
  <c r="J68" i="34" s="1"/>
  <c r="J67" i="34" a="1"/>
  <c r="J67" i="34" s="1"/>
  <c r="J66" i="34" a="1"/>
  <c r="J66" i="34" s="1"/>
  <c r="J65" i="34" a="1"/>
  <c r="J65" i="34" s="1"/>
  <c r="J64" i="34" a="1"/>
  <c r="J64" i="34" s="1"/>
  <c r="J63" i="34" a="1"/>
  <c r="J63" i="34" s="1"/>
  <c r="J62" i="34" a="1"/>
  <c r="J62" i="34" s="1"/>
  <c r="J61" i="34" a="1"/>
  <c r="J61" i="34" s="1"/>
  <c r="J60" i="34" a="1"/>
  <c r="J60" i="34" s="1"/>
  <c r="J59" i="34" a="1"/>
  <c r="J59" i="34" s="1"/>
  <c r="J58" i="34" a="1"/>
  <c r="J58" i="34" s="1"/>
  <c r="J57" i="34" a="1"/>
  <c r="J57" i="34" s="1"/>
  <c r="J56" i="34" a="1"/>
  <c r="J56" i="34" s="1"/>
  <c r="J55" i="34" a="1"/>
  <c r="J55" i="34" s="1"/>
  <c r="J54" i="34" a="1"/>
  <c r="J54" i="34" s="1"/>
  <c r="J53" i="34" a="1"/>
  <c r="J53" i="34" s="1"/>
  <c r="J52" i="34" a="1"/>
  <c r="J52" i="34" s="1"/>
  <c r="J51" i="34" a="1"/>
  <c r="J51" i="34" s="1"/>
  <c r="J50" i="34" a="1"/>
  <c r="J50" i="34" s="1"/>
  <c r="J49" i="34" a="1"/>
  <c r="J49" i="34" s="1"/>
  <c r="J48" i="34" a="1"/>
  <c r="J48" i="34" s="1"/>
  <c r="J47" i="34" a="1"/>
  <c r="J47" i="34" s="1"/>
  <c r="J46" i="34" a="1"/>
  <c r="J46" i="34" s="1"/>
  <c r="J45" i="34" a="1"/>
  <c r="J45" i="34" s="1"/>
  <c r="J44" i="34" a="1"/>
  <c r="J44" i="34" s="1"/>
  <c r="J43" i="34" a="1"/>
  <c r="J43" i="34" s="1"/>
  <c r="J42" i="34" a="1"/>
  <c r="J42" i="34" s="1"/>
  <c r="J41" i="34" a="1"/>
  <c r="J41" i="34" s="1"/>
  <c r="J40" i="34" a="1"/>
  <c r="J40" i="34" s="1"/>
  <c r="J39" i="34" a="1"/>
  <c r="J39" i="34" s="1"/>
  <c r="J38" i="34" a="1"/>
  <c r="J38" i="34" s="1"/>
  <c r="J37" i="34" a="1"/>
  <c r="J37" i="34" s="1"/>
  <c r="J36" i="34" a="1"/>
  <c r="J36" i="34" s="1"/>
  <c r="J35" i="34" a="1"/>
  <c r="J35" i="34" s="1"/>
  <c r="J34" i="34" a="1"/>
  <c r="J34" i="34" s="1"/>
  <c r="J33" i="34" a="1"/>
  <c r="J33" i="34" s="1"/>
  <c r="J32" i="34" a="1"/>
  <c r="J32" i="34" s="1"/>
  <c r="J31" i="34" a="1"/>
  <c r="J31" i="34" s="1"/>
  <c r="J30" i="34" a="1"/>
  <c r="J30" i="34" s="1"/>
  <c r="J29" i="34" a="1"/>
  <c r="J29" i="34" s="1"/>
  <c r="J28" i="34" a="1"/>
  <c r="J28" i="34" s="1"/>
  <c r="J27" i="34" a="1"/>
  <c r="J27" i="34" s="1"/>
  <c r="J26" i="34" a="1"/>
  <c r="J26" i="34" s="1"/>
  <c r="J25" i="34" a="1"/>
  <c r="J25" i="34" s="1"/>
  <c r="J24" i="34" a="1"/>
  <c r="J24" i="34" s="1"/>
  <c r="J23" i="34" a="1"/>
  <c r="J23" i="34" s="1"/>
  <c r="J22" i="34" a="1"/>
  <c r="J22" i="34" s="1"/>
  <c r="J21" i="34" a="1"/>
  <c r="J21" i="34" s="1"/>
  <c r="J20" i="34" a="1"/>
  <c r="J20" i="34" s="1"/>
  <c r="J19" i="34" a="1"/>
  <c r="J19" i="34" s="1"/>
  <c r="J18" i="34" a="1"/>
  <c r="J18" i="34" s="1"/>
  <c r="J17" i="34" a="1"/>
  <c r="J17" i="34" s="1"/>
  <c r="J16" i="34" a="1"/>
  <c r="J16" i="34" s="1"/>
  <c r="J15" i="34" a="1"/>
  <c r="J15" i="34" s="1"/>
  <c r="J14" i="34" a="1"/>
  <c r="J14" i="34" s="1"/>
  <c r="J13" i="34" a="1"/>
  <c r="J13" i="34" s="1"/>
  <c r="J12" i="34" a="1"/>
  <c r="J12" i="34" s="1"/>
  <c r="J11" i="34" a="1"/>
  <c r="J11" i="34" s="1"/>
  <c r="J10" i="34" a="1"/>
  <c r="J10" i="34" s="1"/>
  <c r="J9" i="34" a="1"/>
  <c r="J9" i="34" s="1"/>
  <c r="J8" i="34" a="1"/>
  <c r="J8" i="34" s="1"/>
  <c r="J7" i="34" a="1"/>
  <c r="J7" i="34" s="1"/>
  <c r="H2" i="34"/>
  <c r="F517" i="34" a="1"/>
  <c r="F517" i="34" s="1"/>
  <c r="E517" i="34" a="1"/>
  <c r="E517" i="34" s="1"/>
  <c r="D517" i="34" a="1"/>
  <c r="D517" i="34" s="1"/>
  <c r="F515" i="34" a="1"/>
  <c r="F515" i="34" s="1"/>
  <c r="E515" i="34" a="1"/>
  <c r="E515" i="34" s="1"/>
  <c r="D515" i="34" a="1"/>
  <c r="D515" i="34" s="1"/>
  <c r="F513" i="34" a="1"/>
  <c r="F513" i="34" s="1"/>
  <c r="E513" i="34" a="1"/>
  <c r="E513" i="34" s="1"/>
  <c r="D513" i="34" a="1"/>
  <c r="D513" i="34" s="1"/>
  <c r="F512" i="34" a="1"/>
  <c r="F512" i="34" s="1"/>
  <c r="E512" i="34" a="1"/>
  <c r="E512" i="34" s="1"/>
  <c r="D512" i="34" a="1"/>
  <c r="D512" i="34" s="1"/>
  <c r="F510" i="34" a="1"/>
  <c r="F510" i="34" s="1"/>
  <c r="E510" i="34" a="1"/>
  <c r="E510" i="34" s="1"/>
  <c r="D510" i="34" a="1"/>
  <c r="D510" i="34" s="1"/>
  <c r="F509" i="34" a="1"/>
  <c r="F509" i="34" s="1"/>
  <c r="E509" i="34" a="1"/>
  <c r="E509" i="34" s="1"/>
  <c r="D509" i="34" a="1"/>
  <c r="D509" i="34" s="1"/>
  <c r="F508" i="34" a="1"/>
  <c r="F508" i="34" s="1"/>
  <c r="E508" i="34" a="1"/>
  <c r="E508" i="34" s="1"/>
  <c r="D508" i="34" a="1"/>
  <c r="D508" i="34" s="1"/>
  <c r="F507" i="34" a="1"/>
  <c r="F507" i="34" s="1"/>
  <c r="E507" i="34" a="1"/>
  <c r="E507" i="34" s="1"/>
  <c r="D507" i="34" a="1"/>
  <c r="D507" i="34" s="1"/>
  <c r="F506" i="34" a="1"/>
  <c r="F506" i="34" s="1"/>
  <c r="E506" i="34" a="1"/>
  <c r="E506" i="34" s="1"/>
  <c r="D506" i="34" a="1"/>
  <c r="D506" i="34" s="1"/>
  <c r="F505" i="34" a="1"/>
  <c r="F505" i="34" s="1"/>
  <c r="E505" i="34" a="1"/>
  <c r="E505" i="34" s="1"/>
  <c r="D505" i="34" a="1"/>
  <c r="D505" i="34" s="1"/>
  <c r="F504" i="34" a="1"/>
  <c r="F504" i="34" s="1"/>
  <c r="E504" i="34" a="1"/>
  <c r="E504" i="34" s="1"/>
  <c r="D504" i="34" a="1"/>
  <c r="D504" i="34" s="1"/>
  <c r="F503" i="34" a="1"/>
  <c r="F503" i="34" s="1"/>
  <c r="E503" i="34" a="1"/>
  <c r="E503" i="34" s="1"/>
  <c r="D503" i="34" a="1"/>
  <c r="D503" i="34" s="1"/>
  <c r="F502" i="34" a="1"/>
  <c r="F502" i="34" s="1"/>
  <c r="E502" i="34" a="1"/>
  <c r="E502" i="34" s="1"/>
  <c r="D502" i="34" a="1"/>
  <c r="D502" i="34" s="1"/>
  <c r="F501" i="34" a="1"/>
  <c r="F501" i="34" s="1"/>
  <c r="E501" i="34" a="1"/>
  <c r="E501" i="34" s="1"/>
  <c r="D501" i="34" a="1"/>
  <c r="D501" i="34" s="1"/>
  <c r="F500" i="34" a="1"/>
  <c r="F500" i="34" s="1"/>
  <c r="E500" i="34" a="1"/>
  <c r="E500" i="34" s="1"/>
  <c r="D500" i="34" a="1"/>
  <c r="D500" i="34" s="1"/>
  <c r="F499" i="34" a="1"/>
  <c r="F499" i="34" s="1"/>
  <c r="E499" i="34" a="1"/>
  <c r="E499" i="34" s="1"/>
  <c r="D499" i="34" a="1"/>
  <c r="D499" i="34" s="1"/>
  <c r="F497" i="34" a="1"/>
  <c r="F497" i="34" s="1"/>
  <c r="E497" i="34" a="1"/>
  <c r="E497" i="34" s="1"/>
  <c r="D497" i="34" a="1"/>
  <c r="D497" i="34" s="1"/>
  <c r="F496" i="34" a="1"/>
  <c r="F496" i="34" s="1"/>
  <c r="E496" i="34" a="1"/>
  <c r="E496" i="34" s="1"/>
  <c r="D496" i="34" a="1"/>
  <c r="D496" i="34" s="1"/>
  <c r="F495" i="34" a="1"/>
  <c r="F495" i="34" s="1"/>
  <c r="E495" i="34" a="1"/>
  <c r="E495" i="34" s="1"/>
  <c r="D495" i="34" a="1"/>
  <c r="D495" i="34" s="1"/>
  <c r="F494" i="34" a="1"/>
  <c r="F494" i="34" s="1"/>
  <c r="E494" i="34" a="1"/>
  <c r="E494" i="34" s="1"/>
  <c r="D494" i="34" a="1"/>
  <c r="D494" i="34" s="1"/>
  <c r="F493" i="34" a="1"/>
  <c r="F493" i="34" s="1"/>
  <c r="E493" i="34" a="1"/>
  <c r="E493" i="34" s="1"/>
  <c r="D493" i="34" a="1"/>
  <c r="D493" i="34" s="1"/>
  <c r="F492" i="34" a="1"/>
  <c r="F492" i="34" s="1"/>
  <c r="E492" i="34" a="1"/>
  <c r="E492" i="34" s="1"/>
  <c r="D492" i="34" a="1"/>
  <c r="D492" i="34" s="1"/>
  <c r="F491" i="34" a="1"/>
  <c r="F491" i="34" s="1"/>
  <c r="E491" i="34" a="1"/>
  <c r="E491" i="34" s="1"/>
  <c r="D491" i="34" a="1"/>
  <c r="D491" i="34" s="1"/>
  <c r="F490" i="34" a="1"/>
  <c r="F490" i="34" s="1"/>
  <c r="E490" i="34" a="1"/>
  <c r="E490" i="34" s="1"/>
  <c r="D490" i="34" a="1"/>
  <c r="D490" i="34" s="1"/>
  <c r="F488" i="34" a="1"/>
  <c r="F488" i="34" s="1"/>
  <c r="E488" i="34" a="1"/>
  <c r="E488" i="34" s="1"/>
  <c r="D488" i="34" a="1"/>
  <c r="D488" i="34" s="1"/>
  <c r="F487" i="34" a="1"/>
  <c r="F487" i="34" s="1"/>
  <c r="E487" i="34" a="1"/>
  <c r="E487" i="34" s="1"/>
  <c r="D487" i="34" a="1"/>
  <c r="D487" i="34" s="1"/>
  <c r="F486" i="34" a="1"/>
  <c r="F486" i="34" s="1"/>
  <c r="E486" i="34" a="1"/>
  <c r="E486" i="34" s="1"/>
  <c r="D486" i="34" a="1"/>
  <c r="D486" i="34" s="1"/>
  <c r="F485" i="34" a="1"/>
  <c r="F485" i="34" s="1"/>
  <c r="E485" i="34" a="1"/>
  <c r="E485" i="34" s="1"/>
  <c r="D485" i="34" a="1"/>
  <c r="D485" i="34" s="1"/>
  <c r="F484" i="34" a="1"/>
  <c r="F484" i="34" s="1"/>
  <c r="E484" i="34" a="1"/>
  <c r="E484" i="34" s="1"/>
  <c r="D484" i="34" a="1"/>
  <c r="D484" i="34" s="1"/>
  <c r="F483" i="34" a="1"/>
  <c r="F483" i="34" s="1"/>
  <c r="E483" i="34" a="1"/>
  <c r="E483" i="34" s="1"/>
  <c r="D483" i="34" a="1"/>
  <c r="D483" i="34" s="1"/>
  <c r="F482" i="34" a="1"/>
  <c r="F482" i="34" s="1"/>
  <c r="E482" i="34" a="1"/>
  <c r="E482" i="34" s="1"/>
  <c r="D482" i="34" a="1"/>
  <c r="D482" i="34" s="1"/>
  <c r="F481" i="34" a="1"/>
  <c r="F481" i="34" s="1"/>
  <c r="E481" i="34" a="1"/>
  <c r="E481" i="34" s="1"/>
  <c r="D481" i="34" a="1"/>
  <c r="D481" i="34" s="1"/>
  <c r="F480" i="34" a="1"/>
  <c r="F480" i="34" s="1"/>
  <c r="E480" i="34" a="1"/>
  <c r="E480" i="34" s="1"/>
  <c r="D480" i="34" a="1"/>
  <c r="D480" i="34" s="1"/>
  <c r="F479" i="34" a="1"/>
  <c r="F479" i="34" s="1"/>
  <c r="E479" i="34" a="1"/>
  <c r="E479" i="34" s="1"/>
  <c r="D479" i="34" a="1"/>
  <c r="D479" i="34" s="1"/>
  <c r="F478" i="34" a="1"/>
  <c r="F478" i="34" s="1"/>
  <c r="E478" i="34" a="1"/>
  <c r="E478" i="34" s="1"/>
  <c r="D478" i="34" a="1"/>
  <c r="D478" i="34" s="1"/>
  <c r="F477" i="34" a="1"/>
  <c r="F477" i="34" s="1"/>
  <c r="E477" i="34" a="1"/>
  <c r="E477" i="34" s="1"/>
  <c r="D477" i="34" a="1"/>
  <c r="D477" i="34" s="1"/>
  <c r="F476" i="34" a="1"/>
  <c r="F476" i="34" s="1"/>
  <c r="E476" i="34" a="1"/>
  <c r="E476" i="34" s="1"/>
  <c r="D476" i="34" a="1"/>
  <c r="D476" i="34" s="1"/>
  <c r="F475" i="34" a="1"/>
  <c r="F475" i="34" s="1"/>
  <c r="E475" i="34" a="1"/>
  <c r="E475" i="34" s="1"/>
  <c r="D475" i="34" a="1"/>
  <c r="D475" i="34" s="1"/>
  <c r="F474" i="34" a="1"/>
  <c r="F474" i="34" s="1"/>
  <c r="E474" i="34" a="1"/>
  <c r="E474" i="34" s="1"/>
  <c r="D474" i="34" a="1"/>
  <c r="D474" i="34" s="1"/>
  <c r="F473" i="34" a="1"/>
  <c r="F473" i="34" s="1"/>
  <c r="E473" i="34" a="1"/>
  <c r="E473" i="34" s="1"/>
  <c r="D473" i="34" a="1"/>
  <c r="D473" i="34" s="1"/>
  <c r="F472" i="34" a="1"/>
  <c r="F472" i="34" s="1"/>
  <c r="E472" i="34" a="1"/>
  <c r="E472" i="34" s="1"/>
  <c r="D472" i="34" a="1"/>
  <c r="D472" i="34" s="1"/>
  <c r="F471" i="34" a="1"/>
  <c r="F471" i="34" s="1"/>
  <c r="E471" i="34" a="1"/>
  <c r="E471" i="34" s="1"/>
  <c r="D471" i="34" a="1"/>
  <c r="D471" i="34" s="1"/>
  <c r="F470" i="34" a="1"/>
  <c r="F470" i="34" s="1"/>
  <c r="E470" i="34" a="1"/>
  <c r="E470" i="34" s="1"/>
  <c r="D470" i="34" a="1"/>
  <c r="D470" i="34" s="1"/>
  <c r="F469" i="34" a="1"/>
  <c r="F469" i="34" s="1"/>
  <c r="E469" i="34" a="1"/>
  <c r="E469" i="34" s="1"/>
  <c r="D469" i="34" a="1"/>
  <c r="D469" i="34" s="1"/>
  <c r="F468" i="34" a="1"/>
  <c r="F468" i="34" s="1"/>
  <c r="E468" i="34" a="1"/>
  <c r="E468" i="34" s="1"/>
  <c r="D468" i="34" a="1"/>
  <c r="D468" i="34" s="1"/>
  <c r="F467" i="34" a="1"/>
  <c r="F467" i="34" s="1"/>
  <c r="E467" i="34" a="1"/>
  <c r="E467" i="34" s="1"/>
  <c r="D467" i="34" a="1"/>
  <c r="D467" i="34" s="1"/>
  <c r="F466" i="34" a="1"/>
  <c r="F466" i="34" s="1"/>
  <c r="E466" i="34" a="1"/>
  <c r="E466" i="34" s="1"/>
  <c r="D466" i="34" a="1"/>
  <c r="D466" i="34" s="1"/>
  <c r="F465" i="34" a="1"/>
  <c r="F465" i="34" s="1"/>
  <c r="E465" i="34" a="1"/>
  <c r="E465" i="34" s="1"/>
  <c r="D465" i="34" a="1"/>
  <c r="D465" i="34" s="1"/>
  <c r="F464" i="34" a="1"/>
  <c r="F464" i="34" s="1"/>
  <c r="E464" i="34" a="1"/>
  <c r="E464" i="34" s="1"/>
  <c r="D464" i="34" a="1"/>
  <c r="D464" i="34" s="1"/>
  <c r="F463" i="34" a="1"/>
  <c r="F463" i="34" s="1"/>
  <c r="E463" i="34" a="1"/>
  <c r="E463" i="34" s="1"/>
  <c r="D463" i="34" a="1"/>
  <c r="D463" i="34" s="1"/>
  <c r="F462" i="34" a="1"/>
  <c r="F462" i="34" s="1"/>
  <c r="E462" i="34" a="1"/>
  <c r="E462" i="34" s="1"/>
  <c r="D462" i="34" a="1"/>
  <c r="D462" i="34" s="1"/>
  <c r="F461" i="34" a="1"/>
  <c r="F461" i="34" s="1"/>
  <c r="E461" i="34" a="1"/>
  <c r="E461" i="34" s="1"/>
  <c r="D461" i="34" a="1"/>
  <c r="D461" i="34" s="1"/>
  <c r="F460" i="34" a="1"/>
  <c r="F460" i="34" s="1"/>
  <c r="E460" i="34" a="1"/>
  <c r="E460" i="34" s="1"/>
  <c r="D460" i="34" a="1"/>
  <c r="D460" i="34" s="1"/>
  <c r="F459" i="34" a="1"/>
  <c r="F459" i="34" s="1"/>
  <c r="E459" i="34" a="1"/>
  <c r="E459" i="34" s="1"/>
  <c r="D459" i="34" a="1"/>
  <c r="D459" i="34" s="1"/>
  <c r="F458" i="34" a="1"/>
  <c r="F458" i="34" s="1"/>
  <c r="E458" i="34" a="1"/>
  <c r="E458" i="34" s="1"/>
  <c r="D458" i="34" a="1"/>
  <c r="D458" i="34" s="1"/>
  <c r="F457" i="34" a="1"/>
  <c r="F457" i="34" s="1"/>
  <c r="E457" i="34" a="1"/>
  <c r="E457" i="34" s="1"/>
  <c r="D457" i="34" a="1"/>
  <c r="D457" i="34" s="1"/>
  <c r="F456" i="34" a="1"/>
  <c r="F456" i="34" s="1"/>
  <c r="E456" i="34" a="1"/>
  <c r="E456" i="34" s="1"/>
  <c r="D456" i="34" a="1"/>
  <c r="D456" i="34" s="1"/>
  <c r="F455" i="34" a="1"/>
  <c r="F455" i="34" s="1"/>
  <c r="E455" i="34" a="1"/>
  <c r="E455" i="34" s="1"/>
  <c r="D455" i="34" a="1"/>
  <c r="D455" i="34" s="1"/>
  <c r="F454" i="34" a="1"/>
  <c r="F454" i="34" s="1"/>
  <c r="E454" i="34" a="1"/>
  <c r="E454" i="34" s="1"/>
  <c r="D454" i="34" a="1"/>
  <c r="D454" i="34" s="1"/>
  <c r="F453" i="34" a="1"/>
  <c r="F453" i="34" s="1"/>
  <c r="E453" i="34" a="1"/>
  <c r="E453" i="34" s="1"/>
  <c r="D453" i="34" a="1"/>
  <c r="D453" i="34" s="1"/>
  <c r="F452" i="34" a="1"/>
  <c r="F452" i="34" s="1"/>
  <c r="E452" i="34" a="1"/>
  <c r="E452" i="34" s="1"/>
  <c r="D452" i="34" a="1"/>
  <c r="D452" i="34" s="1"/>
  <c r="F451" i="34" a="1"/>
  <c r="F451" i="34" s="1"/>
  <c r="E451" i="34" a="1"/>
  <c r="E451" i="34" s="1"/>
  <c r="D451" i="34" a="1"/>
  <c r="D451" i="34" s="1"/>
  <c r="F450" i="34" a="1"/>
  <c r="F450" i="34" s="1"/>
  <c r="E450" i="34" a="1"/>
  <c r="E450" i="34" s="1"/>
  <c r="D450" i="34" a="1"/>
  <c r="D450" i="34" s="1"/>
  <c r="F449" i="34" a="1"/>
  <c r="F449" i="34" s="1"/>
  <c r="E449" i="34" a="1"/>
  <c r="E449" i="34" s="1"/>
  <c r="D449" i="34" a="1"/>
  <c r="D449" i="34" s="1"/>
  <c r="F448" i="34" a="1"/>
  <c r="F448" i="34" s="1"/>
  <c r="E448" i="34" a="1"/>
  <c r="E448" i="34" s="1"/>
  <c r="D448" i="34" a="1"/>
  <c r="D448" i="34" s="1"/>
  <c r="F447" i="34" a="1"/>
  <c r="F447" i="34" s="1"/>
  <c r="E447" i="34" a="1"/>
  <c r="E447" i="34" s="1"/>
  <c r="D447" i="34" a="1"/>
  <c r="D447" i="34" s="1"/>
  <c r="F446" i="34" a="1"/>
  <c r="F446" i="34" s="1"/>
  <c r="E446" i="34" a="1"/>
  <c r="E446" i="34" s="1"/>
  <c r="D446" i="34" a="1"/>
  <c r="D446" i="34" s="1"/>
  <c r="F445" i="34" a="1"/>
  <c r="F445" i="34" s="1"/>
  <c r="E445" i="34" a="1"/>
  <c r="E445" i="34" s="1"/>
  <c r="D445" i="34" a="1"/>
  <c r="D445" i="34" s="1"/>
  <c r="F444" i="34" a="1"/>
  <c r="F444" i="34" s="1"/>
  <c r="E444" i="34" a="1"/>
  <c r="E444" i="34" s="1"/>
  <c r="D444" i="34" a="1"/>
  <c r="D444" i="34" s="1"/>
  <c r="F443" i="34" a="1"/>
  <c r="F443" i="34" s="1"/>
  <c r="E443" i="34" a="1"/>
  <c r="E443" i="34" s="1"/>
  <c r="D443" i="34" a="1"/>
  <c r="D443" i="34" s="1"/>
  <c r="F442" i="34" a="1"/>
  <c r="F442" i="34" s="1"/>
  <c r="E442" i="34" a="1"/>
  <c r="E442" i="34" s="1"/>
  <c r="D442" i="34" a="1"/>
  <c r="D442" i="34" s="1"/>
  <c r="F441" i="34" a="1"/>
  <c r="F441" i="34" s="1"/>
  <c r="E441" i="34" a="1"/>
  <c r="E441" i="34" s="1"/>
  <c r="D441" i="34" a="1"/>
  <c r="D441" i="34" s="1"/>
  <c r="F440" i="34" a="1"/>
  <c r="F440" i="34" s="1"/>
  <c r="E440" i="34" a="1"/>
  <c r="E440" i="34" s="1"/>
  <c r="D440" i="34" a="1"/>
  <c r="D440" i="34" s="1"/>
  <c r="F439" i="34" a="1"/>
  <c r="F439" i="34" s="1"/>
  <c r="E439" i="34" a="1"/>
  <c r="E439" i="34" s="1"/>
  <c r="D439" i="34" a="1"/>
  <c r="D439" i="34" s="1"/>
  <c r="F438" i="34" a="1"/>
  <c r="F438" i="34" s="1"/>
  <c r="E438" i="34" a="1"/>
  <c r="E438" i="34" s="1"/>
  <c r="D438" i="34" a="1"/>
  <c r="D438" i="34" s="1"/>
  <c r="F437" i="34" a="1"/>
  <c r="F437" i="34" s="1"/>
  <c r="E437" i="34" a="1"/>
  <c r="E437" i="34" s="1"/>
  <c r="D437" i="34" a="1"/>
  <c r="D437" i="34" s="1"/>
  <c r="F436" i="34" a="1"/>
  <c r="F436" i="34" s="1"/>
  <c r="E436" i="34" a="1"/>
  <c r="E436" i="34" s="1"/>
  <c r="D436" i="34" a="1"/>
  <c r="D436" i="34" s="1"/>
  <c r="F435" i="34" a="1"/>
  <c r="F435" i="34" s="1"/>
  <c r="E435" i="34" a="1"/>
  <c r="E435" i="34" s="1"/>
  <c r="D435" i="34" a="1"/>
  <c r="D435" i="34" s="1"/>
  <c r="F434" i="34" a="1"/>
  <c r="F434" i="34" s="1"/>
  <c r="E434" i="34" a="1"/>
  <c r="E434" i="34" s="1"/>
  <c r="D434" i="34" a="1"/>
  <c r="D434" i="34" s="1"/>
  <c r="F433" i="34" a="1"/>
  <c r="F433" i="34" s="1"/>
  <c r="E433" i="34" a="1"/>
  <c r="E433" i="34" s="1"/>
  <c r="D433" i="34" a="1"/>
  <c r="D433" i="34" s="1"/>
  <c r="F432" i="34" a="1"/>
  <c r="F432" i="34" s="1"/>
  <c r="E432" i="34" a="1"/>
  <c r="E432" i="34" s="1"/>
  <c r="D432" i="34" a="1"/>
  <c r="D432" i="34" s="1"/>
  <c r="F431" i="34" a="1"/>
  <c r="F431" i="34" s="1"/>
  <c r="E431" i="34" a="1"/>
  <c r="E431" i="34" s="1"/>
  <c r="D431" i="34" a="1"/>
  <c r="D431" i="34" s="1"/>
  <c r="F430" i="34" a="1"/>
  <c r="F430" i="34" s="1"/>
  <c r="E430" i="34" a="1"/>
  <c r="E430" i="34" s="1"/>
  <c r="D430" i="34" a="1"/>
  <c r="D430" i="34" s="1"/>
  <c r="F429" i="34" a="1"/>
  <c r="F429" i="34" s="1"/>
  <c r="E429" i="34" a="1"/>
  <c r="E429" i="34" s="1"/>
  <c r="D429" i="34" a="1"/>
  <c r="D429" i="34" s="1"/>
  <c r="F428" i="34" a="1"/>
  <c r="F428" i="34" s="1"/>
  <c r="E428" i="34" a="1"/>
  <c r="E428" i="34" s="1"/>
  <c r="D428" i="34" a="1"/>
  <c r="D428" i="34" s="1"/>
  <c r="F427" i="34" a="1"/>
  <c r="F427" i="34" s="1"/>
  <c r="E427" i="34" a="1"/>
  <c r="E427" i="34" s="1"/>
  <c r="D427" i="34" a="1"/>
  <c r="D427" i="34" s="1"/>
  <c r="F426" i="34" a="1"/>
  <c r="F426" i="34" s="1"/>
  <c r="E426" i="34" a="1"/>
  <c r="E426" i="34" s="1"/>
  <c r="D426" i="34" a="1"/>
  <c r="D426" i="34" s="1"/>
  <c r="F425" i="34" a="1"/>
  <c r="F425" i="34" s="1"/>
  <c r="E425" i="34" a="1"/>
  <c r="E425" i="34" s="1"/>
  <c r="D425" i="34" a="1"/>
  <c r="D425" i="34" s="1"/>
  <c r="F424" i="34" a="1"/>
  <c r="F424" i="34" s="1"/>
  <c r="E424" i="34" a="1"/>
  <c r="E424" i="34" s="1"/>
  <c r="D424" i="34" a="1"/>
  <c r="D424" i="34" s="1"/>
  <c r="F423" i="34" a="1"/>
  <c r="F423" i="34" s="1"/>
  <c r="E423" i="34" a="1"/>
  <c r="E423" i="34" s="1"/>
  <c r="D423" i="34" a="1"/>
  <c r="D423" i="34" s="1"/>
  <c r="F422" i="34" a="1"/>
  <c r="F422" i="34" s="1"/>
  <c r="E422" i="34" a="1"/>
  <c r="E422" i="34" s="1"/>
  <c r="D422" i="34" a="1"/>
  <c r="D422" i="34" s="1"/>
  <c r="F421" i="34" a="1"/>
  <c r="F421" i="34" s="1"/>
  <c r="E421" i="34" a="1"/>
  <c r="E421" i="34" s="1"/>
  <c r="D421" i="34" a="1"/>
  <c r="D421" i="34" s="1"/>
  <c r="F420" i="34" a="1"/>
  <c r="F420" i="34" s="1"/>
  <c r="E420" i="34" a="1"/>
  <c r="E420" i="34" s="1"/>
  <c r="D420" i="34" a="1"/>
  <c r="D420" i="34" s="1"/>
  <c r="F419" i="34" a="1"/>
  <c r="F419" i="34" s="1"/>
  <c r="E419" i="34" a="1"/>
  <c r="E419" i="34" s="1"/>
  <c r="D419" i="34" a="1"/>
  <c r="D419" i="34" s="1"/>
  <c r="F418" i="34" a="1"/>
  <c r="F418" i="34" s="1"/>
  <c r="E418" i="34" a="1"/>
  <c r="E418" i="34" s="1"/>
  <c r="D418" i="34" a="1"/>
  <c r="D418" i="34" s="1"/>
  <c r="F417" i="34" a="1"/>
  <c r="F417" i="34" s="1"/>
  <c r="E417" i="34" a="1"/>
  <c r="E417" i="34" s="1"/>
  <c r="D417" i="34" a="1"/>
  <c r="D417" i="34" s="1"/>
  <c r="F416" i="34" a="1"/>
  <c r="F416" i="34" s="1"/>
  <c r="E416" i="34" a="1"/>
  <c r="E416" i="34" s="1"/>
  <c r="D416" i="34" a="1"/>
  <c r="D416" i="34" s="1"/>
  <c r="F415" i="34" a="1"/>
  <c r="F415" i="34" s="1"/>
  <c r="E415" i="34" a="1"/>
  <c r="E415" i="34" s="1"/>
  <c r="D415" i="34" a="1"/>
  <c r="D415" i="34" s="1"/>
  <c r="F414" i="34" a="1"/>
  <c r="F414" i="34" s="1"/>
  <c r="E414" i="34" a="1"/>
  <c r="E414" i="34" s="1"/>
  <c r="D414" i="34" a="1"/>
  <c r="D414" i="34" s="1"/>
  <c r="F413" i="34" a="1"/>
  <c r="F413" i="34" s="1"/>
  <c r="E413" i="34" a="1"/>
  <c r="E413" i="34" s="1"/>
  <c r="D413" i="34" a="1"/>
  <c r="D413" i="34" s="1"/>
  <c r="F412" i="34" a="1"/>
  <c r="F412" i="34" s="1"/>
  <c r="E412" i="34" a="1"/>
  <c r="E412" i="34" s="1"/>
  <c r="D412" i="34" a="1"/>
  <c r="D412" i="34" s="1"/>
  <c r="F411" i="34" a="1"/>
  <c r="F411" i="34" s="1"/>
  <c r="E411" i="34" a="1"/>
  <c r="E411" i="34" s="1"/>
  <c r="D411" i="34" a="1"/>
  <c r="D411" i="34" s="1"/>
  <c r="F410" i="34" a="1"/>
  <c r="F410" i="34" s="1"/>
  <c r="E410" i="34" a="1"/>
  <c r="E410" i="34" s="1"/>
  <c r="D410" i="34" a="1"/>
  <c r="D410" i="34" s="1"/>
  <c r="F409" i="34" a="1"/>
  <c r="F409" i="34" s="1"/>
  <c r="E409" i="34" a="1"/>
  <c r="E409" i="34" s="1"/>
  <c r="D409" i="34" a="1"/>
  <c r="D409" i="34" s="1"/>
  <c r="F408" i="34" a="1"/>
  <c r="F408" i="34" s="1"/>
  <c r="E408" i="34" a="1"/>
  <c r="E408" i="34" s="1"/>
  <c r="D408" i="34" a="1"/>
  <c r="D408" i="34" s="1"/>
  <c r="F407" i="34" a="1"/>
  <c r="F407" i="34" s="1"/>
  <c r="E407" i="34" a="1"/>
  <c r="E407" i="34" s="1"/>
  <c r="D407" i="34" a="1"/>
  <c r="D407" i="34" s="1"/>
  <c r="F406" i="34" a="1"/>
  <c r="F406" i="34" s="1"/>
  <c r="E406" i="34" a="1"/>
  <c r="E406" i="34" s="1"/>
  <c r="D406" i="34" a="1"/>
  <c r="D406" i="34" s="1"/>
  <c r="F405" i="34" a="1"/>
  <c r="F405" i="34" s="1"/>
  <c r="E405" i="34" a="1"/>
  <c r="E405" i="34" s="1"/>
  <c r="D405" i="34" a="1"/>
  <c r="D405" i="34" s="1"/>
  <c r="F404" i="34" a="1"/>
  <c r="F404" i="34" s="1"/>
  <c r="E404" i="34" a="1"/>
  <c r="E404" i="34" s="1"/>
  <c r="D404" i="34" a="1"/>
  <c r="D404" i="34" s="1"/>
  <c r="F403" i="34" a="1"/>
  <c r="F403" i="34" s="1"/>
  <c r="E403" i="34" a="1"/>
  <c r="E403" i="34" s="1"/>
  <c r="D403" i="34" a="1"/>
  <c r="D403" i="34" s="1"/>
  <c r="F402" i="34" a="1"/>
  <c r="F402" i="34" s="1"/>
  <c r="E402" i="34" a="1"/>
  <c r="E402" i="34" s="1"/>
  <c r="D402" i="34" a="1"/>
  <c r="D402" i="34" s="1"/>
  <c r="F401" i="34" a="1"/>
  <c r="F401" i="34" s="1"/>
  <c r="E401" i="34" a="1"/>
  <c r="E401" i="34" s="1"/>
  <c r="D401" i="34" a="1"/>
  <c r="D401" i="34" s="1"/>
  <c r="F400" i="34" a="1"/>
  <c r="F400" i="34" s="1"/>
  <c r="E400" i="34" a="1"/>
  <c r="E400" i="34" s="1"/>
  <c r="D400" i="34" a="1"/>
  <c r="D400" i="34" s="1"/>
  <c r="F399" i="34" a="1"/>
  <c r="F399" i="34" s="1"/>
  <c r="E399" i="34" a="1"/>
  <c r="E399" i="34" s="1"/>
  <c r="D399" i="34" a="1"/>
  <c r="D399" i="34" s="1"/>
  <c r="F398" i="34" a="1"/>
  <c r="F398" i="34" s="1"/>
  <c r="E398" i="34" a="1"/>
  <c r="E398" i="34" s="1"/>
  <c r="D398" i="34" a="1"/>
  <c r="D398" i="34" s="1"/>
  <c r="F397" i="34" a="1"/>
  <c r="F397" i="34" s="1"/>
  <c r="E397" i="34" a="1"/>
  <c r="E397" i="34" s="1"/>
  <c r="D397" i="34" a="1"/>
  <c r="D397" i="34" s="1"/>
  <c r="F396" i="34" a="1"/>
  <c r="F396" i="34" s="1"/>
  <c r="E396" i="34" a="1"/>
  <c r="E396" i="34" s="1"/>
  <c r="D396" i="34" a="1"/>
  <c r="D396" i="34" s="1"/>
  <c r="F395" i="34" a="1"/>
  <c r="F395" i="34" s="1"/>
  <c r="E395" i="34" a="1"/>
  <c r="E395" i="34" s="1"/>
  <c r="D395" i="34" a="1"/>
  <c r="D395" i="34" s="1"/>
  <c r="F394" i="34" a="1"/>
  <c r="F394" i="34" s="1"/>
  <c r="E394" i="34" a="1"/>
  <c r="E394" i="34" s="1"/>
  <c r="D394" i="34" a="1"/>
  <c r="D394" i="34" s="1"/>
  <c r="F393" i="34" a="1"/>
  <c r="F393" i="34" s="1"/>
  <c r="E393" i="34" a="1"/>
  <c r="E393" i="34" s="1"/>
  <c r="D393" i="34" a="1"/>
  <c r="D393" i="34" s="1"/>
  <c r="F392" i="34" a="1"/>
  <c r="F392" i="34" s="1"/>
  <c r="E392" i="34" a="1"/>
  <c r="E392" i="34" s="1"/>
  <c r="D392" i="34" a="1"/>
  <c r="D392" i="34" s="1"/>
  <c r="F391" i="34" a="1"/>
  <c r="F391" i="34" s="1"/>
  <c r="E391" i="34" a="1"/>
  <c r="E391" i="34" s="1"/>
  <c r="D391" i="34" a="1"/>
  <c r="D391" i="34" s="1"/>
  <c r="F390" i="34" a="1"/>
  <c r="F390" i="34" s="1"/>
  <c r="E390" i="34" a="1"/>
  <c r="E390" i="34" s="1"/>
  <c r="D390" i="34" a="1"/>
  <c r="D390" i="34" s="1"/>
  <c r="F389" i="34" a="1"/>
  <c r="F389" i="34" s="1"/>
  <c r="E389" i="34" a="1"/>
  <c r="E389" i="34" s="1"/>
  <c r="D389" i="34" a="1"/>
  <c r="D389" i="34" s="1"/>
  <c r="F388" i="34" a="1"/>
  <c r="F388" i="34" s="1"/>
  <c r="E388" i="34" a="1"/>
  <c r="E388" i="34" s="1"/>
  <c r="D388" i="34" a="1"/>
  <c r="D388" i="34" s="1"/>
  <c r="F387" i="34" a="1"/>
  <c r="F387" i="34" s="1"/>
  <c r="E387" i="34" a="1"/>
  <c r="E387" i="34" s="1"/>
  <c r="D387" i="34" a="1"/>
  <c r="D387" i="34" s="1"/>
  <c r="F386" i="34" a="1"/>
  <c r="F386" i="34" s="1"/>
  <c r="E386" i="34" a="1"/>
  <c r="E386" i="34" s="1"/>
  <c r="D386" i="34" a="1"/>
  <c r="D386" i="34" s="1"/>
  <c r="F385" i="34" a="1"/>
  <c r="F385" i="34" s="1"/>
  <c r="E385" i="34" a="1"/>
  <c r="E385" i="34" s="1"/>
  <c r="D385" i="34" a="1"/>
  <c r="D385" i="34" s="1"/>
  <c r="F384" i="34" a="1"/>
  <c r="F384" i="34" s="1"/>
  <c r="E384" i="34" a="1"/>
  <c r="E384" i="34" s="1"/>
  <c r="D384" i="34" a="1"/>
  <c r="D384" i="34" s="1"/>
  <c r="F383" i="34" a="1"/>
  <c r="F383" i="34" s="1"/>
  <c r="E383" i="34" a="1"/>
  <c r="E383" i="34" s="1"/>
  <c r="D383" i="34" a="1"/>
  <c r="D383" i="34" s="1"/>
  <c r="F382" i="34" a="1"/>
  <c r="F382" i="34" s="1"/>
  <c r="E382" i="34" a="1"/>
  <c r="E382" i="34" s="1"/>
  <c r="D382" i="34" a="1"/>
  <c r="D382" i="34" s="1"/>
  <c r="F381" i="34" a="1"/>
  <c r="F381" i="34" s="1"/>
  <c r="E381" i="34" a="1"/>
  <c r="E381" i="34" s="1"/>
  <c r="D381" i="34" a="1"/>
  <c r="D381" i="34" s="1"/>
  <c r="F380" i="34" a="1"/>
  <c r="F380" i="34" s="1"/>
  <c r="E380" i="34" a="1"/>
  <c r="E380" i="34" s="1"/>
  <c r="D380" i="34" a="1"/>
  <c r="D380" i="34" s="1"/>
  <c r="F379" i="34" a="1"/>
  <c r="F379" i="34" s="1"/>
  <c r="E379" i="34" a="1"/>
  <c r="E379" i="34" s="1"/>
  <c r="D379" i="34" a="1"/>
  <c r="D379" i="34" s="1"/>
  <c r="F378" i="34" a="1"/>
  <c r="F378" i="34" s="1"/>
  <c r="E378" i="34" a="1"/>
  <c r="E378" i="34" s="1"/>
  <c r="D378" i="34" a="1"/>
  <c r="D378" i="34" s="1"/>
  <c r="F377" i="34" a="1"/>
  <c r="F377" i="34" s="1"/>
  <c r="E377" i="34" a="1"/>
  <c r="E377" i="34" s="1"/>
  <c r="D377" i="34" a="1"/>
  <c r="D377" i="34" s="1"/>
  <c r="F376" i="34" a="1"/>
  <c r="F376" i="34" s="1"/>
  <c r="E376" i="34" a="1"/>
  <c r="E376" i="34" s="1"/>
  <c r="D376" i="34" a="1"/>
  <c r="D376" i="34" s="1"/>
  <c r="F375" i="34" a="1"/>
  <c r="F375" i="34" s="1"/>
  <c r="E375" i="34" a="1"/>
  <c r="E375" i="34" s="1"/>
  <c r="D375" i="34" a="1"/>
  <c r="D375" i="34" s="1"/>
  <c r="F374" i="34" a="1"/>
  <c r="F374" i="34" s="1"/>
  <c r="E374" i="34" a="1"/>
  <c r="E374" i="34" s="1"/>
  <c r="D374" i="34" a="1"/>
  <c r="D374" i="34" s="1"/>
  <c r="F373" i="34" a="1"/>
  <c r="F373" i="34" s="1"/>
  <c r="E373" i="34" a="1"/>
  <c r="E373" i="34" s="1"/>
  <c r="D373" i="34" a="1"/>
  <c r="D373" i="34" s="1"/>
  <c r="F372" i="34" a="1"/>
  <c r="F372" i="34" s="1"/>
  <c r="E372" i="34" a="1"/>
  <c r="E372" i="34" s="1"/>
  <c r="D372" i="34" a="1"/>
  <c r="D372" i="34" s="1"/>
  <c r="F371" i="34" a="1"/>
  <c r="F371" i="34" s="1"/>
  <c r="E371" i="34" a="1"/>
  <c r="E371" i="34" s="1"/>
  <c r="D371" i="34" a="1"/>
  <c r="D371" i="34" s="1"/>
  <c r="F370" i="34" a="1"/>
  <c r="F370" i="34" s="1"/>
  <c r="E370" i="34" a="1"/>
  <c r="E370" i="34" s="1"/>
  <c r="D370" i="34" a="1"/>
  <c r="D370" i="34" s="1"/>
  <c r="F369" i="34" a="1"/>
  <c r="F369" i="34" s="1"/>
  <c r="E369" i="34" a="1"/>
  <c r="E369" i="34" s="1"/>
  <c r="D369" i="34" a="1"/>
  <c r="D369" i="34" s="1"/>
  <c r="F368" i="34" a="1"/>
  <c r="F368" i="34" s="1"/>
  <c r="E368" i="34" a="1"/>
  <c r="E368" i="34" s="1"/>
  <c r="D368" i="34" a="1"/>
  <c r="D368" i="34" s="1"/>
  <c r="F367" i="34" a="1"/>
  <c r="F367" i="34" s="1"/>
  <c r="E367" i="34" a="1"/>
  <c r="E367" i="34" s="1"/>
  <c r="D367" i="34" a="1"/>
  <c r="D367" i="34" s="1"/>
  <c r="F366" i="34" a="1"/>
  <c r="F366" i="34" s="1"/>
  <c r="E366" i="34" a="1"/>
  <c r="E366" i="34" s="1"/>
  <c r="D366" i="34" a="1"/>
  <c r="D366" i="34" s="1"/>
  <c r="F365" i="34" a="1"/>
  <c r="F365" i="34" s="1"/>
  <c r="E365" i="34" a="1"/>
  <c r="E365" i="34" s="1"/>
  <c r="D365" i="34" a="1"/>
  <c r="D365" i="34" s="1"/>
  <c r="F364" i="34" a="1"/>
  <c r="F364" i="34" s="1"/>
  <c r="E364" i="34" a="1"/>
  <c r="E364" i="34" s="1"/>
  <c r="D364" i="34" a="1"/>
  <c r="D364" i="34" s="1"/>
  <c r="F363" i="34" a="1"/>
  <c r="F363" i="34" s="1"/>
  <c r="E363" i="34" a="1"/>
  <c r="E363" i="34" s="1"/>
  <c r="D363" i="34" a="1"/>
  <c r="D363" i="34" s="1"/>
  <c r="F362" i="34" a="1"/>
  <c r="F362" i="34" s="1"/>
  <c r="E362" i="34" a="1"/>
  <c r="E362" i="34" s="1"/>
  <c r="D362" i="34" a="1"/>
  <c r="D362" i="34" s="1"/>
  <c r="F361" i="34" a="1"/>
  <c r="F361" i="34" s="1"/>
  <c r="E361" i="34" a="1"/>
  <c r="E361" i="34" s="1"/>
  <c r="D361" i="34" a="1"/>
  <c r="D361" i="34" s="1"/>
  <c r="F360" i="34" a="1"/>
  <c r="F360" i="34" s="1"/>
  <c r="E360" i="34" a="1"/>
  <c r="E360" i="34" s="1"/>
  <c r="D360" i="34" a="1"/>
  <c r="D360" i="34" s="1"/>
  <c r="F359" i="34" a="1"/>
  <c r="F359" i="34" s="1"/>
  <c r="E359" i="34" a="1"/>
  <c r="E359" i="34" s="1"/>
  <c r="D359" i="34" a="1"/>
  <c r="D359" i="34" s="1"/>
  <c r="F358" i="34" a="1"/>
  <c r="F358" i="34" s="1"/>
  <c r="E358" i="34" a="1"/>
  <c r="E358" i="34" s="1"/>
  <c r="D358" i="34" a="1"/>
  <c r="D358" i="34" s="1"/>
  <c r="F357" i="34" a="1"/>
  <c r="F357" i="34" s="1"/>
  <c r="E357" i="34" a="1"/>
  <c r="E357" i="34" s="1"/>
  <c r="D357" i="34" a="1"/>
  <c r="D357" i="34" s="1"/>
  <c r="F356" i="34" a="1"/>
  <c r="F356" i="34" s="1"/>
  <c r="E356" i="34" a="1"/>
  <c r="E356" i="34" s="1"/>
  <c r="D356" i="34" a="1"/>
  <c r="D356" i="34" s="1"/>
  <c r="F355" i="34" a="1"/>
  <c r="F355" i="34" s="1"/>
  <c r="E355" i="34" a="1"/>
  <c r="E355" i="34" s="1"/>
  <c r="D355" i="34" a="1"/>
  <c r="D355" i="34" s="1"/>
  <c r="F354" i="34" a="1"/>
  <c r="F354" i="34" s="1"/>
  <c r="E354" i="34" a="1"/>
  <c r="E354" i="34" s="1"/>
  <c r="D354" i="34" a="1"/>
  <c r="D354" i="34" s="1"/>
  <c r="F353" i="34" a="1"/>
  <c r="F353" i="34" s="1"/>
  <c r="E353" i="34" a="1"/>
  <c r="E353" i="34" s="1"/>
  <c r="D353" i="34" a="1"/>
  <c r="D353" i="34" s="1"/>
  <c r="F352" i="34" a="1"/>
  <c r="F352" i="34" s="1"/>
  <c r="E352" i="34" a="1"/>
  <c r="E352" i="34" s="1"/>
  <c r="D352" i="34" a="1"/>
  <c r="D352" i="34" s="1"/>
  <c r="F351" i="34" a="1"/>
  <c r="F351" i="34" s="1"/>
  <c r="E351" i="34" a="1"/>
  <c r="E351" i="34" s="1"/>
  <c r="D351" i="34" a="1"/>
  <c r="D351" i="34" s="1"/>
  <c r="F350" i="34" a="1"/>
  <c r="F350" i="34" s="1"/>
  <c r="E350" i="34" a="1"/>
  <c r="E350" i="34" s="1"/>
  <c r="D350" i="34" a="1"/>
  <c r="D350" i="34" s="1"/>
  <c r="F349" i="34" a="1"/>
  <c r="F349" i="34" s="1"/>
  <c r="E349" i="34" a="1"/>
  <c r="E349" i="34" s="1"/>
  <c r="D349" i="34" a="1"/>
  <c r="D349" i="34" s="1"/>
  <c r="F348" i="34" a="1"/>
  <c r="F348" i="34" s="1"/>
  <c r="E348" i="34" a="1"/>
  <c r="E348" i="34" s="1"/>
  <c r="D348" i="34" a="1"/>
  <c r="D348" i="34" s="1"/>
  <c r="F347" i="34" a="1"/>
  <c r="F347" i="34" s="1"/>
  <c r="E347" i="34" a="1"/>
  <c r="E347" i="34" s="1"/>
  <c r="D347" i="34" a="1"/>
  <c r="D347" i="34" s="1"/>
  <c r="F346" i="34" a="1"/>
  <c r="F346" i="34" s="1"/>
  <c r="E346" i="34" a="1"/>
  <c r="E346" i="34" s="1"/>
  <c r="D346" i="34" a="1"/>
  <c r="D346" i="34" s="1"/>
  <c r="F345" i="34" a="1"/>
  <c r="F345" i="34" s="1"/>
  <c r="E345" i="34" a="1"/>
  <c r="E345" i="34" s="1"/>
  <c r="D345" i="34" a="1"/>
  <c r="D345" i="34" s="1"/>
  <c r="F344" i="34" a="1"/>
  <c r="F344" i="34" s="1"/>
  <c r="E344" i="34" a="1"/>
  <c r="E344" i="34" s="1"/>
  <c r="D344" i="34" a="1"/>
  <c r="D344" i="34" s="1"/>
  <c r="F343" i="34" a="1"/>
  <c r="F343" i="34" s="1"/>
  <c r="E343" i="34" a="1"/>
  <c r="E343" i="34" s="1"/>
  <c r="D343" i="34" a="1"/>
  <c r="D343" i="34" s="1"/>
  <c r="F342" i="34" a="1"/>
  <c r="F342" i="34" s="1"/>
  <c r="E342" i="34" a="1"/>
  <c r="E342" i="34" s="1"/>
  <c r="D342" i="34" a="1"/>
  <c r="D342" i="34" s="1"/>
  <c r="F341" i="34" a="1"/>
  <c r="F341" i="34" s="1"/>
  <c r="E341" i="34" a="1"/>
  <c r="E341" i="34" s="1"/>
  <c r="D341" i="34" a="1"/>
  <c r="D341" i="34" s="1"/>
  <c r="F340" i="34" a="1"/>
  <c r="F340" i="34" s="1"/>
  <c r="E340" i="34" a="1"/>
  <c r="E340" i="34" s="1"/>
  <c r="D340" i="34" a="1"/>
  <c r="D340" i="34" s="1"/>
  <c r="F339" i="34" a="1"/>
  <c r="F339" i="34" s="1"/>
  <c r="E339" i="34" a="1"/>
  <c r="E339" i="34" s="1"/>
  <c r="D339" i="34" a="1"/>
  <c r="D339" i="34" s="1"/>
  <c r="F338" i="34" a="1"/>
  <c r="F338" i="34" s="1"/>
  <c r="E338" i="34" a="1"/>
  <c r="E338" i="34" s="1"/>
  <c r="D338" i="34" a="1"/>
  <c r="D338" i="34" s="1"/>
  <c r="F337" i="34" a="1"/>
  <c r="F337" i="34" s="1"/>
  <c r="E337" i="34" a="1"/>
  <c r="E337" i="34" s="1"/>
  <c r="D337" i="34" a="1"/>
  <c r="D337" i="34" s="1"/>
  <c r="F336" i="34" a="1"/>
  <c r="F336" i="34" s="1"/>
  <c r="E336" i="34" a="1"/>
  <c r="E336" i="34" s="1"/>
  <c r="D336" i="34" a="1"/>
  <c r="D336" i="34" s="1"/>
  <c r="F335" i="34" a="1"/>
  <c r="F335" i="34" s="1"/>
  <c r="E335" i="34" a="1"/>
  <c r="E335" i="34" s="1"/>
  <c r="D335" i="34" a="1"/>
  <c r="D335" i="34" s="1"/>
  <c r="F334" i="34" a="1"/>
  <c r="F334" i="34" s="1"/>
  <c r="E334" i="34" a="1"/>
  <c r="E334" i="34" s="1"/>
  <c r="D334" i="34" a="1"/>
  <c r="D334" i="34" s="1"/>
  <c r="F333" i="34" a="1"/>
  <c r="F333" i="34" s="1"/>
  <c r="E333" i="34" a="1"/>
  <c r="E333" i="34" s="1"/>
  <c r="D333" i="34" a="1"/>
  <c r="D333" i="34" s="1"/>
  <c r="F332" i="34" a="1"/>
  <c r="F332" i="34" s="1"/>
  <c r="E332" i="34" a="1"/>
  <c r="E332" i="34" s="1"/>
  <c r="D332" i="34" a="1"/>
  <c r="D332" i="34" s="1"/>
  <c r="F331" i="34" a="1"/>
  <c r="F331" i="34" s="1"/>
  <c r="E331" i="34" a="1"/>
  <c r="E331" i="34" s="1"/>
  <c r="D331" i="34" a="1"/>
  <c r="D331" i="34" s="1"/>
  <c r="F330" i="34" a="1"/>
  <c r="F330" i="34" s="1"/>
  <c r="E330" i="34" a="1"/>
  <c r="E330" i="34" s="1"/>
  <c r="D330" i="34" a="1"/>
  <c r="D330" i="34" s="1"/>
  <c r="F329" i="34" a="1"/>
  <c r="F329" i="34" s="1"/>
  <c r="E329" i="34" a="1"/>
  <c r="E329" i="34" s="1"/>
  <c r="D329" i="34" a="1"/>
  <c r="D329" i="34" s="1"/>
  <c r="F328" i="34" a="1"/>
  <c r="F328" i="34" s="1"/>
  <c r="E328" i="34" a="1"/>
  <c r="E328" i="34" s="1"/>
  <c r="D328" i="34" a="1"/>
  <c r="D328" i="34" s="1"/>
  <c r="F327" i="34" a="1"/>
  <c r="F327" i="34" s="1"/>
  <c r="E327" i="34" a="1"/>
  <c r="E327" i="34" s="1"/>
  <c r="D327" i="34" a="1"/>
  <c r="D327" i="34" s="1"/>
  <c r="F326" i="34" a="1"/>
  <c r="F326" i="34" s="1"/>
  <c r="E326" i="34" a="1"/>
  <c r="E326" i="34" s="1"/>
  <c r="D326" i="34" a="1"/>
  <c r="D326" i="34" s="1"/>
  <c r="F325" i="34" a="1"/>
  <c r="F325" i="34" s="1"/>
  <c r="E325" i="34" a="1"/>
  <c r="E325" i="34" s="1"/>
  <c r="D325" i="34" a="1"/>
  <c r="D325" i="34" s="1"/>
  <c r="F324" i="34" a="1"/>
  <c r="F324" i="34" s="1"/>
  <c r="E324" i="34" a="1"/>
  <c r="E324" i="34" s="1"/>
  <c r="D324" i="34" a="1"/>
  <c r="D324" i="34" s="1"/>
  <c r="F323" i="34" a="1"/>
  <c r="F323" i="34" s="1"/>
  <c r="E323" i="34" a="1"/>
  <c r="E323" i="34" s="1"/>
  <c r="D323" i="34" a="1"/>
  <c r="D323" i="34" s="1"/>
  <c r="F322" i="34" a="1"/>
  <c r="F322" i="34" s="1"/>
  <c r="E322" i="34" a="1"/>
  <c r="E322" i="34" s="1"/>
  <c r="D322" i="34" a="1"/>
  <c r="D322" i="34" s="1"/>
  <c r="F321" i="34" a="1"/>
  <c r="F321" i="34" s="1"/>
  <c r="E321" i="34" a="1"/>
  <c r="E321" i="34" s="1"/>
  <c r="D321" i="34" a="1"/>
  <c r="D321" i="34" s="1"/>
  <c r="F320" i="34" a="1"/>
  <c r="F320" i="34" s="1"/>
  <c r="E320" i="34" a="1"/>
  <c r="E320" i="34" s="1"/>
  <c r="D320" i="34" a="1"/>
  <c r="D320" i="34" s="1"/>
  <c r="F319" i="34" a="1"/>
  <c r="F319" i="34" s="1"/>
  <c r="E319" i="34" a="1"/>
  <c r="E319" i="34" s="1"/>
  <c r="D319" i="34" a="1"/>
  <c r="D319" i="34" s="1"/>
  <c r="F318" i="34" a="1"/>
  <c r="F318" i="34" s="1"/>
  <c r="E318" i="34" a="1"/>
  <c r="E318" i="34" s="1"/>
  <c r="D318" i="34" a="1"/>
  <c r="D318" i="34" s="1"/>
  <c r="F317" i="34" a="1"/>
  <c r="F317" i="34" s="1"/>
  <c r="E317" i="34" a="1"/>
  <c r="E317" i="34" s="1"/>
  <c r="D317" i="34" a="1"/>
  <c r="D317" i="34" s="1"/>
  <c r="F316" i="34" a="1"/>
  <c r="F316" i="34" s="1"/>
  <c r="E316" i="34" a="1"/>
  <c r="E316" i="34" s="1"/>
  <c r="D316" i="34" a="1"/>
  <c r="D316" i="34" s="1"/>
  <c r="F315" i="34" a="1"/>
  <c r="F315" i="34" s="1"/>
  <c r="E315" i="34" a="1"/>
  <c r="E315" i="34" s="1"/>
  <c r="D315" i="34" a="1"/>
  <c r="D315" i="34" s="1"/>
  <c r="F314" i="34" a="1"/>
  <c r="F314" i="34" s="1"/>
  <c r="E314" i="34" a="1"/>
  <c r="E314" i="34" s="1"/>
  <c r="D314" i="34" a="1"/>
  <c r="D314" i="34" s="1"/>
  <c r="F313" i="34" a="1"/>
  <c r="F313" i="34" s="1"/>
  <c r="E313" i="34" a="1"/>
  <c r="E313" i="34" s="1"/>
  <c r="D313" i="34" a="1"/>
  <c r="D313" i="34" s="1"/>
  <c r="F312" i="34" a="1"/>
  <c r="F312" i="34" s="1"/>
  <c r="E312" i="34" a="1"/>
  <c r="E312" i="34" s="1"/>
  <c r="D312" i="34" a="1"/>
  <c r="D312" i="34" s="1"/>
  <c r="F311" i="34" a="1"/>
  <c r="F311" i="34" s="1"/>
  <c r="E311" i="34" a="1"/>
  <c r="E311" i="34" s="1"/>
  <c r="D311" i="34" a="1"/>
  <c r="D311" i="34" s="1"/>
  <c r="F310" i="34" a="1"/>
  <c r="F310" i="34" s="1"/>
  <c r="E310" i="34" a="1"/>
  <c r="E310" i="34" s="1"/>
  <c r="D310" i="34" a="1"/>
  <c r="D310" i="34" s="1"/>
  <c r="F309" i="34" a="1"/>
  <c r="F309" i="34" s="1"/>
  <c r="E309" i="34" a="1"/>
  <c r="E309" i="34" s="1"/>
  <c r="D309" i="34" a="1"/>
  <c r="D309" i="34" s="1"/>
  <c r="F308" i="34" a="1"/>
  <c r="F308" i="34" s="1"/>
  <c r="E308" i="34" a="1"/>
  <c r="E308" i="34" s="1"/>
  <c r="D308" i="34" a="1"/>
  <c r="D308" i="34" s="1"/>
  <c r="F307" i="34" a="1"/>
  <c r="F307" i="34" s="1"/>
  <c r="E307" i="34" a="1"/>
  <c r="E307" i="34" s="1"/>
  <c r="D307" i="34" a="1"/>
  <c r="D307" i="34" s="1"/>
  <c r="F306" i="34" a="1"/>
  <c r="F306" i="34" s="1"/>
  <c r="E306" i="34" a="1"/>
  <c r="E306" i="34" s="1"/>
  <c r="D306" i="34" a="1"/>
  <c r="D306" i="34" s="1"/>
  <c r="F305" i="34" a="1"/>
  <c r="F305" i="34" s="1"/>
  <c r="E305" i="34" a="1"/>
  <c r="E305" i="34" s="1"/>
  <c r="D305" i="34" a="1"/>
  <c r="D305" i="34" s="1"/>
  <c r="F304" i="34" a="1"/>
  <c r="F304" i="34" s="1"/>
  <c r="E304" i="34" a="1"/>
  <c r="E304" i="34" s="1"/>
  <c r="D304" i="34" a="1"/>
  <c r="D304" i="34" s="1"/>
  <c r="F303" i="34" a="1"/>
  <c r="F303" i="34" s="1"/>
  <c r="E303" i="34" a="1"/>
  <c r="E303" i="34" s="1"/>
  <c r="D303" i="34" a="1"/>
  <c r="D303" i="34" s="1"/>
  <c r="F302" i="34" a="1"/>
  <c r="F302" i="34" s="1"/>
  <c r="E302" i="34" a="1"/>
  <c r="E302" i="34" s="1"/>
  <c r="D302" i="34" a="1"/>
  <c r="D302" i="34" s="1"/>
  <c r="F301" i="34" a="1"/>
  <c r="F301" i="34" s="1"/>
  <c r="E301" i="34" a="1"/>
  <c r="E301" i="34" s="1"/>
  <c r="D301" i="34" a="1"/>
  <c r="D301" i="34" s="1"/>
  <c r="F300" i="34" a="1"/>
  <c r="F300" i="34" s="1"/>
  <c r="E300" i="34" a="1"/>
  <c r="E300" i="34" s="1"/>
  <c r="D300" i="34" a="1"/>
  <c r="D300" i="34" s="1"/>
  <c r="F299" i="34" a="1"/>
  <c r="F299" i="34" s="1"/>
  <c r="E299" i="34" a="1"/>
  <c r="E299" i="34" s="1"/>
  <c r="D299" i="34" a="1"/>
  <c r="D299" i="34" s="1"/>
  <c r="F298" i="34" a="1"/>
  <c r="F298" i="34" s="1"/>
  <c r="E298" i="34" a="1"/>
  <c r="E298" i="34" s="1"/>
  <c r="D298" i="34" a="1"/>
  <c r="D298" i="34" s="1"/>
  <c r="F297" i="34" a="1"/>
  <c r="F297" i="34" s="1"/>
  <c r="E297" i="34" a="1"/>
  <c r="E297" i="34" s="1"/>
  <c r="D297" i="34" a="1"/>
  <c r="D297" i="34" s="1"/>
  <c r="F296" i="34" a="1"/>
  <c r="F296" i="34" s="1"/>
  <c r="E296" i="34" a="1"/>
  <c r="E296" i="34" s="1"/>
  <c r="D296" i="34" a="1"/>
  <c r="D296" i="34" s="1"/>
  <c r="F295" i="34" a="1"/>
  <c r="F295" i="34" s="1"/>
  <c r="E295" i="34" a="1"/>
  <c r="E295" i="34" s="1"/>
  <c r="D295" i="34" a="1"/>
  <c r="D295" i="34" s="1"/>
  <c r="F294" i="34" a="1"/>
  <c r="F294" i="34" s="1"/>
  <c r="E294" i="34" a="1"/>
  <c r="E294" i="34" s="1"/>
  <c r="D294" i="34" a="1"/>
  <c r="D294" i="34" s="1"/>
  <c r="F293" i="34" a="1"/>
  <c r="F293" i="34" s="1"/>
  <c r="E293" i="34" a="1"/>
  <c r="E293" i="34" s="1"/>
  <c r="D293" i="34" a="1"/>
  <c r="D293" i="34" s="1"/>
  <c r="F292" i="34" a="1"/>
  <c r="F292" i="34" s="1"/>
  <c r="E292" i="34" a="1"/>
  <c r="E292" i="34" s="1"/>
  <c r="D292" i="34" a="1"/>
  <c r="D292" i="34" s="1"/>
  <c r="F291" i="34" a="1"/>
  <c r="F291" i="34" s="1"/>
  <c r="E291" i="34" a="1"/>
  <c r="E291" i="34" s="1"/>
  <c r="D291" i="34" a="1"/>
  <c r="D291" i="34" s="1"/>
  <c r="F290" i="34" a="1"/>
  <c r="F290" i="34" s="1"/>
  <c r="E290" i="34" a="1"/>
  <c r="E290" i="34" s="1"/>
  <c r="D290" i="34" a="1"/>
  <c r="D290" i="34" s="1"/>
  <c r="F289" i="34" a="1"/>
  <c r="F289" i="34" s="1"/>
  <c r="E289" i="34" a="1"/>
  <c r="E289" i="34" s="1"/>
  <c r="D289" i="34" a="1"/>
  <c r="D289" i="34" s="1"/>
  <c r="F288" i="34" a="1"/>
  <c r="F288" i="34" s="1"/>
  <c r="E288" i="34" a="1"/>
  <c r="E288" i="34" s="1"/>
  <c r="D288" i="34" a="1"/>
  <c r="D288" i="34" s="1"/>
  <c r="F287" i="34" a="1"/>
  <c r="F287" i="34" s="1"/>
  <c r="E287" i="34" a="1"/>
  <c r="E287" i="34" s="1"/>
  <c r="D287" i="34" a="1"/>
  <c r="D287" i="34" s="1"/>
  <c r="F286" i="34" a="1"/>
  <c r="F286" i="34" s="1"/>
  <c r="E286" i="34" a="1"/>
  <c r="E286" i="34" s="1"/>
  <c r="D286" i="34" a="1"/>
  <c r="D286" i="34" s="1"/>
  <c r="F285" i="34" a="1"/>
  <c r="F285" i="34" s="1"/>
  <c r="E285" i="34" a="1"/>
  <c r="E285" i="34" s="1"/>
  <c r="D285" i="34" a="1"/>
  <c r="D285" i="34" s="1"/>
  <c r="F284" i="34" a="1"/>
  <c r="F284" i="34" s="1"/>
  <c r="E284" i="34" a="1"/>
  <c r="E284" i="34" s="1"/>
  <c r="D284" i="34" a="1"/>
  <c r="D284" i="34" s="1"/>
  <c r="F283" i="34" a="1"/>
  <c r="F283" i="34" s="1"/>
  <c r="E283" i="34" a="1"/>
  <c r="E283" i="34" s="1"/>
  <c r="D283" i="34" a="1"/>
  <c r="D283" i="34" s="1"/>
  <c r="F282" i="34" a="1"/>
  <c r="F282" i="34" s="1"/>
  <c r="E282" i="34" a="1"/>
  <c r="E282" i="34" s="1"/>
  <c r="D282" i="34" a="1"/>
  <c r="D282" i="34" s="1"/>
  <c r="F281" i="34" a="1"/>
  <c r="F281" i="34" s="1"/>
  <c r="E281" i="34" a="1"/>
  <c r="E281" i="34" s="1"/>
  <c r="D281" i="34" a="1"/>
  <c r="D281" i="34" s="1"/>
  <c r="F280" i="34" a="1"/>
  <c r="F280" i="34" s="1"/>
  <c r="E280" i="34" a="1"/>
  <c r="E280" i="34" s="1"/>
  <c r="D280" i="34" a="1"/>
  <c r="D280" i="34" s="1"/>
  <c r="F279" i="34" a="1"/>
  <c r="F279" i="34" s="1"/>
  <c r="E279" i="34" a="1"/>
  <c r="E279" i="34" s="1"/>
  <c r="D279" i="34" a="1"/>
  <c r="D279" i="34" s="1"/>
  <c r="F278" i="34" a="1"/>
  <c r="F278" i="34" s="1"/>
  <c r="E278" i="34" a="1"/>
  <c r="E278" i="34" s="1"/>
  <c r="D278" i="34" a="1"/>
  <c r="D278" i="34" s="1"/>
  <c r="F277" i="34" a="1"/>
  <c r="F277" i="34" s="1"/>
  <c r="E277" i="34" a="1"/>
  <c r="E277" i="34" s="1"/>
  <c r="D277" i="34" a="1"/>
  <c r="D277" i="34" s="1"/>
  <c r="F276" i="34" a="1"/>
  <c r="F276" i="34" s="1"/>
  <c r="E276" i="34" a="1"/>
  <c r="E276" i="34" s="1"/>
  <c r="D276" i="34" a="1"/>
  <c r="D276" i="34" s="1"/>
  <c r="F275" i="34" a="1"/>
  <c r="F275" i="34" s="1"/>
  <c r="E275" i="34" a="1"/>
  <c r="E275" i="34" s="1"/>
  <c r="D275" i="34" a="1"/>
  <c r="D275" i="34" s="1"/>
  <c r="F274" i="34" a="1"/>
  <c r="F274" i="34" s="1"/>
  <c r="E274" i="34" a="1"/>
  <c r="E274" i="34" s="1"/>
  <c r="D274" i="34" a="1"/>
  <c r="D274" i="34" s="1"/>
  <c r="F273" i="34" a="1"/>
  <c r="F273" i="34" s="1"/>
  <c r="E273" i="34" a="1"/>
  <c r="E273" i="34" s="1"/>
  <c r="D273" i="34" a="1"/>
  <c r="D273" i="34" s="1"/>
  <c r="F272" i="34" a="1"/>
  <c r="F272" i="34" s="1"/>
  <c r="E272" i="34" a="1"/>
  <c r="E272" i="34" s="1"/>
  <c r="D272" i="34" a="1"/>
  <c r="D272" i="34" s="1"/>
  <c r="F271" i="34" a="1"/>
  <c r="F271" i="34" s="1"/>
  <c r="E271" i="34" a="1"/>
  <c r="E271" i="34" s="1"/>
  <c r="D271" i="34" a="1"/>
  <c r="D271" i="34" s="1"/>
  <c r="F270" i="34" a="1"/>
  <c r="F270" i="34" s="1"/>
  <c r="E270" i="34" a="1"/>
  <c r="E270" i="34" s="1"/>
  <c r="D270" i="34" a="1"/>
  <c r="D270" i="34" s="1"/>
  <c r="F269" i="34" a="1"/>
  <c r="F269" i="34" s="1"/>
  <c r="E269" i="34" a="1"/>
  <c r="E269" i="34" s="1"/>
  <c r="D269" i="34" a="1"/>
  <c r="D269" i="34" s="1"/>
  <c r="F268" i="34" a="1"/>
  <c r="F268" i="34" s="1"/>
  <c r="E268" i="34" a="1"/>
  <c r="E268" i="34" s="1"/>
  <c r="D268" i="34" a="1"/>
  <c r="D268" i="34" s="1"/>
  <c r="F267" i="34" a="1"/>
  <c r="F267" i="34" s="1"/>
  <c r="E267" i="34" a="1"/>
  <c r="E267" i="34" s="1"/>
  <c r="D267" i="34" a="1"/>
  <c r="D267" i="34" s="1"/>
  <c r="F266" i="34" a="1"/>
  <c r="F266" i="34" s="1"/>
  <c r="E266" i="34" a="1"/>
  <c r="E266" i="34" s="1"/>
  <c r="D266" i="34" a="1"/>
  <c r="D266" i="34" s="1"/>
  <c r="F265" i="34" a="1"/>
  <c r="F265" i="34" s="1"/>
  <c r="E265" i="34" a="1"/>
  <c r="E265" i="34" s="1"/>
  <c r="D265" i="34" a="1"/>
  <c r="D265" i="34" s="1"/>
  <c r="F264" i="34" a="1"/>
  <c r="F264" i="34" s="1"/>
  <c r="E264" i="34" a="1"/>
  <c r="E264" i="34" s="1"/>
  <c r="D264" i="34" a="1"/>
  <c r="D264" i="34" s="1"/>
  <c r="F263" i="34" a="1"/>
  <c r="F263" i="34" s="1"/>
  <c r="E263" i="34" a="1"/>
  <c r="E263" i="34" s="1"/>
  <c r="D263" i="34" a="1"/>
  <c r="D263" i="34" s="1"/>
  <c r="F262" i="34" a="1"/>
  <c r="F262" i="34" s="1"/>
  <c r="E262" i="34" a="1"/>
  <c r="E262" i="34" s="1"/>
  <c r="D262" i="34" a="1"/>
  <c r="D262" i="34" s="1"/>
  <c r="F261" i="34" a="1"/>
  <c r="F261" i="34" s="1"/>
  <c r="E261" i="34" a="1"/>
  <c r="E261" i="34" s="1"/>
  <c r="D261" i="34" a="1"/>
  <c r="D261" i="34" s="1"/>
  <c r="F260" i="34" a="1"/>
  <c r="F260" i="34" s="1"/>
  <c r="E260" i="34" a="1"/>
  <c r="E260" i="34" s="1"/>
  <c r="D260" i="34" a="1"/>
  <c r="D260" i="34" s="1"/>
  <c r="F259" i="34" a="1"/>
  <c r="F259" i="34" s="1"/>
  <c r="E259" i="34" a="1"/>
  <c r="E259" i="34" s="1"/>
  <c r="D259" i="34" a="1"/>
  <c r="D259" i="34" s="1"/>
  <c r="F258" i="34" a="1"/>
  <c r="F258" i="34" s="1"/>
  <c r="E258" i="34" a="1"/>
  <c r="E258" i="34" s="1"/>
  <c r="D258" i="34" a="1"/>
  <c r="D258" i="34" s="1"/>
  <c r="F257" i="34" a="1"/>
  <c r="F257" i="34" s="1"/>
  <c r="E257" i="34" a="1"/>
  <c r="E257" i="34" s="1"/>
  <c r="D257" i="34" a="1"/>
  <c r="D257" i="34" s="1"/>
  <c r="F256" i="34" a="1"/>
  <c r="F256" i="34" s="1"/>
  <c r="E256" i="34" a="1"/>
  <c r="E256" i="34" s="1"/>
  <c r="D256" i="34" a="1"/>
  <c r="D256" i="34" s="1"/>
  <c r="F255" i="34" a="1"/>
  <c r="F255" i="34" s="1"/>
  <c r="E255" i="34" a="1"/>
  <c r="E255" i="34" s="1"/>
  <c r="D255" i="34" a="1"/>
  <c r="D255" i="34" s="1"/>
  <c r="F254" i="34" a="1"/>
  <c r="F254" i="34" s="1"/>
  <c r="E254" i="34" a="1"/>
  <c r="E254" i="34" s="1"/>
  <c r="D254" i="34" a="1"/>
  <c r="D254" i="34" s="1"/>
  <c r="F253" i="34" a="1"/>
  <c r="F253" i="34" s="1"/>
  <c r="E253" i="34" a="1"/>
  <c r="E253" i="34" s="1"/>
  <c r="D253" i="34" a="1"/>
  <c r="D253" i="34" s="1"/>
  <c r="F252" i="34" a="1"/>
  <c r="F252" i="34" s="1"/>
  <c r="E252" i="34" a="1"/>
  <c r="E252" i="34" s="1"/>
  <c r="D252" i="34" a="1"/>
  <c r="D252" i="34" s="1"/>
  <c r="F251" i="34" a="1"/>
  <c r="F251" i="34" s="1"/>
  <c r="E251" i="34" a="1"/>
  <c r="E251" i="34" s="1"/>
  <c r="D251" i="34" a="1"/>
  <c r="D251" i="34" s="1"/>
  <c r="F250" i="34" a="1"/>
  <c r="F250" i="34" s="1"/>
  <c r="E250" i="34" a="1"/>
  <c r="E250" i="34" s="1"/>
  <c r="D250" i="34" a="1"/>
  <c r="D250" i="34" s="1"/>
  <c r="F249" i="34" a="1"/>
  <c r="F249" i="34" s="1"/>
  <c r="E249" i="34" a="1"/>
  <c r="E249" i="34" s="1"/>
  <c r="D249" i="34" a="1"/>
  <c r="D249" i="34" s="1"/>
  <c r="F248" i="34" a="1"/>
  <c r="F248" i="34" s="1"/>
  <c r="E248" i="34" a="1"/>
  <c r="E248" i="34" s="1"/>
  <c r="D248" i="34" a="1"/>
  <c r="D248" i="34" s="1"/>
  <c r="F247" i="34" a="1"/>
  <c r="F247" i="34" s="1"/>
  <c r="E247" i="34" a="1"/>
  <c r="E247" i="34" s="1"/>
  <c r="D247" i="34" a="1"/>
  <c r="D247" i="34" s="1"/>
  <c r="F246" i="34" a="1"/>
  <c r="F246" i="34" s="1"/>
  <c r="E246" i="34" a="1"/>
  <c r="E246" i="34" s="1"/>
  <c r="D246" i="34" a="1"/>
  <c r="D246" i="34" s="1"/>
  <c r="F245" i="34" a="1"/>
  <c r="F245" i="34" s="1"/>
  <c r="E245" i="34" a="1"/>
  <c r="E245" i="34" s="1"/>
  <c r="D245" i="34" a="1"/>
  <c r="D245" i="34" s="1"/>
  <c r="F244" i="34" a="1"/>
  <c r="F244" i="34" s="1"/>
  <c r="E244" i="34" a="1"/>
  <c r="E244" i="34" s="1"/>
  <c r="D244" i="34" a="1"/>
  <c r="D244" i="34" s="1"/>
  <c r="F243" i="34" a="1"/>
  <c r="F243" i="34" s="1"/>
  <c r="E243" i="34" a="1"/>
  <c r="E243" i="34" s="1"/>
  <c r="D243" i="34" a="1"/>
  <c r="D243" i="34" s="1"/>
  <c r="F242" i="34" a="1"/>
  <c r="F242" i="34" s="1"/>
  <c r="E242" i="34" a="1"/>
  <c r="E242" i="34" s="1"/>
  <c r="D242" i="34" a="1"/>
  <c r="D242" i="34" s="1"/>
  <c r="F241" i="34" a="1"/>
  <c r="F241" i="34" s="1"/>
  <c r="E241" i="34" a="1"/>
  <c r="E241" i="34" s="1"/>
  <c r="D241" i="34" a="1"/>
  <c r="D241" i="34" s="1"/>
  <c r="F240" i="34" a="1"/>
  <c r="F240" i="34" s="1"/>
  <c r="E240" i="34" a="1"/>
  <c r="E240" i="34" s="1"/>
  <c r="D240" i="34" a="1"/>
  <c r="D240" i="34" s="1"/>
  <c r="F239" i="34" a="1"/>
  <c r="F239" i="34" s="1"/>
  <c r="E239" i="34" a="1"/>
  <c r="E239" i="34" s="1"/>
  <c r="D239" i="34" a="1"/>
  <c r="D239" i="34" s="1"/>
  <c r="F238" i="34" a="1"/>
  <c r="F238" i="34" s="1"/>
  <c r="E238" i="34" a="1"/>
  <c r="E238" i="34" s="1"/>
  <c r="D238" i="34" a="1"/>
  <c r="D238" i="34" s="1"/>
  <c r="F237" i="34" a="1"/>
  <c r="F237" i="34" s="1"/>
  <c r="E237" i="34" a="1"/>
  <c r="E237" i="34" s="1"/>
  <c r="D237" i="34" a="1"/>
  <c r="D237" i="34" s="1"/>
  <c r="F236" i="34" a="1"/>
  <c r="F236" i="34" s="1"/>
  <c r="E236" i="34" a="1"/>
  <c r="E236" i="34" s="1"/>
  <c r="D236" i="34" a="1"/>
  <c r="D236" i="34" s="1"/>
  <c r="F235" i="34" a="1"/>
  <c r="F235" i="34" s="1"/>
  <c r="E235" i="34" a="1"/>
  <c r="E235" i="34" s="1"/>
  <c r="D235" i="34" a="1"/>
  <c r="D235" i="34" s="1"/>
  <c r="F234" i="34" a="1"/>
  <c r="F234" i="34" s="1"/>
  <c r="E234" i="34" a="1"/>
  <c r="E234" i="34" s="1"/>
  <c r="D234" i="34" a="1"/>
  <c r="D234" i="34" s="1"/>
  <c r="F233" i="34" a="1"/>
  <c r="F233" i="34" s="1"/>
  <c r="E233" i="34" a="1"/>
  <c r="E233" i="34" s="1"/>
  <c r="D233" i="34" a="1"/>
  <c r="D233" i="34" s="1"/>
  <c r="F232" i="34" a="1"/>
  <c r="F232" i="34" s="1"/>
  <c r="E232" i="34" a="1"/>
  <c r="E232" i="34" s="1"/>
  <c r="D232" i="34" a="1"/>
  <c r="D232" i="34" s="1"/>
  <c r="F231" i="34" a="1"/>
  <c r="F231" i="34" s="1"/>
  <c r="E231" i="34" a="1"/>
  <c r="E231" i="34" s="1"/>
  <c r="D231" i="34" a="1"/>
  <c r="D231" i="34" s="1"/>
  <c r="F230" i="34" a="1"/>
  <c r="F230" i="34" s="1"/>
  <c r="E230" i="34" a="1"/>
  <c r="E230" i="34" s="1"/>
  <c r="D230" i="34" a="1"/>
  <c r="D230" i="34" s="1"/>
  <c r="F229" i="34" a="1"/>
  <c r="F229" i="34" s="1"/>
  <c r="E229" i="34" a="1"/>
  <c r="E229" i="34" s="1"/>
  <c r="D229" i="34" a="1"/>
  <c r="D229" i="34" s="1"/>
  <c r="F228" i="34" a="1"/>
  <c r="F228" i="34" s="1"/>
  <c r="E228" i="34" a="1"/>
  <c r="E228" i="34" s="1"/>
  <c r="D228" i="34" a="1"/>
  <c r="D228" i="34" s="1"/>
  <c r="F227" i="34" a="1"/>
  <c r="F227" i="34" s="1"/>
  <c r="E227" i="34" a="1"/>
  <c r="E227" i="34" s="1"/>
  <c r="D227" i="34" a="1"/>
  <c r="D227" i="34" s="1"/>
  <c r="F226" i="34" a="1"/>
  <c r="F226" i="34" s="1"/>
  <c r="E226" i="34" a="1"/>
  <c r="E226" i="34" s="1"/>
  <c r="D226" i="34" a="1"/>
  <c r="D226" i="34" s="1"/>
  <c r="F225" i="34" a="1"/>
  <c r="F225" i="34" s="1"/>
  <c r="E225" i="34" a="1"/>
  <c r="E225" i="34" s="1"/>
  <c r="D225" i="34" a="1"/>
  <c r="D225" i="34" s="1"/>
  <c r="F224" i="34" a="1"/>
  <c r="F224" i="34" s="1"/>
  <c r="E224" i="34" a="1"/>
  <c r="E224" i="34" s="1"/>
  <c r="D224" i="34" a="1"/>
  <c r="D224" i="34" s="1"/>
  <c r="F223" i="34" a="1"/>
  <c r="F223" i="34" s="1"/>
  <c r="E223" i="34" a="1"/>
  <c r="E223" i="34" s="1"/>
  <c r="D223" i="34" a="1"/>
  <c r="D223" i="34" s="1"/>
  <c r="F222" i="34" a="1"/>
  <c r="F222" i="34" s="1"/>
  <c r="E222" i="34" a="1"/>
  <c r="E222" i="34" s="1"/>
  <c r="D222" i="34" a="1"/>
  <c r="D222" i="34" s="1"/>
  <c r="F221" i="34" a="1"/>
  <c r="F221" i="34" s="1"/>
  <c r="E221" i="34" a="1"/>
  <c r="E221" i="34" s="1"/>
  <c r="D221" i="34" a="1"/>
  <c r="D221" i="34" s="1"/>
  <c r="F220" i="34" a="1"/>
  <c r="F220" i="34" s="1"/>
  <c r="E220" i="34" a="1"/>
  <c r="E220" i="34" s="1"/>
  <c r="D220" i="34" a="1"/>
  <c r="D220" i="34" s="1"/>
  <c r="F219" i="34" a="1"/>
  <c r="F219" i="34" s="1"/>
  <c r="E219" i="34" a="1"/>
  <c r="E219" i="34" s="1"/>
  <c r="D219" i="34" a="1"/>
  <c r="D219" i="34" s="1"/>
  <c r="F218" i="34" a="1"/>
  <c r="F218" i="34" s="1"/>
  <c r="E218" i="34" a="1"/>
  <c r="E218" i="34" s="1"/>
  <c r="D218" i="34" a="1"/>
  <c r="D218" i="34" s="1"/>
  <c r="F217" i="34" a="1"/>
  <c r="F217" i="34" s="1"/>
  <c r="E217" i="34" a="1"/>
  <c r="E217" i="34" s="1"/>
  <c r="D217" i="34" a="1"/>
  <c r="D217" i="34" s="1"/>
  <c r="F216" i="34" a="1"/>
  <c r="F216" i="34" s="1"/>
  <c r="E216" i="34" a="1"/>
  <c r="E216" i="34" s="1"/>
  <c r="D216" i="34" a="1"/>
  <c r="D216" i="34" s="1"/>
  <c r="F215" i="34" a="1"/>
  <c r="F215" i="34" s="1"/>
  <c r="E215" i="34" a="1"/>
  <c r="E215" i="34" s="1"/>
  <c r="D215" i="34" a="1"/>
  <c r="D215" i="34" s="1"/>
  <c r="F214" i="34" a="1"/>
  <c r="F214" i="34" s="1"/>
  <c r="E214" i="34" a="1"/>
  <c r="E214" i="34" s="1"/>
  <c r="D214" i="34" a="1"/>
  <c r="D214" i="34" s="1"/>
  <c r="F213" i="34" a="1"/>
  <c r="F213" i="34" s="1"/>
  <c r="E213" i="34" a="1"/>
  <c r="E213" i="34" s="1"/>
  <c r="D213" i="34" a="1"/>
  <c r="D213" i="34" s="1"/>
  <c r="F212" i="34" a="1"/>
  <c r="F212" i="34" s="1"/>
  <c r="E212" i="34" a="1"/>
  <c r="E212" i="34" s="1"/>
  <c r="D212" i="34" a="1"/>
  <c r="D212" i="34" s="1"/>
  <c r="F211" i="34" a="1"/>
  <c r="F211" i="34" s="1"/>
  <c r="E211" i="34" a="1"/>
  <c r="E211" i="34" s="1"/>
  <c r="D211" i="34" a="1"/>
  <c r="D211" i="34" s="1"/>
  <c r="F210" i="34" a="1"/>
  <c r="F210" i="34" s="1"/>
  <c r="E210" i="34" a="1"/>
  <c r="E210" i="34" s="1"/>
  <c r="D210" i="34" a="1"/>
  <c r="D210" i="34" s="1"/>
  <c r="F209" i="34" a="1"/>
  <c r="F209" i="34" s="1"/>
  <c r="E209" i="34" a="1"/>
  <c r="E209" i="34" s="1"/>
  <c r="D209" i="34" a="1"/>
  <c r="D209" i="34" s="1"/>
  <c r="F208" i="34" a="1"/>
  <c r="F208" i="34" s="1"/>
  <c r="E208" i="34" a="1"/>
  <c r="E208" i="34" s="1"/>
  <c r="D208" i="34" a="1"/>
  <c r="D208" i="34" s="1"/>
  <c r="F207" i="34" a="1"/>
  <c r="F207" i="34" s="1"/>
  <c r="E207" i="34" a="1"/>
  <c r="E207" i="34" s="1"/>
  <c r="D207" i="34" a="1"/>
  <c r="D207" i="34" s="1"/>
  <c r="F206" i="34" a="1"/>
  <c r="F206" i="34" s="1"/>
  <c r="E206" i="34" a="1"/>
  <c r="E206" i="34" s="1"/>
  <c r="D206" i="34" a="1"/>
  <c r="D206" i="34" s="1"/>
  <c r="F205" i="34" a="1"/>
  <c r="F205" i="34" s="1"/>
  <c r="E205" i="34" a="1"/>
  <c r="E205" i="34" s="1"/>
  <c r="D205" i="34" a="1"/>
  <c r="D205" i="34" s="1"/>
  <c r="F204" i="34" a="1"/>
  <c r="F204" i="34" s="1"/>
  <c r="E204" i="34" a="1"/>
  <c r="E204" i="34" s="1"/>
  <c r="D204" i="34" a="1"/>
  <c r="D204" i="34" s="1"/>
  <c r="F203" i="34" a="1"/>
  <c r="F203" i="34" s="1"/>
  <c r="E203" i="34" a="1"/>
  <c r="E203" i="34" s="1"/>
  <c r="D203" i="34" a="1"/>
  <c r="D203" i="34" s="1"/>
  <c r="F202" i="34" a="1"/>
  <c r="F202" i="34" s="1"/>
  <c r="E202" i="34" a="1"/>
  <c r="E202" i="34" s="1"/>
  <c r="D202" i="34" a="1"/>
  <c r="D202" i="34" s="1"/>
  <c r="F201" i="34" a="1"/>
  <c r="F201" i="34" s="1"/>
  <c r="E201" i="34" a="1"/>
  <c r="E201" i="34" s="1"/>
  <c r="D201" i="34" a="1"/>
  <c r="D201" i="34" s="1"/>
  <c r="F200" i="34" a="1"/>
  <c r="F200" i="34" s="1"/>
  <c r="E200" i="34" a="1"/>
  <c r="E200" i="34" s="1"/>
  <c r="D200" i="34" a="1"/>
  <c r="D200" i="34" s="1"/>
  <c r="F199" i="34" a="1"/>
  <c r="F199" i="34" s="1"/>
  <c r="E199" i="34" a="1"/>
  <c r="E199" i="34" s="1"/>
  <c r="D199" i="34" a="1"/>
  <c r="D199" i="34" s="1"/>
  <c r="F198" i="34" a="1"/>
  <c r="F198" i="34" s="1"/>
  <c r="E198" i="34" a="1"/>
  <c r="E198" i="34" s="1"/>
  <c r="D198" i="34" a="1"/>
  <c r="D198" i="34" s="1"/>
  <c r="F197" i="34" a="1"/>
  <c r="F197" i="34" s="1"/>
  <c r="E197" i="34" a="1"/>
  <c r="E197" i="34" s="1"/>
  <c r="D197" i="34" a="1"/>
  <c r="D197" i="34" s="1"/>
  <c r="F196" i="34" a="1"/>
  <c r="F196" i="34" s="1"/>
  <c r="E196" i="34" a="1"/>
  <c r="E196" i="34" s="1"/>
  <c r="D196" i="34" a="1"/>
  <c r="D196" i="34" s="1"/>
  <c r="F195" i="34" a="1"/>
  <c r="F195" i="34" s="1"/>
  <c r="E195" i="34" a="1"/>
  <c r="E195" i="34" s="1"/>
  <c r="D195" i="34" a="1"/>
  <c r="D195" i="34" s="1"/>
  <c r="F194" i="34" a="1"/>
  <c r="F194" i="34" s="1"/>
  <c r="E194" i="34" a="1"/>
  <c r="E194" i="34" s="1"/>
  <c r="D194" i="34" a="1"/>
  <c r="D194" i="34" s="1"/>
  <c r="F193" i="34" a="1"/>
  <c r="F193" i="34" s="1"/>
  <c r="E193" i="34" a="1"/>
  <c r="E193" i="34" s="1"/>
  <c r="D193" i="34" a="1"/>
  <c r="D193" i="34" s="1"/>
  <c r="F192" i="34" a="1"/>
  <c r="F192" i="34" s="1"/>
  <c r="E192" i="34" a="1"/>
  <c r="E192" i="34" s="1"/>
  <c r="D192" i="34" a="1"/>
  <c r="D192" i="34" s="1"/>
  <c r="F191" i="34" a="1"/>
  <c r="F191" i="34" s="1"/>
  <c r="E191" i="34" a="1"/>
  <c r="E191" i="34" s="1"/>
  <c r="D191" i="34" a="1"/>
  <c r="D191" i="34" s="1"/>
  <c r="F190" i="34" a="1"/>
  <c r="F190" i="34" s="1"/>
  <c r="E190" i="34" a="1"/>
  <c r="E190" i="34" s="1"/>
  <c r="D190" i="34" a="1"/>
  <c r="D190" i="34" s="1"/>
  <c r="F189" i="34" a="1"/>
  <c r="F189" i="34" s="1"/>
  <c r="E189" i="34" a="1"/>
  <c r="E189" i="34" s="1"/>
  <c r="D189" i="34" a="1"/>
  <c r="D189" i="34" s="1"/>
  <c r="F188" i="34" a="1"/>
  <c r="F188" i="34" s="1"/>
  <c r="E188" i="34" a="1"/>
  <c r="E188" i="34" s="1"/>
  <c r="D188" i="34" a="1"/>
  <c r="D188" i="34" s="1"/>
  <c r="F187" i="34" a="1"/>
  <c r="F187" i="34" s="1"/>
  <c r="E187" i="34" a="1"/>
  <c r="E187" i="34" s="1"/>
  <c r="D187" i="34" a="1"/>
  <c r="D187" i="34" s="1"/>
  <c r="F186" i="34" a="1"/>
  <c r="F186" i="34" s="1"/>
  <c r="E186" i="34" a="1"/>
  <c r="E186" i="34" s="1"/>
  <c r="D186" i="34" a="1"/>
  <c r="D186" i="34" s="1"/>
  <c r="F185" i="34" a="1"/>
  <c r="F185" i="34" s="1"/>
  <c r="E185" i="34" a="1"/>
  <c r="E185" i="34" s="1"/>
  <c r="D185" i="34" a="1"/>
  <c r="D185" i="34" s="1"/>
  <c r="F184" i="34" a="1"/>
  <c r="F184" i="34" s="1"/>
  <c r="E184" i="34" a="1"/>
  <c r="E184" i="34" s="1"/>
  <c r="D184" i="34" a="1"/>
  <c r="D184" i="34" s="1"/>
  <c r="F183" i="34" a="1"/>
  <c r="F183" i="34" s="1"/>
  <c r="E183" i="34" a="1"/>
  <c r="E183" i="34" s="1"/>
  <c r="D183" i="34" a="1"/>
  <c r="D183" i="34" s="1"/>
  <c r="F182" i="34" a="1"/>
  <c r="F182" i="34" s="1"/>
  <c r="E182" i="34" a="1"/>
  <c r="E182" i="34" s="1"/>
  <c r="D182" i="34" a="1"/>
  <c r="D182" i="34" s="1"/>
  <c r="F181" i="34" a="1"/>
  <c r="F181" i="34" s="1"/>
  <c r="E181" i="34" a="1"/>
  <c r="E181" i="34" s="1"/>
  <c r="D181" i="34" a="1"/>
  <c r="D181" i="34" s="1"/>
  <c r="F180" i="34" a="1"/>
  <c r="F180" i="34" s="1"/>
  <c r="E180" i="34" a="1"/>
  <c r="E180" i="34" s="1"/>
  <c r="D180" i="34" a="1"/>
  <c r="D180" i="34" s="1"/>
  <c r="F179" i="34" a="1"/>
  <c r="F179" i="34" s="1"/>
  <c r="E179" i="34" a="1"/>
  <c r="E179" i="34" s="1"/>
  <c r="D179" i="34" a="1"/>
  <c r="D179" i="34" s="1"/>
  <c r="F178" i="34" a="1"/>
  <c r="F178" i="34" s="1"/>
  <c r="E178" i="34" a="1"/>
  <c r="E178" i="34" s="1"/>
  <c r="D178" i="34" a="1"/>
  <c r="D178" i="34" s="1"/>
  <c r="F177" i="34" a="1"/>
  <c r="F177" i="34" s="1"/>
  <c r="E177" i="34" a="1"/>
  <c r="E177" i="34" s="1"/>
  <c r="D177" i="34" a="1"/>
  <c r="D177" i="34" s="1"/>
  <c r="F176" i="34" a="1"/>
  <c r="F176" i="34" s="1"/>
  <c r="E176" i="34" a="1"/>
  <c r="E176" i="34" s="1"/>
  <c r="D176" i="34" a="1"/>
  <c r="D176" i="34" s="1"/>
  <c r="F175" i="34" a="1"/>
  <c r="F175" i="34" s="1"/>
  <c r="E175" i="34" a="1"/>
  <c r="E175" i="34" s="1"/>
  <c r="D175" i="34" a="1"/>
  <c r="D175" i="34" s="1"/>
  <c r="F174" i="34" a="1"/>
  <c r="F174" i="34" s="1"/>
  <c r="E174" i="34" a="1"/>
  <c r="E174" i="34" s="1"/>
  <c r="D174" i="34" a="1"/>
  <c r="D174" i="34" s="1"/>
  <c r="F173" i="34" a="1"/>
  <c r="F173" i="34" s="1"/>
  <c r="E173" i="34" a="1"/>
  <c r="E173" i="34" s="1"/>
  <c r="D173" i="34" a="1"/>
  <c r="D173" i="34" s="1"/>
  <c r="F172" i="34" a="1"/>
  <c r="F172" i="34" s="1"/>
  <c r="E172" i="34" a="1"/>
  <c r="E172" i="34" s="1"/>
  <c r="D172" i="34" a="1"/>
  <c r="D172" i="34" s="1"/>
  <c r="F171" i="34" a="1"/>
  <c r="F171" i="34" s="1"/>
  <c r="E171" i="34" a="1"/>
  <c r="E171" i="34" s="1"/>
  <c r="D171" i="34" a="1"/>
  <c r="D171" i="34" s="1"/>
  <c r="F170" i="34" a="1"/>
  <c r="F170" i="34" s="1"/>
  <c r="E170" i="34" a="1"/>
  <c r="E170" i="34" s="1"/>
  <c r="D170" i="34" a="1"/>
  <c r="D170" i="34" s="1"/>
  <c r="F169" i="34" a="1"/>
  <c r="F169" i="34" s="1"/>
  <c r="E169" i="34" a="1"/>
  <c r="E169" i="34" s="1"/>
  <c r="D169" i="34" a="1"/>
  <c r="D169" i="34" s="1"/>
  <c r="F168" i="34" a="1"/>
  <c r="F168" i="34" s="1"/>
  <c r="E168" i="34" a="1"/>
  <c r="E168" i="34" s="1"/>
  <c r="D168" i="34" a="1"/>
  <c r="D168" i="34" s="1"/>
  <c r="F167" i="34" a="1"/>
  <c r="F167" i="34" s="1"/>
  <c r="E167" i="34" a="1"/>
  <c r="E167" i="34" s="1"/>
  <c r="D167" i="34" a="1"/>
  <c r="D167" i="34" s="1"/>
  <c r="F166" i="34" a="1"/>
  <c r="F166" i="34" s="1"/>
  <c r="E166" i="34" a="1"/>
  <c r="E166" i="34" s="1"/>
  <c r="D166" i="34" a="1"/>
  <c r="D166" i="34" s="1"/>
  <c r="F165" i="34" a="1"/>
  <c r="F165" i="34" s="1"/>
  <c r="E165" i="34" a="1"/>
  <c r="E165" i="34" s="1"/>
  <c r="D165" i="34" a="1"/>
  <c r="D165" i="34" s="1"/>
  <c r="F164" i="34" a="1"/>
  <c r="F164" i="34" s="1"/>
  <c r="E164" i="34" a="1"/>
  <c r="E164" i="34" s="1"/>
  <c r="D164" i="34" a="1"/>
  <c r="D164" i="34" s="1"/>
  <c r="F163" i="34" a="1"/>
  <c r="F163" i="34" s="1"/>
  <c r="E163" i="34" a="1"/>
  <c r="E163" i="34" s="1"/>
  <c r="D163" i="34" a="1"/>
  <c r="D163" i="34" s="1"/>
  <c r="F162" i="34" a="1"/>
  <c r="F162" i="34" s="1"/>
  <c r="E162" i="34" a="1"/>
  <c r="E162" i="34" s="1"/>
  <c r="D162" i="34" a="1"/>
  <c r="D162" i="34" s="1"/>
  <c r="F161" i="34" a="1"/>
  <c r="F161" i="34" s="1"/>
  <c r="E161" i="34" a="1"/>
  <c r="E161" i="34" s="1"/>
  <c r="D161" i="34" a="1"/>
  <c r="D161" i="34" s="1"/>
  <c r="F160" i="34" a="1"/>
  <c r="F160" i="34" s="1"/>
  <c r="E160" i="34" a="1"/>
  <c r="E160" i="34" s="1"/>
  <c r="D160" i="34" a="1"/>
  <c r="D160" i="34" s="1"/>
  <c r="F159" i="34" a="1"/>
  <c r="F159" i="34" s="1"/>
  <c r="E159" i="34" a="1"/>
  <c r="E159" i="34" s="1"/>
  <c r="D159" i="34" a="1"/>
  <c r="D159" i="34" s="1"/>
  <c r="F158" i="34" a="1"/>
  <c r="F158" i="34" s="1"/>
  <c r="E158" i="34" a="1"/>
  <c r="E158" i="34" s="1"/>
  <c r="D158" i="34" a="1"/>
  <c r="D158" i="34" s="1"/>
  <c r="F157" i="34" a="1"/>
  <c r="F157" i="34" s="1"/>
  <c r="E157" i="34" a="1"/>
  <c r="E157" i="34" s="1"/>
  <c r="D157" i="34" a="1"/>
  <c r="D157" i="34" s="1"/>
  <c r="F156" i="34" a="1"/>
  <c r="F156" i="34" s="1"/>
  <c r="E156" i="34" a="1"/>
  <c r="E156" i="34" s="1"/>
  <c r="D156" i="34" a="1"/>
  <c r="D156" i="34" s="1"/>
  <c r="F155" i="34" a="1"/>
  <c r="F155" i="34" s="1"/>
  <c r="E155" i="34" a="1"/>
  <c r="E155" i="34" s="1"/>
  <c r="D155" i="34" a="1"/>
  <c r="D155" i="34" s="1"/>
  <c r="F154" i="34" a="1"/>
  <c r="F154" i="34" s="1"/>
  <c r="E154" i="34" a="1"/>
  <c r="E154" i="34" s="1"/>
  <c r="D154" i="34" a="1"/>
  <c r="D154" i="34" s="1"/>
  <c r="F153" i="34" a="1"/>
  <c r="F153" i="34" s="1"/>
  <c r="E153" i="34" a="1"/>
  <c r="E153" i="34" s="1"/>
  <c r="D153" i="34" a="1"/>
  <c r="D153" i="34" s="1"/>
  <c r="F152" i="34" a="1"/>
  <c r="F152" i="34" s="1"/>
  <c r="E152" i="34" a="1"/>
  <c r="E152" i="34" s="1"/>
  <c r="D152" i="34" a="1"/>
  <c r="D152" i="34" s="1"/>
  <c r="F151" i="34" a="1"/>
  <c r="F151" i="34" s="1"/>
  <c r="E151" i="34" a="1"/>
  <c r="E151" i="34" s="1"/>
  <c r="D151" i="34" a="1"/>
  <c r="D151" i="34" s="1"/>
  <c r="F150" i="34" a="1"/>
  <c r="F150" i="34" s="1"/>
  <c r="E150" i="34" a="1"/>
  <c r="E150" i="34" s="1"/>
  <c r="D150" i="34" a="1"/>
  <c r="D150" i="34" s="1"/>
  <c r="F149" i="34" a="1"/>
  <c r="F149" i="34" s="1"/>
  <c r="E149" i="34" a="1"/>
  <c r="E149" i="34" s="1"/>
  <c r="D149" i="34" a="1"/>
  <c r="D149" i="34" s="1"/>
  <c r="F148" i="34" a="1"/>
  <c r="F148" i="34" s="1"/>
  <c r="E148" i="34" a="1"/>
  <c r="E148" i="34" s="1"/>
  <c r="D148" i="34" a="1"/>
  <c r="D148" i="34" s="1"/>
  <c r="F147" i="34" a="1"/>
  <c r="F147" i="34" s="1"/>
  <c r="E147" i="34" a="1"/>
  <c r="E147" i="34" s="1"/>
  <c r="D147" i="34" a="1"/>
  <c r="D147" i="34" s="1"/>
  <c r="F146" i="34" a="1"/>
  <c r="F146" i="34" s="1"/>
  <c r="E146" i="34" a="1"/>
  <c r="E146" i="34" s="1"/>
  <c r="D146" i="34" a="1"/>
  <c r="D146" i="34" s="1"/>
  <c r="F145" i="34" a="1"/>
  <c r="F145" i="34" s="1"/>
  <c r="E145" i="34" a="1"/>
  <c r="E145" i="34" s="1"/>
  <c r="D145" i="34" a="1"/>
  <c r="D145" i="34" s="1"/>
  <c r="F144" i="34" a="1"/>
  <c r="F144" i="34" s="1"/>
  <c r="E144" i="34" a="1"/>
  <c r="E144" i="34" s="1"/>
  <c r="D144" i="34" a="1"/>
  <c r="D144" i="34" s="1"/>
  <c r="F143" i="34" a="1"/>
  <c r="F143" i="34" s="1"/>
  <c r="E143" i="34" a="1"/>
  <c r="E143" i="34" s="1"/>
  <c r="D143" i="34" a="1"/>
  <c r="D143" i="34" s="1"/>
  <c r="F142" i="34" a="1"/>
  <c r="F142" i="34" s="1"/>
  <c r="E142" i="34" a="1"/>
  <c r="E142" i="34" s="1"/>
  <c r="D142" i="34" a="1"/>
  <c r="D142" i="34" s="1"/>
  <c r="F141" i="34" a="1"/>
  <c r="F141" i="34" s="1"/>
  <c r="E141" i="34" a="1"/>
  <c r="E141" i="34" s="1"/>
  <c r="D141" i="34" a="1"/>
  <c r="D141" i="34" s="1"/>
  <c r="F140" i="34" a="1"/>
  <c r="F140" i="34" s="1"/>
  <c r="E140" i="34" a="1"/>
  <c r="E140" i="34" s="1"/>
  <c r="D140" i="34" a="1"/>
  <c r="D140" i="34" s="1"/>
  <c r="F139" i="34" a="1"/>
  <c r="F139" i="34" s="1"/>
  <c r="E139" i="34" a="1"/>
  <c r="E139" i="34" s="1"/>
  <c r="D139" i="34" a="1"/>
  <c r="D139" i="34" s="1"/>
  <c r="F138" i="34" a="1"/>
  <c r="F138" i="34" s="1"/>
  <c r="E138" i="34" a="1"/>
  <c r="E138" i="34" s="1"/>
  <c r="D138" i="34" a="1"/>
  <c r="D138" i="34" s="1"/>
  <c r="F137" i="34" a="1"/>
  <c r="F137" i="34" s="1"/>
  <c r="E137" i="34" a="1"/>
  <c r="E137" i="34" s="1"/>
  <c r="D137" i="34" a="1"/>
  <c r="D137" i="34" s="1"/>
  <c r="F136" i="34" a="1"/>
  <c r="F136" i="34" s="1"/>
  <c r="E136" i="34" a="1"/>
  <c r="E136" i="34" s="1"/>
  <c r="D136" i="34" a="1"/>
  <c r="D136" i="34" s="1"/>
  <c r="F135" i="34" a="1"/>
  <c r="F135" i="34" s="1"/>
  <c r="E135" i="34" a="1"/>
  <c r="E135" i="34" s="1"/>
  <c r="D135" i="34" a="1"/>
  <c r="D135" i="34" s="1"/>
  <c r="F134" i="34" a="1"/>
  <c r="F134" i="34" s="1"/>
  <c r="E134" i="34" a="1"/>
  <c r="E134" i="34" s="1"/>
  <c r="D134" i="34" a="1"/>
  <c r="D134" i="34" s="1"/>
  <c r="F133" i="34" a="1"/>
  <c r="F133" i="34" s="1"/>
  <c r="E133" i="34" a="1"/>
  <c r="E133" i="34" s="1"/>
  <c r="D133" i="34" a="1"/>
  <c r="D133" i="34" s="1"/>
  <c r="F132" i="34" a="1"/>
  <c r="F132" i="34" s="1"/>
  <c r="E132" i="34" a="1"/>
  <c r="E132" i="34" s="1"/>
  <c r="D132" i="34" a="1"/>
  <c r="D132" i="34" s="1"/>
  <c r="F131" i="34" a="1"/>
  <c r="F131" i="34" s="1"/>
  <c r="E131" i="34" a="1"/>
  <c r="E131" i="34" s="1"/>
  <c r="D131" i="34" a="1"/>
  <c r="D131" i="34" s="1"/>
  <c r="F130" i="34" a="1"/>
  <c r="F130" i="34" s="1"/>
  <c r="E130" i="34" a="1"/>
  <c r="E130" i="34" s="1"/>
  <c r="D130" i="34" a="1"/>
  <c r="D130" i="34" s="1"/>
  <c r="F129" i="34" a="1"/>
  <c r="F129" i="34" s="1"/>
  <c r="E129" i="34" a="1"/>
  <c r="E129" i="34" s="1"/>
  <c r="D129" i="34" a="1"/>
  <c r="D129" i="34" s="1"/>
  <c r="F128" i="34" a="1"/>
  <c r="F128" i="34" s="1"/>
  <c r="E128" i="34" a="1"/>
  <c r="E128" i="34" s="1"/>
  <c r="D128" i="34" a="1"/>
  <c r="D128" i="34" s="1"/>
  <c r="F127" i="34" a="1"/>
  <c r="F127" i="34" s="1"/>
  <c r="E127" i="34" a="1"/>
  <c r="E127" i="34" s="1"/>
  <c r="D127" i="34" a="1"/>
  <c r="D127" i="34" s="1"/>
  <c r="F126" i="34" a="1"/>
  <c r="F126" i="34" s="1"/>
  <c r="E126" i="34" a="1"/>
  <c r="E126" i="34" s="1"/>
  <c r="D126" i="34" a="1"/>
  <c r="D126" i="34" s="1"/>
  <c r="F125" i="34" a="1"/>
  <c r="F125" i="34" s="1"/>
  <c r="E125" i="34" a="1"/>
  <c r="E125" i="34" s="1"/>
  <c r="D125" i="34" a="1"/>
  <c r="D125" i="34" s="1"/>
  <c r="F124" i="34" a="1"/>
  <c r="F124" i="34" s="1"/>
  <c r="E124" i="34" a="1"/>
  <c r="E124" i="34" s="1"/>
  <c r="D124" i="34" a="1"/>
  <c r="D124" i="34" s="1"/>
  <c r="F123" i="34" a="1"/>
  <c r="F123" i="34" s="1"/>
  <c r="E123" i="34" a="1"/>
  <c r="E123" i="34" s="1"/>
  <c r="D123" i="34" a="1"/>
  <c r="D123" i="34" s="1"/>
  <c r="F122" i="34" a="1"/>
  <c r="F122" i="34" s="1"/>
  <c r="E122" i="34" a="1"/>
  <c r="E122" i="34" s="1"/>
  <c r="D122" i="34" a="1"/>
  <c r="D122" i="34" s="1"/>
  <c r="F121" i="34" a="1"/>
  <c r="F121" i="34" s="1"/>
  <c r="E121" i="34" a="1"/>
  <c r="E121" i="34" s="1"/>
  <c r="D121" i="34" a="1"/>
  <c r="D121" i="34" s="1"/>
  <c r="F120" i="34" a="1"/>
  <c r="F120" i="34" s="1"/>
  <c r="E120" i="34" a="1"/>
  <c r="E120" i="34" s="1"/>
  <c r="D120" i="34" a="1"/>
  <c r="D120" i="34" s="1"/>
  <c r="F119" i="34" a="1"/>
  <c r="F119" i="34" s="1"/>
  <c r="E119" i="34" a="1"/>
  <c r="E119" i="34" s="1"/>
  <c r="D119" i="34" a="1"/>
  <c r="D119" i="34" s="1"/>
  <c r="F118" i="34" a="1"/>
  <c r="F118" i="34" s="1"/>
  <c r="E118" i="34" a="1"/>
  <c r="E118" i="34" s="1"/>
  <c r="D118" i="34" a="1"/>
  <c r="D118" i="34" s="1"/>
  <c r="F117" i="34" a="1"/>
  <c r="F117" i="34" s="1"/>
  <c r="E117" i="34" a="1"/>
  <c r="E117" i="34" s="1"/>
  <c r="D117" i="34" a="1"/>
  <c r="D117" i="34" s="1"/>
  <c r="F116" i="34" a="1"/>
  <c r="F116" i="34" s="1"/>
  <c r="E116" i="34" a="1"/>
  <c r="E116" i="34" s="1"/>
  <c r="D116" i="34" a="1"/>
  <c r="D116" i="34" s="1"/>
  <c r="F115" i="34" a="1"/>
  <c r="F115" i="34" s="1"/>
  <c r="E115" i="34" a="1"/>
  <c r="E115" i="34" s="1"/>
  <c r="D115" i="34" a="1"/>
  <c r="D115" i="34" s="1"/>
  <c r="F114" i="34" a="1"/>
  <c r="F114" i="34" s="1"/>
  <c r="E114" i="34" a="1"/>
  <c r="E114" i="34" s="1"/>
  <c r="D114" i="34" a="1"/>
  <c r="D114" i="34" s="1"/>
  <c r="F113" i="34" a="1"/>
  <c r="F113" i="34" s="1"/>
  <c r="E113" i="34" a="1"/>
  <c r="E113" i="34" s="1"/>
  <c r="D113" i="34" a="1"/>
  <c r="D113" i="34" s="1"/>
  <c r="F112" i="34" a="1"/>
  <c r="F112" i="34" s="1"/>
  <c r="E112" i="34" a="1"/>
  <c r="E112" i="34" s="1"/>
  <c r="D112" i="34" a="1"/>
  <c r="D112" i="34" s="1"/>
  <c r="F111" i="34" a="1"/>
  <c r="F111" i="34" s="1"/>
  <c r="E111" i="34" a="1"/>
  <c r="E111" i="34" s="1"/>
  <c r="D111" i="34" a="1"/>
  <c r="D111" i="34" s="1"/>
  <c r="F110" i="34" a="1"/>
  <c r="F110" i="34" s="1"/>
  <c r="E110" i="34" a="1"/>
  <c r="E110" i="34" s="1"/>
  <c r="D110" i="34" a="1"/>
  <c r="D110" i="34" s="1"/>
  <c r="F109" i="34" a="1"/>
  <c r="F109" i="34" s="1"/>
  <c r="E109" i="34" a="1"/>
  <c r="E109" i="34" s="1"/>
  <c r="D109" i="34" a="1"/>
  <c r="D109" i="34" s="1"/>
  <c r="F108" i="34" a="1"/>
  <c r="F108" i="34" s="1"/>
  <c r="E108" i="34" a="1"/>
  <c r="E108" i="34" s="1"/>
  <c r="D108" i="34" a="1"/>
  <c r="D108" i="34" s="1"/>
  <c r="F107" i="34" a="1"/>
  <c r="F107" i="34" s="1"/>
  <c r="E107" i="34" a="1"/>
  <c r="E107" i="34" s="1"/>
  <c r="D107" i="34" a="1"/>
  <c r="D107" i="34" s="1"/>
  <c r="F106" i="34" a="1"/>
  <c r="F106" i="34" s="1"/>
  <c r="E106" i="34" a="1"/>
  <c r="E106" i="34" s="1"/>
  <c r="D106" i="34" a="1"/>
  <c r="D106" i="34" s="1"/>
  <c r="F105" i="34" a="1"/>
  <c r="F105" i="34" s="1"/>
  <c r="E105" i="34" a="1"/>
  <c r="E105" i="34" s="1"/>
  <c r="D105" i="34" a="1"/>
  <c r="D105" i="34" s="1"/>
  <c r="F104" i="34" a="1"/>
  <c r="F104" i="34" s="1"/>
  <c r="E104" i="34" a="1"/>
  <c r="E104" i="34" s="1"/>
  <c r="D104" i="34" a="1"/>
  <c r="D104" i="34" s="1"/>
  <c r="F103" i="34" a="1"/>
  <c r="F103" i="34" s="1"/>
  <c r="E103" i="34" a="1"/>
  <c r="E103" i="34" s="1"/>
  <c r="D103" i="34" a="1"/>
  <c r="D103" i="34" s="1"/>
  <c r="F102" i="34" a="1"/>
  <c r="F102" i="34" s="1"/>
  <c r="E102" i="34" a="1"/>
  <c r="E102" i="34" s="1"/>
  <c r="D102" i="34" a="1"/>
  <c r="D102" i="34" s="1"/>
  <c r="F101" i="34" a="1"/>
  <c r="F101" i="34" s="1"/>
  <c r="E101" i="34" a="1"/>
  <c r="E101" i="34" s="1"/>
  <c r="D101" i="34" a="1"/>
  <c r="D101" i="34" s="1"/>
  <c r="F100" i="34" a="1"/>
  <c r="F100" i="34" s="1"/>
  <c r="E100" i="34" a="1"/>
  <c r="E100" i="34" s="1"/>
  <c r="D100" i="34" a="1"/>
  <c r="D100" i="34" s="1"/>
  <c r="F99" i="34" a="1"/>
  <c r="F99" i="34" s="1"/>
  <c r="E99" i="34" a="1"/>
  <c r="E99" i="34" s="1"/>
  <c r="D99" i="34" a="1"/>
  <c r="D99" i="34" s="1"/>
  <c r="F98" i="34" a="1"/>
  <c r="F98" i="34" s="1"/>
  <c r="E98" i="34" a="1"/>
  <c r="E98" i="34" s="1"/>
  <c r="D98" i="34" a="1"/>
  <c r="D98" i="34" s="1"/>
  <c r="F97" i="34" a="1"/>
  <c r="F97" i="34" s="1"/>
  <c r="E97" i="34" a="1"/>
  <c r="E97" i="34" s="1"/>
  <c r="D97" i="34" a="1"/>
  <c r="D97" i="34" s="1"/>
  <c r="F96" i="34" a="1"/>
  <c r="F96" i="34" s="1"/>
  <c r="E96" i="34" a="1"/>
  <c r="E96" i="34" s="1"/>
  <c r="D96" i="34" a="1"/>
  <c r="D96" i="34" s="1"/>
  <c r="F95" i="34" a="1"/>
  <c r="F95" i="34" s="1"/>
  <c r="E95" i="34" a="1"/>
  <c r="E95" i="34" s="1"/>
  <c r="D95" i="34" a="1"/>
  <c r="D95" i="34" s="1"/>
  <c r="F94" i="34" a="1"/>
  <c r="F94" i="34" s="1"/>
  <c r="E94" i="34" a="1"/>
  <c r="E94" i="34" s="1"/>
  <c r="D94" i="34" a="1"/>
  <c r="D94" i="34" s="1"/>
  <c r="F93" i="34" a="1"/>
  <c r="F93" i="34" s="1"/>
  <c r="E93" i="34" a="1"/>
  <c r="E93" i="34" s="1"/>
  <c r="D93" i="34" a="1"/>
  <c r="D93" i="34" s="1"/>
  <c r="F92" i="34" a="1"/>
  <c r="F92" i="34" s="1"/>
  <c r="E92" i="34" a="1"/>
  <c r="E92" i="34" s="1"/>
  <c r="D92" i="34" a="1"/>
  <c r="D92" i="34" s="1"/>
  <c r="F91" i="34" a="1"/>
  <c r="F91" i="34" s="1"/>
  <c r="E91" i="34" a="1"/>
  <c r="E91" i="34" s="1"/>
  <c r="D91" i="34" a="1"/>
  <c r="D91" i="34" s="1"/>
  <c r="F90" i="34" a="1"/>
  <c r="F90" i="34" s="1"/>
  <c r="E90" i="34" a="1"/>
  <c r="E90" i="34" s="1"/>
  <c r="D90" i="34" a="1"/>
  <c r="D90" i="34" s="1"/>
  <c r="F89" i="34" a="1"/>
  <c r="F89" i="34" s="1"/>
  <c r="E89" i="34" a="1"/>
  <c r="E89" i="34" s="1"/>
  <c r="D89" i="34" a="1"/>
  <c r="D89" i="34" s="1"/>
  <c r="F88" i="34" a="1"/>
  <c r="F88" i="34" s="1"/>
  <c r="E88" i="34" a="1"/>
  <c r="E88" i="34" s="1"/>
  <c r="D88" i="34" a="1"/>
  <c r="D88" i="34" s="1"/>
  <c r="F87" i="34" a="1"/>
  <c r="F87" i="34" s="1"/>
  <c r="E87" i="34" a="1"/>
  <c r="E87" i="34" s="1"/>
  <c r="D87" i="34" a="1"/>
  <c r="D87" i="34" s="1"/>
  <c r="F86" i="34" a="1"/>
  <c r="F86" i="34" s="1"/>
  <c r="E86" i="34" a="1"/>
  <c r="E86" i="34" s="1"/>
  <c r="D86" i="34" a="1"/>
  <c r="D86" i="34" s="1"/>
  <c r="F85" i="34" a="1"/>
  <c r="F85" i="34" s="1"/>
  <c r="E85" i="34" a="1"/>
  <c r="E85" i="34" s="1"/>
  <c r="D85" i="34" a="1"/>
  <c r="D85" i="34" s="1"/>
  <c r="F84" i="34" a="1"/>
  <c r="F84" i="34" s="1"/>
  <c r="E84" i="34" a="1"/>
  <c r="E84" i="34" s="1"/>
  <c r="D84" i="34" a="1"/>
  <c r="D84" i="34" s="1"/>
  <c r="F83" i="34" a="1"/>
  <c r="F83" i="34" s="1"/>
  <c r="E83" i="34" a="1"/>
  <c r="E83" i="34" s="1"/>
  <c r="D83" i="34" a="1"/>
  <c r="D83" i="34" s="1"/>
  <c r="F82" i="34" a="1"/>
  <c r="F82" i="34" s="1"/>
  <c r="E82" i="34" a="1"/>
  <c r="E82" i="34" s="1"/>
  <c r="D82" i="34" a="1"/>
  <c r="D82" i="34" s="1"/>
  <c r="F81" i="34" a="1"/>
  <c r="F81" i="34" s="1"/>
  <c r="E81" i="34" a="1"/>
  <c r="E81" i="34" s="1"/>
  <c r="D81" i="34" a="1"/>
  <c r="D81" i="34" s="1"/>
  <c r="F80" i="34" a="1"/>
  <c r="F80" i="34" s="1"/>
  <c r="E80" i="34" a="1"/>
  <c r="E80" i="34" s="1"/>
  <c r="D80" i="34" a="1"/>
  <c r="D80" i="34" s="1"/>
  <c r="F79" i="34" a="1"/>
  <c r="F79" i="34" s="1"/>
  <c r="E79" i="34" a="1"/>
  <c r="E79" i="34" s="1"/>
  <c r="D79" i="34" a="1"/>
  <c r="D79" i="34" s="1"/>
  <c r="F78" i="34" a="1"/>
  <c r="F78" i="34" s="1"/>
  <c r="E78" i="34" a="1"/>
  <c r="E78" i="34" s="1"/>
  <c r="D78" i="34" a="1"/>
  <c r="D78" i="34" s="1"/>
  <c r="F77" i="34" a="1"/>
  <c r="F77" i="34" s="1"/>
  <c r="E77" i="34" a="1"/>
  <c r="E77" i="34" s="1"/>
  <c r="D77" i="34" a="1"/>
  <c r="D77" i="34" s="1"/>
  <c r="F76" i="34" a="1"/>
  <c r="F76" i="34" s="1"/>
  <c r="E76" i="34" a="1"/>
  <c r="E76" i="34" s="1"/>
  <c r="D76" i="34" a="1"/>
  <c r="D76" i="34" s="1"/>
  <c r="F75" i="34" a="1"/>
  <c r="F75" i="34" s="1"/>
  <c r="E75" i="34" a="1"/>
  <c r="E75" i="34" s="1"/>
  <c r="D75" i="34" a="1"/>
  <c r="D75" i="34" s="1"/>
  <c r="F74" i="34" a="1"/>
  <c r="F74" i="34" s="1"/>
  <c r="E74" i="34" a="1"/>
  <c r="E74" i="34" s="1"/>
  <c r="D74" i="34" a="1"/>
  <c r="D74" i="34" s="1"/>
  <c r="F73" i="34" a="1"/>
  <c r="F73" i="34" s="1"/>
  <c r="E73" i="34" a="1"/>
  <c r="E73" i="34" s="1"/>
  <c r="D73" i="34" a="1"/>
  <c r="D73" i="34" s="1"/>
  <c r="F72" i="34" a="1"/>
  <c r="F72" i="34" s="1"/>
  <c r="E72" i="34" a="1"/>
  <c r="E72" i="34" s="1"/>
  <c r="D72" i="34" a="1"/>
  <c r="D72" i="34" s="1"/>
  <c r="F71" i="34" a="1"/>
  <c r="F71" i="34" s="1"/>
  <c r="E71" i="34" a="1"/>
  <c r="E71" i="34" s="1"/>
  <c r="D71" i="34" a="1"/>
  <c r="D71" i="34" s="1"/>
  <c r="F70" i="34" a="1"/>
  <c r="F70" i="34" s="1"/>
  <c r="E70" i="34" a="1"/>
  <c r="E70" i="34" s="1"/>
  <c r="D70" i="34" a="1"/>
  <c r="D70" i="34" s="1"/>
  <c r="F69" i="34" a="1"/>
  <c r="F69" i="34" s="1"/>
  <c r="E69" i="34" a="1"/>
  <c r="E69" i="34" s="1"/>
  <c r="D69" i="34" a="1"/>
  <c r="D69" i="34" s="1"/>
  <c r="F68" i="34" a="1"/>
  <c r="F68" i="34" s="1"/>
  <c r="E68" i="34" a="1"/>
  <c r="E68" i="34" s="1"/>
  <c r="D68" i="34" a="1"/>
  <c r="D68" i="34" s="1"/>
  <c r="F67" i="34" a="1"/>
  <c r="F67" i="34" s="1"/>
  <c r="E67" i="34" a="1"/>
  <c r="E67" i="34" s="1"/>
  <c r="D67" i="34" a="1"/>
  <c r="D67" i="34" s="1"/>
  <c r="F66" i="34" a="1"/>
  <c r="F66" i="34" s="1"/>
  <c r="E66" i="34" a="1"/>
  <c r="E66" i="34" s="1"/>
  <c r="D66" i="34" a="1"/>
  <c r="D66" i="34" s="1"/>
  <c r="F65" i="34" a="1"/>
  <c r="F65" i="34" s="1"/>
  <c r="E65" i="34" a="1"/>
  <c r="E65" i="34" s="1"/>
  <c r="D65" i="34" a="1"/>
  <c r="D65" i="34" s="1"/>
  <c r="F64" i="34" a="1"/>
  <c r="F64" i="34" s="1"/>
  <c r="E64" i="34" a="1"/>
  <c r="E64" i="34" s="1"/>
  <c r="D64" i="34" a="1"/>
  <c r="D64" i="34" s="1"/>
  <c r="F63" i="34" a="1"/>
  <c r="F63" i="34" s="1"/>
  <c r="E63" i="34" a="1"/>
  <c r="E63" i="34" s="1"/>
  <c r="D63" i="34" a="1"/>
  <c r="D63" i="34" s="1"/>
  <c r="F62" i="34" a="1"/>
  <c r="F62" i="34" s="1"/>
  <c r="E62" i="34" a="1"/>
  <c r="E62" i="34" s="1"/>
  <c r="D62" i="34" a="1"/>
  <c r="D62" i="34" s="1"/>
  <c r="F61" i="34" a="1"/>
  <c r="F61" i="34" s="1"/>
  <c r="E61" i="34" a="1"/>
  <c r="E61" i="34" s="1"/>
  <c r="D61" i="34" a="1"/>
  <c r="D61" i="34" s="1"/>
  <c r="F60" i="34" a="1"/>
  <c r="F60" i="34" s="1"/>
  <c r="E60" i="34" a="1"/>
  <c r="E60" i="34" s="1"/>
  <c r="D60" i="34" a="1"/>
  <c r="D60" i="34" s="1"/>
  <c r="F59" i="34" a="1"/>
  <c r="F59" i="34" s="1"/>
  <c r="E59" i="34" a="1"/>
  <c r="E59" i="34" s="1"/>
  <c r="D59" i="34" a="1"/>
  <c r="D59" i="34" s="1"/>
  <c r="F58" i="34" a="1"/>
  <c r="F58" i="34" s="1"/>
  <c r="E58" i="34" a="1"/>
  <c r="E58" i="34" s="1"/>
  <c r="D58" i="34" a="1"/>
  <c r="D58" i="34" s="1"/>
  <c r="F57" i="34" a="1"/>
  <c r="F57" i="34" s="1"/>
  <c r="E57" i="34" a="1"/>
  <c r="E57" i="34" s="1"/>
  <c r="D57" i="34" a="1"/>
  <c r="D57" i="34" s="1"/>
  <c r="F56" i="34" a="1"/>
  <c r="F56" i="34" s="1"/>
  <c r="E56" i="34" a="1"/>
  <c r="E56" i="34" s="1"/>
  <c r="D56" i="34" a="1"/>
  <c r="D56" i="34" s="1"/>
  <c r="F55" i="34" a="1"/>
  <c r="F55" i="34" s="1"/>
  <c r="E55" i="34" a="1"/>
  <c r="E55" i="34" s="1"/>
  <c r="D55" i="34" a="1"/>
  <c r="D55" i="34" s="1"/>
  <c r="F54" i="34" a="1"/>
  <c r="F54" i="34" s="1"/>
  <c r="E54" i="34" a="1"/>
  <c r="E54" i="34" s="1"/>
  <c r="D54" i="34" a="1"/>
  <c r="D54" i="34" s="1"/>
  <c r="F53" i="34" a="1"/>
  <c r="F53" i="34" s="1"/>
  <c r="E53" i="34" a="1"/>
  <c r="E53" i="34" s="1"/>
  <c r="D53" i="34" a="1"/>
  <c r="D53" i="34" s="1"/>
  <c r="F52" i="34" a="1"/>
  <c r="F52" i="34" s="1"/>
  <c r="E52" i="34" a="1"/>
  <c r="E52" i="34" s="1"/>
  <c r="D52" i="34" a="1"/>
  <c r="D52" i="34" s="1"/>
  <c r="F51" i="34" a="1"/>
  <c r="F51" i="34" s="1"/>
  <c r="E51" i="34" a="1"/>
  <c r="E51" i="34" s="1"/>
  <c r="D51" i="34" a="1"/>
  <c r="D51" i="34" s="1"/>
  <c r="F50" i="34" a="1"/>
  <c r="F50" i="34" s="1"/>
  <c r="E50" i="34" a="1"/>
  <c r="E50" i="34" s="1"/>
  <c r="D50" i="34" a="1"/>
  <c r="D50" i="34" s="1"/>
  <c r="F49" i="34" a="1"/>
  <c r="F49" i="34" s="1"/>
  <c r="E49" i="34" a="1"/>
  <c r="E49" i="34" s="1"/>
  <c r="D49" i="34" a="1"/>
  <c r="D49" i="34" s="1"/>
  <c r="F48" i="34" a="1"/>
  <c r="F48" i="34" s="1"/>
  <c r="E48" i="34" a="1"/>
  <c r="E48" i="34" s="1"/>
  <c r="D48" i="34" a="1"/>
  <c r="D48" i="34" s="1"/>
  <c r="F47" i="34" a="1"/>
  <c r="F47" i="34" s="1"/>
  <c r="E47" i="34" a="1"/>
  <c r="E47" i="34" s="1"/>
  <c r="D47" i="34" a="1"/>
  <c r="D47" i="34" s="1"/>
  <c r="F46" i="34" a="1"/>
  <c r="F46" i="34" s="1"/>
  <c r="E46" i="34" a="1"/>
  <c r="E46" i="34" s="1"/>
  <c r="D46" i="34" a="1"/>
  <c r="D46" i="34" s="1"/>
  <c r="F45" i="34" a="1"/>
  <c r="F45" i="34" s="1"/>
  <c r="E45" i="34" a="1"/>
  <c r="E45" i="34" s="1"/>
  <c r="D45" i="34" a="1"/>
  <c r="D45" i="34" s="1"/>
  <c r="F44" i="34" a="1"/>
  <c r="F44" i="34" s="1"/>
  <c r="E44" i="34" a="1"/>
  <c r="E44" i="34" s="1"/>
  <c r="D44" i="34" a="1"/>
  <c r="D44" i="34" s="1"/>
  <c r="F43" i="34" a="1"/>
  <c r="F43" i="34" s="1"/>
  <c r="E43" i="34" a="1"/>
  <c r="E43" i="34" s="1"/>
  <c r="D43" i="34" a="1"/>
  <c r="D43" i="34" s="1"/>
  <c r="F42" i="34" a="1"/>
  <c r="F42" i="34" s="1"/>
  <c r="E42" i="34" a="1"/>
  <c r="E42" i="34" s="1"/>
  <c r="D42" i="34" a="1"/>
  <c r="D42" i="34" s="1"/>
  <c r="F41" i="34" a="1"/>
  <c r="F41" i="34" s="1"/>
  <c r="E41" i="34" a="1"/>
  <c r="E41" i="34" s="1"/>
  <c r="D41" i="34" a="1"/>
  <c r="D41" i="34" s="1"/>
  <c r="F40" i="34" a="1"/>
  <c r="F40" i="34" s="1"/>
  <c r="E40" i="34" a="1"/>
  <c r="E40" i="34" s="1"/>
  <c r="D40" i="34" a="1"/>
  <c r="D40" i="34" s="1"/>
  <c r="F39" i="34" a="1"/>
  <c r="F39" i="34" s="1"/>
  <c r="E39" i="34" a="1"/>
  <c r="E39" i="34" s="1"/>
  <c r="D39" i="34" a="1"/>
  <c r="D39" i="34" s="1"/>
  <c r="F38" i="34" a="1"/>
  <c r="F38" i="34" s="1"/>
  <c r="E38" i="34" a="1"/>
  <c r="E38" i="34" s="1"/>
  <c r="D38" i="34" a="1"/>
  <c r="D38" i="34" s="1"/>
  <c r="F37" i="34" a="1"/>
  <c r="F37" i="34" s="1"/>
  <c r="E37" i="34" a="1"/>
  <c r="E37" i="34" s="1"/>
  <c r="D37" i="34" a="1"/>
  <c r="D37" i="34" s="1"/>
  <c r="F36" i="34" a="1"/>
  <c r="F36" i="34" s="1"/>
  <c r="E36" i="34" a="1"/>
  <c r="E36" i="34" s="1"/>
  <c r="D36" i="34" a="1"/>
  <c r="D36" i="34" s="1"/>
  <c r="F35" i="34" a="1"/>
  <c r="F35" i="34" s="1"/>
  <c r="E35" i="34" a="1"/>
  <c r="E35" i="34" s="1"/>
  <c r="D35" i="34" a="1"/>
  <c r="D35" i="34" s="1"/>
  <c r="F34" i="34" a="1"/>
  <c r="F34" i="34" s="1"/>
  <c r="E34" i="34" a="1"/>
  <c r="E34" i="34" s="1"/>
  <c r="D34" i="34" a="1"/>
  <c r="D34" i="34" s="1"/>
  <c r="F33" i="34" a="1"/>
  <c r="F33" i="34" s="1"/>
  <c r="E33" i="34" a="1"/>
  <c r="E33" i="34" s="1"/>
  <c r="D33" i="34" a="1"/>
  <c r="D33" i="34" s="1"/>
  <c r="F32" i="34" a="1"/>
  <c r="F32" i="34" s="1"/>
  <c r="E32" i="34" a="1"/>
  <c r="E32" i="34" s="1"/>
  <c r="D32" i="34" a="1"/>
  <c r="D32" i="34" s="1"/>
  <c r="F31" i="34" a="1"/>
  <c r="F31" i="34" s="1"/>
  <c r="E31" i="34" a="1"/>
  <c r="E31" i="34" s="1"/>
  <c r="D31" i="34" a="1"/>
  <c r="D31" i="34" s="1"/>
  <c r="F30" i="34" a="1"/>
  <c r="F30" i="34" s="1"/>
  <c r="E30" i="34" a="1"/>
  <c r="E30" i="34" s="1"/>
  <c r="D30" i="34" a="1"/>
  <c r="D30" i="34" s="1"/>
  <c r="F29" i="34" a="1"/>
  <c r="F29" i="34" s="1"/>
  <c r="E29" i="34" a="1"/>
  <c r="E29" i="34" s="1"/>
  <c r="D29" i="34" a="1"/>
  <c r="D29" i="34" s="1"/>
  <c r="F28" i="34" a="1"/>
  <c r="F28" i="34" s="1"/>
  <c r="E28" i="34" a="1"/>
  <c r="E28" i="34" s="1"/>
  <c r="D28" i="34" a="1"/>
  <c r="D28" i="34" s="1"/>
  <c r="F27" i="34" a="1"/>
  <c r="F27" i="34" s="1"/>
  <c r="E27" i="34" a="1"/>
  <c r="E27" i="34" s="1"/>
  <c r="D27" i="34" a="1"/>
  <c r="D27" i="34" s="1"/>
  <c r="F26" i="34" a="1"/>
  <c r="F26" i="34" s="1"/>
  <c r="E26" i="34" a="1"/>
  <c r="E26" i="34" s="1"/>
  <c r="D26" i="34" a="1"/>
  <c r="D26" i="34" s="1"/>
  <c r="F25" i="34" a="1"/>
  <c r="F25" i="34" s="1"/>
  <c r="E25" i="34" a="1"/>
  <c r="E25" i="34" s="1"/>
  <c r="D25" i="34" a="1"/>
  <c r="D25" i="34" s="1"/>
  <c r="F24" i="34" a="1"/>
  <c r="F24" i="34" s="1"/>
  <c r="E24" i="34" a="1"/>
  <c r="E24" i="34" s="1"/>
  <c r="D24" i="34" a="1"/>
  <c r="D24" i="34" s="1"/>
  <c r="F23" i="34" a="1"/>
  <c r="F23" i="34" s="1"/>
  <c r="E23" i="34" a="1"/>
  <c r="E23" i="34" s="1"/>
  <c r="D23" i="34" a="1"/>
  <c r="D23" i="34" s="1"/>
  <c r="F22" i="34" a="1"/>
  <c r="F22" i="34" s="1"/>
  <c r="E22" i="34" a="1"/>
  <c r="E22" i="34" s="1"/>
  <c r="D22" i="34" a="1"/>
  <c r="D22" i="34" s="1"/>
  <c r="F21" i="34" a="1"/>
  <c r="F21" i="34" s="1"/>
  <c r="E21" i="34" a="1"/>
  <c r="E21" i="34" s="1"/>
  <c r="D21" i="34" a="1"/>
  <c r="D21" i="34" s="1"/>
  <c r="F20" i="34" a="1"/>
  <c r="F20" i="34" s="1"/>
  <c r="E20" i="34" a="1"/>
  <c r="E20" i="34" s="1"/>
  <c r="D20" i="34" a="1"/>
  <c r="D20" i="34" s="1"/>
  <c r="F19" i="34" a="1"/>
  <c r="F19" i="34" s="1"/>
  <c r="E19" i="34" a="1"/>
  <c r="E19" i="34" s="1"/>
  <c r="D19" i="34" a="1"/>
  <c r="D19" i="34" s="1"/>
  <c r="F18" i="34" a="1"/>
  <c r="F18" i="34" s="1"/>
  <c r="E18" i="34" a="1"/>
  <c r="E18" i="34" s="1"/>
  <c r="D18" i="34" a="1"/>
  <c r="D18" i="34" s="1"/>
  <c r="F17" i="34" a="1"/>
  <c r="F17" i="34" s="1"/>
  <c r="E17" i="34" a="1"/>
  <c r="E17" i="34" s="1"/>
  <c r="D17" i="34" a="1"/>
  <c r="D17" i="34" s="1"/>
  <c r="F16" i="34" a="1"/>
  <c r="F16" i="34" s="1"/>
  <c r="E16" i="34" a="1"/>
  <c r="E16" i="34" s="1"/>
  <c r="D16" i="34" a="1"/>
  <c r="D16" i="34" s="1"/>
  <c r="F15" i="34" a="1"/>
  <c r="F15" i="34" s="1"/>
  <c r="E15" i="34" a="1"/>
  <c r="E15" i="34" s="1"/>
  <c r="D15" i="34" a="1"/>
  <c r="D15" i="34" s="1"/>
  <c r="F14" i="34" a="1"/>
  <c r="F14" i="34" s="1"/>
  <c r="E14" i="34" a="1"/>
  <c r="E14" i="34" s="1"/>
  <c r="D14" i="34" a="1"/>
  <c r="D14" i="34" s="1"/>
  <c r="F13" i="34" a="1"/>
  <c r="F13" i="34" s="1"/>
  <c r="E13" i="34" a="1"/>
  <c r="E13" i="34" s="1"/>
  <c r="D13" i="34" a="1"/>
  <c r="D13" i="34" s="1"/>
  <c r="F12" i="34" a="1"/>
  <c r="F12" i="34" s="1"/>
  <c r="E12" i="34" a="1"/>
  <c r="E12" i="34" s="1"/>
  <c r="D12" i="34" a="1"/>
  <c r="D12" i="34" s="1"/>
  <c r="F11" i="34" a="1"/>
  <c r="F11" i="34" s="1"/>
  <c r="E11" i="34" a="1"/>
  <c r="E11" i="34" s="1"/>
  <c r="D11" i="34" a="1"/>
  <c r="D11" i="34" s="1"/>
  <c r="F10" i="34" a="1"/>
  <c r="F10" i="34" s="1"/>
  <c r="E10" i="34" a="1"/>
  <c r="E10" i="34" s="1"/>
  <c r="D10" i="34" a="1"/>
  <c r="D10" i="34" s="1"/>
  <c r="F9" i="34" a="1"/>
  <c r="F9" i="34" s="1"/>
  <c r="E9" i="34" a="1"/>
  <c r="E9" i="34" s="1"/>
  <c r="D9" i="34" a="1"/>
  <c r="D9" i="34" s="1"/>
  <c r="F8" i="34" a="1"/>
  <c r="F8" i="34" s="1"/>
  <c r="E8" i="34" a="1"/>
  <c r="E8" i="34" s="1"/>
  <c r="D8" i="34" a="1"/>
  <c r="D8" i="34" s="1"/>
  <c r="F7" i="34" a="1"/>
  <c r="F7" i="34" s="1"/>
  <c r="E7" i="34" a="1"/>
  <c r="E7" i="34" s="1"/>
  <c r="D7" i="34" a="1"/>
  <c r="D7" i="34" s="1"/>
  <c r="F6" i="34" a="1"/>
  <c r="F6" i="34" s="1"/>
  <c r="E6" i="34" a="1"/>
  <c r="E6" i="34" s="1"/>
  <c r="D6" i="34" a="1"/>
  <c r="D6" i="34" s="1"/>
  <c r="F5" i="34" a="1"/>
  <c r="F5" i="34" s="1"/>
  <c r="E5" i="34" a="1"/>
  <c r="E5" i="34" s="1"/>
  <c r="D5" i="34" a="1"/>
  <c r="D5" i="34" s="1"/>
  <c r="F4" i="34" a="1"/>
  <c r="F4" i="34" s="1"/>
  <c r="E4" i="34" a="1"/>
  <c r="E4" i="34" s="1"/>
  <c r="D4" i="34" a="1"/>
  <c r="D4" i="34" s="1"/>
  <c r="F3" i="34" a="1"/>
  <c r="F3" i="34" s="1"/>
  <c r="E3" i="34" a="1"/>
  <c r="E3" i="34" s="1"/>
  <c r="D3" i="34" a="1"/>
  <c r="D3" i="34" s="1"/>
  <c r="D2" i="34" a="1"/>
  <c r="D2" i="34" s="1"/>
  <c r="F2" i="34" a="1"/>
  <c r="F2" i="34" s="1"/>
  <c r="E2" i="34" a="1"/>
  <c r="E2" i="34" s="1"/>
  <c r="AQ517" i="34" l="1"/>
  <c r="AP517" i="34"/>
  <c r="AO517" i="34"/>
  <c r="AN517" i="34"/>
  <c r="AM517" i="34"/>
  <c r="AL517" i="34"/>
  <c r="AK517" i="34"/>
  <c r="AJ517" i="34"/>
  <c r="AI517" i="34"/>
  <c r="AH517" i="34"/>
  <c r="AG517" i="34"/>
  <c r="AF517" i="34"/>
  <c r="AD517" i="34"/>
  <c r="AC517" i="34"/>
  <c r="AB517" i="34"/>
  <c r="Z517" i="34"/>
  <c r="Y517" i="34"/>
  <c r="X517" i="34"/>
  <c r="W517" i="34"/>
  <c r="V517" i="34"/>
  <c r="U517" i="34"/>
  <c r="T517" i="34"/>
  <c r="S517" i="34"/>
  <c r="R517" i="34"/>
  <c r="Q517" i="34"/>
  <c r="P517" i="34"/>
  <c r="O517" i="34"/>
  <c r="N517" i="34"/>
  <c r="M517" i="34"/>
  <c r="L517" i="34"/>
  <c r="K517" i="34"/>
  <c r="I517" i="34"/>
  <c r="H517" i="34"/>
  <c r="G517" i="34"/>
  <c r="AQ515" i="34"/>
  <c r="AP515" i="34"/>
  <c r="AO515" i="34"/>
  <c r="AN515" i="34"/>
  <c r="AM515" i="34"/>
  <c r="AL515" i="34"/>
  <c r="AK515" i="34"/>
  <c r="AJ515" i="34"/>
  <c r="AI515" i="34"/>
  <c r="AH515" i="34"/>
  <c r="AG515" i="34"/>
  <c r="AF515" i="34"/>
  <c r="AD515" i="34"/>
  <c r="AC515" i="34"/>
  <c r="AB515" i="34"/>
  <c r="Z515" i="34"/>
  <c r="Y515" i="34"/>
  <c r="X515" i="34"/>
  <c r="W515" i="34"/>
  <c r="V515" i="34"/>
  <c r="U515" i="34"/>
  <c r="T515" i="34"/>
  <c r="S515" i="34"/>
  <c r="R515" i="34"/>
  <c r="Q515" i="34"/>
  <c r="P515" i="34"/>
  <c r="O515" i="34"/>
  <c r="N515" i="34"/>
  <c r="M515" i="34"/>
  <c r="L515" i="34"/>
  <c r="K515" i="34"/>
  <c r="I515" i="34"/>
  <c r="H515" i="34"/>
  <c r="G515" i="34"/>
  <c r="AQ513" i="34"/>
  <c r="AP513" i="34"/>
  <c r="AO513" i="34"/>
  <c r="AN513" i="34"/>
  <c r="AM513" i="34"/>
  <c r="AL513" i="34"/>
  <c r="AK513" i="34"/>
  <c r="AJ513" i="34"/>
  <c r="AI513" i="34"/>
  <c r="AH513" i="34"/>
  <c r="AG513" i="34"/>
  <c r="AF513" i="34"/>
  <c r="AD513" i="34"/>
  <c r="AC513" i="34"/>
  <c r="AB513" i="34"/>
  <c r="Z513" i="34"/>
  <c r="Y513" i="34"/>
  <c r="X513" i="34"/>
  <c r="W513" i="34"/>
  <c r="V513" i="34"/>
  <c r="U513" i="34"/>
  <c r="T513" i="34"/>
  <c r="S513" i="34"/>
  <c r="R513" i="34"/>
  <c r="Q513" i="34"/>
  <c r="P513" i="34"/>
  <c r="O513" i="34"/>
  <c r="N513" i="34"/>
  <c r="M513" i="34"/>
  <c r="L513" i="34"/>
  <c r="K513" i="34"/>
  <c r="I513" i="34"/>
  <c r="H513" i="34"/>
  <c r="G513" i="34"/>
  <c r="AQ512" i="34"/>
  <c r="AP512" i="34"/>
  <c r="AO512" i="34"/>
  <c r="AN512" i="34"/>
  <c r="AM512" i="34"/>
  <c r="AL512" i="34"/>
  <c r="AK512" i="34"/>
  <c r="AJ512" i="34"/>
  <c r="AI512" i="34"/>
  <c r="AH512" i="34"/>
  <c r="AG512" i="34"/>
  <c r="AF512" i="34"/>
  <c r="AD512" i="34"/>
  <c r="AC512" i="34"/>
  <c r="AB512" i="34"/>
  <c r="Z512" i="34"/>
  <c r="Y512" i="34"/>
  <c r="X512" i="34"/>
  <c r="W512" i="34"/>
  <c r="V512" i="34"/>
  <c r="U512" i="34"/>
  <c r="T512" i="34"/>
  <c r="S512" i="34"/>
  <c r="R512" i="34"/>
  <c r="Q512" i="34"/>
  <c r="P512" i="34"/>
  <c r="O512" i="34"/>
  <c r="N512" i="34"/>
  <c r="M512" i="34"/>
  <c r="L512" i="34"/>
  <c r="K512" i="34"/>
  <c r="I512" i="34"/>
  <c r="H512" i="34"/>
  <c r="G512" i="34"/>
  <c r="AQ510" i="34"/>
  <c r="AP510" i="34"/>
  <c r="AO510" i="34"/>
  <c r="AN510" i="34"/>
  <c r="AM510" i="34"/>
  <c r="AL510" i="34"/>
  <c r="AK510" i="34"/>
  <c r="AJ510" i="34"/>
  <c r="AI510" i="34"/>
  <c r="AH510" i="34"/>
  <c r="AG510" i="34"/>
  <c r="AF510" i="34"/>
  <c r="AD510" i="34"/>
  <c r="AC510" i="34"/>
  <c r="AB510" i="34"/>
  <c r="Z510" i="34"/>
  <c r="Y510" i="34"/>
  <c r="X510" i="34"/>
  <c r="W510" i="34"/>
  <c r="V510" i="34"/>
  <c r="U510" i="34"/>
  <c r="T510" i="34"/>
  <c r="S510" i="34"/>
  <c r="R510" i="34"/>
  <c r="Q510" i="34"/>
  <c r="P510" i="34"/>
  <c r="O510" i="34"/>
  <c r="N510" i="34"/>
  <c r="M510" i="34"/>
  <c r="L510" i="34"/>
  <c r="K510" i="34"/>
  <c r="I510" i="34"/>
  <c r="H510" i="34"/>
  <c r="G510" i="34"/>
  <c r="AQ509" i="34"/>
  <c r="AP509" i="34"/>
  <c r="AO509" i="34"/>
  <c r="AN509" i="34"/>
  <c r="AM509" i="34"/>
  <c r="AL509" i="34"/>
  <c r="AK509" i="34"/>
  <c r="AJ509" i="34"/>
  <c r="AI509" i="34"/>
  <c r="AH509" i="34"/>
  <c r="AG509" i="34"/>
  <c r="AF509" i="34"/>
  <c r="AD509" i="34"/>
  <c r="AC509" i="34"/>
  <c r="AB509" i="34"/>
  <c r="Z509" i="34"/>
  <c r="Y509" i="34"/>
  <c r="X509" i="34"/>
  <c r="W509" i="34"/>
  <c r="V509" i="34"/>
  <c r="U509" i="34"/>
  <c r="T509" i="34"/>
  <c r="S509" i="34"/>
  <c r="R509" i="34"/>
  <c r="Q509" i="34"/>
  <c r="P509" i="34"/>
  <c r="O509" i="34"/>
  <c r="N509" i="34"/>
  <c r="M509" i="34"/>
  <c r="L509" i="34"/>
  <c r="K509" i="34"/>
  <c r="I509" i="34"/>
  <c r="H509" i="34"/>
  <c r="G509" i="34"/>
  <c r="AQ508" i="34"/>
  <c r="AP508" i="34"/>
  <c r="AO508" i="34"/>
  <c r="AN508" i="34"/>
  <c r="AM508" i="34"/>
  <c r="AL508" i="34"/>
  <c r="AK508" i="34"/>
  <c r="AJ508" i="34"/>
  <c r="AI508" i="34"/>
  <c r="AH508" i="34"/>
  <c r="AG508" i="34"/>
  <c r="AF508" i="34"/>
  <c r="AD508" i="34"/>
  <c r="AC508" i="34"/>
  <c r="AB508" i="34"/>
  <c r="Z508" i="34"/>
  <c r="Y508" i="34"/>
  <c r="X508" i="34"/>
  <c r="W508" i="34"/>
  <c r="V508" i="34"/>
  <c r="U508" i="34"/>
  <c r="T508" i="34"/>
  <c r="S508" i="34"/>
  <c r="R508" i="34"/>
  <c r="Q508" i="34"/>
  <c r="P508" i="34"/>
  <c r="O508" i="34"/>
  <c r="N508" i="34"/>
  <c r="M508" i="34"/>
  <c r="L508" i="34"/>
  <c r="K508" i="34"/>
  <c r="I508" i="34"/>
  <c r="H508" i="34"/>
  <c r="G508" i="34"/>
  <c r="AQ507" i="34"/>
  <c r="AP507" i="34"/>
  <c r="AO507" i="34"/>
  <c r="AN507" i="34"/>
  <c r="AM507" i="34"/>
  <c r="AL507" i="34"/>
  <c r="AK507" i="34"/>
  <c r="AJ507" i="34"/>
  <c r="AI507" i="34"/>
  <c r="AH507" i="34"/>
  <c r="AG507" i="34"/>
  <c r="AF507" i="34"/>
  <c r="AD507" i="34"/>
  <c r="AC507" i="34"/>
  <c r="AB507" i="34"/>
  <c r="Z507" i="34"/>
  <c r="Y507" i="34"/>
  <c r="X507" i="34"/>
  <c r="W507" i="34"/>
  <c r="V507" i="34"/>
  <c r="U507" i="34"/>
  <c r="T507" i="34"/>
  <c r="S507" i="34"/>
  <c r="R507" i="34"/>
  <c r="Q507" i="34"/>
  <c r="P507" i="34"/>
  <c r="O507" i="34"/>
  <c r="N507" i="34"/>
  <c r="M507" i="34"/>
  <c r="L507" i="34"/>
  <c r="K507" i="34"/>
  <c r="I507" i="34"/>
  <c r="H507" i="34"/>
  <c r="G507" i="34"/>
  <c r="AQ506" i="34"/>
  <c r="AP506" i="34"/>
  <c r="AO506" i="34"/>
  <c r="AN506" i="34"/>
  <c r="AM506" i="34"/>
  <c r="AL506" i="34"/>
  <c r="AK506" i="34"/>
  <c r="AJ506" i="34"/>
  <c r="AI506" i="34"/>
  <c r="AH506" i="34"/>
  <c r="AG506" i="34"/>
  <c r="AF506" i="34"/>
  <c r="AD506" i="34"/>
  <c r="AC506" i="34"/>
  <c r="AB506" i="34"/>
  <c r="Z506" i="34"/>
  <c r="Y506" i="34"/>
  <c r="X506" i="34"/>
  <c r="W506" i="34"/>
  <c r="V506" i="34"/>
  <c r="U506" i="34"/>
  <c r="T506" i="34"/>
  <c r="S506" i="34"/>
  <c r="R506" i="34"/>
  <c r="Q506" i="34"/>
  <c r="P506" i="34"/>
  <c r="O506" i="34"/>
  <c r="N506" i="34"/>
  <c r="M506" i="34"/>
  <c r="L506" i="34"/>
  <c r="K506" i="34"/>
  <c r="I506" i="34"/>
  <c r="H506" i="34"/>
  <c r="G506" i="34"/>
  <c r="AQ505" i="34"/>
  <c r="AP505" i="34"/>
  <c r="AO505" i="34"/>
  <c r="AN505" i="34"/>
  <c r="AM505" i="34"/>
  <c r="AL505" i="34"/>
  <c r="AK505" i="34"/>
  <c r="AJ505" i="34"/>
  <c r="AI505" i="34"/>
  <c r="AH505" i="34"/>
  <c r="AG505" i="34"/>
  <c r="AF505" i="34"/>
  <c r="AD505" i="34"/>
  <c r="AC505" i="34"/>
  <c r="AB505" i="34"/>
  <c r="Z505" i="34"/>
  <c r="Y505" i="34"/>
  <c r="X505" i="34"/>
  <c r="W505" i="34"/>
  <c r="V505" i="34"/>
  <c r="U505" i="34"/>
  <c r="T505" i="34"/>
  <c r="S505" i="34"/>
  <c r="R505" i="34"/>
  <c r="Q505" i="34"/>
  <c r="P505" i="34"/>
  <c r="O505" i="34"/>
  <c r="N505" i="34"/>
  <c r="M505" i="34"/>
  <c r="L505" i="34"/>
  <c r="K505" i="34"/>
  <c r="I505" i="34"/>
  <c r="H505" i="34"/>
  <c r="G505" i="34"/>
  <c r="AQ504" i="34"/>
  <c r="AP504" i="34"/>
  <c r="AO504" i="34"/>
  <c r="AN504" i="34"/>
  <c r="AM504" i="34"/>
  <c r="AL504" i="34"/>
  <c r="AK504" i="34"/>
  <c r="AJ504" i="34"/>
  <c r="AI504" i="34"/>
  <c r="AH504" i="34"/>
  <c r="AG504" i="34"/>
  <c r="AF504" i="34"/>
  <c r="AD504" i="34"/>
  <c r="AC504" i="34"/>
  <c r="AB504" i="34"/>
  <c r="Z504" i="34"/>
  <c r="Y504" i="34"/>
  <c r="X504" i="34"/>
  <c r="W504" i="34"/>
  <c r="V504" i="34"/>
  <c r="U504" i="34"/>
  <c r="T504" i="34"/>
  <c r="S504" i="34"/>
  <c r="R504" i="34"/>
  <c r="Q504" i="34"/>
  <c r="P504" i="34"/>
  <c r="O504" i="34"/>
  <c r="N504" i="34"/>
  <c r="M504" i="34"/>
  <c r="L504" i="34"/>
  <c r="K504" i="34"/>
  <c r="I504" i="34"/>
  <c r="H504" i="34"/>
  <c r="G504" i="34"/>
  <c r="AQ503" i="34"/>
  <c r="AP503" i="34"/>
  <c r="AO503" i="34"/>
  <c r="AN503" i="34"/>
  <c r="AM503" i="34"/>
  <c r="AL503" i="34"/>
  <c r="AK503" i="34"/>
  <c r="AJ503" i="34"/>
  <c r="AI503" i="34"/>
  <c r="AH503" i="34"/>
  <c r="AG503" i="34"/>
  <c r="AF503" i="34"/>
  <c r="AD503" i="34"/>
  <c r="AC503" i="34"/>
  <c r="AB503" i="34"/>
  <c r="Z503" i="34"/>
  <c r="Y503" i="34"/>
  <c r="X503" i="34"/>
  <c r="W503" i="34"/>
  <c r="V503" i="34"/>
  <c r="U503" i="34"/>
  <c r="T503" i="34"/>
  <c r="S503" i="34"/>
  <c r="R503" i="34"/>
  <c r="Q503" i="34"/>
  <c r="P503" i="34"/>
  <c r="O503" i="34"/>
  <c r="N503" i="34"/>
  <c r="M503" i="34"/>
  <c r="L503" i="34"/>
  <c r="K503" i="34"/>
  <c r="I503" i="34"/>
  <c r="H503" i="34"/>
  <c r="G503" i="34"/>
  <c r="AQ502" i="34"/>
  <c r="AP502" i="34"/>
  <c r="AO502" i="34"/>
  <c r="AN502" i="34"/>
  <c r="AM502" i="34"/>
  <c r="AL502" i="34"/>
  <c r="AK502" i="34"/>
  <c r="AJ502" i="34"/>
  <c r="AI502" i="34"/>
  <c r="AH502" i="34"/>
  <c r="AG502" i="34"/>
  <c r="AF502" i="34"/>
  <c r="AD502" i="34"/>
  <c r="AC502" i="34"/>
  <c r="AB502" i="34"/>
  <c r="Z502" i="34"/>
  <c r="Y502" i="34"/>
  <c r="X502" i="34"/>
  <c r="W502" i="34"/>
  <c r="V502" i="34"/>
  <c r="U502" i="34"/>
  <c r="T502" i="34"/>
  <c r="S502" i="34"/>
  <c r="R502" i="34"/>
  <c r="Q502" i="34"/>
  <c r="P502" i="34"/>
  <c r="O502" i="34"/>
  <c r="N502" i="34"/>
  <c r="M502" i="34"/>
  <c r="L502" i="34"/>
  <c r="K502" i="34"/>
  <c r="I502" i="34"/>
  <c r="H502" i="34"/>
  <c r="G502" i="34"/>
  <c r="AQ501" i="34"/>
  <c r="AP501" i="34"/>
  <c r="AO501" i="34"/>
  <c r="AN501" i="34"/>
  <c r="AM501" i="34"/>
  <c r="AL501" i="34"/>
  <c r="AK501" i="34"/>
  <c r="AJ501" i="34"/>
  <c r="AI501" i="34"/>
  <c r="AH501" i="34"/>
  <c r="AG501" i="34"/>
  <c r="AF501" i="34"/>
  <c r="AD501" i="34"/>
  <c r="AC501" i="34"/>
  <c r="AB501" i="34"/>
  <c r="Z501" i="34"/>
  <c r="Y501" i="34"/>
  <c r="X501" i="34"/>
  <c r="W501" i="34"/>
  <c r="V501" i="34"/>
  <c r="U501" i="34"/>
  <c r="T501" i="34"/>
  <c r="S501" i="34"/>
  <c r="R501" i="34"/>
  <c r="Q501" i="34"/>
  <c r="P501" i="34"/>
  <c r="O501" i="34"/>
  <c r="N501" i="34"/>
  <c r="M501" i="34"/>
  <c r="L501" i="34"/>
  <c r="K501" i="34"/>
  <c r="I501" i="34"/>
  <c r="H501" i="34"/>
  <c r="G501" i="34"/>
  <c r="AQ500" i="34"/>
  <c r="AP500" i="34"/>
  <c r="AO500" i="34"/>
  <c r="AN500" i="34"/>
  <c r="AM500" i="34"/>
  <c r="AL500" i="34"/>
  <c r="AK500" i="34"/>
  <c r="AJ500" i="34"/>
  <c r="AI500" i="34"/>
  <c r="AH500" i="34"/>
  <c r="AG500" i="34"/>
  <c r="AF500" i="34"/>
  <c r="AD500" i="34"/>
  <c r="AC500" i="34"/>
  <c r="AB500" i="34"/>
  <c r="Z500" i="34"/>
  <c r="Y500" i="34"/>
  <c r="X500" i="34"/>
  <c r="W500" i="34"/>
  <c r="V500" i="34"/>
  <c r="U500" i="34"/>
  <c r="T500" i="34"/>
  <c r="S500" i="34"/>
  <c r="R500" i="34"/>
  <c r="Q500" i="34"/>
  <c r="P500" i="34"/>
  <c r="O500" i="34"/>
  <c r="N500" i="34"/>
  <c r="M500" i="34"/>
  <c r="L500" i="34"/>
  <c r="K500" i="34"/>
  <c r="I500" i="34"/>
  <c r="H500" i="34"/>
  <c r="G500" i="34"/>
  <c r="AQ499" i="34"/>
  <c r="AP499" i="34"/>
  <c r="AO499" i="34"/>
  <c r="AN499" i="34"/>
  <c r="AM499" i="34"/>
  <c r="AL499" i="34"/>
  <c r="AK499" i="34"/>
  <c r="AJ499" i="34"/>
  <c r="AI499" i="34"/>
  <c r="AH499" i="34"/>
  <c r="AG499" i="34"/>
  <c r="AF499" i="34"/>
  <c r="AD499" i="34"/>
  <c r="AC499" i="34"/>
  <c r="AB499" i="34"/>
  <c r="Z499" i="34"/>
  <c r="Y499" i="34"/>
  <c r="X499" i="34"/>
  <c r="W499" i="34"/>
  <c r="V499" i="34"/>
  <c r="U499" i="34"/>
  <c r="T499" i="34"/>
  <c r="S499" i="34"/>
  <c r="R499" i="34"/>
  <c r="Q499" i="34"/>
  <c r="P499" i="34"/>
  <c r="O499" i="34"/>
  <c r="N499" i="34"/>
  <c r="M499" i="34"/>
  <c r="L499" i="34"/>
  <c r="K499" i="34"/>
  <c r="I499" i="34"/>
  <c r="H499" i="34"/>
  <c r="G499" i="34"/>
  <c r="AQ497" i="34"/>
  <c r="AP497" i="34"/>
  <c r="AO497" i="34"/>
  <c r="AN497" i="34"/>
  <c r="AM497" i="34"/>
  <c r="AL497" i="34"/>
  <c r="AK497" i="34"/>
  <c r="AJ497" i="34"/>
  <c r="AI497" i="34"/>
  <c r="AH497" i="34"/>
  <c r="AG497" i="34"/>
  <c r="AF497" i="34"/>
  <c r="AD497" i="34"/>
  <c r="AC497" i="34"/>
  <c r="AB497" i="34"/>
  <c r="Z497" i="34"/>
  <c r="Y497" i="34"/>
  <c r="X497" i="34"/>
  <c r="W497" i="34"/>
  <c r="V497" i="34"/>
  <c r="U497" i="34"/>
  <c r="T497" i="34"/>
  <c r="S497" i="34"/>
  <c r="R497" i="34"/>
  <c r="Q497" i="34"/>
  <c r="P497" i="34"/>
  <c r="O497" i="34"/>
  <c r="N497" i="34"/>
  <c r="M497" i="34"/>
  <c r="L497" i="34"/>
  <c r="K497" i="34"/>
  <c r="I497" i="34"/>
  <c r="H497" i="34"/>
  <c r="G497" i="34"/>
  <c r="AQ496" i="34"/>
  <c r="AP496" i="34"/>
  <c r="AO496" i="34"/>
  <c r="AN496" i="34"/>
  <c r="AM496" i="34"/>
  <c r="AL496" i="34"/>
  <c r="AK496" i="34"/>
  <c r="AJ496" i="34"/>
  <c r="AI496" i="34"/>
  <c r="AH496" i="34"/>
  <c r="AG496" i="34"/>
  <c r="AF496" i="34"/>
  <c r="AD496" i="34"/>
  <c r="AC496" i="34"/>
  <c r="AB496" i="34"/>
  <c r="Z496" i="34"/>
  <c r="Y496" i="34"/>
  <c r="X496" i="34"/>
  <c r="W496" i="34"/>
  <c r="V496" i="34"/>
  <c r="U496" i="34"/>
  <c r="T496" i="34"/>
  <c r="S496" i="34"/>
  <c r="R496" i="34"/>
  <c r="Q496" i="34"/>
  <c r="P496" i="34"/>
  <c r="O496" i="34"/>
  <c r="N496" i="34"/>
  <c r="M496" i="34"/>
  <c r="L496" i="34"/>
  <c r="K496" i="34"/>
  <c r="I496" i="34"/>
  <c r="H496" i="34"/>
  <c r="G496" i="34"/>
  <c r="AQ495" i="34"/>
  <c r="AP495" i="34"/>
  <c r="AO495" i="34"/>
  <c r="AN495" i="34"/>
  <c r="AM495" i="34"/>
  <c r="AL495" i="34"/>
  <c r="AK495" i="34"/>
  <c r="AJ495" i="34"/>
  <c r="AI495" i="34"/>
  <c r="AH495" i="34"/>
  <c r="AG495" i="34"/>
  <c r="AF495" i="34"/>
  <c r="AD495" i="34"/>
  <c r="AC495" i="34"/>
  <c r="AB495" i="34"/>
  <c r="Z495" i="34"/>
  <c r="Y495" i="34"/>
  <c r="X495" i="34"/>
  <c r="W495" i="34"/>
  <c r="V495" i="34"/>
  <c r="U495" i="34"/>
  <c r="T495" i="34"/>
  <c r="S495" i="34"/>
  <c r="R495" i="34"/>
  <c r="Q495" i="34"/>
  <c r="P495" i="34"/>
  <c r="O495" i="34"/>
  <c r="N495" i="34"/>
  <c r="M495" i="34"/>
  <c r="L495" i="34"/>
  <c r="K495" i="34"/>
  <c r="I495" i="34"/>
  <c r="H495" i="34"/>
  <c r="G495" i="34"/>
  <c r="AQ494" i="34"/>
  <c r="AP494" i="34"/>
  <c r="AO494" i="34"/>
  <c r="AN494" i="34"/>
  <c r="AM494" i="34"/>
  <c r="AL494" i="34"/>
  <c r="AK494" i="34"/>
  <c r="AJ494" i="34"/>
  <c r="AI494" i="34"/>
  <c r="AH494" i="34"/>
  <c r="AG494" i="34"/>
  <c r="AF494" i="34"/>
  <c r="AD494" i="34"/>
  <c r="AC494" i="34"/>
  <c r="AB494" i="34"/>
  <c r="Z494" i="34"/>
  <c r="Y494" i="34"/>
  <c r="X494" i="34"/>
  <c r="W494" i="34"/>
  <c r="V494" i="34"/>
  <c r="U494" i="34"/>
  <c r="T494" i="34"/>
  <c r="S494" i="34"/>
  <c r="R494" i="34"/>
  <c r="Q494" i="34"/>
  <c r="P494" i="34"/>
  <c r="O494" i="34"/>
  <c r="N494" i="34"/>
  <c r="M494" i="34"/>
  <c r="L494" i="34"/>
  <c r="K494" i="34"/>
  <c r="I494" i="34"/>
  <c r="H494" i="34"/>
  <c r="G494" i="34"/>
  <c r="AQ493" i="34"/>
  <c r="AP493" i="34"/>
  <c r="AO493" i="34"/>
  <c r="AN493" i="34"/>
  <c r="AM493" i="34"/>
  <c r="AL493" i="34"/>
  <c r="AK493" i="34"/>
  <c r="AJ493" i="34"/>
  <c r="AI493" i="34"/>
  <c r="AH493" i="34"/>
  <c r="AG493" i="34"/>
  <c r="AF493" i="34"/>
  <c r="AD493" i="34"/>
  <c r="AC493" i="34"/>
  <c r="AB493" i="34"/>
  <c r="Z493" i="34"/>
  <c r="Y493" i="34"/>
  <c r="X493" i="34"/>
  <c r="W493" i="34"/>
  <c r="V493" i="34"/>
  <c r="U493" i="34"/>
  <c r="T493" i="34"/>
  <c r="S493" i="34"/>
  <c r="R493" i="34"/>
  <c r="Q493" i="34"/>
  <c r="P493" i="34"/>
  <c r="O493" i="34"/>
  <c r="N493" i="34"/>
  <c r="M493" i="34"/>
  <c r="L493" i="34"/>
  <c r="K493" i="34"/>
  <c r="I493" i="34"/>
  <c r="H493" i="34"/>
  <c r="G493" i="34"/>
  <c r="AQ492" i="34"/>
  <c r="AP492" i="34"/>
  <c r="AO492" i="34"/>
  <c r="AN492" i="34"/>
  <c r="AM492" i="34"/>
  <c r="AL492" i="34"/>
  <c r="AK492" i="34"/>
  <c r="AJ492" i="34"/>
  <c r="AI492" i="34"/>
  <c r="AH492" i="34"/>
  <c r="AG492" i="34"/>
  <c r="AF492" i="34"/>
  <c r="AD492" i="34"/>
  <c r="AC492" i="34"/>
  <c r="AB492" i="34"/>
  <c r="Z492" i="34"/>
  <c r="Y492" i="34"/>
  <c r="X492" i="34"/>
  <c r="W492" i="34"/>
  <c r="V492" i="34"/>
  <c r="U492" i="34"/>
  <c r="T492" i="34"/>
  <c r="S492" i="34"/>
  <c r="R492" i="34"/>
  <c r="Q492" i="34"/>
  <c r="P492" i="34"/>
  <c r="O492" i="34"/>
  <c r="N492" i="34"/>
  <c r="M492" i="34"/>
  <c r="L492" i="34"/>
  <c r="K492" i="34"/>
  <c r="I492" i="34"/>
  <c r="H492" i="34"/>
  <c r="G492" i="34"/>
  <c r="AQ491" i="34"/>
  <c r="AP491" i="34"/>
  <c r="AO491" i="34"/>
  <c r="AN491" i="34"/>
  <c r="AM491" i="34"/>
  <c r="AL491" i="34"/>
  <c r="AK491" i="34"/>
  <c r="AJ491" i="34"/>
  <c r="AI491" i="34"/>
  <c r="AH491" i="34"/>
  <c r="AG491" i="34"/>
  <c r="AF491" i="34"/>
  <c r="AD491" i="34"/>
  <c r="AC491" i="34"/>
  <c r="AB491" i="34"/>
  <c r="Z491" i="34"/>
  <c r="Y491" i="34"/>
  <c r="X491" i="34"/>
  <c r="W491" i="34"/>
  <c r="V491" i="34"/>
  <c r="U491" i="34"/>
  <c r="T491" i="34"/>
  <c r="S491" i="34"/>
  <c r="R491" i="34"/>
  <c r="Q491" i="34"/>
  <c r="P491" i="34"/>
  <c r="O491" i="34"/>
  <c r="N491" i="34"/>
  <c r="M491" i="34"/>
  <c r="L491" i="34"/>
  <c r="K491" i="34"/>
  <c r="I491" i="34"/>
  <c r="H491" i="34"/>
  <c r="G491" i="34"/>
  <c r="AQ490" i="34"/>
  <c r="AP490" i="34"/>
  <c r="AO490" i="34"/>
  <c r="AN490" i="34"/>
  <c r="AM490" i="34"/>
  <c r="AL490" i="34"/>
  <c r="AK490" i="34"/>
  <c r="AJ490" i="34"/>
  <c r="AI490" i="34"/>
  <c r="AH490" i="34"/>
  <c r="AG490" i="34"/>
  <c r="AF490" i="34"/>
  <c r="AD490" i="34"/>
  <c r="AC490" i="34"/>
  <c r="AB490" i="34"/>
  <c r="Z490" i="34"/>
  <c r="Y490" i="34"/>
  <c r="X490" i="34"/>
  <c r="W490" i="34"/>
  <c r="V490" i="34"/>
  <c r="U490" i="34"/>
  <c r="T490" i="34"/>
  <c r="S490" i="34"/>
  <c r="R490" i="34"/>
  <c r="Q490" i="34"/>
  <c r="P490" i="34"/>
  <c r="O490" i="34"/>
  <c r="N490" i="34"/>
  <c r="M490" i="34"/>
  <c r="L490" i="34"/>
  <c r="K490" i="34"/>
  <c r="I490" i="34"/>
  <c r="H490" i="34"/>
  <c r="G490" i="34"/>
  <c r="AQ488" i="34"/>
  <c r="AP488" i="34"/>
  <c r="AO488" i="34"/>
  <c r="AN488" i="34"/>
  <c r="AM488" i="34"/>
  <c r="AL488" i="34"/>
  <c r="AK488" i="34"/>
  <c r="AJ488" i="34"/>
  <c r="AI488" i="34"/>
  <c r="AH488" i="34"/>
  <c r="AG488" i="34"/>
  <c r="AF488" i="34"/>
  <c r="AD488" i="34"/>
  <c r="AC488" i="34"/>
  <c r="AB488" i="34"/>
  <c r="Z488" i="34"/>
  <c r="Y488" i="34"/>
  <c r="X488" i="34"/>
  <c r="W488" i="34"/>
  <c r="V488" i="34"/>
  <c r="U488" i="34"/>
  <c r="T488" i="34"/>
  <c r="S488" i="34"/>
  <c r="R488" i="34"/>
  <c r="Q488" i="34"/>
  <c r="P488" i="34"/>
  <c r="O488" i="34"/>
  <c r="N488" i="34"/>
  <c r="M488" i="34"/>
  <c r="L488" i="34"/>
  <c r="K488" i="34"/>
  <c r="I488" i="34"/>
  <c r="H488" i="34"/>
  <c r="G488" i="34"/>
  <c r="AQ487" i="34"/>
  <c r="AP487" i="34"/>
  <c r="AO487" i="34"/>
  <c r="AN487" i="34"/>
  <c r="AM487" i="34"/>
  <c r="AL487" i="34"/>
  <c r="AK487" i="34"/>
  <c r="AJ487" i="34"/>
  <c r="AI487" i="34"/>
  <c r="AH487" i="34"/>
  <c r="AG487" i="34"/>
  <c r="AF487" i="34"/>
  <c r="AD487" i="34"/>
  <c r="AC487" i="34"/>
  <c r="AB487" i="34"/>
  <c r="Z487" i="34"/>
  <c r="Y487" i="34"/>
  <c r="X487" i="34"/>
  <c r="W487" i="34"/>
  <c r="V487" i="34"/>
  <c r="U487" i="34"/>
  <c r="T487" i="34"/>
  <c r="S487" i="34"/>
  <c r="R487" i="34"/>
  <c r="Q487" i="34"/>
  <c r="P487" i="34"/>
  <c r="O487" i="34"/>
  <c r="N487" i="34"/>
  <c r="M487" i="34"/>
  <c r="L487" i="34"/>
  <c r="K487" i="34"/>
  <c r="I487" i="34"/>
  <c r="H487" i="34"/>
  <c r="G487" i="34"/>
  <c r="AQ486" i="34"/>
  <c r="AP486" i="34"/>
  <c r="AO486" i="34"/>
  <c r="AN486" i="34"/>
  <c r="AM486" i="34"/>
  <c r="AL486" i="34"/>
  <c r="AK486" i="34"/>
  <c r="AJ486" i="34"/>
  <c r="AI486" i="34"/>
  <c r="AH486" i="34"/>
  <c r="AG486" i="34"/>
  <c r="AF486" i="34"/>
  <c r="AD486" i="34"/>
  <c r="AC486" i="34"/>
  <c r="AB486" i="34"/>
  <c r="Z486" i="34"/>
  <c r="Y486" i="34"/>
  <c r="X486" i="34"/>
  <c r="W486" i="34"/>
  <c r="V486" i="34"/>
  <c r="U486" i="34"/>
  <c r="T486" i="34"/>
  <c r="S486" i="34"/>
  <c r="R486" i="34"/>
  <c r="Q486" i="34"/>
  <c r="P486" i="34"/>
  <c r="O486" i="34"/>
  <c r="N486" i="34"/>
  <c r="M486" i="34"/>
  <c r="L486" i="34"/>
  <c r="K486" i="34"/>
  <c r="I486" i="34"/>
  <c r="H486" i="34"/>
  <c r="G486" i="34"/>
  <c r="AQ485" i="34"/>
  <c r="AP485" i="34"/>
  <c r="AO485" i="34"/>
  <c r="AN485" i="34"/>
  <c r="AM485" i="34"/>
  <c r="AL485" i="34"/>
  <c r="AK485" i="34"/>
  <c r="AJ485" i="34"/>
  <c r="AI485" i="34"/>
  <c r="AH485" i="34"/>
  <c r="AG485" i="34"/>
  <c r="AF485" i="34"/>
  <c r="AD485" i="34"/>
  <c r="AC485" i="34"/>
  <c r="AB485" i="34"/>
  <c r="Z485" i="34"/>
  <c r="Y485" i="34"/>
  <c r="X485" i="34"/>
  <c r="W485" i="34"/>
  <c r="V485" i="34"/>
  <c r="U485" i="34"/>
  <c r="T485" i="34"/>
  <c r="S485" i="34"/>
  <c r="R485" i="34"/>
  <c r="Q485" i="34"/>
  <c r="P485" i="34"/>
  <c r="O485" i="34"/>
  <c r="N485" i="34"/>
  <c r="M485" i="34"/>
  <c r="L485" i="34"/>
  <c r="K485" i="34"/>
  <c r="I485" i="34"/>
  <c r="H485" i="34"/>
  <c r="G485" i="34"/>
  <c r="AQ484" i="34"/>
  <c r="AP484" i="34"/>
  <c r="AO484" i="34"/>
  <c r="AN484" i="34"/>
  <c r="AM484" i="34"/>
  <c r="AL484" i="34"/>
  <c r="AK484" i="34"/>
  <c r="AJ484" i="34"/>
  <c r="AI484" i="34"/>
  <c r="AH484" i="34"/>
  <c r="AG484" i="34"/>
  <c r="AF484" i="34"/>
  <c r="AD484" i="34"/>
  <c r="AC484" i="34"/>
  <c r="AB484" i="34"/>
  <c r="Z484" i="34"/>
  <c r="Y484" i="34"/>
  <c r="X484" i="34"/>
  <c r="W484" i="34"/>
  <c r="V484" i="34"/>
  <c r="U484" i="34"/>
  <c r="T484" i="34"/>
  <c r="S484" i="34"/>
  <c r="R484" i="34"/>
  <c r="Q484" i="34"/>
  <c r="P484" i="34"/>
  <c r="O484" i="34"/>
  <c r="N484" i="34"/>
  <c r="M484" i="34"/>
  <c r="L484" i="34"/>
  <c r="K484" i="34"/>
  <c r="I484" i="34"/>
  <c r="H484" i="34"/>
  <c r="G484" i="34"/>
  <c r="AQ483" i="34"/>
  <c r="AP483" i="34"/>
  <c r="AO483" i="34"/>
  <c r="AN483" i="34"/>
  <c r="AM483" i="34"/>
  <c r="AL483" i="34"/>
  <c r="AK483" i="34"/>
  <c r="AJ483" i="34"/>
  <c r="AI483" i="34"/>
  <c r="AH483" i="34"/>
  <c r="AG483" i="34"/>
  <c r="AF483" i="34"/>
  <c r="AD483" i="34"/>
  <c r="AC483" i="34"/>
  <c r="AB483" i="34"/>
  <c r="Z483" i="34"/>
  <c r="Y483" i="34"/>
  <c r="X483" i="34"/>
  <c r="W483" i="34"/>
  <c r="V483" i="34"/>
  <c r="U483" i="34"/>
  <c r="T483" i="34"/>
  <c r="S483" i="34"/>
  <c r="R483" i="34"/>
  <c r="Q483" i="34"/>
  <c r="P483" i="34"/>
  <c r="O483" i="34"/>
  <c r="N483" i="34"/>
  <c r="M483" i="34"/>
  <c r="L483" i="34"/>
  <c r="K483" i="34"/>
  <c r="I483" i="34"/>
  <c r="H483" i="34"/>
  <c r="G483" i="34"/>
  <c r="AQ482" i="34"/>
  <c r="AP482" i="34"/>
  <c r="AO482" i="34"/>
  <c r="AN482" i="34"/>
  <c r="AM482" i="34"/>
  <c r="AL482" i="34"/>
  <c r="AK482" i="34"/>
  <c r="AJ482" i="34"/>
  <c r="AI482" i="34"/>
  <c r="AH482" i="34"/>
  <c r="AG482" i="34"/>
  <c r="AF482" i="34"/>
  <c r="AD482" i="34"/>
  <c r="AC482" i="34"/>
  <c r="AB482" i="34"/>
  <c r="Z482" i="34"/>
  <c r="Y482" i="34"/>
  <c r="X482" i="34"/>
  <c r="W482" i="34"/>
  <c r="V482" i="34"/>
  <c r="U482" i="34"/>
  <c r="T482" i="34"/>
  <c r="S482" i="34"/>
  <c r="R482" i="34"/>
  <c r="Q482" i="34"/>
  <c r="P482" i="34"/>
  <c r="O482" i="34"/>
  <c r="N482" i="34"/>
  <c r="M482" i="34"/>
  <c r="L482" i="34"/>
  <c r="K482" i="34"/>
  <c r="I482" i="34"/>
  <c r="H482" i="34"/>
  <c r="G482" i="34"/>
  <c r="AQ481" i="34"/>
  <c r="AP481" i="34"/>
  <c r="AO481" i="34"/>
  <c r="AN481" i="34"/>
  <c r="AM481" i="34"/>
  <c r="AL481" i="34"/>
  <c r="AK481" i="34"/>
  <c r="AJ481" i="34"/>
  <c r="AI481" i="34"/>
  <c r="AH481" i="34"/>
  <c r="AG481" i="34"/>
  <c r="AF481" i="34"/>
  <c r="AD481" i="34"/>
  <c r="AC481" i="34"/>
  <c r="AB481" i="34"/>
  <c r="Z481" i="34"/>
  <c r="Y481" i="34"/>
  <c r="X481" i="34"/>
  <c r="W481" i="34"/>
  <c r="V481" i="34"/>
  <c r="U481" i="34"/>
  <c r="T481" i="34"/>
  <c r="S481" i="34"/>
  <c r="R481" i="34"/>
  <c r="Q481" i="34"/>
  <c r="P481" i="34"/>
  <c r="O481" i="34"/>
  <c r="N481" i="34"/>
  <c r="M481" i="34"/>
  <c r="L481" i="34"/>
  <c r="K481" i="34"/>
  <c r="I481" i="34"/>
  <c r="H481" i="34"/>
  <c r="G481" i="34"/>
  <c r="AQ480" i="34"/>
  <c r="AP480" i="34"/>
  <c r="AO480" i="34"/>
  <c r="AN480" i="34"/>
  <c r="AM480" i="34"/>
  <c r="AL480" i="34"/>
  <c r="AK480" i="34"/>
  <c r="AJ480" i="34"/>
  <c r="AI480" i="34"/>
  <c r="AH480" i="34"/>
  <c r="AG480" i="34"/>
  <c r="AF480" i="34"/>
  <c r="AD480" i="34"/>
  <c r="AC480" i="34"/>
  <c r="AB480" i="34"/>
  <c r="Z480" i="34"/>
  <c r="Y480" i="34"/>
  <c r="X480" i="34"/>
  <c r="W480" i="34"/>
  <c r="V480" i="34"/>
  <c r="U480" i="34"/>
  <c r="T480" i="34"/>
  <c r="S480" i="34"/>
  <c r="R480" i="34"/>
  <c r="Q480" i="34"/>
  <c r="P480" i="34"/>
  <c r="O480" i="34"/>
  <c r="N480" i="34"/>
  <c r="M480" i="34"/>
  <c r="L480" i="34"/>
  <c r="K480" i="34"/>
  <c r="I480" i="34"/>
  <c r="H480" i="34"/>
  <c r="G480" i="34"/>
  <c r="AQ479" i="34"/>
  <c r="AP479" i="34"/>
  <c r="AO479" i="34"/>
  <c r="AN479" i="34"/>
  <c r="AM479" i="34"/>
  <c r="AL479" i="34"/>
  <c r="AK479" i="34"/>
  <c r="AJ479" i="34"/>
  <c r="AI479" i="34"/>
  <c r="AH479" i="34"/>
  <c r="AG479" i="34"/>
  <c r="AF479" i="34"/>
  <c r="AD479" i="34"/>
  <c r="AC479" i="34"/>
  <c r="AB479" i="34"/>
  <c r="Z479" i="34"/>
  <c r="Y479" i="34"/>
  <c r="X479" i="34"/>
  <c r="W479" i="34"/>
  <c r="V479" i="34"/>
  <c r="U479" i="34"/>
  <c r="T479" i="34"/>
  <c r="S479" i="34"/>
  <c r="R479" i="34"/>
  <c r="Q479" i="34"/>
  <c r="P479" i="34"/>
  <c r="O479" i="34"/>
  <c r="N479" i="34"/>
  <c r="M479" i="34"/>
  <c r="L479" i="34"/>
  <c r="K479" i="34"/>
  <c r="I479" i="34"/>
  <c r="H479" i="34"/>
  <c r="G479" i="34"/>
  <c r="AQ478" i="34"/>
  <c r="AP478" i="34"/>
  <c r="AO478" i="34"/>
  <c r="AN478" i="34"/>
  <c r="AM478" i="34"/>
  <c r="AL478" i="34"/>
  <c r="AK478" i="34"/>
  <c r="AJ478" i="34"/>
  <c r="AI478" i="34"/>
  <c r="AH478" i="34"/>
  <c r="AG478" i="34"/>
  <c r="AF478" i="34"/>
  <c r="AD478" i="34"/>
  <c r="AC478" i="34"/>
  <c r="AB478" i="34"/>
  <c r="Z478" i="34"/>
  <c r="Y478" i="34"/>
  <c r="X478" i="34"/>
  <c r="W478" i="34"/>
  <c r="V478" i="34"/>
  <c r="U478" i="34"/>
  <c r="T478" i="34"/>
  <c r="S478" i="34"/>
  <c r="R478" i="34"/>
  <c r="Q478" i="34"/>
  <c r="P478" i="34"/>
  <c r="O478" i="34"/>
  <c r="N478" i="34"/>
  <c r="M478" i="34"/>
  <c r="L478" i="34"/>
  <c r="K478" i="34"/>
  <c r="I478" i="34"/>
  <c r="H478" i="34"/>
  <c r="G478" i="34"/>
  <c r="AQ477" i="34"/>
  <c r="AP477" i="34"/>
  <c r="AO477" i="34"/>
  <c r="AN477" i="34"/>
  <c r="AM477" i="34"/>
  <c r="AL477" i="34"/>
  <c r="AK477" i="34"/>
  <c r="AJ477" i="34"/>
  <c r="AI477" i="34"/>
  <c r="AH477" i="34"/>
  <c r="AG477" i="34"/>
  <c r="AF477" i="34"/>
  <c r="AD477" i="34"/>
  <c r="AC477" i="34"/>
  <c r="AB477" i="34"/>
  <c r="Z477" i="34"/>
  <c r="Y477" i="34"/>
  <c r="X477" i="34"/>
  <c r="W477" i="34"/>
  <c r="V477" i="34"/>
  <c r="U477" i="34"/>
  <c r="T477" i="34"/>
  <c r="S477" i="34"/>
  <c r="R477" i="34"/>
  <c r="Q477" i="34"/>
  <c r="P477" i="34"/>
  <c r="O477" i="34"/>
  <c r="N477" i="34"/>
  <c r="M477" i="34"/>
  <c r="L477" i="34"/>
  <c r="K477" i="34"/>
  <c r="I477" i="34"/>
  <c r="H477" i="34"/>
  <c r="G477" i="34"/>
  <c r="AQ476" i="34"/>
  <c r="AP476" i="34"/>
  <c r="AO476" i="34"/>
  <c r="AN476" i="34"/>
  <c r="AM476" i="34"/>
  <c r="AL476" i="34"/>
  <c r="AK476" i="34"/>
  <c r="AJ476" i="34"/>
  <c r="AI476" i="34"/>
  <c r="AH476" i="34"/>
  <c r="AG476" i="34"/>
  <c r="AF476" i="34"/>
  <c r="AD476" i="34"/>
  <c r="AC476" i="34"/>
  <c r="AB476" i="34"/>
  <c r="Z476" i="34"/>
  <c r="Y476" i="34"/>
  <c r="X476" i="34"/>
  <c r="W476" i="34"/>
  <c r="V476" i="34"/>
  <c r="U476" i="34"/>
  <c r="T476" i="34"/>
  <c r="S476" i="34"/>
  <c r="R476" i="34"/>
  <c r="Q476" i="34"/>
  <c r="P476" i="34"/>
  <c r="O476" i="34"/>
  <c r="N476" i="34"/>
  <c r="M476" i="34"/>
  <c r="L476" i="34"/>
  <c r="K476" i="34"/>
  <c r="I476" i="34"/>
  <c r="H476" i="34"/>
  <c r="G476" i="34"/>
  <c r="AQ475" i="34"/>
  <c r="AP475" i="34"/>
  <c r="AO475" i="34"/>
  <c r="AN475" i="34"/>
  <c r="AM475" i="34"/>
  <c r="AL475" i="34"/>
  <c r="AK475" i="34"/>
  <c r="AJ475" i="34"/>
  <c r="AI475" i="34"/>
  <c r="AH475" i="34"/>
  <c r="AG475" i="34"/>
  <c r="AF475" i="34"/>
  <c r="AD475" i="34"/>
  <c r="AC475" i="34"/>
  <c r="AB475" i="34"/>
  <c r="Z475" i="34"/>
  <c r="Y475" i="34"/>
  <c r="X475" i="34"/>
  <c r="W475" i="34"/>
  <c r="V475" i="34"/>
  <c r="U475" i="34"/>
  <c r="T475" i="34"/>
  <c r="S475" i="34"/>
  <c r="R475" i="34"/>
  <c r="Q475" i="34"/>
  <c r="P475" i="34"/>
  <c r="O475" i="34"/>
  <c r="N475" i="34"/>
  <c r="M475" i="34"/>
  <c r="L475" i="34"/>
  <c r="K475" i="34"/>
  <c r="I475" i="34"/>
  <c r="H475" i="34"/>
  <c r="G475" i="34"/>
  <c r="AQ474" i="34"/>
  <c r="AP474" i="34"/>
  <c r="AO474" i="34"/>
  <c r="AN474" i="34"/>
  <c r="AM474" i="34"/>
  <c r="AL474" i="34"/>
  <c r="AK474" i="34"/>
  <c r="AJ474" i="34"/>
  <c r="AI474" i="34"/>
  <c r="AH474" i="34"/>
  <c r="AG474" i="34"/>
  <c r="AF474" i="34"/>
  <c r="AD474" i="34"/>
  <c r="AC474" i="34"/>
  <c r="AB474" i="34"/>
  <c r="Z474" i="34"/>
  <c r="Y474" i="34"/>
  <c r="X474" i="34"/>
  <c r="W474" i="34"/>
  <c r="V474" i="34"/>
  <c r="U474" i="34"/>
  <c r="T474" i="34"/>
  <c r="S474" i="34"/>
  <c r="R474" i="34"/>
  <c r="Q474" i="34"/>
  <c r="P474" i="34"/>
  <c r="O474" i="34"/>
  <c r="N474" i="34"/>
  <c r="M474" i="34"/>
  <c r="L474" i="34"/>
  <c r="K474" i="34"/>
  <c r="I474" i="34"/>
  <c r="H474" i="34"/>
  <c r="G474" i="34"/>
  <c r="AQ473" i="34"/>
  <c r="AP473" i="34"/>
  <c r="AO473" i="34"/>
  <c r="AN473" i="34"/>
  <c r="AM473" i="34"/>
  <c r="AL473" i="34"/>
  <c r="AK473" i="34"/>
  <c r="AJ473" i="34"/>
  <c r="AI473" i="34"/>
  <c r="AH473" i="34"/>
  <c r="AG473" i="34"/>
  <c r="AF473" i="34"/>
  <c r="AD473" i="34"/>
  <c r="AC473" i="34"/>
  <c r="AB473" i="34"/>
  <c r="Z473" i="34"/>
  <c r="Y473" i="34"/>
  <c r="X473" i="34"/>
  <c r="W473" i="34"/>
  <c r="V473" i="34"/>
  <c r="U473" i="34"/>
  <c r="T473" i="34"/>
  <c r="S473" i="34"/>
  <c r="R473" i="34"/>
  <c r="Q473" i="34"/>
  <c r="P473" i="34"/>
  <c r="O473" i="34"/>
  <c r="N473" i="34"/>
  <c r="M473" i="34"/>
  <c r="L473" i="34"/>
  <c r="K473" i="34"/>
  <c r="I473" i="34"/>
  <c r="H473" i="34"/>
  <c r="G473" i="34"/>
  <c r="AQ472" i="34"/>
  <c r="AP472" i="34"/>
  <c r="AO472" i="34"/>
  <c r="AN472" i="34"/>
  <c r="AM472" i="34"/>
  <c r="AL472" i="34"/>
  <c r="AK472" i="34"/>
  <c r="AJ472" i="34"/>
  <c r="AI472" i="34"/>
  <c r="AH472" i="34"/>
  <c r="AG472" i="34"/>
  <c r="AF472" i="34"/>
  <c r="AD472" i="34"/>
  <c r="AC472" i="34"/>
  <c r="AB472" i="34"/>
  <c r="Z472" i="34"/>
  <c r="Y472" i="34"/>
  <c r="X472" i="34"/>
  <c r="W472" i="34"/>
  <c r="V472" i="34"/>
  <c r="U472" i="34"/>
  <c r="T472" i="34"/>
  <c r="S472" i="34"/>
  <c r="R472" i="34"/>
  <c r="Q472" i="34"/>
  <c r="P472" i="34"/>
  <c r="O472" i="34"/>
  <c r="N472" i="34"/>
  <c r="M472" i="34"/>
  <c r="L472" i="34"/>
  <c r="K472" i="34"/>
  <c r="I472" i="34"/>
  <c r="H472" i="34"/>
  <c r="G472" i="34"/>
  <c r="AQ471" i="34"/>
  <c r="AP471" i="34"/>
  <c r="AO471" i="34"/>
  <c r="AN471" i="34"/>
  <c r="AM471" i="34"/>
  <c r="AL471" i="34"/>
  <c r="AK471" i="34"/>
  <c r="AJ471" i="34"/>
  <c r="AI471" i="34"/>
  <c r="AH471" i="34"/>
  <c r="AG471" i="34"/>
  <c r="AF471" i="34"/>
  <c r="AD471" i="34"/>
  <c r="AC471" i="34"/>
  <c r="AB471" i="34"/>
  <c r="Z471" i="34"/>
  <c r="Y471" i="34"/>
  <c r="X471" i="34"/>
  <c r="W471" i="34"/>
  <c r="V471" i="34"/>
  <c r="U471" i="34"/>
  <c r="T471" i="34"/>
  <c r="S471" i="34"/>
  <c r="R471" i="34"/>
  <c r="Q471" i="34"/>
  <c r="P471" i="34"/>
  <c r="O471" i="34"/>
  <c r="N471" i="34"/>
  <c r="M471" i="34"/>
  <c r="L471" i="34"/>
  <c r="K471" i="34"/>
  <c r="I471" i="34"/>
  <c r="H471" i="34"/>
  <c r="G471" i="34"/>
  <c r="AQ470" i="34"/>
  <c r="AP470" i="34"/>
  <c r="AO470" i="34"/>
  <c r="AN470" i="34"/>
  <c r="AM470" i="34"/>
  <c r="AL470" i="34"/>
  <c r="AK470" i="34"/>
  <c r="AJ470" i="34"/>
  <c r="AI470" i="34"/>
  <c r="AH470" i="34"/>
  <c r="AG470" i="34"/>
  <c r="AF470" i="34"/>
  <c r="AD470" i="34"/>
  <c r="AC470" i="34"/>
  <c r="AB470" i="34"/>
  <c r="Z470" i="34"/>
  <c r="Y470" i="34"/>
  <c r="X470" i="34"/>
  <c r="W470" i="34"/>
  <c r="V470" i="34"/>
  <c r="U470" i="34"/>
  <c r="T470" i="34"/>
  <c r="S470" i="34"/>
  <c r="R470" i="34"/>
  <c r="Q470" i="34"/>
  <c r="P470" i="34"/>
  <c r="O470" i="34"/>
  <c r="N470" i="34"/>
  <c r="M470" i="34"/>
  <c r="L470" i="34"/>
  <c r="K470" i="34"/>
  <c r="I470" i="34"/>
  <c r="H470" i="34"/>
  <c r="G470" i="34"/>
  <c r="AQ469" i="34"/>
  <c r="AP469" i="34"/>
  <c r="AO469" i="34"/>
  <c r="AN469" i="34"/>
  <c r="AM469" i="34"/>
  <c r="AL469" i="34"/>
  <c r="AK469" i="34"/>
  <c r="AJ469" i="34"/>
  <c r="AI469" i="34"/>
  <c r="AH469" i="34"/>
  <c r="AG469" i="34"/>
  <c r="AF469" i="34"/>
  <c r="AD469" i="34"/>
  <c r="AC469" i="34"/>
  <c r="AB469" i="34"/>
  <c r="Z469" i="34"/>
  <c r="Y469" i="34"/>
  <c r="X469" i="34"/>
  <c r="W469" i="34"/>
  <c r="V469" i="34"/>
  <c r="U469" i="34"/>
  <c r="T469" i="34"/>
  <c r="S469" i="34"/>
  <c r="R469" i="34"/>
  <c r="Q469" i="34"/>
  <c r="P469" i="34"/>
  <c r="O469" i="34"/>
  <c r="N469" i="34"/>
  <c r="M469" i="34"/>
  <c r="L469" i="34"/>
  <c r="K469" i="34"/>
  <c r="I469" i="34"/>
  <c r="H469" i="34"/>
  <c r="G469" i="34"/>
  <c r="AQ468" i="34"/>
  <c r="AP468" i="34"/>
  <c r="AO468" i="34"/>
  <c r="AN468" i="34"/>
  <c r="AM468" i="34"/>
  <c r="AL468" i="34"/>
  <c r="AK468" i="34"/>
  <c r="AJ468" i="34"/>
  <c r="AI468" i="34"/>
  <c r="AH468" i="34"/>
  <c r="AG468" i="34"/>
  <c r="AF468" i="34"/>
  <c r="AD468" i="34"/>
  <c r="AC468" i="34"/>
  <c r="AB468" i="34"/>
  <c r="Z468" i="34"/>
  <c r="Y468" i="34"/>
  <c r="X468" i="34"/>
  <c r="W468" i="34"/>
  <c r="V468" i="34"/>
  <c r="U468" i="34"/>
  <c r="T468" i="34"/>
  <c r="S468" i="34"/>
  <c r="R468" i="34"/>
  <c r="Q468" i="34"/>
  <c r="P468" i="34"/>
  <c r="O468" i="34"/>
  <c r="N468" i="34"/>
  <c r="M468" i="34"/>
  <c r="L468" i="34"/>
  <c r="K468" i="34"/>
  <c r="I468" i="34"/>
  <c r="H468" i="34"/>
  <c r="G468" i="34"/>
  <c r="AQ467" i="34"/>
  <c r="AP467" i="34"/>
  <c r="AO467" i="34"/>
  <c r="AN467" i="34"/>
  <c r="AM467" i="34"/>
  <c r="AL467" i="34"/>
  <c r="AK467" i="34"/>
  <c r="AJ467" i="34"/>
  <c r="AI467" i="34"/>
  <c r="AH467" i="34"/>
  <c r="AG467" i="34"/>
  <c r="AF467" i="34"/>
  <c r="AD467" i="34"/>
  <c r="AC467" i="34"/>
  <c r="AB467" i="34"/>
  <c r="Z467" i="34"/>
  <c r="Y467" i="34"/>
  <c r="X467" i="34"/>
  <c r="W467" i="34"/>
  <c r="V467" i="34"/>
  <c r="U467" i="34"/>
  <c r="T467" i="34"/>
  <c r="S467" i="34"/>
  <c r="R467" i="34"/>
  <c r="Q467" i="34"/>
  <c r="P467" i="34"/>
  <c r="O467" i="34"/>
  <c r="N467" i="34"/>
  <c r="M467" i="34"/>
  <c r="L467" i="34"/>
  <c r="K467" i="34"/>
  <c r="I467" i="34"/>
  <c r="H467" i="34"/>
  <c r="G467" i="34"/>
  <c r="AQ466" i="34"/>
  <c r="AP466" i="34"/>
  <c r="AO466" i="34"/>
  <c r="AN466" i="34"/>
  <c r="AM466" i="34"/>
  <c r="AL466" i="34"/>
  <c r="AK466" i="34"/>
  <c r="AJ466" i="34"/>
  <c r="AI466" i="34"/>
  <c r="AH466" i="34"/>
  <c r="AG466" i="34"/>
  <c r="AF466" i="34"/>
  <c r="AD466" i="34"/>
  <c r="AC466" i="34"/>
  <c r="AB466" i="34"/>
  <c r="Z466" i="34"/>
  <c r="Y466" i="34"/>
  <c r="X466" i="34"/>
  <c r="W466" i="34"/>
  <c r="V466" i="34"/>
  <c r="U466" i="34"/>
  <c r="T466" i="34"/>
  <c r="S466" i="34"/>
  <c r="R466" i="34"/>
  <c r="Q466" i="34"/>
  <c r="P466" i="34"/>
  <c r="O466" i="34"/>
  <c r="N466" i="34"/>
  <c r="M466" i="34"/>
  <c r="L466" i="34"/>
  <c r="K466" i="34"/>
  <c r="I466" i="34"/>
  <c r="H466" i="34"/>
  <c r="G466" i="34"/>
  <c r="AQ465" i="34"/>
  <c r="AP465" i="34"/>
  <c r="AO465" i="34"/>
  <c r="AN465" i="34"/>
  <c r="AM465" i="34"/>
  <c r="AL465" i="34"/>
  <c r="AK465" i="34"/>
  <c r="AJ465" i="34"/>
  <c r="AI465" i="34"/>
  <c r="AH465" i="34"/>
  <c r="AG465" i="34"/>
  <c r="AF465" i="34"/>
  <c r="AD465" i="34"/>
  <c r="AC465" i="34"/>
  <c r="AB465" i="34"/>
  <c r="Z465" i="34"/>
  <c r="Y465" i="34"/>
  <c r="X465" i="34"/>
  <c r="W465" i="34"/>
  <c r="V465" i="34"/>
  <c r="U465" i="34"/>
  <c r="T465" i="34"/>
  <c r="S465" i="34"/>
  <c r="R465" i="34"/>
  <c r="Q465" i="34"/>
  <c r="P465" i="34"/>
  <c r="O465" i="34"/>
  <c r="N465" i="34"/>
  <c r="M465" i="34"/>
  <c r="L465" i="34"/>
  <c r="K465" i="34"/>
  <c r="I465" i="34"/>
  <c r="H465" i="34"/>
  <c r="G465" i="34"/>
  <c r="AQ464" i="34"/>
  <c r="AP464" i="34"/>
  <c r="AO464" i="34"/>
  <c r="AN464" i="34"/>
  <c r="AM464" i="34"/>
  <c r="AL464" i="34"/>
  <c r="AK464" i="34"/>
  <c r="AJ464" i="34"/>
  <c r="AI464" i="34"/>
  <c r="AH464" i="34"/>
  <c r="AG464" i="34"/>
  <c r="AF464" i="34"/>
  <c r="AD464" i="34"/>
  <c r="AC464" i="34"/>
  <c r="AB464" i="34"/>
  <c r="Z464" i="34"/>
  <c r="Y464" i="34"/>
  <c r="X464" i="34"/>
  <c r="W464" i="34"/>
  <c r="V464" i="34"/>
  <c r="U464" i="34"/>
  <c r="T464" i="34"/>
  <c r="S464" i="34"/>
  <c r="R464" i="34"/>
  <c r="Q464" i="34"/>
  <c r="P464" i="34"/>
  <c r="O464" i="34"/>
  <c r="N464" i="34"/>
  <c r="M464" i="34"/>
  <c r="L464" i="34"/>
  <c r="K464" i="34"/>
  <c r="I464" i="34"/>
  <c r="H464" i="34"/>
  <c r="G464" i="34"/>
  <c r="AQ463" i="34"/>
  <c r="AP463" i="34"/>
  <c r="AO463" i="34"/>
  <c r="AN463" i="34"/>
  <c r="AM463" i="34"/>
  <c r="AL463" i="34"/>
  <c r="AK463" i="34"/>
  <c r="AJ463" i="34"/>
  <c r="AI463" i="34"/>
  <c r="AH463" i="34"/>
  <c r="AG463" i="34"/>
  <c r="AF463" i="34"/>
  <c r="AD463" i="34"/>
  <c r="AC463" i="34"/>
  <c r="AB463" i="34"/>
  <c r="Z463" i="34"/>
  <c r="Y463" i="34"/>
  <c r="X463" i="34"/>
  <c r="W463" i="34"/>
  <c r="V463" i="34"/>
  <c r="U463" i="34"/>
  <c r="T463" i="34"/>
  <c r="S463" i="34"/>
  <c r="R463" i="34"/>
  <c r="Q463" i="34"/>
  <c r="P463" i="34"/>
  <c r="O463" i="34"/>
  <c r="N463" i="34"/>
  <c r="M463" i="34"/>
  <c r="L463" i="34"/>
  <c r="K463" i="34"/>
  <c r="I463" i="34"/>
  <c r="H463" i="34"/>
  <c r="G463" i="34"/>
  <c r="AQ462" i="34"/>
  <c r="AP462" i="34"/>
  <c r="AO462" i="34"/>
  <c r="AN462" i="34"/>
  <c r="AM462" i="34"/>
  <c r="AL462" i="34"/>
  <c r="AK462" i="34"/>
  <c r="AJ462" i="34"/>
  <c r="AI462" i="34"/>
  <c r="AH462" i="34"/>
  <c r="AG462" i="34"/>
  <c r="AF462" i="34"/>
  <c r="AD462" i="34"/>
  <c r="AC462" i="34"/>
  <c r="AB462" i="34"/>
  <c r="Z462" i="34"/>
  <c r="Y462" i="34"/>
  <c r="X462" i="34"/>
  <c r="W462" i="34"/>
  <c r="V462" i="34"/>
  <c r="U462" i="34"/>
  <c r="T462" i="34"/>
  <c r="S462" i="34"/>
  <c r="R462" i="34"/>
  <c r="Q462" i="34"/>
  <c r="P462" i="34"/>
  <c r="O462" i="34"/>
  <c r="N462" i="34"/>
  <c r="M462" i="34"/>
  <c r="L462" i="34"/>
  <c r="K462" i="34"/>
  <c r="I462" i="34"/>
  <c r="H462" i="34"/>
  <c r="G462" i="34"/>
  <c r="AQ461" i="34"/>
  <c r="AP461" i="34"/>
  <c r="AO461" i="34"/>
  <c r="AN461" i="34"/>
  <c r="AM461" i="34"/>
  <c r="AL461" i="34"/>
  <c r="AK461" i="34"/>
  <c r="AJ461" i="34"/>
  <c r="AI461" i="34"/>
  <c r="AH461" i="34"/>
  <c r="AG461" i="34"/>
  <c r="AF461" i="34"/>
  <c r="AD461" i="34"/>
  <c r="AC461" i="34"/>
  <c r="AB461" i="34"/>
  <c r="Z461" i="34"/>
  <c r="Y461" i="34"/>
  <c r="X461" i="34"/>
  <c r="W461" i="34"/>
  <c r="V461" i="34"/>
  <c r="U461" i="34"/>
  <c r="T461" i="34"/>
  <c r="S461" i="34"/>
  <c r="R461" i="34"/>
  <c r="Q461" i="34"/>
  <c r="P461" i="34"/>
  <c r="O461" i="34"/>
  <c r="N461" i="34"/>
  <c r="M461" i="34"/>
  <c r="L461" i="34"/>
  <c r="K461" i="34"/>
  <c r="I461" i="34"/>
  <c r="H461" i="34"/>
  <c r="G461" i="34"/>
  <c r="AQ460" i="34"/>
  <c r="AP460" i="34"/>
  <c r="AO460" i="34"/>
  <c r="AN460" i="34"/>
  <c r="AM460" i="34"/>
  <c r="AL460" i="34"/>
  <c r="AK460" i="34"/>
  <c r="AJ460" i="34"/>
  <c r="AI460" i="34"/>
  <c r="AH460" i="34"/>
  <c r="AG460" i="34"/>
  <c r="AF460" i="34"/>
  <c r="AD460" i="34"/>
  <c r="AC460" i="34"/>
  <c r="AB460" i="34"/>
  <c r="Z460" i="34"/>
  <c r="Y460" i="34"/>
  <c r="X460" i="34"/>
  <c r="W460" i="34"/>
  <c r="V460" i="34"/>
  <c r="U460" i="34"/>
  <c r="T460" i="34"/>
  <c r="S460" i="34"/>
  <c r="R460" i="34"/>
  <c r="Q460" i="34"/>
  <c r="P460" i="34"/>
  <c r="O460" i="34"/>
  <c r="N460" i="34"/>
  <c r="M460" i="34"/>
  <c r="L460" i="34"/>
  <c r="K460" i="34"/>
  <c r="I460" i="34"/>
  <c r="H460" i="34"/>
  <c r="G460" i="34"/>
  <c r="AQ459" i="34"/>
  <c r="AP459" i="34"/>
  <c r="AO459" i="34"/>
  <c r="AN459" i="34"/>
  <c r="AM459" i="34"/>
  <c r="AL459" i="34"/>
  <c r="AK459" i="34"/>
  <c r="AJ459" i="34"/>
  <c r="AI459" i="34"/>
  <c r="AH459" i="34"/>
  <c r="AG459" i="34"/>
  <c r="AF459" i="34"/>
  <c r="AD459" i="34"/>
  <c r="AC459" i="34"/>
  <c r="AB459" i="34"/>
  <c r="Z459" i="34"/>
  <c r="Y459" i="34"/>
  <c r="X459" i="34"/>
  <c r="W459" i="34"/>
  <c r="V459" i="34"/>
  <c r="U459" i="34"/>
  <c r="T459" i="34"/>
  <c r="S459" i="34"/>
  <c r="R459" i="34"/>
  <c r="Q459" i="34"/>
  <c r="P459" i="34"/>
  <c r="O459" i="34"/>
  <c r="N459" i="34"/>
  <c r="M459" i="34"/>
  <c r="L459" i="34"/>
  <c r="K459" i="34"/>
  <c r="I459" i="34"/>
  <c r="H459" i="34"/>
  <c r="G459" i="34"/>
  <c r="AQ458" i="34"/>
  <c r="AP458" i="34"/>
  <c r="AO458" i="34"/>
  <c r="AN458" i="34"/>
  <c r="AM458" i="34"/>
  <c r="AL458" i="34"/>
  <c r="AK458" i="34"/>
  <c r="AJ458" i="34"/>
  <c r="AI458" i="34"/>
  <c r="AH458" i="34"/>
  <c r="AG458" i="34"/>
  <c r="AF458" i="34"/>
  <c r="AD458" i="34"/>
  <c r="AC458" i="34"/>
  <c r="AB458" i="34"/>
  <c r="Z458" i="34"/>
  <c r="Y458" i="34"/>
  <c r="X458" i="34"/>
  <c r="W458" i="34"/>
  <c r="V458" i="34"/>
  <c r="U458" i="34"/>
  <c r="T458" i="34"/>
  <c r="S458" i="34"/>
  <c r="R458" i="34"/>
  <c r="Q458" i="34"/>
  <c r="P458" i="34"/>
  <c r="O458" i="34"/>
  <c r="N458" i="34"/>
  <c r="M458" i="34"/>
  <c r="L458" i="34"/>
  <c r="K458" i="34"/>
  <c r="I458" i="34"/>
  <c r="H458" i="34"/>
  <c r="G458" i="34"/>
  <c r="AQ457" i="34"/>
  <c r="AP457" i="34"/>
  <c r="AO457" i="34"/>
  <c r="AN457" i="34"/>
  <c r="AM457" i="34"/>
  <c r="AL457" i="34"/>
  <c r="AK457" i="34"/>
  <c r="AJ457" i="34"/>
  <c r="AI457" i="34"/>
  <c r="AH457" i="34"/>
  <c r="AG457" i="34"/>
  <c r="AF457" i="34"/>
  <c r="AD457" i="34"/>
  <c r="AC457" i="34"/>
  <c r="AB457" i="34"/>
  <c r="Z457" i="34"/>
  <c r="Y457" i="34"/>
  <c r="X457" i="34"/>
  <c r="W457" i="34"/>
  <c r="V457" i="34"/>
  <c r="U457" i="34"/>
  <c r="T457" i="34"/>
  <c r="S457" i="34"/>
  <c r="R457" i="34"/>
  <c r="Q457" i="34"/>
  <c r="P457" i="34"/>
  <c r="O457" i="34"/>
  <c r="N457" i="34"/>
  <c r="M457" i="34"/>
  <c r="L457" i="34"/>
  <c r="K457" i="34"/>
  <c r="I457" i="34"/>
  <c r="H457" i="34"/>
  <c r="G457" i="34"/>
  <c r="AQ456" i="34"/>
  <c r="AP456" i="34"/>
  <c r="AO456" i="34"/>
  <c r="AN456" i="34"/>
  <c r="AM456" i="34"/>
  <c r="AL456" i="34"/>
  <c r="AK456" i="34"/>
  <c r="AJ456" i="34"/>
  <c r="AI456" i="34"/>
  <c r="AH456" i="34"/>
  <c r="AG456" i="34"/>
  <c r="AF456" i="34"/>
  <c r="AD456" i="34"/>
  <c r="AC456" i="34"/>
  <c r="AB456" i="34"/>
  <c r="Z456" i="34"/>
  <c r="Y456" i="34"/>
  <c r="X456" i="34"/>
  <c r="W456" i="34"/>
  <c r="V456" i="34"/>
  <c r="U456" i="34"/>
  <c r="T456" i="34"/>
  <c r="S456" i="34"/>
  <c r="R456" i="34"/>
  <c r="Q456" i="34"/>
  <c r="P456" i="34"/>
  <c r="O456" i="34"/>
  <c r="N456" i="34"/>
  <c r="M456" i="34"/>
  <c r="L456" i="34"/>
  <c r="K456" i="34"/>
  <c r="I456" i="34"/>
  <c r="H456" i="34"/>
  <c r="G456" i="34"/>
  <c r="AQ455" i="34"/>
  <c r="AP455" i="34"/>
  <c r="AO455" i="34"/>
  <c r="AN455" i="34"/>
  <c r="AM455" i="34"/>
  <c r="AL455" i="34"/>
  <c r="AK455" i="34"/>
  <c r="AJ455" i="34"/>
  <c r="AI455" i="34"/>
  <c r="AH455" i="34"/>
  <c r="AG455" i="34"/>
  <c r="AF455" i="34"/>
  <c r="AD455" i="34"/>
  <c r="AC455" i="34"/>
  <c r="AB455" i="34"/>
  <c r="Z455" i="34"/>
  <c r="Y455" i="34"/>
  <c r="X455" i="34"/>
  <c r="W455" i="34"/>
  <c r="V455" i="34"/>
  <c r="U455" i="34"/>
  <c r="T455" i="34"/>
  <c r="S455" i="34"/>
  <c r="R455" i="34"/>
  <c r="Q455" i="34"/>
  <c r="P455" i="34"/>
  <c r="O455" i="34"/>
  <c r="N455" i="34"/>
  <c r="M455" i="34"/>
  <c r="L455" i="34"/>
  <c r="K455" i="34"/>
  <c r="I455" i="34"/>
  <c r="H455" i="34"/>
  <c r="G455" i="34"/>
  <c r="AQ454" i="34"/>
  <c r="AP454" i="34"/>
  <c r="AO454" i="34"/>
  <c r="AN454" i="34"/>
  <c r="AM454" i="34"/>
  <c r="AL454" i="34"/>
  <c r="AK454" i="34"/>
  <c r="AJ454" i="34"/>
  <c r="AI454" i="34"/>
  <c r="AH454" i="34"/>
  <c r="AG454" i="34"/>
  <c r="AF454" i="34"/>
  <c r="AD454" i="34"/>
  <c r="AC454" i="34"/>
  <c r="AB454" i="34"/>
  <c r="Z454" i="34"/>
  <c r="Y454" i="34"/>
  <c r="X454" i="34"/>
  <c r="W454" i="34"/>
  <c r="V454" i="34"/>
  <c r="U454" i="34"/>
  <c r="T454" i="34"/>
  <c r="S454" i="34"/>
  <c r="R454" i="34"/>
  <c r="Q454" i="34"/>
  <c r="P454" i="34"/>
  <c r="O454" i="34"/>
  <c r="N454" i="34"/>
  <c r="M454" i="34"/>
  <c r="L454" i="34"/>
  <c r="K454" i="34"/>
  <c r="I454" i="34"/>
  <c r="H454" i="34"/>
  <c r="G454" i="34"/>
  <c r="AQ453" i="34"/>
  <c r="AP453" i="34"/>
  <c r="AO453" i="34"/>
  <c r="AN453" i="34"/>
  <c r="AM453" i="34"/>
  <c r="AL453" i="34"/>
  <c r="AK453" i="34"/>
  <c r="AJ453" i="34"/>
  <c r="AI453" i="34"/>
  <c r="AH453" i="34"/>
  <c r="AG453" i="34"/>
  <c r="AF453" i="34"/>
  <c r="AD453" i="34"/>
  <c r="AC453" i="34"/>
  <c r="AB453" i="34"/>
  <c r="Z453" i="34"/>
  <c r="Y453" i="34"/>
  <c r="X453" i="34"/>
  <c r="W453" i="34"/>
  <c r="V453" i="34"/>
  <c r="U453" i="34"/>
  <c r="T453" i="34"/>
  <c r="S453" i="34"/>
  <c r="R453" i="34"/>
  <c r="Q453" i="34"/>
  <c r="P453" i="34"/>
  <c r="O453" i="34"/>
  <c r="N453" i="34"/>
  <c r="M453" i="34"/>
  <c r="L453" i="34"/>
  <c r="K453" i="34"/>
  <c r="I453" i="34"/>
  <c r="H453" i="34"/>
  <c r="G453" i="34"/>
  <c r="AQ452" i="34"/>
  <c r="AP452" i="34"/>
  <c r="AO452" i="34"/>
  <c r="AN452" i="34"/>
  <c r="AM452" i="34"/>
  <c r="AL452" i="34"/>
  <c r="AK452" i="34"/>
  <c r="AJ452" i="34"/>
  <c r="AI452" i="34"/>
  <c r="AH452" i="34"/>
  <c r="AG452" i="34"/>
  <c r="AF452" i="34"/>
  <c r="AD452" i="34"/>
  <c r="AC452" i="34"/>
  <c r="AB452" i="34"/>
  <c r="Z452" i="34"/>
  <c r="Y452" i="34"/>
  <c r="X452" i="34"/>
  <c r="W452" i="34"/>
  <c r="V452" i="34"/>
  <c r="U452" i="34"/>
  <c r="T452" i="34"/>
  <c r="S452" i="34"/>
  <c r="R452" i="34"/>
  <c r="Q452" i="34"/>
  <c r="P452" i="34"/>
  <c r="O452" i="34"/>
  <c r="N452" i="34"/>
  <c r="M452" i="34"/>
  <c r="L452" i="34"/>
  <c r="K452" i="34"/>
  <c r="I452" i="34"/>
  <c r="H452" i="34"/>
  <c r="G452" i="34"/>
  <c r="AQ451" i="34"/>
  <c r="AP451" i="34"/>
  <c r="AO451" i="34"/>
  <c r="AN451" i="34"/>
  <c r="AM451" i="34"/>
  <c r="AL451" i="34"/>
  <c r="AK451" i="34"/>
  <c r="AJ451" i="34"/>
  <c r="AI451" i="34"/>
  <c r="AH451" i="34"/>
  <c r="AG451" i="34"/>
  <c r="AF451" i="34"/>
  <c r="AD451" i="34"/>
  <c r="AC451" i="34"/>
  <c r="AB451" i="34"/>
  <c r="Z451" i="34"/>
  <c r="Y451" i="34"/>
  <c r="X451" i="34"/>
  <c r="W451" i="34"/>
  <c r="V451" i="34"/>
  <c r="U451" i="34"/>
  <c r="T451" i="34"/>
  <c r="S451" i="34"/>
  <c r="R451" i="34"/>
  <c r="Q451" i="34"/>
  <c r="P451" i="34"/>
  <c r="O451" i="34"/>
  <c r="N451" i="34"/>
  <c r="M451" i="34"/>
  <c r="L451" i="34"/>
  <c r="K451" i="34"/>
  <c r="I451" i="34"/>
  <c r="H451" i="34"/>
  <c r="G451" i="34"/>
  <c r="AQ450" i="34"/>
  <c r="AP450" i="34"/>
  <c r="AO450" i="34"/>
  <c r="AN450" i="34"/>
  <c r="AM450" i="34"/>
  <c r="AL450" i="34"/>
  <c r="AK450" i="34"/>
  <c r="AJ450" i="34"/>
  <c r="AI450" i="34"/>
  <c r="AH450" i="34"/>
  <c r="AG450" i="34"/>
  <c r="AF450" i="34"/>
  <c r="AD450" i="34"/>
  <c r="AC450" i="34"/>
  <c r="AB450" i="34"/>
  <c r="Z450" i="34"/>
  <c r="Y450" i="34"/>
  <c r="X450" i="34"/>
  <c r="W450" i="34"/>
  <c r="V450" i="34"/>
  <c r="U450" i="34"/>
  <c r="T450" i="34"/>
  <c r="S450" i="34"/>
  <c r="R450" i="34"/>
  <c r="Q450" i="34"/>
  <c r="P450" i="34"/>
  <c r="O450" i="34"/>
  <c r="N450" i="34"/>
  <c r="M450" i="34"/>
  <c r="L450" i="34"/>
  <c r="K450" i="34"/>
  <c r="I450" i="34"/>
  <c r="H450" i="34"/>
  <c r="G450" i="34"/>
  <c r="AQ449" i="34"/>
  <c r="AP449" i="34"/>
  <c r="AO449" i="34"/>
  <c r="AN449" i="34"/>
  <c r="AM449" i="34"/>
  <c r="AL449" i="34"/>
  <c r="AK449" i="34"/>
  <c r="AJ449" i="34"/>
  <c r="AI449" i="34"/>
  <c r="AH449" i="34"/>
  <c r="AG449" i="34"/>
  <c r="AF449" i="34"/>
  <c r="AD449" i="34"/>
  <c r="AC449" i="34"/>
  <c r="AB449" i="34"/>
  <c r="Z449" i="34"/>
  <c r="Y449" i="34"/>
  <c r="X449" i="34"/>
  <c r="W449" i="34"/>
  <c r="V449" i="34"/>
  <c r="U449" i="34"/>
  <c r="T449" i="34"/>
  <c r="S449" i="34"/>
  <c r="R449" i="34"/>
  <c r="Q449" i="34"/>
  <c r="P449" i="34"/>
  <c r="O449" i="34"/>
  <c r="N449" i="34"/>
  <c r="M449" i="34"/>
  <c r="L449" i="34"/>
  <c r="K449" i="34"/>
  <c r="I449" i="34"/>
  <c r="H449" i="34"/>
  <c r="G449" i="34"/>
  <c r="AQ448" i="34"/>
  <c r="AP448" i="34"/>
  <c r="AO448" i="34"/>
  <c r="AN448" i="34"/>
  <c r="AM448" i="34"/>
  <c r="AL448" i="34"/>
  <c r="AK448" i="34"/>
  <c r="AJ448" i="34"/>
  <c r="AI448" i="34"/>
  <c r="AH448" i="34"/>
  <c r="AG448" i="34"/>
  <c r="AF448" i="34"/>
  <c r="AD448" i="34"/>
  <c r="AC448" i="34"/>
  <c r="AB448" i="34"/>
  <c r="Z448" i="34"/>
  <c r="Y448" i="34"/>
  <c r="X448" i="34"/>
  <c r="W448" i="34"/>
  <c r="V448" i="34"/>
  <c r="U448" i="34"/>
  <c r="T448" i="34"/>
  <c r="S448" i="34"/>
  <c r="R448" i="34"/>
  <c r="Q448" i="34"/>
  <c r="P448" i="34"/>
  <c r="O448" i="34"/>
  <c r="N448" i="34"/>
  <c r="M448" i="34"/>
  <c r="L448" i="34"/>
  <c r="K448" i="34"/>
  <c r="I448" i="34"/>
  <c r="H448" i="34"/>
  <c r="G448" i="34"/>
  <c r="AQ447" i="34"/>
  <c r="AP447" i="34"/>
  <c r="AO447" i="34"/>
  <c r="AN447" i="34"/>
  <c r="AM447" i="34"/>
  <c r="AL447" i="34"/>
  <c r="AK447" i="34"/>
  <c r="AJ447" i="34"/>
  <c r="AI447" i="34"/>
  <c r="AH447" i="34"/>
  <c r="AG447" i="34"/>
  <c r="AF447" i="34"/>
  <c r="AD447" i="34"/>
  <c r="AC447" i="34"/>
  <c r="AB447" i="34"/>
  <c r="Z447" i="34"/>
  <c r="Y447" i="34"/>
  <c r="X447" i="34"/>
  <c r="W447" i="34"/>
  <c r="V447" i="34"/>
  <c r="U447" i="34"/>
  <c r="T447" i="34"/>
  <c r="S447" i="34"/>
  <c r="R447" i="34"/>
  <c r="Q447" i="34"/>
  <c r="P447" i="34"/>
  <c r="O447" i="34"/>
  <c r="N447" i="34"/>
  <c r="M447" i="34"/>
  <c r="L447" i="34"/>
  <c r="K447" i="34"/>
  <c r="I447" i="34"/>
  <c r="H447" i="34"/>
  <c r="G447" i="34"/>
  <c r="AQ446" i="34"/>
  <c r="AP446" i="34"/>
  <c r="AO446" i="34"/>
  <c r="AN446" i="34"/>
  <c r="AM446" i="34"/>
  <c r="AL446" i="34"/>
  <c r="AK446" i="34"/>
  <c r="AJ446" i="34"/>
  <c r="AI446" i="34"/>
  <c r="AH446" i="34"/>
  <c r="AG446" i="34"/>
  <c r="AF446" i="34"/>
  <c r="AD446" i="34"/>
  <c r="AC446" i="34"/>
  <c r="AB446" i="34"/>
  <c r="Z446" i="34"/>
  <c r="Y446" i="34"/>
  <c r="X446" i="34"/>
  <c r="W446" i="34"/>
  <c r="V446" i="34"/>
  <c r="U446" i="34"/>
  <c r="T446" i="34"/>
  <c r="S446" i="34"/>
  <c r="R446" i="34"/>
  <c r="Q446" i="34"/>
  <c r="P446" i="34"/>
  <c r="O446" i="34"/>
  <c r="N446" i="34"/>
  <c r="M446" i="34"/>
  <c r="L446" i="34"/>
  <c r="K446" i="34"/>
  <c r="I446" i="34"/>
  <c r="H446" i="34"/>
  <c r="G446" i="34"/>
  <c r="AQ445" i="34"/>
  <c r="AP445" i="34"/>
  <c r="AO445" i="34"/>
  <c r="AN445" i="34"/>
  <c r="AM445" i="34"/>
  <c r="AL445" i="34"/>
  <c r="AK445" i="34"/>
  <c r="AJ445" i="34"/>
  <c r="AI445" i="34"/>
  <c r="AH445" i="34"/>
  <c r="AG445" i="34"/>
  <c r="AF445" i="34"/>
  <c r="AD445" i="34"/>
  <c r="AC445" i="34"/>
  <c r="AB445" i="34"/>
  <c r="Z445" i="34"/>
  <c r="Y445" i="34"/>
  <c r="X445" i="34"/>
  <c r="W445" i="34"/>
  <c r="V445" i="34"/>
  <c r="U445" i="34"/>
  <c r="T445" i="34"/>
  <c r="S445" i="34"/>
  <c r="R445" i="34"/>
  <c r="Q445" i="34"/>
  <c r="P445" i="34"/>
  <c r="O445" i="34"/>
  <c r="N445" i="34"/>
  <c r="M445" i="34"/>
  <c r="L445" i="34"/>
  <c r="K445" i="34"/>
  <c r="I445" i="34"/>
  <c r="H445" i="34"/>
  <c r="G445" i="34"/>
  <c r="AQ444" i="34"/>
  <c r="AP444" i="34"/>
  <c r="AO444" i="34"/>
  <c r="AN444" i="34"/>
  <c r="AM444" i="34"/>
  <c r="AL444" i="34"/>
  <c r="AK444" i="34"/>
  <c r="AJ444" i="34"/>
  <c r="AI444" i="34"/>
  <c r="AH444" i="34"/>
  <c r="AG444" i="34"/>
  <c r="AF444" i="34"/>
  <c r="AD444" i="34"/>
  <c r="AC444" i="34"/>
  <c r="AB444" i="34"/>
  <c r="Z444" i="34"/>
  <c r="Y444" i="34"/>
  <c r="X444" i="34"/>
  <c r="W444" i="34"/>
  <c r="V444" i="34"/>
  <c r="U444" i="34"/>
  <c r="T444" i="34"/>
  <c r="S444" i="34"/>
  <c r="R444" i="34"/>
  <c r="Q444" i="34"/>
  <c r="P444" i="34"/>
  <c r="O444" i="34"/>
  <c r="N444" i="34"/>
  <c r="M444" i="34"/>
  <c r="L444" i="34"/>
  <c r="K444" i="34"/>
  <c r="I444" i="34"/>
  <c r="H444" i="34"/>
  <c r="G444" i="34"/>
  <c r="AQ443" i="34"/>
  <c r="AP443" i="34"/>
  <c r="AO443" i="34"/>
  <c r="AN443" i="34"/>
  <c r="AM443" i="34"/>
  <c r="AL443" i="34"/>
  <c r="AK443" i="34"/>
  <c r="AJ443" i="34"/>
  <c r="AI443" i="34"/>
  <c r="AH443" i="34"/>
  <c r="AG443" i="34"/>
  <c r="AF443" i="34"/>
  <c r="AD443" i="34"/>
  <c r="AC443" i="34"/>
  <c r="AB443" i="34"/>
  <c r="Z443" i="34"/>
  <c r="Y443" i="34"/>
  <c r="X443" i="34"/>
  <c r="W443" i="34"/>
  <c r="V443" i="34"/>
  <c r="U443" i="34"/>
  <c r="T443" i="34"/>
  <c r="S443" i="34"/>
  <c r="R443" i="34"/>
  <c r="Q443" i="34"/>
  <c r="P443" i="34"/>
  <c r="O443" i="34"/>
  <c r="N443" i="34"/>
  <c r="M443" i="34"/>
  <c r="L443" i="34"/>
  <c r="K443" i="34"/>
  <c r="I443" i="34"/>
  <c r="H443" i="34"/>
  <c r="G443" i="34"/>
  <c r="AQ442" i="34"/>
  <c r="AP442" i="34"/>
  <c r="AO442" i="34"/>
  <c r="AN442" i="34"/>
  <c r="AM442" i="34"/>
  <c r="AL442" i="34"/>
  <c r="AK442" i="34"/>
  <c r="AJ442" i="34"/>
  <c r="AI442" i="34"/>
  <c r="AH442" i="34"/>
  <c r="AG442" i="34"/>
  <c r="AF442" i="34"/>
  <c r="AD442" i="34"/>
  <c r="AC442" i="34"/>
  <c r="AB442" i="34"/>
  <c r="Z442" i="34"/>
  <c r="Y442" i="34"/>
  <c r="X442" i="34"/>
  <c r="W442" i="34"/>
  <c r="V442" i="34"/>
  <c r="U442" i="34"/>
  <c r="T442" i="34"/>
  <c r="S442" i="34"/>
  <c r="R442" i="34"/>
  <c r="Q442" i="34"/>
  <c r="P442" i="34"/>
  <c r="O442" i="34"/>
  <c r="N442" i="34"/>
  <c r="M442" i="34"/>
  <c r="L442" i="34"/>
  <c r="K442" i="34"/>
  <c r="I442" i="34"/>
  <c r="H442" i="34"/>
  <c r="G442" i="34"/>
  <c r="AQ441" i="34"/>
  <c r="AP441" i="34"/>
  <c r="AO441" i="34"/>
  <c r="AN441" i="34"/>
  <c r="AM441" i="34"/>
  <c r="AL441" i="34"/>
  <c r="AK441" i="34"/>
  <c r="AJ441" i="34"/>
  <c r="AI441" i="34"/>
  <c r="AH441" i="34"/>
  <c r="AG441" i="34"/>
  <c r="AF441" i="34"/>
  <c r="AD441" i="34"/>
  <c r="AC441" i="34"/>
  <c r="AB441" i="34"/>
  <c r="Z441" i="34"/>
  <c r="Y441" i="34"/>
  <c r="X441" i="34"/>
  <c r="W441" i="34"/>
  <c r="V441" i="34"/>
  <c r="U441" i="34"/>
  <c r="T441" i="34"/>
  <c r="S441" i="34"/>
  <c r="R441" i="34"/>
  <c r="Q441" i="34"/>
  <c r="P441" i="34"/>
  <c r="O441" i="34"/>
  <c r="N441" i="34"/>
  <c r="M441" i="34"/>
  <c r="L441" i="34"/>
  <c r="K441" i="34"/>
  <c r="I441" i="34"/>
  <c r="H441" i="34"/>
  <c r="G441" i="34"/>
  <c r="AQ440" i="34"/>
  <c r="AP440" i="34"/>
  <c r="AO440" i="34"/>
  <c r="AN440" i="34"/>
  <c r="AM440" i="34"/>
  <c r="AL440" i="34"/>
  <c r="AK440" i="34"/>
  <c r="AJ440" i="34"/>
  <c r="AI440" i="34"/>
  <c r="AH440" i="34"/>
  <c r="AG440" i="34"/>
  <c r="AF440" i="34"/>
  <c r="AD440" i="34"/>
  <c r="AC440" i="34"/>
  <c r="AB440" i="34"/>
  <c r="Z440" i="34"/>
  <c r="Y440" i="34"/>
  <c r="X440" i="34"/>
  <c r="W440" i="34"/>
  <c r="V440" i="34"/>
  <c r="U440" i="34"/>
  <c r="T440" i="34"/>
  <c r="S440" i="34"/>
  <c r="R440" i="34"/>
  <c r="Q440" i="34"/>
  <c r="P440" i="34"/>
  <c r="O440" i="34"/>
  <c r="N440" i="34"/>
  <c r="M440" i="34"/>
  <c r="L440" i="34"/>
  <c r="K440" i="34"/>
  <c r="I440" i="34"/>
  <c r="H440" i="34"/>
  <c r="G440" i="34"/>
  <c r="AQ439" i="34"/>
  <c r="AP439" i="34"/>
  <c r="AO439" i="34"/>
  <c r="AN439" i="34"/>
  <c r="AM439" i="34"/>
  <c r="AL439" i="34"/>
  <c r="AK439" i="34"/>
  <c r="AJ439" i="34"/>
  <c r="AI439" i="34"/>
  <c r="AH439" i="34"/>
  <c r="AG439" i="34"/>
  <c r="AF439" i="34"/>
  <c r="AD439" i="34"/>
  <c r="AC439" i="34"/>
  <c r="AB439" i="34"/>
  <c r="Z439" i="34"/>
  <c r="Y439" i="34"/>
  <c r="X439" i="34"/>
  <c r="W439" i="34"/>
  <c r="V439" i="34"/>
  <c r="U439" i="34"/>
  <c r="T439" i="34"/>
  <c r="S439" i="34"/>
  <c r="R439" i="34"/>
  <c r="Q439" i="34"/>
  <c r="P439" i="34"/>
  <c r="O439" i="34"/>
  <c r="N439" i="34"/>
  <c r="M439" i="34"/>
  <c r="L439" i="34"/>
  <c r="K439" i="34"/>
  <c r="I439" i="34"/>
  <c r="H439" i="34"/>
  <c r="G439" i="34"/>
  <c r="AQ438" i="34"/>
  <c r="AP438" i="34"/>
  <c r="AO438" i="34"/>
  <c r="AN438" i="34"/>
  <c r="AM438" i="34"/>
  <c r="AL438" i="34"/>
  <c r="AK438" i="34"/>
  <c r="AJ438" i="34"/>
  <c r="AI438" i="34"/>
  <c r="AH438" i="34"/>
  <c r="AG438" i="34"/>
  <c r="AF438" i="34"/>
  <c r="AD438" i="34"/>
  <c r="AC438" i="34"/>
  <c r="AB438" i="34"/>
  <c r="Z438" i="34"/>
  <c r="Y438" i="34"/>
  <c r="X438" i="34"/>
  <c r="W438" i="34"/>
  <c r="V438" i="34"/>
  <c r="U438" i="34"/>
  <c r="T438" i="34"/>
  <c r="S438" i="34"/>
  <c r="R438" i="34"/>
  <c r="Q438" i="34"/>
  <c r="P438" i="34"/>
  <c r="O438" i="34"/>
  <c r="N438" i="34"/>
  <c r="M438" i="34"/>
  <c r="L438" i="34"/>
  <c r="K438" i="34"/>
  <c r="I438" i="34"/>
  <c r="H438" i="34"/>
  <c r="G438" i="34"/>
  <c r="AQ437" i="34"/>
  <c r="AP437" i="34"/>
  <c r="AO437" i="34"/>
  <c r="AN437" i="34"/>
  <c r="AM437" i="34"/>
  <c r="AL437" i="34"/>
  <c r="AK437" i="34"/>
  <c r="AJ437" i="34"/>
  <c r="AI437" i="34"/>
  <c r="AH437" i="34"/>
  <c r="AG437" i="34"/>
  <c r="AF437" i="34"/>
  <c r="AD437" i="34"/>
  <c r="AC437" i="34"/>
  <c r="AB437" i="34"/>
  <c r="Z437" i="34"/>
  <c r="Y437" i="34"/>
  <c r="X437" i="34"/>
  <c r="W437" i="34"/>
  <c r="V437" i="34"/>
  <c r="U437" i="34"/>
  <c r="T437" i="34"/>
  <c r="S437" i="34"/>
  <c r="R437" i="34"/>
  <c r="Q437" i="34"/>
  <c r="P437" i="34"/>
  <c r="O437" i="34"/>
  <c r="N437" i="34"/>
  <c r="M437" i="34"/>
  <c r="L437" i="34"/>
  <c r="K437" i="34"/>
  <c r="I437" i="34"/>
  <c r="H437" i="34"/>
  <c r="G437" i="34"/>
  <c r="AQ436" i="34"/>
  <c r="AP436" i="34"/>
  <c r="AO436" i="34"/>
  <c r="AN436" i="34"/>
  <c r="AM436" i="34"/>
  <c r="AL436" i="34"/>
  <c r="AK436" i="34"/>
  <c r="AJ436" i="34"/>
  <c r="AI436" i="34"/>
  <c r="AH436" i="34"/>
  <c r="AG436" i="34"/>
  <c r="AF436" i="34"/>
  <c r="AD436" i="34"/>
  <c r="AC436" i="34"/>
  <c r="AB436" i="34"/>
  <c r="Z436" i="34"/>
  <c r="Y436" i="34"/>
  <c r="X436" i="34"/>
  <c r="W436" i="34"/>
  <c r="V436" i="34"/>
  <c r="U436" i="34"/>
  <c r="T436" i="34"/>
  <c r="S436" i="34"/>
  <c r="R436" i="34"/>
  <c r="Q436" i="34"/>
  <c r="P436" i="34"/>
  <c r="O436" i="34"/>
  <c r="N436" i="34"/>
  <c r="M436" i="34"/>
  <c r="L436" i="34"/>
  <c r="K436" i="34"/>
  <c r="I436" i="34"/>
  <c r="H436" i="34"/>
  <c r="G436" i="34"/>
  <c r="AQ435" i="34"/>
  <c r="AP435" i="34"/>
  <c r="AO435" i="34"/>
  <c r="AN435" i="34"/>
  <c r="AM435" i="34"/>
  <c r="AL435" i="34"/>
  <c r="AK435" i="34"/>
  <c r="AJ435" i="34"/>
  <c r="AI435" i="34"/>
  <c r="AH435" i="34"/>
  <c r="AG435" i="34"/>
  <c r="AF435" i="34"/>
  <c r="AD435" i="34"/>
  <c r="AC435" i="34"/>
  <c r="AB435" i="34"/>
  <c r="Z435" i="34"/>
  <c r="Y435" i="34"/>
  <c r="X435" i="34"/>
  <c r="W435" i="34"/>
  <c r="V435" i="34"/>
  <c r="U435" i="34"/>
  <c r="T435" i="34"/>
  <c r="S435" i="34"/>
  <c r="R435" i="34"/>
  <c r="Q435" i="34"/>
  <c r="P435" i="34"/>
  <c r="O435" i="34"/>
  <c r="N435" i="34"/>
  <c r="M435" i="34"/>
  <c r="L435" i="34"/>
  <c r="K435" i="34"/>
  <c r="I435" i="34"/>
  <c r="H435" i="34"/>
  <c r="G435" i="34"/>
  <c r="AQ434" i="34"/>
  <c r="AP434" i="34"/>
  <c r="AO434" i="34"/>
  <c r="AN434" i="34"/>
  <c r="AM434" i="34"/>
  <c r="AL434" i="34"/>
  <c r="AK434" i="34"/>
  <c r="AJ434" i="34"/>
  <c r="AI434" i="34"/>
  <c r="AH434" i="34"/>
  <c r="AG434" i="34"/>
  <c r="AF434" i="34"/>
  <c r="AD434" i="34"/>
  <c r="AC434" i="34"/>
  <c r="AB434" i="34"/>
  <c r="Z434" i="34"/>
  <c r="Y434" i="34"/>
  <c r="X434" i="34"/>
  <c r="W434" i="34"/>
  <c r="V434" i="34"/>
  <c r="U434" i="34"/>
  <c r="T434" i="34"/>
  <c r="S434" i="34"/>
  <c r="R434" i="34"/>
  <c r="Q434" i="34"/>
  <c r="P434" i="34"/>
  <c r="O434" i="34"/>
  <c r="N434" i="34"/>
  <c r="M434" i="34"/>
  <c r="L434" i="34"/>
  <c r="K434" i="34"/>
  <c r="I434" i="34"/>
  <c r="H434" i="34"/>
  <c r="G434" i="34"/>
  <c r="AQ433" i="34"/>
  <c r="AP433" i="34"/>
  <c r="AO433" i="34"/>
  <c r="AN433" i="34"/>
  <c r="AM433" i="34"/>
  <c r="AL433" i="34"/>
  <c r="AK433" i="34"/>
  <c r="AJ433" i="34"/>
  <c r="AI433" i="34"/>
  <c r="AH433" i="34"/>
  <c r="AG433" i="34"/>
  <c r="AF433" i="34"/>
  <c r="AD433" i="34"/>
  <c r="AC433" i="34"/>
  <c r="AB433" i="34"/>
  <c r="Z433" i="34"/>
  <c r="Y433" i="34"/>
  <c r="X433" i="34"/>
  <c r="W433" i="34"/>
  <c r="V433" i="34"/>
  <c r="U433" i="34"/>
  <c r="T433" i="34"/>
  <c r="S433" i="34"/>
  <c r="R433" i="34"/>
  <c r="Q433" i="34"/>
  <c r="P433" i="34"/>
  <c r="O433" i="34"/>
  <c r="N433" i="34"/>
  <c r="M433" i="34"/>
  <c r="L433" i="34"/>
  <c r="K433" i="34"/>
  <c r="I433" i="34"/>
  <c r="H433" i="34"/>
  <c r="G433" i="34"/>
  <c r="AQ432" i="34"/>
  <c r="AP432" i="34"/>
  <c r="AO432" i="34"/>
  <c r="AN432" i="34"/>
  <c r="AM432" i="34"/>
  <c r="AL432" i="34"/>
  <c r="AK432" i="34"/>
  <c r="AJ432" i="34"/>
  <c r="AI432" i="34"/>
  <c r="AH432" i="34"/>
  <c r="AG432" i="34"/>
  <c r="AF432" i="34"/>
  <c r="AD432" i="34"/>
  <c r="AC432" i="34"/>
  <c r="AB432" i="34"/>
  <c r="Z432" i="34"/>
  <c r="Y432" i="34"/>
  <c r="X432" i="34"/>
  <c r="W432" i="34"/>
  <c r="V432" i="34"/>
  <c r="U432" i="34"/>
  <c r="T432" i="34"/>
  <c r="S432" i="34"/>
  <c r="R432" i="34"/>
  <c r="Q432" i="34"/>
  <c r="P432" i="34"/>
  <c r="O432" i="34"/>
  <c r="N432" i="34"/>
  <c r="M432" i="34"/>
  <c r="L432" i="34"/>
  <c r="K432" i="34"/>
  <c r="I432" i="34"/>
  <c r="H432" i="34"/>
  <c r="G432" i="34"/>
  <c r="AQ431" i="34"/>
  <c r="AP431" i="34"/>
  <c r="AO431" i="34"/>
  <c r="AN431" i="34"/>
  <c r="AM431" i="34"/>
  <c r="AL431" i="34"/>
  <c r="AK431" i="34"/>
  <c r="AJ431" i="34"/>
  <c r="AI431" i="34"/>
  <c r="AH431" i="34"/>
  <c r="AG431" i="34"/>
  <c r="AF431" i="34"/>
  <c r="AD431" i="34"/>
  <c r="AC431" i="34"/>
  <c r="AB431" i="34"/>
  <c r="Z431" i="34"/>
  <c r="Y431" i="34"/>
  <c r="X431" i="34"/>
  <c r="W431" i="34"/>
  <c r="V431" i="34"/>
  <c r="U431" i="34"/>
  <c r="T431" i="34"/>
  <c r="S431" i="34"/>
  <c r="R431" i="34"/>
  <c r="Q431" i="34"/>
  <c r="P431" i="34"/>
  <c r="O431" i="34"/>
  <c r="N431" i="34"/>
  <c r="M431" i="34"/>
  <c r="L431" i="34"/>
  <c r="K431" i="34"/>
  <c r="I431" i="34"/>
  <c r="H431" i="34"/>
  <c r="G431" i="34"/>
  <c r="AQ430" i="34"/>
  <c r="AP430" i="34"/>
  <c r="AO430" i="34"/>
  <c r="AN430" i="34"/>
  <c r="AM430" i="34"/>
  <c r="AL430" i="34"/>
  <c r="AK430" i="34"/>
  <c r="AJ430" i="34"/>
  <c r="AI430" i="34"/>
  <c r="AH430" i="34"/>
  <c r="AG430" i="34"/>
  <c r="AF430" i="34"/>
  <c r="AD430" i="34"/>
  <c r="AC430" i="34"/>
  <c r="AB430" i="34"/>
  <c r="Z430" i="34"/>
  <c r="Y430" i="34"/>
  <c r="X430" i="34"/>
  <c r="W430" i="34"/>
  <c r="V430" i="34"/>
  <c r="U430" i="34"/>
  <c r="T430" i="34"/>
  <c r="S430" i="34"/>
  <c r="R430" i="34"/>
  <c r="Q430" i="34"/>
  <c r="P430" i="34"/>
  <c r="O430" i="34"/>
  <c r="N430" i="34"/>
  <c r="M430" i="34"/>
  <c r="L430" i="34"/>
  <c r="K430" i="34"/>
  <c r="I430" i="34"/>
  <c r="H430" i="34"/>
  <c r="G430" i="34"/>
  <c r="AQ429" i="34"/>
  <c r="AP429" i="34"/>
  <c r="AO429" i="34"/>
  <c r="AN429" i="34"/>
  <c r="AM429" i="34"/>
  <c r="AL429" i="34"/>
  <c r="AK429" i="34"/>
  <c r="AJ429" i="34"/>
  <c r="AI429" i="34"/>
  <c r="AH429" i="34"/>
  <c r="AG429" i="34"/>
  <c r="AF429" i="34"/>
  <c r="AD429" i="34"/>
  <c r="AC429" i="34"/>
  <c r="AB429" i="34"/>
  <c r="Z429" i="34"/>
  <c r="Y429" i="34"/>
  <c r="X429" i="34"/>
  <c r="W429" i="34"/>
  <c r="V429" i="34"/>
  <c r="U429" i="34"/>
  <c r="T429" i="34"/>
  <c r="S429" i="34"/>
  <c r="R429" i="34"/>
  <c r="Q429" i="34"/>
  <c r="P429" i="34"/>
  <c r="O429" i="34"/>
  <c r="N429" i="34"/>
  <c r="M429" i="34"/>
  <c r="L429" i="34"/>
  <c r="K429" i="34"/>
  <c r="I429" i="34"/>
  <c r="H429" i="34"/>
  <c r="G429" i="34"/>
  <c r="AQ428" i="34"/>
  <c r="AP428" i="34"/>
  <c r="AO428" i="34"/>
  <c r="AN428" i="34"/>
  <c r="AM428" i="34"/>
  <c r="AL428" i="34"/>
  <c r="AK428" i="34"/>
  <c r="AJ428" i="34"/>
  <c r="AI428" i="34"/>
  <c r="AH428" i="34"/>
  <c r="AG428" i="34"/>
  <c r="AF428" i="34"/>
  <c r="AD428" i="34"/>
  <c r="AC428" i="34"/>
  <c r="AB428" i="34"/>
  <c r="Z428" i="34"/>
  <c r="Y428" i="34"/>
  <c r="X428" i="34"/>
  <c r="W428" i="34"/>
  <c r="V428" i="34"/>
  <c r="U428" i="34"/>
  <c r="T428" i="34"/>
  <c r="S428" i="34"/>
  <c r="R428" i="34"/>
  <c r="Q428" i="34"/>
  <c r="P428" i="34"/>
  <c r="O428" i="34"/>
  <c r="N428" i="34"/>
  <c r="M428" i="34"/>
  <c r="L428" i="34"/>
  <c r="K428" i="34"/>
  <c r="I428" i="34"/>
  <c r="H428" i="34"/>
  <c r="G428" i="34"/>
  <c r="AQ427" i="34"/>
  <c r="AP427" i="34"/>
  <c r="AO427" i="34"/>
  <c r="AN427" i="34"/>
  <c r="AM427" i="34"/>
  <c r="AL427" i="34"/>
  <c r="AK427" i="34"/>
  <c r="AJ427" i="34"/>
  <c r="AI427" i="34"/>
  <c r="AH427" i="34"/>
  <c r="AG427" i="34"/>
  <c r="AF427" i="34"/>
  <c r="AD427" i="34"/>
  <c r="AC427" i="34"/>
  <c r="AB427" i="34"/>
  <c r="Z427" i="34"/>
  <c r="Y427" i="34"/>
  <c r="X427" i="34"/>
  <c r="W427" i="34"/>
  <c r="V427" i="34"/>
  <c r="U427" i="34"/>
  <c r="T427" i="34"/>
  <c r="S427" i="34"/>
  <c r="R427" i="34"/>
  <c r="Q427" i="34"/>
  <c r="P427" i="34"/>
  <c r="O427" i="34"/>
  <c r="N427" i="34"/>
  <c r="M427" i="34"/>
  <c r="L427" i="34"/>
  <c r="K427" i="34"/>
  <c r="I427" i="34"/>
  <c r="H427" i="34"/>
  <c r="G427" i="34"/>
  <c r="AQ426" i="34"/>
  <c r="AP426" i="34"/>
  <c r="AO426" i="34"/>
  <c r="AN426" i="34"/>
  <c r="AM426" i="34"/>
  <c r="AL426" i="34"/>
  <c r="AK426" i="34"/>
  <c r="AJ426" i="34"/>
  <c r="AI426" i="34"/>
  <c r="AH426" i="34"/>
  <c r="AG426" i="34"/>
  <c r="AF426" i="34"/>
  <c r="AD426" i="34"/>
  <c r="AC426" i="34"/>
  <c r="AB426" i="34"/>
  <c r="Z426" i="34"/>
  <c r="Y426" i="34"/>
  <c r="X426" i="34"/>
  <c r="W426" i="34"/>
  <c r="V426" i="34"/>
  <c r="U426" i="34"/>
  <c r="T426" i="34"/>
  <c r="S426" i="34"/>
  <c r="R426" i="34"/>
  <c r="Q426" i="34"/>
  <c r="P426" i="34"/>
  <c r="O426" i="34"/>
  <c r="N426" i="34"/>
  <c r="M426" i="34"/>
  <c r="L426" i="34"/>
  <c r="K426" i="34"/>
  <c r="I426" i="34"/>
  <c r="H426" i="34"/>
  <c r="G426" i="34"/>
  <c r="AQ425" i="34"/>
  <c r="AP425" i="34"/>
  <c r="AO425" i="34"/>
  <c r="AN425" i="34"/>
  <c r="AM425" i="34"/>
  <c r="AL425" i="34"/>
  <c r="AK425" i="34"/>
  <c r="AJ425" i="34"/>
  <c r="AI425" i="34"/>
  <c r="AH425" i="34"/>
  <c r="AG425" i="34"/>
  <c r="AF425" i="34"/>
  <c r="AD425" i="34"/>
  <c r="AC425" i="34"/>
  <c r="AB425" i="34"/>
  <c r="Z425" i="34"/>
  <c r="Y425" i="34"/>
  <c r="X425" i="34"/>
  <c r="W425" i="34"/>
  <c r="V425" i="34"/>
  <c r="U425" i="34"/>
  <c r="T425" i="34"/>
  <c r="S425" i="34"/>
  <c r="R425" i="34"/>
  <c r="Q425" i="34"/>
  <c r="P425" i="34"/>
  <c r="O425" i="34"/>
  <c r="N425" i="34"/>
  <c r="M425" i="34"/>
  <c r="L425" i="34"/>
  <c r="K425" i="34"/>
  <c r="I425" i="34"/>
  <c r="H425" i="34"/>
  <c r="G425" i="34"/>
  <c r="AQ424" i="34"/>
  <c r="AP424" i="34"/>
  <c r="AO424" i="34"/>
  <c r="AN424" i="34"/>
  <c r="AM424" i="34"/>
  <c r="AL424" i="34"/>
  <c r="AK424" i="34"/>
  <c r="AJ424" i="34"/>
  <c r="AI424" i="34"/>
  <c r="AH424" i="34"/>
  <c r="AG424" i="34"/>
  <c r="AF424" i="34"/>
  <c r="AD424" i="34"/>
  <c r="AC424" i="34"/>
  <c r="AB424" i="34"/>
  <c r="Z424" i="34"/>
  <c r="Y424" i="34"/>
  <c r="X424" i="34"/>
  <c r="W424" i="34"/>
  <c r="V424" i="34"/>
  <c r="U424" i="34"/>
  <c r="T424" i="34"/>
  <c r="S424" i="34"/>
  <c r="R424" i="34"/>
  <c r="Q424" i="34"/>
  <c r="P424" i="34"/>
  <c r="O424" i="34"/>
  <c r="N424" i="34"/>
  <c r="M424" i="34"/>
  <c r="L424" i="34"/>
  <c r="K424" i="34"/>
  <c r="I424" i="34"/>
  <c r="H424" i="34"/>
  <c r="G424" i="34"/>
  <c r="AQ423" i="34"/>
  <c r="AP423" i="34"/>
  <c r="AO423" i="34"/>
  <c r="AN423" i="34"/>
  <c r="AM423" i="34"/>
  <c r="AL423" i="34"/>
  <c r="AK423" i="34"/>
  <c r="AJ423" i="34"/>
  <c r="AI423" i="34"/>
  <c r="AH423" i="34"/>
  <c r="AG423" i="34"/>
  <c r="AF423" i="34"/>
  <c r="AD423" i="34"/>
  <c r="AC423" i="34"/>
  <c r="AB423" i="34"/>
  <c r="Z423" i="34"/>
  <c r="Y423" i="34"/>
  <c r="X423" i="34"/>
  <c r="W423" i="34"/>
  <c r="V423" i="34"/>
  <c r="U423" i="34"/>
  <c r="T423" i="34"/>
  <c r="S423" i="34"/>
  <c r="R423" i="34"/>
  <c r="Q423" i="34"/>
  <c r="P423" i="34"/>
  <c r="O423" i="34"/>
  <c r="N423" i="34"/>
  <c r="M423" i="34"/>
  <c r="L423" i="34"/>
  <c r="K423" i="34"/>
  <c r="I423" i="34"/>
  <c r="H423" i="34"/>
  <c r="G423" i="34"/>
  <c r="AQ422" i="34"/>
  <c r="AP422" i="34"/>
  <c r="AO422" i="34"/>
  <c r="AN422" i="34"/>
  <c r="AM422" i="34"/>
  <c r="AL422" i="34"/>
  <c r="AK422" i="34"/>
  <c r="AJ422" i="34"/>
  <c r="AI422" i="34"/>
  <c r="AH422" i="34"/>
  <c r="AG422" i="34"/>
  <c r="AF422" i="34"/>
  <c r="AD422" i="34"/>
  <c r="AC422" i="34"/>
  <c r="AB422" i="34"/>
  <c r="Z422" i="34"/>
  <c r="Y422" i="34"/>
  <c r="X422" i="34"/>
  <c r="W422" i="34"/>
  <c r="V422" i="34"/>
  <c r="U422" i="34"/>
  <c r="T422" i="34"/>
  <c r="S422" i="34"/>
  <c r="R422" i="34"/>
  <c r="Q422" i="34"/>
  <c r="P422" i="34"/>
  <c r="O422" i="34"/>
  <c r="N422" i="34"/>
  <c r="M422" i="34"/>
  <c r="L422" i="34"/>
  <c r="K422" i="34"/>
  <c r="I422" i="34"/>
  <c r="H422" i="34"/>
  <c r="G422" i="34"/>
  <c r="AQ421" i="34"/>
  <c r="AP421" i="34"/>
  <c r="AO421" i="34"/>
  <c r="AN421" i="34"/>
  <c r="AM421" i="34"/>
  <c r="AL421" i="34"/>
  <c r="AK421" i="34"/>
  <c r="AJ421" i="34"/>
  <c r="AI421" i="34"/>
  <c r="AH421" i="34"/>
  <c r="AG421" i="34"/>
  <c r="AF421" i="34"/>
  <c r="AD421" i="34"/>
  <c r="AC421" i="34"/>
  <c r="AB421" i="34"/>
  <c r="Z421" i="34"/>
  <c r="Y421" i="34"/>
  <c r="X421" i="34"/>
  <c r="W421" i="34"/>
  <c r="V421" i="34"/>
  <c r="U421" i="34"/>
  <c r="T421" i="34"/>
  <c r="S421" i="34"/>
  <c r="R421" i="34"/>
  <c r="Q421" i="34"/>
  <c r="P421" i="34"/>
  <c r="O421" i="34"/>
  <c r="N421" i="34"/>
  <c r="M421" i="34"/>
  <c r="L421" i="34"/>
  <c r="K421" i="34"/>
  <c r="I421" i="34"/>
  <c r="H421" i="34"/>
  <c r="G421" i="34"/>
  <c r="AQ420" i="34"/>
  <c r="AP420" i="34"/>
  <c r="AO420" i="34"/>
  <c r="AN420" i="34"/>
  <c r="AM420" i="34"/>
  <c r="AL420" i="34"/>
  <c r="AK420" i="34"/>
  <c r="AJ420" i="34"/>
  <c r="AI420" i="34"/>
  <c r="AH420" i="34"/>
  <c r="AG420" i="34"/>
  <c r="AF420" i="34"/>
  <c r="AD420" i="34"/>
  <c r="AC420" i="34"/>
  <c r="AB420" i="34"/>
  <c r="Z420" i="34"/>
  <c r="Y420" i="34"/>
  <c r="X420" i="34"/>
  <c r="W420" i="34"/>
  <c r="V420" i="34"/>
  <c r="U420" i="34"/>
  <c r="T420" i="34"/>
  <c r="S420" i="34"/>
  <c r="R420" i="34"/>
  <c r="Q420" i="34"/>
  <c r="P420" i="34"/>
  <c r="O420" i="34"/>
  <c r="N420" i="34"/>
  <c r="M420" i="34"/>
  <c r="L420" i="34"/>
  <c r="K420" i="34"/>
  <c r="I420" i="34"/>
  <c r="H420" i="34"/>
  <c r="G420" i="34"/>
  <c r="AQ419" i="34"/>
  <c r="AP419" i="34"/>
  <c r="AO419" i="34"/>
  <c r="AN419" i="34"/>
  <c r="AM419" i="34"/>
  <c r="AL419" i="34"/>
  <c r="AK419" i="34"/>
  <c r="AJ419" i="34"/>
  <c r="AI419" i="34"/>
  <c r="AH419" i="34"/>
  <c r="AG419" i="34"/>
  <c r="AF419" i="34"/>
  <c r="AD419" i="34"/>
  <c r="AC419" i="34"/>
  <c r="AB419" i="34"/>
  <c r="Z419" i="34"/>
  <c r="Y419" i="34"/>
  <c r="X419" i="34"/>
  <c r="W419" i="34"/>
  <c r="V419" i="34"/>
  <c r="U419" i="34"/>
  <c r="T419" i="34"/>
  <c r="S419" i="34"/>
  <c r="R419" i="34"/>
  <c r="Q419" i="34"/>
  <c r="P419" i="34"/>
  <c r="O419" i="34"/>
  <c r="N419" i="34"/>
  <c r="M419" i="34"/>
  <c r="L419" i="34"/>
  <c r="K419" i="34"/>
  <c r="I419" i="34"/>
  <c r="H419" i="34"/>
  <c r="G419" i="34"/>
  <c r="AQ418" i="34"/>
  <c r="AP418" i="34"/>
  <c r="AO418" i="34"/>
  <c r="AN418" i="34"/>
  <c r="AM418" i="34"/>
  <c r="AL418" i="34"/>
  <c r="AK418" i="34"/>
  <c r="AJ418" i="34"/>
  <c r="AI418" i="34"/>
  <c r="AH418" i="34"/>
  <c r="AG418" i="34"/>
  <c r="AF418" i="34"/>
  <c r="AD418" i="34"/>
  <c r="AC418" i="34"/>
  <c r="AB418" i="34"/>
  <c r="Z418" i="34"/>
  <c r="Y418" i="34"/>
  <c r="X418" i="34"/>
  <c r="W418" i="34"/>
  <c r="V418" i="34"/>
  <c r="U418" i="34"/>
  <c r="T418" i="34"/>
  <c r="S418" i="34"/>
  <c r="R418" i="34"/>
  <c r="Q418" i="34"/>
  <c r="P418" i="34"/>
  <c r="O418" i="34"/>
  <c r="N418" i="34"/>
  <c r="M418" i="34"/>
  <c r="L418" i="34"/>
  <c r="K418" i="34"/>
  <c r="I418" i="34"/>
  <c r="H418" i="34"/>
  <c r="G418" i="34"/>
  <c r="AQ417" i="34"/>
  <c r="AP417" i="34"/>
  <c r="AO417" i="34"/>
  <c r="AN417" i="34"/>
  <c r="AM417" i="34"/>
  <c r="AL417" i="34"/>
  <c r="AK417" i="34"/>
  <c r="AJ417" i="34"/>
  <c r="AI417" i="34"/>
  <c r="AH417" i="34"/>
  <c r="AG417" i="34"/>
  <c r="AF417" i="34"/>
  <c r="AD417" i="34"/>
  <c r="AC417" i="34"/>
  <c r="AB417" i="34"/>
  <c r="Z417" i="34"/>
  <c r="Y417" i="34"/>
  <c r="X417" i="34"/>
  <c r="W417" i="34"/>
  <c r="V417" i="34"/>
  <c r="U417" i="34"/>
  <c r="T417" i="34"/>
  <c r="S417" i="34"/>
  <c r="R417" i="34"/>
  <c r="Q417" i="34"/>
  <c r="P417" i="34"/>
  <c r="O417" i="34"/>
  <c r="N417" i="34"/>
  <c r="M417" i="34"/>
  <c r="L417" i="34"/>
  <c r="K417" i="34"/>
  <c r="I417" i="34"/>
  <c r="H417" i="34"/>
  <c r="G417" i="34"/>
  <c r="AQ416" i="34"/>
  <c r="AP416" i="34"/>
  <c r="AO416" i="34"/>
  <c r="AN416" i="34"/>
  <c r="AM416" i="34"/>
  <c r="AL416" i="34"/>
  <c r="AK416" i="34"/>
  <c r="AJ416" i="34"/>
  <c r="AI416" i="34"/>
  <c r="AH416" i="34"/>
  <c r="AG416" i="34"/>
  <c r="AF416" i="34"/>
  <c r="AD416" i="34"/>
  <c r="AC416" i="34"/>
  <c r="AB416" i="34"/>
  <c r="Z416" i="34"/>
  <c r="Y416" i="34"/>
  <c r="X416" i="34"/>
  <c r="W416" i="34"/>
  <c r="V416" i="34"/>
  <c r="U416" i="34"/>
  <c r="T416" i="34"/>
  <c r="S416" i="34"/>
  <c r="R416" i="34"/>
  <c r="Q416" i="34"/>
  <c r="P416" i="34"/>
  <c r="O416" i="34"/>
  <c r="N416" i="34"/>
  <c r="M416" i="34"/>
  <c r="L416" i="34"/>
  <c r="K416" i="34"/>
  <c r="I416" i="34"/>
  <c r="H416" i="34"/>
  <c r="G416" i="34"/>
  <c r="AQ415" i="34"/>
  <c r="AP415" i="34"/>
  <c r="AO415" i="34"/>
  <c r="AN415" i="34"/>
  <c r="AM415" i="34"/>
  <c r="AL415" i="34"/>
  <c r="AK415" i="34"/>
  <c r="AJ415" i="34"/>
  <c r="AI415" i="34"/>
  <c r="AH415" i="34"/>
  <c r="AG415" i="34"/>
  <c r="AF415" i="34"/>
  <c r="AD415" i="34"/>
  <c r="AC415" i="34"/>
  <c r="AB415" i="34"/>
  <c r="Z415" i="34"/>
  <c r="Y415" i="34"/>
  <c r="X415" i="34"/>
  <c r="W415" i="34"/>
  <c r="V415" i="34"/>
  <c r="U415" i="34"/>
  <c r="T415" i="34"/>
  <c r="S415" i="34"/>
  <c r="R415" i="34"/>
  <c r="Q415" i="34"/>
  <c r="P415" i="34"/>
  <c r="O415" i="34"/>
  <c r="N415" i="34"/>
  <c r="M415" i="34"/>
  <c r="L415" i="34"/>
  <c r="K415" i="34"/>
  <c r="I415" i="34"/>
  <c r="H415" i="34"/>
  <c r="G415" i="34"/>
  <c r="AQ414" i="34"/>
  <c r="AP414" i="34"/>
  <c r="AO414" i="34"/>
  <c r="AN414" i="34"/>
  <c r="AM414" i="34"/>
  <c r="AL414" i="34"/>
  <c r="AK414" i="34"/>
  <c r="AJ414" i="34"/>
  <c r="AI414" i="34"/>
  <c r="AH414" i="34"/>
  <c r="AG414" i="34"/>
  <c r="AF414" i="34"/>
  <c r="AD414" i="34"/>
  <c r="AC414" i="34"/>
  <c r="AB414" i="34"/>
  <c r="Z414" i="34"/>
  <c r="Y414" i="34"/>
  <c r="X414" i="34"/>
  <c r="W414" i="34"/>
  <c r="V414" i="34"/>
  <c r="U414" i="34"/>
  <c r="T414" i="34"/>
  <c r="S414" i="34"/>
  <c r="R414" i="34"/>
  <c r="Q414" i="34"/>
  <c r="P414" i="34"/>
  <c r="O414" i="34"/>
  <c r="N414" i="34"/>
  <c r="M414" i="34"/>
  <c r="L414" i="34"/>
  <c r="K414" i="34"/>
  <c r="I414" i="34"/>
  <c r="H414" i="34"/>
  <c r="G414" i="34"/>
  <c r="AQ413" i="34"/>
  <c r="AP413" i="34"/>
  <c r="AO413" i="34"/>
  <c r="AN413" i="34"/>
  <c r="AM413" i="34"/>
  <c r="AL413" i="34"/>
  <c r="AK413" i="34"/>
  <c r="AJ413" i="34"/>
  <c r="AI413" i="34"/>
  <c r="AH413" i="34"/>
  <c r="AG413" i="34"/>
  <c r="AF413" i="34"/>
  <c r="AD413" i="34"/>
  <c r="AC413" i="34"/>
  <c r="AB413" i="34"/>
  <c r="Z413" i="34"/>
  <c r="Y413" i="34"/>
  <c r="X413" i="34"/>
  <c r="W413" i="34"/>
  <c r="V413" i="34"/>
  <c r="U413" i="34"/>
  <c r="T413" i="34"/>
  <c r="S413" i="34"/>
  <c r="R413" i="34"/>
  <c r="Q413" i="34"/>
  <c r="P413" i="34"/>
  <c r="O413" i="34"/>
  <c r="N413" i="34"/>
  <c r="M413" i="34"/>
  <c r="L413" i="34"/>
  <c r="K413" i="34"/>
  <c r="I413" i="34"/>
  <c r="H413" i="34"/>
  <c r="G413" i="34"/>
  <c r="AQ412" i="34"/>
  <c r="AP412" i="34"/>
  <c r="AO412" i="34"/>
  <c r="AN412" i="34"/>
  <c r="AM412" i="34"/>
  <c r="AL412" i="34"/>
  <c r="AK412" i="34"/>
  <c r="AJ412" i="34"/>
  <c r="AI412" i="34"/>
  <c r="AH412" i="34"/>
  <c r="AG412" i="34"/>
  <c r="AF412" i="34"/>
  <c r="AD412" i="34"/>
  <c r="AC412" i="34"/>
  <c r="AB412" i="34"/>
  <c r="Z412" i="34"/>
  <c r="Y412" i="34"/>
  <c r="X412" i="34"/>
  <c r="W412" i="34"/>
  <c r="V412" i="34"/>
  <c r="U412" i="34"/>
  <c r="T412" i="34"/>
  <c r="S412" i="34"/>
  <c r="R412" i="34"/>
  <c r="Q412" i="34"/>
  <c r="P412" i="34"/>
  <c r="O412" i="34"/>
  <c r="N412" i="34"/>
  <c r="M412" i="34"/>
  <c r="L412" i="34"/>
  <c r="K412" i="34"/>
  <c r="I412" i="34"/>
  <c r="H412" i="34"/>
  <c r="G412" i="34"/>
  <c r="AQ411" i="34"/>
  <c r="AP411" i="34"/>
  <c r="AO411" i="34"/>
  <c r="AN411" i="34"/>
  <c r="AM411" i="34"/>
  <c r="AL411" i="34"/>
  <c r="AK411" i="34"/>
  <c r="AJ411" i="34"/>
  <c r="AI411" i="34"/>
  <c r="AH411" i="34"/>
  <c r="AG411" i="34"/>
  <c r="AF411" i="34"/>
  <c r="AD411" i="34"/>
  <c r="AC411" i="34"/>
  <c r="AB411" i="34"/>
  <c r="Z411" i="34"/>
  <c r="Y411" i="34"/>
  <c r="X411" i="34"/>
  <c r="W411" i="34"/>
  <c r="V411" i="34"/>
  <c r="U411" i="34"/>
  <c r="T411" i="34"/>
  <c r="S411" i="34"/>
  <c r="R411" i="34"/>
  <c r="Q411" i="34"/>
  <c r="P411" i="34"/>
  <c r="O411" i="34"/>
  <c r="N411" i="34"/>
  <c r="M411" i="34"/>
  <c r="L411" i="34"/>
  <c r="K411" i="34"/>
  <c r="I411" i="34"/>
  <c r="H411" i="34"/>
  <c r="G411" i="34"/>
  <c r="AQ410" i="34"/>
  <c r="AP410" i="34"/>
  <c r="AO410" i="34"/>
  <c r="AN410" i="34"/>
  <c r="AM410" i="34"/>
  <c r="AL410" i="34"/>
  <c r="AK410" i="34"/>
  <c r="AJ410" i="34"/>
  <c r="AI410" i="34"/>
  <c r="AH410" i="34"/>
  <c r="AG410" i="34"/>
  <c r="AF410" i="34"/>
  <c r="AD410" i="34"/>
  <c r="AC410" i="34"/>
  <c r="AB410" i="34"/>
  <c r="Z410" i="34"/>
  <c r="Y410" i="34"/>
  <c r="X410" i="34"/>
  <c r="W410" i="34"/>
  <c r="V410" i="34"/>
  <c r="U410" i="34"/>
  <c r="T410" i="34"/>
  <c r="S410" i="34"/>
  <c r="R410" i="34"/>
  <c r="Q410" i="34"/>
  <c r="P410" i="34"/>
  <c r="O410" i="34"/>
  <c r="N410" i="34"/>
  <c r="M410" i="34"/>
  <c r="L410" i="34"/>
  <c r="K410" i="34"/>
  <c r="I410" i="34"/>
  <c r="H410" i="34"/>
  <c r="G410" i="34"/>
  <c r="AQ409" i="34"/>
  <c r="AP409" i="34"/>
  <c r="AO409" i="34"/>
  <c r="AN409" i="34"/>
  <c r="AM409" i="34"/>
  <c r="AL409" i="34"/>
  <c r="AK409" i="34"/>
  <c r="AJ409" i="34"/>
  <c r="AI409" i="34"/>
  <c r="AH409" i="34"/>
  <c r="AG409" i="34"/>
  <c r="AF409" i="34"/>
  <c r="AD409" i="34"/>
  <c r="AC409" i="34"/>
  <c r="AB409" i="34"/>
  <c r="Z409" i="34"/>
  <c r="Y409" i="34"/>
  <c r="X409" i="34"/>
  <c r="W409" i="34"/>
  <c r="V409" i="34"/>
  <c r="U409" i="34"/>
  <c r="T409" i="34"/>
  <c r="S409" i="34"/>
  <c r="R409" i="34"/>
  <c r="Q409" i="34"/>
  <c r="P409" i="34"/>
  <c r="O409" i="34"/>
  <c r="N409" i="34"/>
  <c r="M409" i="34"/>
  <c r="L409" i="34"/>
  <c r="K409" i="34"/>
  <c r="I409" i="34"/>
  <c r="H409" i="34"/>
  <c r="G409" i="34"/>
  <c r="AQ408" i="34"/>
  <c r="AP408" i="34"/>
  <c r="AO408" i="34"/>
  <c r="AN408" i="34"/>
  <c r="AM408" i="34"/>
  <c r="AL408" i="34"/>
  <c r="AK408" i="34"/>
  <c r="AJ408" i="34"/>
  <c r="AI408" i="34"/>
  <c r="AH408" i="34"/>
  <c r="AG408" i="34"/>
  <c r="AF408" i="34"/>
  <c r="AD408" i="34"/>
  <c r="AC408" i="34"/>
  <c r="AB408" i="34"/>
  <c r="Z408" i="34"/>
  <c r="Y408" i="34"/>
  <c r="X408" i="34"/>
  <c r="W408" i="34"/>
  <c r="V408" i="34"/>
  <c r="U408" i="34"/>
  <c r="T408" i="34"/>
  <c r="S408" i="34"/>
  <c r="R408" i="34"/>
  <c r="Q408" i="34"/>
  <c r="P408" i="34"/>
  <c r="O408" i="34"/>
  <c r="N408" i="34"/>
  <c r="M408" i="34"/>
  <c r="L408" i="34"/>
  <c r="K408" i="34"/>
  <c r="I408" i="34"/>
  <c r="H408" i="34"/>
  <c r="G408" i="34"/>
  <c r="AQ407" i="34"/>
  <c r="AP407" i="34"/>
  <c r="AO407" i="34"/>
  <c r="AN407" i="34"/>
  <c r="AM407" i="34"/>
  <c r="AL407" i="34"/>
  <c r="AK407" i="34"/>
  <c r="AJ407" i="34"/>
  <c r="AI407" i="34"/>
  <c r="AH407" i="34"/>
  <c r="AG407" i="34"/>
  <c r="AF407" i="34"/>
  <c r="AD407" i="34"/>
  <c r="AC407" i="34"/>
  <c r="AB407" i="34"/>
  <c r="Z407" i="34"/>
  <c r="Y407" i="34"/>
  <c r="X407" i="34"/>
  <c r="W407" i="34"/>
  <c r="V407" i="34"/>
  <c r="U407" i="34"/>
  <c r="T407" i="34"/>
  <c r="S407" i="34"/>
  <c r="R407" i="34"/>
  <c r="Q407" i="34"/>
  <c r="P407" i="34"/>
  <c r="O407" i="34"/>
  <c r="N407" i="34"/>
  <c r="M407" i="34"/>
  <c r="L407" i="34"/>
  <c r="K407" i="34"/>
  <c r="I407" i="34"/>
  <c r="H407" i="34"/>
  <c r="G407" i="34"/>
  <c r="AQ406" i="34"/>
  <c r="AP406" i="34"/>
  <c r="AO406" i="34"/>
  <c r="AN406" i="34"/>
  <c r="AM406" i="34"/>
  <c r="AL406" i="34"/>
  <c r="AK406" i="34"/>
  <c r="AJ406" i="34"/>
  <c r="AI406" i="34"/>
  <c r="AH406" i="34"/>
  <c r="AG406" i="34"/>
  <c r="AF406" i="34"/>
  <c r="AD406" i="34"/>
  <c r="AC406" i="34"/>
  <c r="AB406" i="34"/>
  <c r="Z406" i="34"/>
  <c r="Y406" i="34"/>
  <c r="X406" i="34"/>
  <c r="W406" i="34"/>
  <c r="V406" i="34"/>
  <c r="U406" i="34"/>
  <c r="T406" i="34"/>
  <c r="S406" i="34"/>
  <c r="R406" i="34"/>
  <c r="Q406" i="34"/>
  <c r="P406" i="34"/>
  <c r="O406" i="34"/>
  <c r="N406" i="34"/>
  <c r="M406" i="34"/>
  <c r="L406" i="34"/>
  <c r="K406" i="34"/>
  <c r="I406" i="34"/>
  <c r="H406" i="34"/>
  <c r="G406" i="34"/>
  <c r="AQ405" i="34"/>
  <c r="AP405" i="34"/>
  <c r="AO405" i="34"/>
  <c r="AN405" i="34"/>
  <c r="AM405" i="34"/>
  <c r="AL405" i="34"/>
  <c r="AK405" i="34"/>
  <c r="AJ405" i="34"/>
  <c r="AI405" i="34"/>
  <c r="AH405" i="34"/>
  <c r="AG405" i="34"/>
  <c r="AF405" i="34"/>
  <c r="AD405" i="34"/>
  <c r="AC405" i="34"/>
  <c r="AB405" i="34"/>
  <c r="Z405" i="34"/>
  <c r="Y405" i="34"/>
  <c r="X405" i="34"/>
  <c r="W405" i="34"/>
  <c r="V405" i="34"/>
  <c r="U405" i="34"/>
  <c r="T405" i="34"/>
  <c r="S405" i="34"/>
  <c r="R405" i="34"/>
  <c r="Q405" i="34"/>
  <c r="P405" i="34"/>
  <c r="O405" i="34"/>
  <c r="N405" i="34"/>
  <c r="M405" i="34"/>
  <c r="L405" i="34"/>
  <c r="K405" i="34"/>
  <c r="I405" i="34"/>
  <c r="H405" i="34"/>
  <c r="G405" i="34"/>
  <c r="AQ404" i="34"/>
  <c r="AP404" i="34"/>
  <c r="AO404" i="34"/>
  <c r="AN404" i="34"/>
  <c r="AM404" i="34"/>
  <c r="AL404" i="34"/>
  <c r="AK404" i="34"/>
  <c r="AJ404" i="34"/>
  <c r="AI404" i="34"/>
  <c r="AH404" i="34"/>
  <c r="AG404" i="34"/>
  <c r="AF404" i="34"/>
  <c r="AD404" i="34"/>
  <c r="AC404" i="34"/>
  <c r="AB404" i="34"/>
  <c r="Z404" i="34"/>
  <c r="Y404" i="34"/>
  <c r="X404" i="34"/>
  <c r="W404" i="34"/>
  <c r="V404" i="34"/>
  <c r="U404" i="34"/>
  <c r="T404" i="34"/>
  <c r="S404" i="34"/>
  <c r="R404" i="34"/>
  <c r="Q404" i="34"/>
  <c r="P404" i="34"/>
  <c r="O404" i="34"/>
  <c r="N404" i="34"/>
  <c r="M404" i="34"/>
  <c r="L404" i="34"/>
  <c r="K404" i="34"/>
  <c r="I404" i="34"/>
  <c r="H404" i="34"/>
  <c r="G404" i="34"/>
  <c r="AQ403" i="34"/>
  <c r="AP403" i="34"/>
  <c r="AO403" i="34"/>
  <c r="AN403" i="34"/>
  <c r="AM403" i="34"/>
  <c r="AL403" i="34"/>
  <c r="AK403" i="34"/>
  <c r="AJ403" i="34"/>
  <c r="AI403" i="34"/>
  <c r="AH403" i="34"/>
  <c r="AG403" i="34"/>
  <c r="AF403" i="34"/>
  <c r="AD403" i="34"/>
  <c r="AC403" i="34"/>
  <c r="AB403" i="34"/>
  <c r="Z403" i="34"/>
  <c r="Y403" i="34"/>
  <c r="X403" i="34"/>
  <c r="W403" i="34"/>
  <c r="V403" i="34"/>
  <c r="U403" i="34"/>
  <c r="T403" i="34"/>
  <c r="S403" i="34"/>
  <c r="R403" i="34"/>
  <c r="Q403" i="34"/>
  <c r="P403" i="34"/>
  <c r="O403" i="34"/>
  <c r="N403" i="34"/>
  <c r="M403" i="34"/>
  <c r="L403" i="34"/>
  <c r="K403" i="34"/>
  <c r="I403" i="34"/>
  <c r="H403" i="34"/>
  <c r="G403" i="34"/>
  <c r="AQ402" i="34"/>
  <c r="AP402" i="34"/>
  <c r="AO402" i="34"/>
  <c r="AN402" i="34"/>
  <c r="AM402" i="34"/>
  <c r="AL402" i="34"/>
  <c r="AK402" i="34"/>
  <c r="AJ402" i="34"/>
  <c r="AI402" i="34"/>
  <c r="AH402" i="34"/>
  <c r="AG402" i="34"/>
  <c r="AF402" i="34"/>
  <c r="AD402" i="34"/>
  <c r="AC402" i="34"/>
  <c r="AB402" i="34"/>
  <c r="Z402" i="34"/>
  <c r="Y402" i="34"/>
  <c r="X402" i="34"/>
  <c r="W402" i="34"/>
  <c r="V402" i="34"/>
  <c r="U402" i="34"/>
  <c r="T402" i="34"/>
  <c r="S402" i="34"/>
  <c r="R402" i="34"/>
  <c r="Q402" i="34"/>
  <c r="P402" i="34"/>
  <c r="O402" i="34"/>
  <c r="N402" i="34"/>
  <c r="M402" i="34"/>
  <c r="L402" i="34"/>
  <c r="K402" i="34"/>
  <c r="I402" i="34"/>
  <c r="H402" i="34"/>
  <c r="G402" i="34"/>
  <c r="AQ401" i="34"/>
  <c r="AP401" i="34"/>
  <c r="AO401" i="34"/>
  <c r="AN401" i="34"/>
  <c r="AM401" i="34"/>
  <c r="AL401" i="34"/>
  <c r="AK401" i="34"/>
  <c r="AJ401" i="34"/>
  <c r="AI401" i="34"/>
  <c r="AH401" i="34"/>
  <c r="AG401" i="34"/>
  <c r="AF401" i="34"/>
  <c r="AD401" i="34"/>
  <c r="AC401" i="34"/>
  <c r="AB401" i="34"/>
  <c r="Z401" i="34"/>
  <c r="Y401" i="34"/>
  <c r="X401" i="34"/>
  <c r="W401" i="34"/>
  <c r="V401" i="34"/>
  <c r="U401" i="34"/>
  <c r="T401" i="34"/>
  <c r="S401" i="34"/>
  <c r="R401" i="34"/>
  <c r="Q401" i="34"/>
  <c r="P401" i="34"/>
  <c r="O401" i="34"/>
  <c r="N401" i="34"/>
  <c r="M401" i="34"/>
  <c r="L401" i="34"/>
  <c r="K401" i="34"/>
  <c r="I401" i="34"/>
  <c r="H401" i="34"/>
  <c r="G401" i="34"/>
  <c r="AQ400" i="34"/>
  <c r="AP400" i="34"/>
  <c r="AO400" i="34"/>
  <c r="AN400" i="34"/>
  <c r="AM400" i="34"/>
  <c r="AL400" i="34"/>
  <c r="AK400" i="34"/>
  <c r="AJ400" i="34"/>
  <c r="AI400" i="34"/>
  <c r="AH400" i="34"/>
  <c r="AG400" i="34"/>
  <c r="AF400" i="34"/>
  <c r="AD400" i="34"/>
  <c r="AC400" i="34"/>
  <c r="AB400" i="34"/>
  <c r="Z400" i="34"/>
  <c r="Y400" i="34"/>
  <c r="X400" i="34"/>
  <c r="W400" i="34"/>
  <c r="V400" i="34"/>
  <c r="U400" i="34"/>
  <c r="T400" i="34"/>
  <c r="S400" i="34"/>
  <c r="R400" i="34"/>
  <c r="Q400" i="34"/>
  <c r="P400" i="34"/>
  <c r="O400" i="34"/>
  <c r="N400" i="34"/>
  <c r="M400" i="34"/>
  <c r="L400" i="34"/>
  <c r="K400" i="34"/>
  <c r="I400" i="34"/>
  <c r="H400" i="34"/>
  <c r="G400" i="34"/>
  <c r="AQ399" i="34"/>
  <c r="AP399" i="34"/>
  <c r="AO399" i="34"/>
  <c r="AN399" i="34"/>
  <c r="AM399" i="34"/>
  <c r="AL399" i="34"/>
  <c r="AK399" i="34"/>
  <c r="AJ399" i="34"/>
  <c r="AI399" i="34"/>
  <c r="AH399" i="34"/>
  <c r="AG399" i="34"/>
  <c r="AF399" i="34"/>
  <c r="AD399" i="34"/>
  <c r="AC399" i="34"/>
  <c r="AB399" i="34"/>
  <c r="Z399" i="34"/>
  <c r="Y399" i="34"/>
  <c r="X399" i="34"/>
  <c r="W399" i="34"/>
  <c r="V399" i="34"/>
  <c r="U399" i="34"/>
  <c r="T399" i="34"/>
  <c r="S399" i="34"/>
  <c r="R399" i="34"/>
  <c r="Q399" i="34"/>
  <c r="P399" i="34"/>
  <c r="O399" i="34"/>
  <c r="N399" i="34"/>
  <c r="M399" i="34"/>
  <c r="L399" i="34"/>
  <c r="K399" i="34"/>
  <c r="I399" i="34"/>
  <c r="H399" i="34"/>
  <c r="G399" i="34"/>
  <c r="AQ398" i="34"/>
  <c r="AP398" i="34"/>
  <c r="AO398" i="34"/>
  <c r="AN398" i="34"/>
  <c r="AM398" i="34"/>
  <c r="AL398" i="34"/>
  <c r="AK398" i="34"/>
  <c r="AJ398" i="34"/>
  <c r="AI398" i="34"/>
  <c r="AH398" i="34"/>
  <c r="AG398" i="34"/>
  <c r="AF398" i="34"/>
  <c r="AD398" i="34"/>
  <c r="AC398" i="34"/>
  <c r="AB398" i="34"/>
  <c r="Z398" i="34"/>
  <c r="Y398" i="34"/>
  <c r="X398" i="34"/>
  <c r="W398" i="34"/>
  <c r="V398" i="34"/>
  <c r="U398" i="34"/>
  <c r="T398" i="34"/>
  <c r="S398" i="34"/>
  <c r="R398" i="34"/>
  <c r="Q398" i="34"/>
  <c r="P398" i="34"/>
  <c r="O398" i="34"/>
  <c r="N398" i="34"/>
  <c r="M398" i="34"/>
  <c r="L398" i="34"/>
  <c r="K398" i="34"/>
  <c r="I398" i="34"/>
  <c r="H398" i="34"/>
  <c r="G398" i="34"/>
  <c r="AQ397" i="34"/>
  <c r="AP397" i="34"/>
  <c r="AO397" i="34"/>
  <c r="AN397" i="34"/>
  <c r="AM397" i="34"/>
  <c r="AL397" i="34"/>
  <c r="AK397" i="34"/>
  <c r="AJ397" i="34"/>
  <c r="AI397" i="34"/>
  <c r="AH397" i="34"/>
  <c r="AG397" i="34"/>
  <c r="AF397" i="34"/>
  <c r="AD397" i="34"/>
  <c r="AC397" i="34"/>
  <c r="AB397" i="34"/>
  <c r="Z397" i="34"/>
  <c r="Y397" i="34"/>
  <c r="X397" i="34"/>
  <c r="W397" i="34"/>
  <c r="V397" i="34"/>
  <c r="U397" i="34"/>
  <c r="T397" i="34"/>
  <c r="S397" i="34"/>
  <c r="R397" i="34"/>
  <c r="Q397" i="34"/>
  <c r="P397" i="34"/>
  <c r="O397" i="34"/>
  <c r="N397" i="34"/>
  <c r="M397" i="34"/>
  <c r="L397" i="34"/>
  <c r="K397" i="34"/>
  <c r="I397" i="34"/>
  <c r="H397" i="34"/>
  <c r="G397" i="34"/>
  <c r="AQ396" i="34"/>
  <c r="AP396" i="34"/>
  <c r="AO396" i="34"/>
  <c r="AN396" i="34"/>
  <c r="AM396" i="34"/>
  <c r="AL396" i="34"/>
  <c r="AK396" i="34"/>
  <c r="AJ396" i="34"/>
  <c r="AI396" i="34"/>
  <c r="AH396" i="34"/>
  <c r="AG396" i="34"/>
  <c r="AF396" i="34"/>
  <c r="AD396" i="34"/>
  <c r="AC396" i="34"/>
  <c r="AB396" i="34"/>
  <c r="Z396" i="34"/>
  <c r="Y396" i="34"/>
  <c r="X396" i="34"/>
  <c r="W396" i="34"/>
  <c r="V396" i="34"/>
  <c r="U396" i="34"/>
  <c r="T396" i="34"/>
  <c r="S396" i="34"/>
  <c r="R396" i="34"/>
  <c r="Q396" i="34"/>
  <c r="P396" i="34"/>
  <c r="O396" i="34"/>
  <c r="N396" i="34"/>
  <c r="M396" i="34"/>
  <c r="L396" i="34"/>
  <c r="K396" i="34"/>
  <c r="I396" i="34"/>
  <c r="H396" i="34"/>
  <c r="G396" i="34"/>
  <c r="AQ395" i="34"/>
  <c r="AP395" i="34"/>
  <c r="AO395" i="34"/>
  <c r="AN395" i="34"/>
  <c r="AM395" i="34"/>
  <c r="AL395" i="34"/>
  <c r="AK395" i="34"/>
  <c r="AJ395" i="34"/>
  <c r="AI395" i="34"/>
  <c r="AH395" i="34"/>
  <c r="AG395" i="34"/>
  <c r="AF395" i="34"/>
  <c r="AD395" i="34"/>
  <c r="AC395" i="34"/>
  <c r="AB395" i="34"/>
  <c r="Z395" i="34"/>
  <c r="Y395" i="34"/>
  <c r="X395" i="34"/>
  <c r="W395" i="34"/>
  <c r="V395" i="34"/>
  <c r="U395" i="34"/>
  <c r="T395" i="34"/>
  <c r="S395" i="34"/>
  <c r="R395" i="34"/>
  <c r="Q395" i="34"/>
  <c r="P395" i="34"/>
  <c r="O395" i="34"/>
  <c r="N395" i="34"/>
  <c r="M395" i="34"/>
  <c r="L395" i="34"/>
  <c r="K395" i="34"/>
  <c r="I395" i="34"/>
  <c r="H395" i="34"/>
  <c r="G395" i="34"/>
  <c r="AQ394" i="34"/>
  <c r="AP394" i="34"/>
  <c r="AO394" i="34"/>
  <c r="AN394" i="34"/>
  <c r="AM394" i="34"/>
  <c r="AL394" i="34"/>
  <c r="AK394" i="34"/>
  <c r="AJ394" i="34"/>
  <c r="AI394" i="34"/>
  <c r="AH394" i="34"/>
  <c r="AG394" i="34"/>
  <c r="AF394" i="34"/>
  <c r="AD394" i="34"/>
  <c r="AC394" i="34"/>
  <c r="AB394" i="34"/>
  <c r="Z394" i="34"/>
  <c r="Y394" i="34"/>
  <c r="X394" i="34"/>
  <c r="W394" i="34"/>
  <c r="V394" i="34"/>
  <c r="U394" i="34"/>
  <c r="T394" i="34"/>
  <c r="S394" i="34"/>
  <c r="R394" i="34"/>
  <c r="Q394" i="34"/>
  <c r="P394" i="34"/>
  <c r="O394" i="34"/>
  <c r="N394" i="34"/>
  <c r="M394" i="34"/>
  <c r="L394" i="34"/>
  <c r="K394" i="34"/>
  <c r="I394" i="34"/>
  <c r="H394" i="34"/>
  <c r="G394" i="34"/>
  <c r="AQ393" i="34"/>
  <c r="AP393" i="34"/>
  <c r="AO393" i="34"/>
  <c r="AN393" i="34"/>
  <c r="AM393" i="34"/>
  <c r="AL393" i="34"/>
  <c r="AK393" i="34"/>
  <c r="AJ393" i="34"/>
  <c r="AI393" i="34"/>
  <c r="AH393" i="34"/>
  <c r="AG393" i="34"/>
  <c r="AF393" i="34"/>
  <c r="AD393" i="34"/>
  <c r="AC393" i="34"/>
  <c r="AB393" i="34"/>
  <c r="Z393" i="34"/>
  <c r="Y393" i="34"/>
  <c r="X393" i="34"/>
  <c r="W393" i="34"/>
  <c r="V393" i="34"/>
  <c r="U393" i="34"/>
  <c r="T393" i="34"/>
  <c r="S393" i="34"/>
  <c r="R393" i="34"/>
  <c r="Q393" i="34"/>
  <c r="P393" i="34"/>
  <c r="O393" i="34"/>
  <c r="N393" i="34"/>
  <c r="M393" i="34"/>
  <c r="L393" i="34"/>
  <c r="K393" i="34"/>
  <c r="I393" i="34"/>
  <c r="H393" i="34"/>
  <c r="G393" i="34"/>
  <c r="AQ392" i="34"/>
  <c r="AP392" i="34"/>
  <c r="AO392" i="34"/>
  <c r="AN392" i="34"/>
  <c r="AM392" i="34"/>
  <c r="AL392" i="34"/>
  <c r="AK392" i="34"/>
  <c r="AJ392" i="34"/>
  <c r="AI392" i="34"/>
  <c r="AH392" i="34"/>
  <c r="AG392" i="34"/>
  <c r="AF392" i="34"/>
  <c r="AD392" i="34"/>
  <c r="AC392" i="34"/>
  <c r="AB392" i="34"/>
  <c r="Z392" i="34"/>
  <c r="Y392" i="34"/>
  <c r="X392" i="34"/>
  <c r="W392" i="34"/>
  <c r="V392" i="34"/>
  <c r="U392" i="34"/>
  <c r="T392" i="34"/>
  <c r="S392" i="34"/>
  <c r="R392" i="34"/>
  <c r="Q392" i="34"/>
  <c r="P392" i="34"/>
  <c r="O392" i="34"/>
  <c r="N392" i="34"/>
  <c r="M392" i="34"/>
  <c r="L392" i="34"/>
  <c r="K392" i="34"/>
  <c r="I392" i="34"/>
  <c r="H392" i="34"/>
  <c r="G392" i="34"/>
  <c r="AQ391" i="34"/>
  <c r="AP391" i="34"/>
  <c r="AO391" i="34"/>
  <c r="AN391" i="34"/>
  <c r="AM391" i="34"/>
  <c r="AL391" i="34"/>
  <c r="AK391" i="34"/>
  <c r="AJ391" i="34"/>
  <c r="AI391" i="34"/>
  <c r="AH391" i="34"/>
  <c r="AG391" i="34"/>
  <c r="AF391" i="34"/>
  <c r="AD391" i="34"/>
  <c r="AC391" i="34"/>
  <c r="AB391" i="34"/>
  <c r="Z391" i="34"/>
  <c r="Y391" i="34"/>
  <c r="X391" i="34"/>
  <c r="W391" i="34"/>
  <c r="V391" i="34"/>
  <c r="U391" i="34"/>
  <c r="T391" i="34"/>
  <c r="S391" i="34"/>
  <c r="R391" i="34"/>
  <c r="Q391" i="34"/>
  <c r="P391" i="34"/>
  <c r="O391" i="34"/>
  <c r="N391" i="34"/>
  <c r="M391" i="34"/>
  <c r="L391" i="34"/>
  <c r="K391" i="34"/>
  <c r="I391" i="34"/>
  <c r="H391" i="34"/>
  <c r="G391" i="34"/>
  <c r="AQ390" i="34"/>
  <c r="AP390" i="34"/>
  <c r="AO390" i="34"/>
  <c r="AN390" i="34"/>
  <c r="AM390" i="34"/>
  <c r="AL390" i="34"/>
  <c r="AK390" i="34"/>
  <c r="AJ390" i="34"/>
  <c r="AI390" i="34"/>
  <c r="AH390" i="34"/>
  <c r="AG390" i="34"/>
  <c r="AF390" i="34"/>
  <c r="AD390" i="34"/>
  <c r="AC390" i="34"/>
  <c r="AB390" i="34"/>
  <c r="Z390" i="34"/>
  <c r="Y390" i="34"/>
  <c r="X390" i="34"/>
  <c r="W390" i="34"/>
  <c r="V390" i="34"/>
  <c r="U390" i="34"/>
  <c r="T390" i="34"/>
  <c r="S390" i="34"/>
  <c r="R390" i="34"/>
  <c r="Q390" i="34"/>
  <c r="P390" i="34"/>
  <c r="O390" i="34"/>
  <c r="N390" i="34"/>
  <c r="M390" i="34"/>
  <c r="L390" i="34"/>
  <c r="K390" i="34"/>
  <c r="I390" i="34"/>
  <c r="H390" i="34"/>
  <c r="G390" i="34"/>
  <c r="AQ389" i="34"/>
  <c r="AP389" i="34"/>
  <c r="AO389" i="34"/>
  <c r="AN389" i="34"/>
  <c r="AM389" i="34"/>
  <c r="AL389" i="34"/>
  <c r="AK389" i="34"/>
  <c r="AJ389" i="34"/>
  <c r="AI389" i="34"/>
  <c r="AH389" i="34"/>
  <c r="AG389" i="34"/>
  <c r="AF389" i="34"/>
  <c r="AD389" i="34"/>
  <c r="AC389" i="34"/>
  <c r="AB389" i="34"/>
  <c r="Z389" i="34"/>
  <c r="Y389" i="34"/>
  <c r="X389" i="34"/>
  <c r="W389" i="34"/>
  <c r="V389" i="34"/>
  <c r="U389" i="34"/>
  <c r="T389" i="34"/>
  <c r="S389" i="34"/>
  <c r="R389" i="34"/>
  <c r="Q389" i="34"/>
  <c r="P389" i="34"/>
  <c r="O389" i="34"/>
  <c r="N389" i="34"/>
  <c r="M389" i="34"/>
  <c r="L389" i="34"/>
  <c r="K389" i="34"/>
  <c r="I389" i="34"/>
  <c r="H389" i="34"/>
  <c r="G389" i="34"/>
  <c r="AQ388" i="34"/>
  <c r="AP388" i="34"/>
  <c r="AO388" i="34"/>
  <c r="AN388" i="34"/>
  <c r="AM388" i="34"/>
  <c r="AL388" i="34"/>
  <c r="AK388" i="34"/>
  <c r="AJ388" i="34"/>
  <c r="AI388" i="34"/>
  <c r="AH388" i="34"/>
  <c r="AG388" i="34"/>
  <c r="AF388" i="34"/>
  <c r="AD388" i="34"/>
  <c r="AC388" i="34"/>
  <c r="AB388" i="34"/>
  <c r="Z388" i="34"/>
  <c r="Y388" i="34"/>
  <c r="X388" i="34"/>
  <c r="W388" i="34"/>
  <c r="V388" i="34"/>
  <c r="U388" i="34"/>
  <c r="T388" i="34"/>
  <c r="S388" i="34"/>
  <c r="R388" i="34"/>
  <c r="Q388" i="34"/>
  <c r="P388" i="34"/>
  <c r="O388" i="34"/>
  <c r="N388" i="34"/>
  <c r="M388" i="34"/>
  <c r="L388" i="34"/>
  <c r="K388" i="34"/>
  <c r="I388" i="34"/>
  <c r="H388" i="34"/>
  <c r="G388" i="34"/>
  <c r="AQ387" i="34"/>
  <c r="AP387" i="34"/>
  <c r="AO387" i="34"/>
  <c r="AN387" i="34"/>
  <c r="AM387" i="34"/>
  <c r="AL387" i="34"/>
  <c r="AK387" i="34"/>
  <c r="AJ387" i="34"/>
  <c r="AI387" i="34"/>
  <c r="AH387" i="34"/>
  <c r="AG387" i="34"/>
  <c r="AF387" i="34"/>
  <c r="AD387" i="34"/>
  <c r="AC387" i="34"/>
  <c r="AB387" i="34"/>
  <c r="Z387" i="34"/>
  <c r="Y387" i="34"/>
  <c r="X387" i="34"/>
  <c r="W387" i="34"/>
  <c r="V387" i="34"/>
  <c r="U387" i="34"/>
  <c r="T387" i="34"/>
  <c r="S387" i="34"/>
  <c r="R387" i="34"/>
  <c r="Q387" i="34"/>
  <c r="P387" i="34"/>
  <c r="O387" i="34"/>
  <c r="N387" i="34"/>
  <c r="M387" i="34"/>
  <c r="L387" i="34"/>
  <c r="K387" i="34"/>
  <c r="I387" i="34"/>
  <c r="H387" i="34"/>
  <c r="G387" i="34"/>
  <c r="AQ386" i="34"/>
  <c r="AP386" i="34"/>
  <c r="AO386" i="34"/>
  <c r="AN386" i="34"/>
  <c r="AM386" i="34"/>
  <c r="AL386" i="34"/>
  <c r="AK386" i="34"/>
  <c r="AJ386" i="34"/>
  <c r="AI386" i="34"/>
  <c r="AH386" i="34"/>
  <c r="AG386" i="34"/>
  <c r="AF386" i="34"/>
  <c r="AD386" i="34"/>
  <c r="AC386" i="34"/>
  <c r="AB386" i="34"/>
  <c r="Z386" i="34"/>
  <c r="Y386" i="34"/>
  <c r="X386" i="34"/>
  <c r="W386" i="34"/>
  <c r="V386" i="34"/>
  <c r="U386" i="34"/>
  <c r="T386" i="34"/>
  <c r="S386" i="34"/>
  <c r="R386" i="34"/>
  <c r="Q386" i="34"/>
  <c r="P386" i="34"/>
  <c r="O386" i="34"/>
  <c r="N386" i="34"/>
  <c r="M386" i="34"/>
  <c r="L386" i="34"/>
  <c r="K386" i="34"/>
  <c r="I386" i="34"/>
  <c r="H386" i="34"/>
  <c r="G386" i="34"/>
  <c r="AQ385" i="34"/>
  <c r="AP385" i="34"/>
  <c r="AO385" i="34"/>
  <c r="AN385" i="34"/>
  <c r="AM385" i="34"/>
  <c r="AL385" i="34"/>
  <c r="AK385" i="34"/>
  <c r="AJ385" i="34"/>
  <c r="AI385" i="34"/>
  <c r="AH385" i="34"/>
  <c r="AG385" i="34"/>
  <c r="AF385" i="34"/>
  <c r="AD385" i="34"/>
  <c r="AC385" i="34"/>
  <c r="AB385" i="34"/>
  <c r="Z385" i="34"/>
  <c r="Y385" i="34"/>
  <c r="X385" i="34"/>
  <c r="W385" i="34"/>
  <c r="V385" i="34"/>
  <c r="U385" i="34"/>
  <c r="T385" i="34"/>
  <c r="S385" i="34"/>
  <c r="R385" i="34"/>
  <c r="Q385" i="34"/>
  <c r="P385" i="34"/>
  <c r="O385" i="34"/>
  <c r="N385" i="34"/>
  <c r="M385" i="34"/>
  <c r="L385" i="34"/>
  <c r="K385" i="34"/>
  <c r="I385" i="34"/>
  <c r="H385" i="34"/>
  <c r="G385" i="34"/>
  <c r="AQ384" i="34"/>
  <c r="AP384" i="34"/>
  <c r="AO384" i="34"/>
  <c r="AN384" i="34"/>
  <c r="AM384" i="34"/>
  <c r="AL384" i="34"/>
  <c r="AK384" i="34"/>
  <c r="AJ384" i="34"/>
  <c r="AI384" i="34"/>
  <c r="AH384" i="34"/>
  <c r="AG384" i="34"/>
  <c r="AF384" i="34"/>
  <c r="AD384" i="34"/>
  <c r="AC384" i="34"/>
  <c r="AB384" i="34"/>
  <c r="Z384" i="34"/>
  <c r="Y384" i="34"/>
  <c r="X384" i="34"/>
  <c r="W384" i="34"/>
  <c r="V384" i="34"/>
  <c r="U384" i="34"/>
  <c r="T384" i="34"/>
  <c r="S384" i="34"/>
  <c r="R384" i="34"/>
  <c r="Q384" i="34"/>
  <c r="P384" i="34"/>
  <c r="O384" i="34"/>
  <c r="N384" i="34"/>
  <c r="M384" i="34"/>
  <c r="L384" i="34"/>
  <c r="K384" i="34"/>
  <c r="I384" i="34"/>
  <c r="H384" i="34"/>
  <c r="G384" i="34"/>
  <c r="AQ383" i="34"/>
  <c r="AP383" i="34"/>
  <c r="AO383" i="34"/>
  <c r="AN383" i="34"/>
  <c r="AM383" i="34"/>
  <c r="AL383" i="34"/>
  <c r="AK383" i="34"/>
  <c r="AJ383" i="34"/>
  <c r="AI383" i="34"/>
  <c r="AH383" i="34"/>
  <c r="AG383" i="34"/>
  <c r="AF383" i="34"/>
  <c r="AD383" i="34"/>
  <c r="AC383" i="34"/>
  <c r="AB383" i="34"/>
  <c r="Z383" i="34"/>
  <c r="Y383" i="34"/>
  <c r="X383" i="34"/>
  <c r="W383" i="34"/>
  <c r="V383" i="34"/>
  <c r="U383" i="34"/>
  <c r="T383" i="34"/>
  <c r="S383" i="34"/>
  <c r="R383" i="34"/>
  <c r="Q383" i="34"/>
  <c r="P383" i="34"/>
  <c r="O383" i="34"/>
  <c r="N383" i="34"/>
  <c r="M383" i="34"/>
  <c r="L383" i="34"/>
  <c r="K383" i="34"/>
  <c r="I383" i="34"/>
  <c r="H383" i="34"/>
  <c r="G383" i="34"/>
  <c r="AQ382" i="34"/>
  <c r="AP382" i="34"/>
  <c r="AO382" i="34"/>
  <c r="AN382" i="34"/>
  <c r="AM382" i="34"/>
  <c r="AL382" i="34"/>
  <c r="AK382" i="34"/>
  <c r="AJ382" i="34"/>
  <c r="AI382" i="34"/>
  <c r="AH382" i="34"/>
  <c r="AG382" i="34"/>
  <c r="AF382" i="34"/>
  <c r="AD382" i="34"/>
  <c r="AC382" i="34"/>
  <c r="AB382" i="34"/>
  <c r="Z382" i="34"/>
  <c r="Y382" i="34"/>
  <c r="X382" i="34"/>
  <c r="W382" i="34"/>
  <c r="V382" i="34"/>
  <c r="U382" i="34"/>
  <c r="T382" i="34"/>
  <c r="S382" i="34"/>
  <c r="R382" i="34"/>
  <c r="Q382" i="34"/>
  <c r="P382" i="34"/>
  <c r="O382" i="34"/>
  <c r="N382" i="34"/>
  <c r="M382" i="34"/>
  <c r="L382" i="34"/>
  <c r="K382" i="34"/>
  <c r="I382" i="34"/>
  <c r="H382" i="34"/>
  <c r="G382" i="34"/>
  <c r="AQ381" i="34"/>
  <c r="AP381" i="34"/>
  <c r="AO381" i="34"/>
  <c r="AN381" i="34"/>
  <c r="AM381" i="34"/>
  <c r="AL381" i="34"/>
  <c r="AK381" i="34"/>
  <c r="AJ381" i="34"/>
  <c r="AI381" i="34"/>
  <c r="AH381" i="34"/>
  <c r="AG381" i="34"/>
  <c r="AF381" i="34"/>
  <c r="AD381" i="34"/>
  <c r="AC381" i="34"/>
  <c r="AB381" i="34"/>
  <c r="Z381" i="34"/>
  <c r="Y381" i="34"/>
  <c r="X381" i="34"/>
  <c r="W381" i="34"/>
  <c r="V381" i="34"/>
  <c r="U381" i="34"/>
  <c r="T381" i="34"/>
  <c r="S381" i="34"/>
  <c r="R381" i="34"/>
  <c r="Q381" i="34"/>
  <c r="P381" i="34"/>
  <c r="O381" i="34"/>
  <c r="N381" i="34"/>
  <c r="M381" i="34"/>
  <c r="L381" i="34"/>
  <c r="K381" i="34"/>
  <c r="I381" i="34"/>
  <c r="H381" i="34"/>
  <c r="G381" i="34"/>
  <c r="AQ380" i="34"/>
  <c r="AP380" i="34"/>
  <c r="AO380" i="34"/>
  <c r="AN380" i="34"/>
  <c r="AM380" i="34"/>
  <c r="AL380" i="34"/>
  <c r="AK380" i="34"/>
  <c r="AJ380" i="34"/>
  <c r="AI380" i="34"/>
  <c r="AH380" i="34"/>
  <c r="AG380" i="34"/>
  <c r="AF380" i="34"/>
  <c r="AD380" i="34"/>
  <c r="AC380" i="34"/>
  <c r="AB380" i="34"/>
  <c r="Z380" i="34"/>
  <c r="Y380" i="34"/>
  <c r="X380" i="34"/>
  <c r="W380" i="34"/>
  <c r="V380" i="34"/>
  <c r="U380" i="34"/>
  <c r="T380" i="34"/>
  <c r="S380" i="34"/>
  <c r="R380" i="34"/>
  <c r="Q380" i="34"/>
  <c r="P380" i="34"/>
  <c r="O380" i="34"/>
  <c r="N380" i="34"/>
  <c r="M380" i="34"/>
  <c r="L380" i="34"/>
  <c r="K380" i="34"/>
  <c r="I380" i="34"/>
  <c r="H380" i="34"/>
  <c r="G380" i="34"/>
  <c r="AQ379" i="34"/>
  <c r="AP379" i="34"/>
  <c r="AO379" i="34"/>
  <c r="AN379" i="34"/>
  <c r="AM379" i="34"/>
  <c r="AL379" i="34"/>
  <c r="AK379" i="34"/>
  <c r="AJ379" i="34"/>
  <c r="AI379" i="34"/>
  <c r="AH379" i="34"/>
  <c r="AG379" i="34"/>
  <c r="AF379" i="34"/>
  <c r="AD379" i="34"/>
  <c r="AC379" i="34"/>
  <c r="AB379" i="34"/>
  <c r="Z379" i="34"/>
  <c r="Y379" i="34"/>
  <c r="X379" i="34"/>
  <c r="W379" i="34"/>
  <c r="V379" i="34"/>
  <c r="U379" i="34"/>
  <c r="T379" i="34"/>
  <c r="S379" i="34"/>
  <c r="R379" i="34"/>
  <c r="Q379" i="34"/>
  <c r="P379" i="34"/>
  <c r="O379" i="34"/>
  <c r="N379" i="34"/>
  <c r="M379" i="34"/>
  <c r="L379" i="34"/>
  <c r="K379" i="34"/>
  <c r="I379" i="34"/>
  <c r="H379" i="34"/>
  <c r="G379" i="34"/>
  <c r="AQ378" i="34"/>
  <c r="AP378" i="34"/>
  <c r="AO378" i="34"/>
  <c r="AN378" i="34"/>
  <c r="AM378" i="34"/>
  <c r="AL378" i="34"/>
  <c r="AK378" i="34"/>
  <c r="AJ378" i="34"/>
  <c r="AI378" i="34"/>
  <c r="AH378" i="34"/>
  <c r="AG378" i="34"/>
  <c r="AF378" i="34"/>
  <c r="AD378" i="34"/>
  <c r="AC378" i="34"/>
  <c r="AB378" i="34"/>
  <c r="Z378" i="34"/>
  <c r="Y378" i="34"/>
  <c r="X378" i="34"/>
  <c r="W378" i="34"/>
  <c r="V378" i="34"/>
  <c r="U378" i="34"/>
  <c r="T378" i="34"/>
  <c r="S378" i="34"/>
  <c r="R378" i="34"/>
  <c r="Q378" i="34"/>
  <c r="P378" i="34"/>
  <c r="O378" i="34"/>
  <c r="N378" i="34"/>
  <c r="M378" i="34"/>
  <c r="L378" i="34"/>
  <c r="K378" i="34"/>
  <c r="I378" i="34"/>
  <c r="H378" i="34"/>
  <c r="G378" i="34"/>
  <c r="AQ377" i="34"/>
  <c r="AP377" i="34"/>
  <c r="AO377" i="34"/>
  <c r="AN377" i="34"/>
  <c r="AM377" i="34"/>
  <c r="AL377" i="34"/>
  <c r="AK377" i="34"/>
  <c r="AJ377" i="34"/>
  <c r="AI377" i="34"/>
  <c r="AH377" i="34"/>
  <c r="AG377" i="34"/>
  <c r="AF377" i="34"/>
  <c r="AD377" i="34"/>
  <c r="AC377" i="34"/>
  <c r="AB377" i="34"/>
  <c r="Z377" i="34"/>
  <c r="Y377" i="34"/>
  <c r="X377" i="34"/>
  <c r="W377" i="34"/>
  <c r="V377" i="34"/>
  <c r="U377" i="34"/>
  <c r="T377" i="34"/>
  <c r="S377" i="34"/>
  <c r="R377" i="34"/>
  <c r="Q377" i="34"/>
  <c r="P377" i="34"/>
  <c r="O377" i="34"/>
  <c r="N377" i="34"/>
  <c r="M377" i="34"/>
  <c r="L377" i="34"/>
  <c r="K377" i="34"/>
  <c r="I377" i="34"/>
  <c r="H377" i="34"/>
  <c r="G377" i="34"/>
  <c r="AQ376" i="34"/>
  <c r="AP376" i="34"/>
  <c r="AO376" i="34"/>
  <c r="AN376" i="34"/>
  <c r="AM376" i="34"/>
  <c r="AL376" i="34"/>
  <c r="AK376" i="34"/>
  <c r="AJ376" i="34"/>
  <c r="AI376" i="34"/>
  <c r="AH376" i="34"/>
  <c r="AG376" i="34"/>
  <c r="AF376" i="34"/>
  <c r="AD376" i="34"/>
  <c r="AC376" i="34"/>
  <c r="AB376" i="34"/>
  <c r="Z376" i="34"/>
  <c r="Y376" i="34"/>
  <c r="X376" i="34"/>
  <c r="W376" i="34"/>
  <c r="V376" i="34"/>
  <c r="U376" i="34"/>
  <c r="T376" i="34"/>
  <c r="S376" i="34"/>
  <c r="R376" i="34"/>
  <c r="Q376" i="34"/>
  <c r="P376" i="34"/>
  <c r="O376" i="34"/>
  <c r="N376" i="34"/>
  <c r="M376" i="34"/>
  <c r="L376" i="34"/>
  <c r="K376" i="34"/>
  <c r="I376" i="34"/>
  <c r="H376" i="34"/>
  <c r="G376" i="34"/>
  <c r="AQ375" i="34"/>
  <c r="AP375" i="34"/>
  <c r="AO375" i="34"/>
  <c r="AN375" i="34"/>
  <c r="AM375" i="34"/>
  <c r="AL375" i="34"/>
  <c r="AK375" i="34"/>
  <c r="AJ375" i="34"/>
  <c r="AI375" i="34"/>
  <c r="AH375" i="34"/>
  <c r="AG375" i="34"/>
  <c r="AF375" i="34"/>
  <c r="AD375" i="34"/>
  <c r="AC375" i="34"/>
  <c r="AB375" i="34"/>
  <c r="Z375" i="34"/>
  <c r="Y375" i="34"/>
  <c r="X375" i="34"/>
  <c r="W375" i="34"/>
  <c r="V375" i="34"/>
  <c r="U375" i="34"/>
  <c r="T375" i="34"/>
  <c r="S375" i="34"/>
  <c r="R375" i="34"/>
  <c r="Q375" i="34"/>
  <c r="P375" i="34"/>
  <c r="O375" i="34"/>
  <c r="N375" i="34"/>
  <c r="M375" i="34"/>
  <c r="L375" i="34"/>
  <c r="K375" i="34"/>
  <c r="I375" i="34"/>
  <c r="H375" i="34"/>
  <c r="G375" i="34"/>
  <c r="AQ374" i="34"/>
  <c r="AP374" i="34"/>
  <c r="AO374" i="34"/>
  <c r="AN374" i="34"/>
  <c r="AM374" i="34"/>
  <c r="AL374" i="34"/>
  <c r="AK374" i="34"/>
  <c r="AJ374" i="34"/>
  <c r="AI374" i="34"/>
  <c r="AH374" i="34"/>
  <c r="AG374" i="34"/>
  <c r="AF374" i="34"/>
  <c r="AD374" i="34"/>
  <c r="AC374" i="34"/>
  <c r="AB374" i="34"/>
  <c r="Z374" i="34"/>
  <c r="Y374" i="34"/>
  <c r="X374" i="34"/>
  <c r="W374" i="34"/>
  <c r="V374" i="34"/>
  <c r="U374" i="34"/>
  <c r="T374" i="34"/>
  <c r="S374" i="34"/>
  <c r="R374" i="34"/>
  <c r="Q374" i="34"/>
  <c r="P374" i="34"/>
  <c r="O374" i="34"/>
  <c r="N374" i="34"/>
  <c r="M374" i="34"/>
  <c r="L374" i="34"/>
  <c r="K374" i="34"/>
  <c r="I374" i="34"/>
  <c r="H374" i="34"/>
  <c r="G374" i="34"/>
  <c r="AQ373" i="34"/>
  <c r="AP373" i="34"/>
  <c r="AO373" i="34"/>
  <c r="AN373" i="34"/>
  <c r="AM373" i="34"/>
  <c r="AL373" i="34"/>
  <c r="AK373" i="34"/>
  <c r="AJ373" i="34"/>
  <c r="AI373" i="34"/>
  <c r="AH373" i="34"/>
  <c r="AG373" i="34"/>
  <c r="AF373" i="34"/>
  <c r="AD373" i="34"/>
  <c r="AC373" i="34"/>
  <c r="AB373" i="34"/>
  <c r="Z373" i="34"/>
  <c r="Y373" i="34"/>
  <c r="X373" i="34"/>
  <c r="W373" i="34"/>
  <c r="V373" i="34"/>
  <c r="U373" i="34"/>
  <c r="T373" i="34"/>
  <c r="S373" i="34"/>
  <c r="R373" i="34"/>
  <c r="Q373" i="34"/>
  <c r="P373" i="34"/>
  <c r="O373" i="34"/>
  <c r="N373" i="34"/>
  <c r="M373" i="34"/>
  <c r="L373" i="34"/>
  <c r="K373" i="34"/>
  <c r="I373" i="34"/>
  <c r="H373" i="34"/>
  <c r="G373" i="34"/>
  <c r="AQ372" i="34"/>
  <c r="AP372" i="34"/>
  <c r="AO372" i="34"/>
  <c r="AN372" i="34"/>
  <c r="AM372" i="34"/>
  <c r="AL372" i="34"/>
  <c r="AK372" i="34"/>
  <c r="AJ372" i="34"/>
  <c r="AI372" i="34"/>
  <c r="AH372" i="34"/>
  <c r="AG372" i="34"/>
  <c r="AF372" i="34"/>
  <c r="AD372" i="34"/>
  <c r="AC372" i="34"/>
  <c r="AB372" i="34"/>
  <c r="Z372" i="34"/>
  <c r="Y372" i="34"/>
  <c r="X372" i="34"/>
  <c r="W372" i="34"/>
  <c r="V372" i="34"/>
  <c r="U372" i="34"/>
  <c r="T372" i="34"/>
  <c r="S372" i="34"/>
  <c r="R372" i="34"/>
  <c r="Q372" i="34"/>
  <c r="P372" i="34"/>
  <c r="O372" i="34"/>
  <c r="N372" i="34"/>
  <c r="M372" i="34"/>
  <c r="L372" i="34"/>
  <c r="K372" i="34"/>
  <c r="I372" i="34"/>
  <c r="H372" i="34"/>
  <c r="G372" i="34"/>
  <c r="AQ371" i="34"/>
  <c r="AP371" i="34"/>
  <c r="AO371" i="34"/>
  <c r="AN371" i="34"/>
  <c r="AM371" i="34"/>
  <c r="AL371" i="34"/>
  <c r="AK371" i="34"/>
  <c r="AJ371" i="34"/>
  <c r="AI371" i="34"/>
  <c r="AH371" i="34"/>
  <c r="AG371" i="34"/>
  <c r="AF371" i="34"/>
  <c r="AD371" i="34"/>
  <c r="AC371" i="34"/>
  <c r="AB371" i="34"/>
  <c r="Z371" i="34"/>
  <c r="Y371" i="34"/>
  <c r="X371" i="34"/>
  <c r="W371" i="34"/>
  <c r="V371" i="34"/>
  <c r="U371" i="34"/>
  <c r="T371" i="34"/>
  <c r="S371" i="34"/>
  <c r="R371" i="34"/>
  <c r="Q371" i="34"/>
  <c r="P371" i="34"/>
  <c r="O371" i="34"/>
  <c r="N371" i="34"/>
  <c r="M371" i="34"/>
  <c r="L371" i="34"/>
  <c r="K371" i="34"/>
  <c r="I371" i="34"/>
  <c r="H371" i="34"/>
  <c r="G371" i="34"/>
  <c r="AQ370" i="34"/>
  <c r="AP370" i="34"/>
  <c r="AO370" i="34"/>
  <c r="AN370" i="34"/>
  <c r="AM370" i="34"/>
  <c r="AL370" i="34"/>
  <c r="AK370" i="34"/>
  <c r="AJ370" i="34"/>
  <c r="AI370" i="34"/>
  <c r="AH370" i="34"/>
  <c r="AG370" i="34"/>
  <c r="AF370" i="34"/>
  <c r="AD370" i="34"/>
  <c r="AC370" i="34"/>
  <c r="AB370" i="34"/>
  <c r="Z370" i="34"/>
  <c r="Y370" i="34"/>
  <c r="X370" i="34"/>
  <c r="W370" i="34"/>
  <c r="V370" i="34"/>
  <c r="U370" i="34"/>
  <c r="T370" i="34"/>
  <c r="S370" i="34"/>
  <c r="R370" i="34"/>
  <c r="Q370" i="34"/>
  <c r="P370" i="34"/>
  <c r="O370" i="34"/>
  <c r="N370" i="34"/>
  <c r="M370" i="34"/>
  <c r="L370" i="34"/>
  <c r="K370" i="34"/>
  <c r="I370" i="34"/>
  <c r="H370" i="34"/>
  <c r="G370" i="34"/>
  <c r="AQ369" i="34"/>
  <c r="AP369" i="34"/>
  <c r="AO369" i="34"/>
  <c r="AN369" i="34"/>
  <c r="AM369" i="34"/>
  <c r="AL369" i="34"/>
  <c r="AK369" i="34"/>
  <c r="AJ369" i="34"/>
  <c r="AI369" i="34"/>
  <c r="AH369" i="34"/>
  <c r="AG369" i="34"/>
  <c r="AF369" i="34"/>
  <c r="AD369" i="34"/>
  <c r="AC369" i="34"/>
  <c r="AB369" i="34"/>
  <c r="Z369" i="34"/>
  <c r="Y369" i="34"/>
  <c r="X369" i="34"/>
  <c r="W369" i="34"/>
  <c r="V369" i="34"/>
  <c r="U369" i="34"/>
  <c r="T369" i="34"/>
  <c r="S369" i="34"/>
  <c r="R369" i="34"/>
  <c r="Q369" i="34"/>
  <c r="P369" i="34"/>
  <c r="O369" i="34"/>
  <c r="N369" i="34"/>
  <c r="M369" i="34"/>
  <c r="L369" i="34"/>
  <c r="K369" i="34"/>
  <c r="I369" i="34"/>
  <c r="H369" i="34"/>
  <c r="G369" i="34"/>
  <c r="AQ368" i="34"/>
  <c r="AP368" i="34"/>
  <c r="AO368" i="34"/>
  <c r="AN368" i="34"/>
  <c r="AM368" i="34"/>
  <c r="AL368" i="34"/>
  <c r="AK368" i="34"/>
  <c r="AJ368" i="34"/>
  <c r="AI368" i="34"/>
  <c r="AH368" i="34"/>
  <c r="AG368" i="34"/>
  <c r="AF368" i="34"/>
  <c r="AD368" i="34"/>
  <c r="AC368" i="34"/>
  <c r="AB368" i="34"/>
  <c r="Z368" i="34"/>
  <c r="Y368" i="34"/>
  <c r="X368" i="34"/>
  <c r="W368" i="34"/>
  <c r="V368" i="34"/>
  <c r="U368" i="34"/>
  <c r="T368" i="34"/>
  <c r="S368" i="34"/>
  <c r="R368" i="34"/>
  <c r="Q368" i="34"/>
  <c r="P368" i="34"/>
  <c r="O368" i="34"/>
  <c r="N368" i="34"/>
  <c r="M368" i="34"/>
  <c r="L368" i="34"/>
  <c r="K368" i="34"/>
  <c r="I368" i="34"/>
  <c r="H368" i="34"/>
  <c r="G368" i="34"/>
  <c r="AQ367" i="34"/>
  <c r="AP367" i="34"/>
  <c r="AO367" i="34"/>
  <c r="AN367" i="34"/>
  <c r="AM367" i="34"/>
  <c r="AL367" i="34"/>
  <c r="AK367" i="34"/>
  <c r="AJ367" i="34"/>
  <c r="AI367" i="34"/>
  <c r="AH367" i="34"/>
  <c r="AG367" i="34"/>
  <c r="AF367" i="34"/>
  <c r="AD367" i="34"/>
  <c r="AC367" i="34"/>
  <c r="AB367" i="34"/>
  <c r="Z367" i="34"/>
  <c r="Y367" i="34"/>
  <c r="X367" i="34"/>
  <c r="W367" i="34"/>
  <c r="V367" i="34"/>
  <c r="U367" i="34"/>
  <c r="T367" i="34"/>
  <c r="S367" i="34"/>
  <c r="R367" i="34"/>
  <c r="Q367" i="34"/>
  <c r="P367" i="34"/>
  <c r="O367" i="34"/>
  <c r="N367" i="34"/>
  <c r="M367" i="34"/>
  <c r="L367" i="34"/>
  <c r="K367" i="34"/>
  <c r="I367" i="34"/>
  <c r="H367" i="34"/>
  <c r="G367" i="34"/>
  <c r="AQ366" i="34"/>
  <c r="AP366" i="34"/>
  <c r="AO366" i="34"/>
  <c r="AN366" i="34"/>
  <c r="AM366" i="34"/>
  <c r="AL366" i="34"/>
  <c r="AK366" i="34"/>
  <c r="AJ366" i="34"/>
  <c r="AI366" i="34"/>
  <c r="AH366" i="34"/>
  <c r="AG366" i="34"/>
  <c r="AF366" i="34"/>
  <c r="AD366" i="34"/>
  <c r="AC366" i="34"/>
  <c r="AB366" i="34"/>
  <c r="Z366" i="34"/>
  <c r="Y366" i="34"/>
  <c r="X366" i="34"/>
  <c r="W366" i="34"/>
  <c r="V366" i="34"/>
  <c r="U366" i="34"/>
  <c r="T366" i="34"/>
  <c r="S366" i="34"/>
  <c r="R366" i="34"/>
  <c r="Q366" i="34"/>
  <c r="P366" i="34"/>
  <c r="O366" i="34"/>
  <c r="N366" i="34"/>
  <c r="M366" i="34"/>
  <c r="L366" i="34"/>
  <c r="K366" i="34"/>
  <c r="I366" i="34"/>
  <c r="H366" i="34"/>
  <c r="G366" i="34"/>
  <c r="AQ365" i="34"/>
  <c r="AP365" i="34"/>
  <c r="AO365" i="34"/>
  <c r="AN365" i="34"/>
  <c r="AM365" i="34"/>
  <c r="AL365" i="34"/>
  <c r="AK365" i="34"/>
  <c r="AJ365" i="34"/>
  <c r="AI365" i="34"/>
  <c r="AH365" i="34"/>
  <c r="AG365" i="34"/>
  <c r="AF365" i="34"/>
  <c r="AD365" i="34"/>
  <c r="AC365" i="34"/>
  <c r="AB365" i="34"/>
  <c r="Z365" i="34"/>
  <c r="Y365" i="34"/>
  <c r="X365" i="34"/>
  <c r="W365" i="34"/>
  <c r="V365" i="34"/>
  <c r="U365" i="34"/>
  <c r="T365" i="34"/>
  <c r="S365" i="34"/>
  <c r="R365" i="34"/>
  <c r="Q365" i="34"/>
  <c r="P365" i="34"/>
  <c r="O365" i="34"/>
  <c r="N365" i="34"/>
  <c r="M365" i="34"/>
  <c r="L365" i="34"/>
  <c r="K365" i="34"/>
  <c r="I365" i="34"/>
  <c r="H365" i="34"/>
  <c r="G365" i="34"/>
  <c r="AQ364" i="34"/>
  <c r="AP364" i="34"/>
  <c r="AO364" i="34"/>
  <c r="AN364" i="34"/>
  <c r="AM364" i="34"/>
  <c r="AL364" i="34"/>
  <c r="AK364" i="34"/>
  <c r="AJ364" i="34"/>
  <c r="AI364" i="34"/>
  <c r="AH364" i="34"/>
  <c r="AG364" i="34"/>
  <c r="AF364" i="34"/>
  <c r="AD364" i="34"/>
  <c r="AC364" i="34"/>
  <c r="AB364" i="34"/>
  <c r="Z364" i="34"/>
  <c r="Y364" i="34"/>
  <c r="X364" i="34"/>
  <c r="W364" i="34"/>
  <c r="V364" i="34"/>
  <c r="U364" i="34"/>
  <c r="T364" i="34"/>
  <c r="S364" i="34"/>
  <c r="R364" i="34"/>
  <c r="Q364" i="34"/>
  <c r="P364" i="34"/>
  <c r="O364" i="34"/>
  <c r="N364" i="34"/>
  <c r="M364" i="34"/>
  <c r="L364" i="34"/>
  <c r="K364" i="34"/>
  <c r="I364" i="34"/>
  <c r="H364" i="34"/>
  <c r="G364" i="34"/>
  <c r="AQ363" i="34"/>
  <c r="AP363" i="34"/>
  <c r="AO363" i="34"/>
  <c r="AN363" i="34"/>
  <c r="AM363" i="34"/>
  <c r="AL363" i="34"/>
  <c r="AK363" i="34"/>
  <c r="AJ363" i="34"/>
  <c r="AI363" i="34"/>
  <c r="AH363" i="34"/>
  <c r="AG363" i="34"/>
  <c r="AF363" i="34"/>
  <c r="AD363" i="34"/>
  <c r="AC363" i="34"/>
  <c r="AB363" i="34"/>
  <c r="Z363" i="34"/>
  <c r="Y363" i="34"/>
  <c r="X363" i="34"/>
  <c r="W363" i="34"/>
  <c r="V363" i="34"/>
  <c r="U363" i="34"/>
  <c r="T363" i="34"/>
  <c r="S363" i="34"/>
  <c r="R363" i="34"/>
  <c r="Q363" i="34"/>
  <c r="P363" i="34"/>
  <c r="O363" i="34"/>
  <c r="N363" i="34"/>
  <c r="M363" i="34"/>
  <c r="L363" i="34"/>
  <c r="K363" i="34"/>
  <c r="I363" i="34"/>
  <c r="H363" i="34"/>
  <c r="G363" i="34"/>
  <c r="AQ362" i="34"/>
  <c r="AP362" i="34"/>
  <c r="AO362" i="34"/>
  <c r="AN362" i="34"/>
  <c r="AM362" i="34"/>
  <c r="AL362" i="34"/>
  <c r="AK362" i="34"/>
  <c r="AJ362" i="34"/>
  <c r="AI362" i="34"/>
  <c r="AH362" i="34"/>
  <c r="AG362" i="34"/>
  <c r="AF362" i="34"/>
  <c r="AD362" i="34"/>
  <c r="AC362" i="34"/>
  <c r="AB362" i="34"/>
  <c r="Z362" i="34"/>
  <c r="Y362" i="34"/>
  <c r="X362" i="34"/>
  <c r="W362" i="34"/>
  <c r="V362" i="34"/>
  <c r="U362" i="34"/>
  <c r="T362" i="34"/>
  <c r="S362" i="34"/>
  <c r="R362" i="34"/>
  <c r="Q362" i="34"/>
  <c r="P362" i="34"/>
  <c r="O362" i="34"/>
  <c r="N362" i="34"/>
  <c r="M362" i="34"/>
  <c r="L362" i="34"/>
  <c r="K362" i="34"/>
  <c r="I362" i="34"/>
  <c r="H362" i="34"/>
  <c r="G362" i="34"/>
  <c r="AQ361" i="34"/>
  <c r="AP361" i="34"/>
  <c r="AO361" i="34"/>
  <c r="AN361" i="34"/>
  <c r="AM361" i="34"/>
  <c r="AL361" i="34"/>
  <c r="AK361" i="34"/>
  <c r="AJ361" i="34"/>
  <c r="AI361" i="34"/>
  <c r="AH361" i="34"/>
  <c r="AG361" i="34"/>
  <c r="AF361" i="34"/>
  <c r="AD361" i="34"/>
  <c r="AC361" i="34"/>
  <c r="AB361" i="34"/>
  <c r="Z361" i="34"/>
  <c r="Y361" i="34"/>
  <c r="X361" i="34"/>
  <c r="W361" i="34"/>
  <c r="V361" i="34"/>
  <c r="U361" i="34"/>
  <c r="T361" i="34"/>
  <c r="S361" i="34"/>
  <c r="R361" i="34"/>
  <c r="Q361" i="34"/>
  <c r="P361" i="34"/>
  <c r="O361" i="34"/>
  <c r="N361" i="34"/>
  <c r="M361" i="34"/>
  <c r="L361" i="34"/>
  <c r="K361" i="34"/>
  <c r="I361" i="34"/>
  <c r="H361" i="34"/>
  <c r="G361" i="34"/>
  <c r="AQ360" i="34"/>
  <c r="AP360" i="34"/>
  <c r="AO360" i="34"/>
  <c r="AN360" i="34"/>
  <c r="AM360" i="34"/>
  <c r="AL360" i="34"/>
  <c r="AK360" i="34"/>
  <c r="AJ360" i="34"/>
  <c r="AI360" i="34"/>
  <c r="AH360" i="34"/>
  <c r="AG360" i="34"/>
  <c r="AF360" i="34"/>
  <c r="AD360" i="34"/>
  <c r="AC360" i="34"/>
  <c r="AB360" i="34"/>
  <c r="Z360" i="34"/>
  <c r="Y360" i="34"/>
  <c r="X360" i="34"/>
  <c r="W360" i="34"/>
  <c r="V360" i="34"/>
  <c r="U360" i="34"/>
  <c r="T360" i="34"/>
  <c r="S360" i="34"/>
  <c r="R360" i="34"/>
  <c r="Q360" i="34"/>
  <c r="P360" i="34"/>
  <c r="O360" i="34"/>
  <c r="N360" i="34"/>
  <c r="M360" i="34"/>
  <c r="L360" i="34"/>
  <c r="K360" i="34"/>
  <c r="I360" i="34"/>
  <c r="H360" i="34"/>
  <c r="G360" i="34"/>
  <c r="AQ359" i="34"/>
  <c r="AP359" i="34"/>
  <c r="AO359" i="34"/>
  <c r="AN359" i="34"/>
  <c r="AM359" i="34"/>
  <c r="AL359" i="34"/>
  <c r="AK359" i="34"/>
  <c r="AJ359" i="34"/>
  <c r="AI359" i="34"/>
  <c r="AH359" i="34"/>
  <c r="AG359" i="34"/>
  <c r="AF359" i="34"/>
  <c r="AD359" i="34"/>
  <c r="AC359" i="34"/>
  <c r="AB359" i="34"/>
  <c r="Z359" i="34"/>
  <c r="Y359" i="34"/>
  <c r="X359" i="34"/>
  <c r="W359" i="34"/>
  <c r="V359" i="34"/>
  <c r="U359" i="34"/>
  <c r="T359" i="34"/>
  <c r="S359" i="34"/>
  <c r="R359" i="34"/>
  <c r="Q359" i="34"/>
  <c r="P359" i="34"/>
  <c r="O359" i="34"/>
  <c r="N359" i="34"/>
  <c r="M359" i="34"/>
  <c r="L359" i="34"/>
  <c r="K359" i="34"/>
  <c r="I359" i="34"/>
  <c r="H359" i="34"/>
  <c r="G359" i="34"/>
  <c r="AQ358" i="34"/>
  <c r="AP358" i="34"/>
  <c r="AO358" i="34"/>
  <c r="AN358" i="34"/>
  <c r="AM358" i="34"/>
  <c r="AL358" i="34"/>
  <c r="AK358" i="34"/>
  <c r="AJ358" i="34"/>
  <c r="AI358" i="34"/>
  <c r="AH358" i="34"/>
  <c r="AG358" i="34"/>
  <c r="AF358" i="34"/>
  <c r="AD358" i="34"/>
  <c r="AC358" i="34"/>
  <c r="AB358" i="34"/>
  <c r="Z358" i="34"/>
  <c r="Y358" i="34"/>
  <c r="X358" i="34"/>
  <c r="W358" i="34"/>
  <c r="V358" i="34"/>
  <c r="U358" i="34"/>
  <c r="T358" i="34"/>
  <c r="S358" i="34"/>
  <c r="R358" i="34"/>
  <c r="Q358" i="34"/>
  <c r="P358" i="34"/>
  <c r="O358" i="34"/>
  <c r="N358" i="34"/>
  <c r="M358" i="34"/>
  <c r="L358" i="34"/>
  <c r="K358" i="34"/>
  <c r="I358" i="34"/>
  <c r="H358" i="34"/>
  <c r="G358" i="34"/>
  <c r="AQ357" i="34"/>
  <c r="AP357" i="34"/>
  <c r="AO357" i="34"/>
  <c r="AN357" i="34"/>
  <c r="AM357" i="34"/>
  <c r="AL357" i="34"/>
  <c r="AK357" i="34"/>
  <c r="AJ357" i="34"/>
  <c r="AI357" i="34"/>
  <c r="AH357" i="34"/>
  <c r="AG357" i="34"/>
  <c r="AF357" i="34"/>
  <c r="AD357" i="34"/>
  <c r="AC357" i="34"/>
  <c r="AB357" i="34"/>
  <c r="Z357" i="34"/>
  <c r="Y357" i="34"/>
  <c r="X357" i="34"/>
  <c r="W357" i="34"/>
  <c r="V357" i="34"/>
  <c r="U357" i="34"/>
  <c r="T357" i="34"/>
  <c r="S357" i="34"/>
  <c r="R357" i="34"/>
  <c r="Q357" i="34"/>
  <c r="P357" i="34"/>
  <c r="O357" i="34"/>
  <c r="N357" i="34"/>
  <c r="M357" i="34"/>
  <c r="L357" i="34"/>
  <c r="K357" i="34"/>
  <c r="I357" i="34"/>
  <c r="H357" i="34"/>
  <c r="G357" i="34"/>
  <c r="AQ356" i="34"/>
  <c r="AP356" i="34"/>
  <c r="AO356" i="34"/>
  <c r="AN356" i="34"/>
  <c r="AM356" i="34"/>
  <c r="AL356" i="34"/>
  <c r="AK356" i="34"/>
  <c r="AJ356" i="34"/>
  <c r="AI356" i="34"/>
  <c r="AH356" i="34"/>
  <c r="AG356" i="34"/>
  <c r="AF356" i="34"/>
  <c r="AD356" i="34"/>
  <c r="AC356" i="34"/>
  <c r="AB356" i="34"/>
  <c r="Z356" i="34"/>
  <c r="Y356" i="34"/>
  <c r="X356" i="34"/>
  <c r="W356" i="34"/>
  <c r="V356" i="34"/>
  <c r="U356" i="34"/>
  <c r="T356" i="34"/>
  <c r="S356" i="34"/>
  <c r="R356" i="34"/>
  <c r="Q356" i="34"/>
  <c r="P356" i="34"/>
  <c r="O356" i="34"/>
  <c r="N356" i="34"/>
  <c r="M356" i="34"/>
  <c r="L356" i="34"/>
  <c r="K356" i="34"/>
  <c r="I356" i="34"/>
  <c r="H356" i="34"/>
  <c r="G356" i="34"/>
  <c r="AQ355" i="34"/>
  <c r="AP355" i="34"/>
  <c r="AO355" i="34"/>
  <c r="AN355" i="34"/>
  <c r="AM355" i="34"/>
  <c r="AL355" i="34"/>
  <c r="AK355" i="34"/>
  <c r="AJ355" i="34"/>
  <c r="AI355" i="34"/>
  <c r="AH355" i="34"/>
  <c r="AG355" i="34"/>
  <c r="AF355" i="34"/>
  <c r="AD355" i="34"/>
  <c r="AC355" i="34"/>
  <c r="AB355" i="34"/>
  <c r="Z355" i="34"/>
  <c r="Y355" i="34"/>
  <c r="X355" i="34"/>
  <c r="W355" i="34"/>
  <c r="V355" i="34"/>
  <c r="U355" i="34"/>
  <c r="T355" i="34"/>
  <c r="S355" i="34"/>
  <c r="R355" i="34"/>
  <c r="Q355" i="34"/>
  <c r="P355" i="34"/>
  <c r="O355" i="34"/>
  <c r="N355" i="34"/>
  <c r="M355" i="34"/>
  <c r="L355" i="34"/>
  <c r="K355" i="34"/>
  <c r="I355" i="34"/>
  <c r="H355" i="34"/>
  <c r="G355" i="34"/>
  <c r="AQ354" i="34"/>
  <c r="AP354" i="34"/>
  <c r="AO354" i="34"/>
  <c r="AN354" i="34"/>
  <c r="AM354" i="34"/>
  <c r="AL354" i="34"/>
  <c r="AK354" i="34"/>
  <c r="AJ354" i="34"/>
  <c r="AI354" i="34"/>
  <c r="AH354" i="34"/>
  <c r="AG354" i="34"/>
  <c r="AF354" i="34"/>
  <c r="AD354" i="34"/>
  <c r="AC354" i="34"/>
  <c r="AB354" i="34"/>
  <c r="Z354" i="34"/>
  <c r="Y354" i="34"/>
  <c r="X354" i="34"/>
  <c r="W354" i="34"/>
  <c r="V354" i="34"/>
  <c r="U354" i="34"/>
  <c r="T354" i="34"/>
  <c r="S354" i="34"/>
  <c r="R354" i="34"/>
  <c r="Q354" i="34"/>
  <c r="P354" i="34"/>
  <c r="O354" i="34"/>
  <c r="N354" i="34"/>
  <c r="M354" i="34"/>
  <c r="L354" i="34"/>
  <c r="K354" i="34"/>
  <c r="I354" i="34"/>
  <c r="H354" i="34"/>
  <c r="G354" i="34"/>
  <c r="AQ353" i="34"/>
  <c r="AP353" i="34"/>
  <c r="AO353" i="34"/>
  <c r="AN353" i="34"/>
  <c r="AM353" i="34"/>
  <c r="AL353" i="34"/>
  <c r="AK353" i="34"/>
  <c r="AJ353" i="34"/>
  <c r="AI353" i="34"/>
  <c r="AH353" i="34"/>
  <c r="AG353" i="34"/>
  <c r="AF353" i="34"/>
  <c r="AD353" i="34"/>
  <c r="AC353" i="34"/>
  <c r="AB353" i="34"/>
  <c r="Z353" i="34"/>
  <c r="Y353" i="34"/>
  <c r="X353" i="34"/>
  <c r="W353" i="34"/>
  <c r="V353" i="34"/>
  <c r="U353" i="34"/>
  <c r="T353" i="34"/>
  <c r="S353" i="34"/>
  <c r="R353" i="34"/>
  <c r="Q353" i="34"/>
  <c r="P353" i="34"/>
  <c r="O353" i="34"/>
  <c r="N353" i="34"/>
  <c r="M353" i="34"/>
  <c r="L353" i="34"/>
  <c r="K353" i="34"/>
  <c r="I353" i="34"/>
  <c r="H353" i="34"/>
  <c r="G353" i="34"/>
  <c r="AQ352" i="34"/>
  <c r="AP352" i="34"/>
  <c r="AO352" i="34"/>
  <c r="AN352" i="34"/>
  <c r="AM352" i="34"/>
  <c r="AL352" i="34"/>
  <c r="AK352" i="34"/>
  <c r="AJ352" i="34"/>
  <c r="AI352" i="34"/>
  <c r="AH352" i="34"/>
  <c r="AG352" i="34"/>
  <c r="AF352" i="34"/>
  <c r="AD352" i="34"/>
  <c r="AC352" i="34"/>
  <c r="AB352" i="34"/>
  <c r="Z352" i="34"/>
  <c r="Y352" i="34"/>
  <c r="X352" i="34"/>
  <c r="W352" i="34"/>
  <c r="V352" i="34"/>
  <c r="U352" i="34"/>
  <c r="T352" i="34"/>
  <c r="S352" i="34"/>
  <c r="R352" i="34"/>
  <c r="Q352" i="34"/>
  <c r="P352" i="34"/>
  <c r="O352" i="34"/>
  <c r="N352" i="34"/>
  <c r="M352" i="34"/>
  <c r="L352" i="34"/>
  <c r="K352" i="34"/>
  <c r="I352" i="34"/>
  <c r="H352" i="34"/>
  <c r="G352" i="34"/>
  <c r="AQ351" i="34"/>
  <c r="AP351" i="34"/>
  <c r="AO351" i="34"/>
  <c r="AN351" i="34"/>
  <c r="AM351" i="34"/>
  <c r="AL351" i="34"/>
  <c r="AK351" i="34"/>
  <c r="AJ351" i="34"/>
  <c r="AI351" i="34"/>
  <c r="AH351" i="34"/>
  <c r="AG351" i="34"/>
  <c r="AF351" i="34"/>
  <c r="AD351" i="34"/>
  <c r="AC351" i="34"/>
  <c r="AB351" i="34"/>
  <c r="Z351" i="34"/>
  <c r="Y351" i="34"/>
  <c r="X351" i="34"/>
  <c r="W351" i="34"/>
  <c r="V351" i="34"/>
  <c r="U351" i="34"/>
  <c r="T351" i="34"/>
  <c r="S351" i="34"/>
  <c r="R351" i="34"/>
  <c r="Q351" i="34"/>
  <c r="P351" i="34"/>
  <c r="O351" i="34"/>
  <c r="N351" i="34"/>
  <c r="M351" i="34"/>
  <c r="L351" i="34"/>
  <c r="K351" i="34"/>
  <c r="I351" i="34"/>
  <c r="H351" i="34"/>
  <c r="G351" i="34"/>
  <c r="AQ350" i="34"/>
  <c r="AP350" i="34"/>
  <c r="AO350" i="34"/>
  <c r="AN350" i="34"/>
  <c r="AM350" i="34"/>
  <c r="AL350" i="34"/>
  <c r="AK350" i="34"/>
  <c r="AJ350" i="34"/>
  <c r="AI350" i="34"/>
  <c r="AH350" i="34"/>
  <c r="AG350" i="34"/>
  <c r="AF350" i="34"/>
  <c r="AD350" i="34"/>
  <c r="AC350" i="34"/>
  <c r="AB350" i="34"/>
  <c r="Z350" i="34"/>
  <c r="Y350" i="34"/>
  <c r="X350" i="34"/>
  <c r="W350" i="34"/>
  <c r="V350" i="34"/>
  <c r="U350" i="34"/>
  <c r="T350" i="34"/>
  <c r="S350" i="34"/>
  <c r="R350" i="34"/>
  <c r="Q350" i="34"/>
  <c r="P350" i="34"/>
  <c r="O350" i="34"/>
  <c r="N350" i="34"/>
  <c r="M350" i="34"/>
  <c r="L350" i="34"/>
  <c r="K350" i="34"/>
  <c r="I350" i="34"/>
  <c r="H350" i="34"/>
  <c r="G350" i="34"/>
  <c r="AQ349" i="34"/>
  <c r="AP349" i="34"/>
  <c r="AO349" i="34"/>
  <c r="AN349" i="34"/>
  <c r="AM349" i="34"/>
  <c r="AL349" i="34"/>
  <c r="AK349" i="34"/>
  <c r="AJ349" i="34"/>
  <c r="AI349" i="34"/>
  <c r="AH349" i="34"/>
  <c r="AG349" i="34"/>
  <c r="AF349" i="34"/>
  <c r="AD349" i="34"/>
  <c r="AC349" i="34"/>
  <c r="AB349" i="34"/>
  <c r="Z349" i="34"/>
  <c r="Y349" i="34"/>
  <c r="X349" i="34"/>
  <c r="W349" i="34"/>
  <c r="V349" i="34"/>
  <c r="U349" i="34"/>
  <c r="T349" i="34"/>
  <c r="S349" i="34"/>
  <c r="R349" i="34"/>
  <c r="Q349" i="34"/>
  <c r="P349" i="34"/>
  <c r="O349" i="34"/>
  <c r="N349" i="34"/>
  <c r="M349" i="34"/>
  <c r="L349" i="34"/>
  <c r="K349" i="34"/>
  <c r="I349" i="34"/>
  <c r="H349" i="34"/>
  <c r="G349" i="34"/>
  <c r="AQ348" i="34"/>
  <c r="AP348" i="34"/>
  <c r="AO348" i="34"/>
  <c r="AN348" i="34"/>
  <c r="AM348" i="34"/>
  <c r="AL348" i="34"/>
  <c r="AK348" i="34"/>
  <c r="AJ348" i="34"/>
  <c r="AI348" i="34"/>
  <c r="AH348" i="34"/>
  <c r="AG348" i="34"/>
  <c r="AF348" i="34"/>
  <c r="AD348" i="34"/>
  <c r="AC348" i="34"/>
  <c r="AB348" i="34"/>
  <c r="Z348" i="34"/>
  <c r="Y348" i="34"/>
  <c r="X348" i="34"/>
  <c r="W348" i="34"/>
  <c r="V348" i="34"/>
  <c r="U348" i="34"/>
  <c r="T348" i="34"/>
  <c r="S348" i="34"/>
  <c r="R348" i="34"/>
  <c r="Q348" i="34"/>
  <c r="P348" i="34"/>
  <c r="O348" i="34"/>
  <c r="N348" i="34"/>
  <c r="M348" i="34"/>
  <c r="L348" i="34"/>
  <c r="K348" i="34"/>
  <c r="I348" i="34"/>
  <c r="H348" i="34"/>
  <c r="G348" i="34"/>
  <c r="AQ347" i="34"/>
  <c r="AP347" i="34"/>
  <c r="AO347" i="34"/>
  <c r="AN347" i="34"/>
  <c r="AM347" i="34"/>
  <c r="AL347" i="34"/>
  <c r="AK347" i="34"/>
  <c r="AJ347" i="34"/>
  <c r="AI347" i="34"/>
  <c r="AH347" i="34"/>
  <c r="AG347" i="34"/>
  <c r="AF347" i="34"/>
  <c r="AD347" i="34"/>
  <c r="AC347" i="34"/>
  <c r="AB347" i="34"/>
  <c r="Z347" i="34"/>
  <c r="Y347" i="34"/>
  <c r="X347" i="34"/>
  <c r="W347" i="34"/>
  <c r="V347" i="34"/>
  <c r="U347" i="34"/>
  <c r="T347" i="34"/>
  <c r="S347" i="34"/>
  <c r="R347" i="34"/>
  <c r="Q347" i="34"/>
  <c r="P347" i="34"/>
  <c r="O347" i="34"/>
  <c r="N347" i="34"/>
  <c r="M347" i="34"/>
  <c r="L347" i="34"/>
  <c r="K347" i="34"/>
  <c r="I347" i="34"/>
  <c r="H347" i="34"/>
  <c r="G347" i="34"/>
  <c r="AQ346" i="34"/>
  <c r="AP346" i="34"/>
  <c r="AO346" i="34"/>
  <c r="AN346" i="34"/>
  <c r="AM346" i="34"/>
  <c r="AL346" i="34"/>
  <c r="AK346" i="34"/>
  <c r="AJ346" i="34"/>
  <c r="AI346" i="34"/>
  <c r="AH346" i="34"/>
  <c r="AG346" i="34"/>
  <c r="AF346" i="34"/>
  <c r="AD346" i="34"/>
  <c r="AC346" i="34"/>
  <c r="AB346" i="34"/>
  <c r="Z346" i="34"/>
  <c r="Y346" i="34"/>
  <c r="X346" i="34"/>
  <c r="W346" i="34"/>
  <c r="V346" i="34"/>
  <c r="U346" i="34"/>
  <c r="T346" i="34"/>
  <c r="S346" i="34"/>
  <c r="R346" i="34"/>
  <c r="Q346" i="34"/>
  <c r="P346" i="34"/>
  <c r="O346" i="34"/>
  <c r="N346" i="34"/>
  <c r="M346" i="34"/>
  <c r="L346" i="34"/>
  <c r="K346" i="34"/>
  <c r="I346" i="34"/>
  <c r="H346" i="34"/>
  <c r="G346" i="34"/>
  <c r="AQ345" i="34"/>
  <c r="AP345" i="34"/>
  <c r="AO345" i="34"/>
  <c r="AN345" i="34"/>
  <c r="AM345" i="34"/>
  <c r="AL345" i="34"/>
  <c r="AK345" i="34"/>
  <c r="AJ345" i="34"/>
  <c r="AI345" i="34"/>
  <c r="AH345" i="34"/>
  <c r="AG345" i="34"/>
  <c r="AF345" i="34"/>
  <c r="AD345" i="34"/>
  <c r="AC345" i="34"/>
  <c r="AB345" i="34"/>
  <c r="Z345" i="34"/>
  <c r="Y345" i="34"/>
  <c r="X345" i="34"/>
  <c r="W345" i="34"/>
  <c r="V345" i="34"/>
  <c r="U345" i="34"/>
  <c r="T345" i="34"/>
  <c r="S345" i="34"/>
  <c r="R345" i="34"/>
  <c r="Q345" i="34"/>
  <c r="P345" i="34"/>
  <c r="O345" i="34"/>
  <c r="N345" i="34"/>
  <c r="M345" i="34"/>
  <c r="L345" i="34"/>
  <c r="K345" i="34"/>
  <c r="I345" i="34"/>
  <c r="H345" i="34"/>
  <c r="G345" i="34"/>
  <c r="AQ344" i="34"/>
  <c r="AP344" i="34"/>
  <c r="AO344" i="34"/>
  <c r="AN344" i="34"/>
  <c r="AM344" i="34"/>
  <c r="AL344" i="34"/>
  <c r="AK344" i="34"/>
  <c r="AJ344" i="34"/>
  <c r="AI344" i="34"/>
  <c r="AH344" i="34"/>
  <c r="AG344" i="34"/>
  <c r="AF344" i="34"/>
  <c r="AD344" i="34"/>
  <c r="AC344" i="34"/>
  <c r="AB344" i="34"/>
  <c r="Z344" i="34"/>
  <c r="Y344" i="34"/>
  <c r="X344" i="34"/>
  <c r="W344" i="34"/>
  <c r="V344" i="34"/>
  <c r="U344" i="34"/>
  <c r="T344" i="34"/>
  <c r="S344" i="34"/>
  <c r="R344" i="34"/>
  <c r="Q344" i="34"/>
  <c r="P344" i="34"/>
  <c r="O344" i="34"/>
  <c r="N344" i="34"/>
  <c r="M344" i="34"/>
  <c r="L344" i="34"/>
  <c r="K344" i="34"/>
  <c r="I344" i="34"/>
  <c r="H344" i="34"/>
  <c r="G344" i="34"/>
  <c r="AQ343" i="34"/>
  <c r="AP343" i="34"/>
  <c r="AO343" i="34"/>
  <c r="AN343" i="34"/>
  <c r="AM343" i="34"/>
  <c r="AL343" i="34"/>
  <c r="AK343" i="34"/>
  <c r="AJ343" i="34"/>
  <c r="AI343" i="34"/>
  <c r="AH343" i="34"/>
  <c r="AG343" i="34"/>
  <c r="AF343" i="34"/>
  <c r="AD343" i="34"/>
  <c r="AC343" i="34"/>
  <c r="AB343" i="34"/>
  <c r="Z343" i="34"/>
  <c r="Y343" i="34"/>
  <c r="X343" i="34"/>
  <c r="W343" i="34"/>
  <c r="V343" i="34"/>
  <c r="U343" i="34"/>
  <c r="T343" i="34"/>
  <c r="S343" i="34"/>
  <c r="R343" i="34"/>
  <c r="Q343" i="34"/>
  <c r="P343" i="34"/>
  <c r="O343" i="34"/>
  <c r="N343" i="34"/>
  <c r="M343" i="34"/>
  <c r="L343" i="34"/>
  <c r="K343" i="34"/>
  <c r="I343" i="34"/>
  <c r="H343" i="34"/>
  <c r="G343" i="34"/>
  <c r="AQ342" i="34"/>
  <c r="AP342" i="34"/>
  <c r="AO342" i="34"/>
  <c r="AN342" i="34"/>
  <c r="AM342" i="34"/>
  <c r="AL342" i="34"/>
  <c r="AK342" i="34"/>
  <c r="AJ342" i="34"/>
  <c r="AI342" i="34"/>
  <c r="AH342" i="34"/>
  <c r="AG342" i="34"/>
  <c r="AF342" i="34"/>
  <c r="AD342" i="34"/>
  <c r="AC342" i="34"/>
  <c r="AB342" i="34"/>
  <c r="Z342" i="34"/>
  <c r="Y342" i="34"/>
  <c r="X342" i="34"/>
  <c r="W342" i="34"/>
  <c r="V342" i="34"/>
  <c r="U342" i="34"/>
  <c r="T342" i="34"/>
  <c r="S342" i="34"/>
  <c r="R342" i="34"/>
  <c r="Q342" i="34"/>
  <c r="P342" i="34"/>
  <c r="O342" i="34"/>
  <c r="N342" i="34"/>
  <c r="M342" i="34"/>
  <c r="L342" i="34"/>
  <c r="K342" i="34"/>
  <c r="I342" i="34"/>
  <c r="H342" i="34"/>
  <c r="G342" i="34"/>
  <c r="AQ341" i="34"/>
  <c r="AP341" i="34"/>
  <c r="AO341" i="34"/>
  <c r="AN341" i="34"/>
  <c r="AM341" i="34"/>
  <c r="AL341" i="34"/>
  <c r="AK341" i="34"/>
  <c r="AJ341" i="34"/>
  <c r="AI341" i="34"/>
  <c r="AH341" i="34"/>
  <c r="AG341" i="34"/>
  <c r="AF341" i="34"/>
  <c r="AD341" i="34"/>
  <c r="AC341" i="34"/>
  <c r="AB341" i="34"/>
  <c r="Z341" i="34"/>
  <c r="Y341" i="34"/>
  <c r="X341" i="34"/>
  <c r="W341" i="34"/>
  <c r="V341" i="34"/>
  <c r="U341" i="34"/>
  <c r="T341" i="34"/>
  <c r="S341" i="34"/>
  <c r="R341" i="34"/>
  <c r="Q341" i="34"/>
  <c r="P341" i="34"/>
  <c r="O341" i="34"/>
  <c r="N341" i="34"/>
  <c r="M341" i="34"/>
  <c r="L341" i="34"/>
  <c r="K341" i="34"/>
  <c r="I341" i="34"/>
  <c r="H341" i="34"/>
  <c r="G341" i="34"/>
  <c r="AQ340" i="34"/>
  <c r="AP340" i="34"/>
  <c r="AO340" i="34"/>
  <c r="AN340" i="34"/>
  <c r="AM340" i="34"/>
  <c r="AL340" i="34"/>
  <c r="AK340" i="34"/>
  <c r="AJ340" i="34"/>
  <c r="AI340" i="34"/>
  <c r="AH340" i="34"/>
  <c r="AG340" i="34"/>
  <c r="AF340" i="34"/>
  <c r="AD340" i="34"/>
  <c r="AC340" i="34"/>
  <c r="AB340" i="34"/>
  <c r="Z340" i="34"/>
  <c r="Y340" i="34"/>
  <c r="X340" i="34"/>
  <c r="W340" i="34"/>
  <c r="V340" i="34"/>
  <c r="U340" i="34"/>
  <c r="T340" i="34"/>
  <c r="S340" i="34"/>
  <c r="R340" i="34"/>
  <c r="Q340" i="34"/>
  <c r="P340" i="34"/>
  <c r="O340" i="34"/>
  <c r="N340" i="34"/>
  <c r="M340" i="34"/>
  <c r="L340" i="34"/>
  <c r="K340" i="34"/>
  <c r="I340" i="34"/>
  <c r="H340" i="34"/>
  <c r="G340" i="34"/>
  <c r="AQ339" i="34"/>
  <c r="AP339" i="34"/>
  <c r="AO339" i="34"/>
  <c r="AN339" i="34"/>
  <c r="AM339" i="34"/>
  <c r="AL339" i="34"/>
  <c r="AK339" i="34"/>
  <c r="AJ339" i="34"/>
  <c r="AI339" i="34"/>
  <c r="AH339" i="34"/>
  <c r="AG339" i="34"/>
  <c r="AF339" i="34"/>
  <c r="AD339" i="34"/>
  <c r="AC339" i="34"/>
  <c r="AB339" i="34"/>
  <c r="Z339" i="34"/>
  <c r="Y339" i="34"/>
  <c r="X339" i="34"/>
  <c r="W339" i="34"/>
  <c r="V339" i="34"/>
  <c r="U339" i="34"/>
  <c r="T339" i="34"/>
  <c r="S339" i="34"/>
  <c r="R339" i="34"/>
  <c r="Q339" i="34"/>
  <c r="P339" i="34"/>
  <c r="O339" i="34"/>
  <c r="N339" i="34"/>
  <c r="M339" i="34"/>
  <c r="L339" i="34"/>
  <c r="K339" i="34"/>
  <c r="I339" i="34"/>
  <c r="H339" i="34"/>
  <c r="G339" i="34"/>
  <c r="AQ338" i="34"/>
  <c r="AP338" i="34"/>
  <c r="AO338" i="34"/>
  <c r="AN338" i="34"/>
  <c r="AM338" i="34"/>
  <c r="AL338" i="34"/>
  <c r="AK338" i="34"/>
  <c r="AJ338" i="34"/>
  <c r="AI338" i="34"/>
  <c r="AH338" i="34"/>
  <c r="AG338" i="34"/>
  <c r="AF338" i="34"/>
  <c r="AD338" i="34"/>
  <c r="AC338" i="34"/>
  <c r="AB338" i="34"/>
  <c r="Z338" i="34"/>
  <c r="Y338" i="34"/>
  <c r="X338" i="34"/>
  <c r="W338" i="34"/>
  <c r="V338" i="34"/>
  <c r="U338" i="34"/>
  <c r="T338" i="34"/>
  <c r="S338" i="34"/>
  <c r="R338" i="34"/>
  <c r="Q338" i="34"/>
  <c r="P338" i="34"/>
  <c r="O338" i="34"/>
  <c r="N338" i="34"/>
  <c r="M338" i="34"/>
  <c r="L338" i="34"/>
  <c r="K338" i="34"/>
  <c r="I338" i="34"/>
  <c r="H338" i="34"/>
  <c r="G338" i="34"/>
  <c r="AQ337" i="34"/>
  <c r="AP337" i="34"/>
  <c r="AO337" i="34"/>
  <c r="AN337" i="34"/>
  <c r="AM337" i="34"/>
  <c r="AL337" i="34"/>
  <c r="AK337" i="34"/>
  <c r="AJ337" i="34"/>
  <c r="AI337" i="34"/>
  <c r="AH337" i="34"/>
  <c r="AG337" i="34"/>
  <c r="AF337" i="34"/>
  <c r="AD337" i="34"/>
  <c r="AC337" i="34"/>
  <c r="AB337" i="34"/>
  <c r="Z337" i="34"/>
  <c r="Y337" i="34"/>
  <c r="X337" i="34"/>
  <c r="W337" i="34"/>
  <c r="V337" i="34"/>
  <c r="U337" i="34"/>
  <c r="T337" i="34"/>
  <c r="S337" i="34"/>
  <c r="R337" i="34"/>
  <c r="Q337" i="34"/>
  <c r="P337" i="34"/>
  <c r="O337" i="34"/>
  <c r="N337" i="34"/>
  <c r="M337" i="34"/>
  <c r="L337" i="34"/>
  <c r="K337" i="34"/>
  <c r="I337" i="34"/>
  <c r="H337" i="34"/>
  <c r="G337" i="34"/>
  <c r="AQ336" i="34"/>
  <c r="AP336" i="34"/>
  <c r="AO336" i="34"/>
  <c r="AN336" i="34"/>
  <c r="AM336" i="34"/>
  <c r="AL336" i="34"/>
  <c r="AK336" i="34"/>
  <c r="AJ336" i="34"/>
  <c r="AI336" i="34"/>
  <c r="AH336" i="34"/>
  <c r="AG336" i="34"/>
  <c r="AF336" i="34"/>
  <c r="AD336" i="34"/>
  <c r="AC336" i="34"/>
  <c r="AB336" i="34"/>
  <c r="Z336" i="34"/>
  <c r="Y336" i="34"/>
  <c r="X336" i="34"/>
  <c r="W336" i="34"/>
  <c r="V336" i="34"/>
  <c r="U336" i="34"/>
  <c r="T336" i="34"/>
  <c r="S336" i="34"/>
  <c r="R336" i="34"/>
  <c r="Q336" i="34"/>
  <c r="P336" i="34"/>
  <c r="O336" i="34"/>
  <c r="N336" i="34"/>
  <c r="M336" i="34"/>
  <c r="L336" i="34"/>
  <c r="K336" i="34"/>
  <c r="I336" i="34"/>
  <c r="H336" i="34"/>
  <c r="G336" i="34"/>
  <c r="AQ335" i="34"/>
  <c r="AP335" i="34"/>
  <c r="AO335" i="34"/>
  <c r="AN335" i="34"/>
  <c r="AM335" i="34"/>
  <c r="AL335" i="34"/>
  <c r="AK335" i="34"/>
  <c r="AJ335" i="34"/>
  <c r="AI335" i="34"/>
  <c r="AH335" i="34"/>
  <c r="AG335" i="34"/>
  <c r="AF335" i="34"/>
  <c r="AD335" i="34"/>
  <c r="AC335" i="34"/>
  <c r="AB335" i="34"/>
  <c r="Z335" i="34"/>
  <c r="Y335" i="34"/>
  <c r="X335" i="34"/>
  <c r="W335" i="34"/>
  <c r="V335" i="34"/>
  <c r="U335" i="34"/>
  <c r="T335" i="34"/>
  <c r="S335" i="34"/>
  <c r="R335" i="34"/>
  <c r="Q335" i="34"/>
  <c r="P335" i="34"/>
  <c r="O335" i="34"/>
  <c r="N335" i="34"/>
  <c r="M335" i="34"/>
  <c r="L335" i="34"/>
  <c r="K335" i="34"/>
  <c r="I335" i="34"/>
  <c r="H335" i="34"/>
  <c r="G335" i="34"/>
  <c r="AQ334" i="34"/>
  <c r="AP334" i="34"/>
  <c r="AO334" i="34"/>
  <c r="AN334" i="34"/>
  <c r="AM334" i="34"/>
  <c r="AL334" i="34"/>
  <c r="AK334" i="34"/>
  <c r="AJ334" i="34"/>
  <c r="AI334" i="34"/>
  <c r="AH334" i="34"/>
  <c r="AG334" i="34"/>
  <c r="AF334" i="34"/>
  <c r="AD334" i="34"/>
  <c r="AC334" i="34"/>
  <c r="AB334" i="34"/>
  <c r="Z334" i="34"/>
  <c r="Y334" i="34"/>
  <c r="X334" i="34"/>
  <c r="W334" i="34"/>
  <c r="V334" i="34"/>
  <c r="U334" i="34"/>
  <c r="T334" i="34"/>
  <c r="S334" i="34"/>
  <c r="R334" i="34"/>
  <c r="Q334" i="34"/>
  <c r="P334" i="34"/>
  <c r="O334" i="34"/>
  <c r="N334" i="34"/>
  <c r="M334" i="34"/>
  <c r="L334" i="34"/>
  <c r="K334" i="34"/>
  <c r="I334" i="34"/>
  <c r="H334" i="34"/>
  <c r="G334" i="34"/>
  <c r="AQ333" i="34"/>
  <c r="AP333" i="34"/>
  <c r="AO333" i="34"/>
  <c r="AN333" i="34"/>
  <c r="AM333" i="34"/>
  <c r="AL333" i="34"/>
  <c r="AK333" i="34"/>
  <c r="AJ333" i="34"/>
  <c r="AI333" i="34"/>
  <c r="AH333" i="34"/>
  <c r="AG333" i="34"/>
  <c r="AF333" i="34"/>
  <c r="AD333" i="34"/>
  <c r="AC333" i="34"/>
  <c r="AB333" i="34"/>
  <c r="Z333" i="34"/>
  <c r="Y333" i="34"/>
  <c r="X333" i="34"/>
  <c r="W333" i="34"/>
  <c r="V333" i="34"/>
  <c r="U333" i="34"/>
  <c r="T333" i="34"/>
  <c r="S333" i="34"/>
  <c r="R333" i="34"/>
  <c r="Q333" i="34"/>
  <c r="P333" i="34"/>
  <c r="O333" i="34"/>
  <c r="N333" i="34"/>
  <c r="M333" i="34"/>
  <c r="L333" i="34"/>
  <c r="K333" i="34"/>
  <c r="I333" i="34"/>
  <c r="H333" i="34"/>
  <c r="G333" i="34"/>
  <c r="AQ332" i="34"/>
  <c r="AP332" i="34"/>
  <c r="AO332" i="34"/>
  <c r="AN332" i="34"/>
  <c r="AM332" i="34"/>
  <c r="AL332" i="34"/>
  <c r="AK332" i="34"/>
  <c r="AJ332" i="34"/>
  <c r="AI332" i="34"/>
  <c r="AH332" i="34"/>
  <c r="AG332" i="34"/>
  <c r="AF332" i="34"/>
  <c r="AD332" i="34"/>
  <c r="AC332" i="34"/>
  <c r="AB332" i="34"/>
  <c r="Z332" i="34"/>
  <c r="Y332" i="34"/>
  <c r="X332" i="34"/>
  <c r="W332" i="34"/>
  <c r="V332" i="34"/>
  <c r="U332" i="34"/>
  <c r="T332" i="34"/>
  <c r="S332" i="34"/>
  <c r="R332" i="34"/>
  <c r="Q332" i="34"/>
  <c r="P332" i="34"/>
  <c r="O332" i="34"/>
  <c r="N332" i="34"/>
  <c r="M332" i="34"/>
  <c r="L332" i="34"/>
  <c r="K332" i="34"/>
  <c r="I332" i="34"/>
  <c r="H332" i="34"/>
  <c r="G332" i="34"/>
  <c r="AQ331" i="34"/>
  <c r="AP331" i="34"/>
  <c r="AO331" i="34"/>
  <c r="AN331" i="34"/>
  <c r="AM331" i="34"/>
  <c r="AL331" i="34"/>
  <c r="AK331" i="34"/>
  <c r="AJ331" i="34"/>
  <c r="AI331" i="34"/>
  <c r="AH331" i="34"/>
  <c r="AG331" i="34"/>
  <c r="AF331" i="34"/>
  <c r="AD331" i="34"/>
  <c r="AC331" i="34"/>
  <c r="AB331" i="34"/>
  <c r="Z331" i="34"/>
  <c r="Y331" i="34"/>
  <c r="X331" i="34"/>
  <c r="W331" i="34"/>
  <c r="V331" i="34"/>
  <c r="U331" i="34"/>
  <c r="T331" i="34"/>
  <c r="S331" i="34"/>
  <c r="R331" i="34"/>
  <c r="Q331" i="34"/>
  <c r="P331" i="34"/>
  <c r="O331" i="34"/>
  <c r="N331" i="34"/>
  <c r="M331" i="34"/>
  <c r="L331" i="34"/>
  <c r="K331" i="34"/>
  <c r="I331" i="34"/>
  <c r="H331" i="34"/>
  <c r="G331" i="34"/>
  <c r="AQ330" i="34"/>
  <c r="AP330" i="34"/>
  <c r="AO330" i="34"/>
  <c r="AN330" i="34"/>
  <c r="AM330" i="34"/>
  <c r="AL330" i="34"/>
  <c r="AK330" i="34"/>
  <c r="AJ330" i="34"/>
  <c r="AI330" i="34"/>
  <c r="AH330" i="34"/>
  <c r="AG330" i="34"/>
  <c r="AF330" i="34"/>
  <c r="AD330" i="34"/>
  <c r="AC330" i="34"/>
  <c r="AB330" i="34"/>
  <c r="Z330" i="34"/>
  <c r="Y330" i="34"/>
  <c r="X330" i="34"/>
  <c r="W330" i="34"/>
  <c r="V330" i="34"/>
  <c r="U330" i="34"/>
  <c r="T330" i="34"/>
  <c r="S330" i="34"/>
  <c r="R330" i="34"/>
  <c r="Q330" i="34"/>
  <c r="P330" i="34"/>
  <c r="O330" i="34"/>
  <c r="N330" i="34"/>
  <c r="M330" i="34"/>
  <c r="L330" i="34"/>
  <c r="K330" i="34"/>
  <c r="I330" i="34"/>
  <c r="H330" i="34"/>
  <c r="G330" i="34"/>
  <c r="AQ329" i="34"/>
  <c r="AP329" i="34"/>
  <c r="AO329" i="34"/>
  <c r="AN329" i="34"/>
  <c r="AM329" i="34"/>
  <c r="AL329" i="34"/>
  <c r="AK329" i="34"/>
  <c r="AJ329" i="34"/>
  <c r="AI329" i="34"/>
  <c r="AH329" i="34"/>
  <c r="AG329" i="34"/>
  <c r="AF329" i="34"/>
  <c r="AD329" i="34"/>
  <c r="AC329" i="34"/>
  <c r="AB329" i="34"/>
  <c r="Z329" i="34"/>
  <c r="Y329" i="34"/>
  <c r="X329" i="34"/>
  <c r="W329" i="34"/>
  <c r="V329" i="34"/>
  <c r="U329" i="34"/>
  <c r="T329" i="34"/>
  <c r="S329" i="34"/>
  <c r="R329" i="34"/>
  <c r="Q329" i="34"/>
  <c r="P329" i="34"/>
  <c r="O329" i="34"/>
  <c r="N329" i="34"/>
  <c r="M329" i="34"/>
  <c r="L329" i="34"/>
  <c r="K329" i="34"/>
  <c r="I329" i="34"/>
  <c r="H329" i="34"/>
  <c r="G329" i="34"/>
  <c r="AQ328" i="34"/>
  <c r="AP328" i="34"/>
  <c r="AO328" i="34"/>
  <c r="AN328" i="34"/>
  <c r="AM328" i="34"/>
  <c r="AL328" i="34"/>
  <c r="AK328" i="34"/>
  <c r="AJ328" i="34"/>
  <c r="AI328" i="34"/>
  <c r="AH328" i="34"/>
  <c r="AG328" i="34"/>
  <c r="AF328" i="34"/>
  <c r="AD328" i="34"/>
  <c r="AC328" i="34"/>
  <c r="AB328" i="34"/>
  <c r="Z328" i="34"/>
  <c r="Y328" i="34"/>
  <c r="X328" i="34"/>
  <c r="W328" i="34"/>
  <c r="V328" i="34"/>
  <c r="U328" i="34"/>
  <c r="T328" i="34"/>
  <c r="S328" i="34"/>
  <c r="R328" i="34"/>
  <c r="Q328" i="34"/>
  <c r="P328" i="34"/>
  <c r="O328" i="34"/>
  <c r="N328" i="34"/>
  <c r="M328" i="34"/>
  <c r="L328" i="34"/>
  <c r="K328" i="34"/>
  <c r="I328" i="34"/>
  <c r="H328" i="34"/>
  <c r="G328" i="34"/>
  <c r="AQ327" i="34"/>
  <c r="AP327" i="34"/>
  <c r="AO327" i="34"/>
  <c r="AN327" i="34"/>
  <c r="AM327" i="34"/>
  <c r="AL327" i="34"/>
  <c r="AK327" i="34"/>
  <c r="AJ327" i="34"/>
  <c r="AI327" i="34"/>
  <c r="AH327" i="34"/>
  <c r="AG327" i="34"/>
  <c r="AF327" i="34"/>
  <c r="AD327" i="34"/>
  <c r="AC327" i="34"/>
  <c r="AB327" i="34"/>
  <c r="Z327" i="34"/>
  <c r="Y327" i="34"/>
  <c r="X327" i="34"/>
  <c r="W327" i="34"/>
  <c r="V327" i="34"/>
  <c r="U327" i="34"/>
  <c r="T327" i="34"/>
  <c r="S327" i="34"/>
  <c r="R327" i="34"/>
  <c r="Q327" i="34"/>
  <c r="P327" i="34"/>
  <c r="O327" i="34"/>
  <c r="N327" i="34"/>
  <c r="M327" i="34"/>
  <c r="L327" i="34"/>
  <c r="K327" i="34"/>
  <c r="I327" i="34"/>
  <c r="H327" i="34"/>
  <c r="G327" i="34"/>
  <c r="AQ326" i="34"/>
  <c r="AP326" i="34"/>
  <c r="AO326" i="34"/>
  <c r="AN326" i="34"/>
  <c r="AM326" i="34"/>
  <c r="AL326" i="34"/>
  <c r="AK326" i="34"/>
  <c r="AJ326" i="34"/>
  <c r="AI326" i="34"/>
  <c r="AH326" i="34"/>
  <c r="AG326" i="34"/>
  <c r="AF326" i="34"/>
  <c r="AD326" i="34"/>
  <c r="AC326" i="34"/>
  <c r="AB326" i="34"/>
  <c r="Z326" i="34"/>
  <c r="Y326" i="34"/>
  <c r="X326" i="34"/>
  <c r="W326" i="34"/>
  <c r="V326" i="34"/>
  <c r="U326" i="34"/>
  <c r="T326" i="34"/>
  <c r="S326" i="34"/>
  <c r="R326" i="34"/>
  <c r="Q326" i="34"/>
  <c r="P326" i="34"/>
  <c r="O326" i="34"/>
  <c r="N326" i="34"/>
  <c r="M326" i="34"/>
  <c r="L326" i="34"/>
  <c r="K326" i="34"/>
  <c r="I326" i="34"/>
  <c r="H326" i="34"/>
  <c r="G326" i="34"/>
  <c r="AQ325" i="34"/>
  <c r="AP325" i="34"/>
  <c r="AO325" i="34"/>
  <c r="AN325" i="34"/>
  <c r="AM325" i="34"/>
  <c r="AL325" i="34"/>
  <c r="AK325" i="34"/>
  <c r="AJ325" i="34"/>
  <c r="AI325" i="34"/>
  <c r="AH325" i="34"/>
  <c r="AG325" i="34"/>
  <c r="AF325" i="34"/>
  <c r="AD325" i="34"/>
  <c r="AC325" i="34"/>
  <c r="AB325" i="34"/>
  <c r="Z325" i="34"/>
  <c r="Y325" i="34"/>
  <c r="X325" i="34"/>
  <c r="W325" i="34"/>
  <c r="V325" i="34"/>
  <c r="U325" i="34"/>
  <c r="T325" i="34"/>
  <c r="S325" i="34"/>
  <c r="R325" i="34"/>
  <c r="Q325" i="34"/>
  <c r="P325" i="34"/>
  <c r="O325" i="34"/>
  <c r="N325" i="34"/>
  <c r="M325" i="34"/>
  <c r="L325" i="34"/>
  <c r="K325" i="34"/>
  <c r="I325" i="34"/>
  <c r="H325" i="34"/>
  <c r="G325" i="34"/>
  <c r="AQ324" i="34"/>
  <c r="AP324" i="34"/>
  <c r="AO324" i="34"/>
  <c r="AN324" i="34"/>
  <c r="AM324" i="34"/>
  <c r="AL324" i="34"/>
  <c r="AK324" i="34"/>
  <c r="AJ324" i="34"/>
  <c r="AI324" i="34"/>
  <c r="AH324" i="34"/>
  <c r="AG324" i="34"/>
  <c r="AF324" i="34"/>
  <c r="AD324" i="34"/>
  <c r="AC324" i="34"/>
  <c r="AB324" i="34"/>
  <c r="Z324" i="34"/>
  <c r="Y324" i="34"/>
  <c r="X324" i="34"/>
  <c r="W324" i="34"/>
  <c r="V324" i="34"/>
  <c r="U324" i="34"/>
  <c r="T324" i="34"/>
  <c r="S324" i="34"/>
  <c r="R324" i="34"/>
  <c r="Q324" i="34"/>
  <c r="P324" i="34"/>
  <c r="O324" i="34"/>
  <c r="N324" i="34"/>
  <c r="M324" i="34"/>
  <c r="L324" i="34"/>
  <c r="K324" i="34"/>
  <c r="I324" i="34"/>
  <c r="H324" i="34"/>
  <c r="G324" i="34"/>
  <c r="AQ323" i="34"/>
  <c r="AP323" i="34"/>
  <c r="AO323" i="34"/>
  <c r="AN323" i="34"/>
  <c r="AM323" i="34"/>
  <c r="AL323" i="34"/>
  <c r="AK323" i="34"/>
  <c r="AJ323" i="34"/>
  <c r="AI323" i="34"/>
  <c r="AH323" i="34"/>
  <c r="AG323" i="34"/>
  <c r="AF323" i="34"/>
  <c r="AD323" i="34"/>
  <c r="AC323" i="34"/>
  <c r="AB323" i="34"/>
  <c r="Z323" i="34"/>
  <c r="Y323" i="34"/>
  <c r="X323" i="34"/>
  <c r="W323" i="34"/>
  <c r="V323" i="34"/>
  <c r="U323" i="34"/>
  <c r="T323" i="34"/>
  <c r="S323" i="34"/>
  <c r="R323" i="34"/>
  <c r="Q323" i="34"/>
  <c r="P323" i="34"/>
  <c r="O323" i="34"/>
  <c r="N323" i="34"/>
  <c r="M323" i="34"/>
  <c r="L323" i="34"/>
  <c r="K323" i="34"/>
  <c r="I323" i="34"/>
  <c r="H323" i="34"/>
  <c r="G323" i="34"/>
  <c r="AQ322" i="34"/>
  <c r="AP322" i="34"/>
  <c r="AO322" i="34"/>
  <c r="AN322" i="34"/>
  <c r="AM322" i="34"/>
  <c r="AL322" i="34"/>
  <c r="AK322" i="34"/>
  <c r="AJ322" i="34"/>
  <c r="AI322" i="34"/>
  <c r="AH322" i="34"/>
  <c r="AG322" i="34"/>
  <c r="AF322" i="34"/>
  <c r="AD322" i="34"/>
  <c r="AC322" i="34"/>
  <c r="AB322" i="34"/>
  <c r="Z322" i="34"/>
  <c r="Y322" i="34"/>
  <c r="X322" i="34"/>
  <c r="W322" i="34"/>
  <c r="V322" i="34"/>
  <c r="U322" i="34"/>
  <c r="T322" i="34"/>
  <c r="S322" i="34"/>
  <c r="R322" i="34"/>
  <c r="Q322" i="34"/>
  <c r="P322" i="34"/>
  <c r="O322" i="34"/>
  <c r="N322" i="34"/>
  <c r="M322" i="34"/>
  <c r="L322" i="34"/>
  <c r="K322" i="34"/>
  <c r="I322" i="34"/>
  <c r="H322" i="34"/>
  <c r="G322" i="34"/>
  <c r="AQ321" i="34"/>
  <c r="AP321" i="34"/>
  <c r="AO321" i="34"/>
  <c r="AN321" i="34"/>
  <c r="AM321" i="34"/>
  <c r="AL321" i="34"/>
  <c r="AK321" i="34"/>
  <c r="AJ321" i="34"/>
  <c r="AI321" i="34"/>
  <c r="AH321" i="34"/>
  <c r="AG321" i="34"/>
  <c r="AF321" i="34"/>
  <c r="AD321" i="34"/>
  <c r="AC321" i="34"/>
  <c r="AB321" i="34"/>
  <c r="Z321" i="34"/>
  <c r="Y321" i="34"/>
  <c r="X321" i="34"/>
  <c r="W321" i="34"/>
  <c r="V321" i="34"/>
  <c r="U321" i="34"/>
  <c r="T321" i="34"/>
  <c r="S321" i="34"/>
  <c r="R321" i="34"/>
  <c r="Q321" i="34"/>
  <c r="P321" i="34"/>
  <c r="O321" i="34"/>
  <c r="N321" i="34"/>
  <c r="M321" i="34"/>
  <c r="L321" i="34"/>
  <c r="K321" i="34"/>
  <c r="I321" i="34"/>
  <c r="H321" i="34"/>
  <c r="G321" i="34"/>
  <c r="AQ320" i="34"/>
  <c r="AP320" i="34"/>
  <c r="AO320" i="34"/>
  <c r="AN320" i="34"/>
  <c r="AM320" i="34"/>
  <c r="AL320" i="34"/>
  <c r="AK320" i="34"/>
  <c r="AJ320" i="34"/>
  <c r="AI320" i="34"/>
  <c r="AH320" i="34"/>
  <c r="AG320" i="34"/>
  <c r="AF320" i="34"/>
  <c r="AD320" i="34"/>
  <c r="AC320" i="34"/>
  <c r="AB320" i="34"/>
  <c r="Z320" i="34"/>
  <c r="Y320" i="34"/>
  <c r="X320" i="34"/>
  <c r="W320" i="34"/>
  <c r="V320" i="34"/>
  <c r="U320" i="34"/>
  <c r="T320" i="34"/>
  <c r="S320" i="34"/>
  <c r="R320" i="34"/>
  <c r="Q320" i="34"/>
  <c r="P320" i="34"/>
  <c r="O320" i="34"/>
  <c r="N320" i="34"/>
  <c r="M320" i="34"/>
  <c r="L320" i="34"/>
  <c r="K320" i="34"/>
  <c r="I320" i="34"/>
  <c r="H320" i="34"/>
  <c r="G320" i="34"/>
  <c r="AQ319" i="34"/>
  <c r="AP319" i="34"/>
  <c r="AO319" i="34"/>
  <c r="AN319" i="34"/>
  <c r="AM319" i="34"/>
  <c r="AL319" i="34"/>
  <c r="AK319" i="34"/>
  <c r="AJ319" i="34"/>
  <c r="AI319" i="34"/>
  <c r="AH319" i="34"/>
  <c r="AG319" i="34"/>
  <c r="AF319" i="34"/>
  <c r="AD319" i="34"/>
  <c r="AC319" i="34"/>
  <c r="AB319" i="34"/>
  <c r="Z319" i="34"/>
  <c r="Y319" i="34"/>
  <c r="X319" i="34"/>
  <c r="W319" i="34"/>
  <c r="V319" i="34"/>
  <c r="U319" i="34"/>
  <c r="T319" i="34"/>
  <c r="S319" i="34"/>
  <c r="R319" i="34"/>
  <c r="Q319" i="34"/>
  <c r="P319" i="34"/>
  <c r="O319" i="34"/>
  <c r="N319" i="34"/>
  <c r="M319" i="34"/>
  <c r="L319" i="34"/>
  <c r="K319" i="34"/>
  <c r="I319" i="34"/>
  <c r="H319" i="34"/>
  <c r="G319" i="34"/>
  <c r="AQ318" i="34"/>
  <c r="AP318" i="34"/>
  <c r="AO318" i="34"/>
  <c r="AN318" i="34"/>
  <c r="AM318" i="34"/>
  <c r="AL318" i="34"/>
  <c r="AK318" i="34"/>
  <c r="AJ318" i="34"/>
  <c r="AI318" i="34"/>
  <c r="AH318" i="34"/>
  <c r="AG318" i="34"/>
  <c r="AF318" i="34"/>
  <c r="AD318" i="34"/>
  <c r="AC318" i="34"/>
  <c r="AB318" i="34"/>
  <c r="Z318" i="34"/>
  <c r="Y318" i="34"/>
  <c r="X318" i="34"/>
  <c r="W318" i="34"/>
  <c r="V318" i="34"/>
  <c r="U318" i="34"/>
  <c r="T318" i="34"/>
  <c r="S318" i="34"/>
  <c r="R318" i="34"/>
  <c r="Q318" i="34"/>
  <c r="P318" i="34"/>
  <c r="O318" i="34"/>
  <c r="N318" i="34"/>
  <c r="M318" i="34"/>
  <c r="L318" i="34"/>
  <c r="K318" i="34"/>
  <c r="I318" i="34"/>
  <c r="H318" i="34"/>
  <c r="G318" i="34"/>
  <c r="AQ317" i="34"/>
  <c r="AP317" i="34"/>
  <c r="AO317" i="34"/>
  <c r="AN317" i="34"/>
  <c r="AM317" i="34"/>
  <c r="AL317" i="34"/>
  <c r="AK317" i="34"/>
  <c r="AJ317" i="34"/>
  <c r="AI317" i="34"/>
  <c r="AH317" i="34"/>
  <c r="AG317" i="34"/>
  <c r="AF317" i="34"/>
  <c r="AD317" i="34"/>
  <c r="AC317" i="34"/>
  <c r="AB317" i="34"/>
  <c r="Z317" i="34"/>
  <c r="Y317" i="34"/>
  <c r="X317" i="34"/>
  <c r="W317" i="34"/>
  <c r="V317" i="34"/>
  <c r="U317" i="34"/>
  <c r="T317" i="34"/>
  <c r="S317" i="34"/>
  <c r="R317" i="34"/>
  <c r="Q317" i="34"/>
  <c r="P317" i="34"/>
  <c r="O317" i="34"/>
  <c r="N317" i="34"/>
  <c r="M317" i="34"/>
  <c r="L317" i="34"/>
  <c r="K317" i="34"/>
  <c r="I317" i="34"/>
  <c r="H317" i="34"/>
  <c r="G317" i="34"/>
  <c r="AQ316" i="34"/>
  <c r="AP316" i="34"/>
  <c r="AO316" i="34"/>
  <c r="AN316" i="34"/>
  <c r="AM316" i="34"/>
  <c r="AL316" i="34"/>
  <c r="AK316" i="34"/>
  <c r="AJ316" i="34"/>
  <c r="AI316" i="34"/>
  <c r="AH316" i="34"/>
  <c r="AG316" i="34"/>
  <c r="AF316" i="34"/>
  <c r="AD316" i="34"/>
  <c r="AC316" i="34"/>
  <c r="AB316" i="34"/>
  <c r="Z316" i="34"/>
  <c r="Y316" i="34"/>
  <c r="X316" i="34"/>
  <c r="W316" i="34"/>
  <c r="V316" i="34"/>
  <c r="U316" i="34"/>
  <c r="T316" i="34"/>
  <c r="S316" i="34"/>
  <c r="R316" i="34"/>
  <c r="Q316" i="34"/>
  <c r="P316" i="34"/>
  <c r="O316" i="34"/>
  <c r="N316" i="34"/>
  <c r="M316" i="34"/>
  <c r="L316" i="34"/>
  <c r="K316" i="34"/>
  <c r="I316" i="34"/>
  <c r="H316" i="34"/>
  <c r="G316" i="34"/>
  <c r="AQ315" i="34"/>
  <c r="AP315" i="34"/>
  <c r="AO315" i="34"/>
  <c r="AN315" i="34"/>
  <c r="AM315" i="34"/>
  <c r="AL315" i="34"/>
  <c r="AK315" i="34"/>
  <c r="AJ315" i="34"/>
  <c r="AI315" i="34"/>
  <c r="AH315" i="34"/>
  <c r="AG315" i="34"/>
  <c r="AF315" i="34"/>
  <c r="AD315" i="34"/>
  <c r="AC315" i="34"/>
  <c r="AB315" i="34"/>
  <c r="Z315" i="34"/>
  <c r="Y315" i="34"/>
  <c r="X315" i="34"/>
  <c r="W315" i="34"/>
  <c r="V315" i="34"/>
  <c r="U315" i="34"/>
  <c r="T315" i="34"/>
  <c r="S315" i="34"/>
  <c r="R315" i="34"/>
  <c r="Q315" i="34"/>
  <c r="P315" i="34"/>
  <c r="O315" i="34"/>
  <c r="N315" i="34"/>
  <c r="M315" i="34"/>
  <c r="L315" i="34"/>
  <c r="K315" i="34"/>
  <c r="I315" i="34"/>
  <c r="H315" i="34"/>
  <c r="G315" i="34"/>
  <c r="AQ314" i="34"/>
  <c r="AP314" i="34"/>
  <c r="AO314" i="34"/>
  <c r="AN314" i="34"/>
  <c r="AM314" i="34"/>
  <c r="AL314" i="34"/>
  <c r="AK314" i="34"/>
  <c r="AJ314" i="34"/>
  <c r="AI314" i="34"/>
  <c r="AH314" i="34"/>
  <c r="AG314" i="34"/>
  <c r="AF314" i="34"/>
  <c r="AD314" i="34"/>
  <c r="AC314" i="34"/>
  <c r="AB314" i="34"/>
  <c r="Z314" i="34"/>
  <c r="Y314" i="34"/>
  <c r="X314" i="34"/>
  <c r="W314" i="34"/>
  <c r="V314" i="34"/>
  <c r="U314" i="34"/>
  <c r="T314" i="34"/>
  <c r="S314" i="34"/>
  <c r="R314" i="34"/>
  <c r="Q314" i="34"/>
  <c r="P314" i="34"/>
  <c r="O314" i="34"/>
  <c r="N314" i="34"/>
  <c r="M314" i="34"/>
  <c r="L314" i="34"/>
  <c r="K314" i="34"/>
  <c r="I314" i="34"/>
  <c r="H314" i="34"/>
  <c r="G314" i="34"/>
  <c r="AQ313" i="34"/>
  <c r="AP313" i="34"/>
  <c r="AO313" i="34"/>
  <c r="AN313" i="34"/>
  <c r="AM313" i="34"/>
  <c r="AL313" i="34"/>
  <c r="AK313" i="34"/>
  <c r="AJ313" i="34"/>
  <c r="AI313" i="34"/>
  <c r="AH313" i="34"/>
  <c r="AG313" i="34"/>
  <c r="AF313" i="34"/>
  <c r="AD313" i="34"/>
  <c r="AC313" i="34"/>
  <c r="AB313" i="34"/>
  <c r="Z313" i="34"/>
  <c r="Y313" i="34"/>
  <c r="X313" i="34"/>
  <c r="W313" i="34"/>
  <c r="V313" i="34"/>
  <c r="U313" i="34"/>
  <c r="T313" i="34"/>
  <c r="S313" i="34"/>
  <c r="R313" i="34"/>
  <c r="Q313" i="34"/>
  <c r="P313" i="34"/>
  <c r="O313" i="34"/>
  <c r="N313" i="34"/>
  <c r="M313" i="34"/>
  <c r="L313" i="34"/>
  <c r="K313" i="34"/>
  <c r="I313" i="34"/>
  <c r="H313" i="34"/>
  <c r="G313" i="34"/>
  <c r="AQ312" i="34"/>
  <c r="AP312" i="34"/>
  <c r="AO312" i="34"/>
  <c r="AN312" i="34"/>
  <c r="AM312" i="34"/>
  <c r="AL312" i="34"/>
  <c r="AK312" i="34"/>
  <c r="AJ312" i="34"/>
  <c r="AI312" i="34"/>
  <c r="AH312" i="34"/>
  <c r="AG312" i="34"/>
  <c r="AF312" i="34"/>
  <c r="AD312" i="34"/>
  <c r="AC312" i="34"/>
  <c r="AB312" i="34"/>
  <c r="Z312" i="34"/>
  <c r="Y312" i="34"/>
  <c r="X312" i="34"/>
  <c r="W312" i="34"/>
  <c r="V312" i="34"/>
  <c r="U312" i="34"/>
  <c r="T312" i="34"/>
  <c r="S312" i="34"/>
  <c r="R312" i="34"/>
  <c r="Q312" i="34"/>
  <c r="P312" i="34"/>
  <c r="O312" i="34"/>
  <c r="N312" i="34"/>
  <c r="M312" i="34"/>
  <c r="L312" i="34"/>
  <c r="K312" i="34"/>
  <c r="I312" i="34"/>
  <c r="H312" i="34"/>
  <c r="G312" i="34"/>
  <c r="AQ311" i="34"/>
  <c r="AP311" i="34"/>
  <c r="AO311" i="34"/>
  <c r="AN311" i="34"/>
  <c r="AM311" i="34"/>
  <c r="AL311" i="34"/>
  <c r="AK311" i="34"/>
  <c r="AJ311" i="34"/>
  <c r="AI311" i="34"/>
  <c r="AH311" i="34"/>
  <c r="AG311" i="34"/>
  <c r="AF311" i="34"/>
  <c r="AD311" i="34"/>
  <c r="AC311" i="34"/>
  <c r="AB311" i="34"/>
  <c r="Z311" i="34"/>
  <c r="Y311" i="34"/>
  <c r="X311" i="34"/>
  <c r="W311" i="34"/>
  <c r="V311" i="34"/>
  <c r="U311" i="34"/>
  <c r="T311" i="34"/>
  <c r="S311" i="34"/>
  <c r="R311" i="34"/>
  <c r="Q311" i="34"/>
  <c r="P311" i="34"/>
  <c r="O311" i="34"/>
  <c r="N311" i="34"/>
  <c r="M311" i="34"/>
  <c r="L311" i="34"/>
  <c r="K311" i="34"/>
  <c r="I311" i="34"/>
  <c r="H311" i="34"/>
  <c r="G311" i="34"/>
  <c r="AQ310" i="34"/>
  <c r="AP310" i="34"/>
  <c r="AO310" i="34"/>
  <c r="AN310" i="34"/>
  <c r="AM310" i="34"/>
  <c r="AL310" i="34"/>
  <c r="AK310" i="34"/>
  <c r="AJ310" i="34"/>
  <c r="AI310" i="34"/>
  <c r="AH310" i="34"/>
  <c r="AG310" i="34"/>
  <c r="AF310" i="34"/>
  <c r="AD310" i="34"/>
  <c r="AC310" i="34"/>
  <c r="AB310" i="34"/>
  <c r="Z310" i="34"/>
  <c r="Y310" i="34"/>
  <c r="X310" i="34"/>
  <c r="W310" i="34"/>
  <c r="V310" i="34"/>
  <c r="U310" i="34"/>
  <c r="T310" i="34"/>
  <c r="S310" i="34"/>
  <c r="R310" i="34"/>
  <c r="Q310" i="34"/>
  <c r="P310" i="34"/>
  <c r="O310" i="34"/>
  <c r="N310" i="34"/>
  <c r="M310" i="34"/>
  <c r="L310" i="34"/>
  <c r="K310" i="34"/>
  <c r="I310" i="34"/>
  <c r="H310" i="34"/>
  <c r="G310" i="34"/>
  <c r="AQ309" i="34"/>
  <c r="AP309" i="34"/>
  <c r="AO309" i="34"/>
  <c r="AN309" i="34"/>
  <c r="AM309" i="34"/>
  <c r="AL309" i="34"/>
  <c r="AK309" i="34"/>
  <c r="AJ309" i="34"/>
  <c r="AI309" i="34"/>
  <c r="AH309" i="34"/>
  <c r="AG309" i="34"/>
  <c r="AF309" i="34"/>
  <c r="AD309" i="34"/>
  <c r="AC309" i="34"/>
  <c r="AB309" i="34"/>
  <c r="Z309" i="34"/>
  <c r="Y309" i="34"/>
  <c r="X309" i="34"/>
  <c r="W309" i="34"/>
  <c r="V309" i="34"/>
  <c r="U309" i="34"/>
  <c r="T309" i="34"/>
  <c r="S309" i="34"/>
  <c r="R309" i="34"/>
  <c r="Q309" i="34"/>
  <c r="P309" i="34"/>
  <c r="O309" i="34"/>
  <c r="N309" i="34"/>
  <c r="M309" i="34"/>
  <c r="L309" i="34"/>
  <c r="K309" i="34"/>
  <c r="I309" i="34"/>
  <c r="H309" i="34"/>
  <c r="G309" i="34"/>
  <c r="AQ308" i="34"/>
  <c r="AP308" i="34"/>
  <c r="AO308" i="34"/>
  <c r="AN308" i="34"/>
  <c r="AM308" i="34"/>
  <c r="AL308" i="34"/>
  <c r="AK308" i="34"/>
  <c r="AJ308" i="34"/>
  <c r="AI308" i="34"/>
  <c r="AH308" i="34"/>
  <c r="AG308" i="34"/>
  <c r="AF308" i="34"/>
  <c r="AD308" i="34"/>
  <c r="AC308" i="34"/>
  <c r="AB308" i="34"/>
  <c r="Z308" i="34"/>
  <c r="Y308" i="34"/>
  <c r="X308" i="34"/>
  <c r="W308" i="34"/>
  <c r="V308" i="34"/>
  <c r="U308" i="34"/>
  <c r="T308" i="34"/>
  <c r="S308" i="34"/>
  <c r="R308" i="34"/>
  <c r="Q308" i="34"/>
  <c r="P308" i="34"/>
  <c r="O308" i="34"/>
  <c r="N308" i="34"/>
  <c r="M308" i="34"/>
  <c r="L308" i="34"/>
  <c r="K308" i="34"/>
  <c r="I308" i="34"/>
  <c r="H308" i="34"/>
  <c r="G308" i="34"/>
  <c r="AQ307" i="34"/>
  <c r="AP307" i="34"/>
  <c r="AO307" i="34"/>
  <c r="AN307" i="34"/>
  <c r="AM307" i="34"/>
  <c r="AL307" i="34"/>
  <c r="AK307" i="34"/>
  <c r="AJ307" i="34"/>
  <c r="AI307" i="34"/>
  <c r="AH307" i="34"/>
  <c r="AG307" i="34"/>
  <c r="AF307" i="34"/>
  <c r="AD307" i="34"/>
  <c r="AC307" i="34"/>
  <c r="AB307" i="34"/>
  <c r="Z307" i="34"/>
  <c r="Y307" i="34"/>
  <c r="X307" i="34"/>
  <c r="W307" i="34"/>
  <c r="V307" i="34"/>
  <c r="U307" i="34"/>
  <c r="T307" i="34"/>
  <c r="S307" i="34"/>
  <c r="R307" i="34"/>
  <c r="Q307" i="34"/>
  <c r="P307" i="34"/>
  <c r="O307" i="34"/>
  <c r="N307" i="34"/>
  <c r="M307" i="34"/>
  <c r="L307" i="34"/>
  <c r="K307" i="34"/>
  <c r="I307" i="34"/>
  <c r="H307" i="34"/>
  <c r="G307" i="34"/>
  <c r="AQ306" i="34"/>
  <c r="AP306" i="34"/>
  <c r="AO306" i="34"/>
  <c r="AN306" i="34"/>
  <c r="AM306" i="34"/>
  <c r="AL306" i="34"/>
  <c r="AK306" i="34"/>
  <c r="AJ306" i="34"/>
  <c r="AI306" i="34"/>
  <c r="AH306" i="34"/>
  <c r="AG306" i="34"/>
  <c r="AF306" i="34"/>
  <c r="AD306" i="34"/>
  <c r="AC306" i="34"/>
  <c r="AB306" i="34"/>
  <c r="Z306" i="34"/>
  <c r="Y306" i="34"/>
  <c r="X306" i="34"/>
  <c r="W306" i="34"/>
  <c r="V306" i="34"/>
  <c r="U306" i="34"/>
  <c r="T306" i="34"/>
  <c r="S306" i="34"/>
  <c r="R306" i="34"/>
  <c r="Q306" i="34"/>
  <c r="P306" i="34"/>
  <c r="O306" i="34"/>
  <c r="N306" i="34"/>
  <c r="M306" i="34"/>
  <c r="L306" i="34"/>
  <c r="K306" i="34"/>
  <c r="I306" i="34"/>
  <c r="H306" i="34"/>
  <c r="G306" i="34"/>
  <c r="AQ305" i="34"/>
  <c r="AP305" i="34"/>
  <c r="AO305" i="34"/>
  <c r="AN305" i="34"/>
  <c r="AM305" i="34"/>
  <c r="AL305" i="34"/>
  <c r="AK305" i="34"/>
  <c r="AJ305" i="34"/>
  <c r="AI305" i="34"/>
  <c r="AH305" i="34"/>
  <c r="AG305" i="34"/>
  <c r="AF305" i="34"/>
  <c r="AD305" i="34"/>
  <c r="AC305" i="34"/>
  <c r="AB305" i="34"/>
  <c r="Z305" i="34"/>
  <c r="Y305" i="34"/>
  <c r="X305" i="34"/>
  <c r="W305" i="34"/>
  <c r="V305" i="34"/>
  <c r="U305" i="34"/>
  <c r="T305" i="34"/>
  <c r="S305" i="34"/>
  <c r="R305" i="34"/>
  <c r="Q305" i="34"/>
  <c r="P305" i="34"/>
  <c r="O305" i="34"/>
  <c r="N305" i="34"/>
  <c r="M305" i="34"/>
  <c r="L305" i="34"/>
  <c r="K305" i="34"/>
  <c r="I305" i="34"/>
  <c r="H305" i="34"/>
  <c r="G305" i="34"/>
  <c r="AQ304" i="34"/>
  <c r="AP304" i="34"/>
  <c r="AO304" i="34"/>
  <c r="AN304" i="34"/>
  <c r="AM304" i="34"/>
  <c r="AL304" i="34"/>
  <c r="AK304" i="34"/>
  <c r="AJ304" i="34"/>
  <c r="AI304" i="34"/>
  <c r="AH304" i="34"/>
  <c r="AG304" i="34"/>
  <c r="AF304" i="34"/>
  <c r="AD304" i="34"/>
  <c r="AC304" i="34"/>
  <c r="AB304" i="34"/>
  <c r="Z304" i="34"/>
  <c r="Y304" i="34"/>
  <c r="X304" i="34"/>
  <c r="W304" i="34"/>
  <c r="V304" i="34"/>
  <c r="U304" i="34"/>
  <c r="T304" i="34"/>
  <c r="S304" i="34"/>
  <c r="R304" i="34"/>
  <c r="Q304" i="34"/>
  <c r="P304" i="34"/>
  <c r="O304" i="34"/>
  <c r="N304" i="34"/>
  <c r="M304" i="34"/>
  <c r="L304" i="34"/>
  <c r="K304" i="34"/>
  <c r="I304" i="34"/>
  <c r="H304" i="34"/>
  <c r="G304" i="34"/>
  <c r="AQ303" i="34"/>
  <c r="AP303" i="34"/>
  <c r="AO303" i="34"/>
  <c r="AN303" i="34"/>
  <c r="AM303" i="34"/>
  <c r="AL303" i="34"/>
  <c r="AK303" i="34"/>
  <c r="AJ303" i="34"/>
  <c r="AI303" i="34"/>
  <c r="AH303" i="34"/>
  <c r="AG303" i="34"/>
  <c r="AF303" i="34"/>
  <c r="AD303" i="34"/>
  <c r="AC303" i="34"/>
  <c r="AB303" i="34"/>
  <c r="Z303" i="34"/>
  <c r="Y303" i="34"/>
  <c r="X303" i="34"/>
  <c r="W303" i="34"/>
  <c r="V303" i="34"/>
  <c r="U303" i="34"/>
  <c r="T303" i="34"/>
  <c r="S303" i="34"/>
  <c r="R303" i="34"/>
  <c r="Q303" i="34"/>
  <c r="P303" i="34"/>
  <c r="O303" i="34"/>
  <c r="N303" i="34"/>
  <c r="M303" i="34"/>
  <c r="L303" i="34"/>
  <c r="K303" i="34"/>
  <c r="I303" i="34"/>
  <c r="H303" i="34"/>
  <c r="G303" i="34"/>
  <c r="AQ302" i="34"/>
  <c r="AP302" i="34"/>
  <c r="AO302" i="34"/>
  <c r="AN302" i="34"/>
  <c r="AM302" i="34"/>
  <c r="AL302" i="34"/>
  <c r="AK302" i="34"/>
  <c r="AJ302" i="34"/>
  <c r="AI302" i="34"/>
  <c r="AH302" i="34"/>
  <c r="AG302" i="34"/>
  <c r="AF302" i="34"/>
  <c r="AD302" i="34"/>
  <c r="AC302" i="34"/>
  <c r="AB302" i="34"/>
  <c r="Z302" i="34"/>
  <c r="Y302" i="34"/>
  <c r="X302" i="34"/>
  <c r="W302" i="34"/>
  <c r="V302" i="34"/>
  <c r="U302" i="34"/>
  <c r="T302" i="34"/>
  <c r="S302" i="34"/>
  <c r="R302" i="34"/>
  <c r="Q302" i="34"/>
  <c r="P302" i="34"/>
  <c r="O302" i="34"/>
  <c r="N302" i="34"/>
  <c r="M302" i="34"/>
  <c r="L302" i="34"/>
  <c r="K302" i="34"/>
  <c r="I302" i="34"/>
  <c r="H302" i="34"/>
  <c r="G302" i="34"/>
  <c r="AQ301" i="34"/>
  <c r="AP301" i="34"/>
  <c r="AO301" i="34"/>
  <c r="AN301" i="34"/>
  <c r="AM301" i="34"/>
  <c r="AL301" i="34"/>
  <c r="AK301" i="34"/>
  <c r="AJ301" i="34"/>
  <c r="AI301" i="34"/>
  <c r="AH301" i="34"/>
  <c r="AG301" i="34"/>
  <c r="AF301" i="34"/>
  <c r="AD301" i="34"/>
  <c r="AC301" i="34"/>
  <c r="AB301" i="34"/>
  <c r="Z301" i="34"/>
  <c r="Y301" i="34"/>
  <c r="X301" i="34"/>
  <c r="W301" i="34"/>
  <c r="V301" i="34"/>
  <c r="U301" i="34"/>
  <c r="T301" i="34"/>
  <c r="S301" i="34"/>
  <c r="R301" i="34"/>
  <c r="Q301" i="34"/>
  <c r="P301" i="34"/>
  <c r="O301" i="34"/>
  <c r="N301" i="34"/>
  <c r="M301" i="34"/>
  <c r="L301" i="34"/>
  <c r="K301" i="34"/>
  <c r="I301" i="34"/>
  <c r="H301" i="34"/>
  <c r="G301" i="34"/>
  <c r="AQ300" i="34"/>
  <c r="AP300" i="34"/>
  <c r="AO300" i="34"/>
  <c r="AN300" i="34"/>
  <c r="AM300" i="34"/>
  <c r="AL300" i="34"/>
  <c r="AK300" i="34"/>
  <c r="AJ300" i="34"/>
  <c r="AI300" i="34"/>
  <c r="AH300" i="34"/>
  <c r="AG300" i="34"/>
  <c r="AF300" i="34"/>
  <c r="AD300" i="34"/>
  <c r="AC300" i="34"/>
  <c r="AB300" i="34"/>
  <c r="Z300" i="34"/>
  <c r="Y300" i="34"/>
  <c r="X300" i="34"/>
  <c r="W300" i="34"/>
  <c r="V300" i="34"/>
  <c r="U300" i="34"/>
  <c r="T300" i="34"/>
  <c r="S300" i="34"/>
  <c r="R300" i="34"/>
  <c r="Q300" i="34"/>
  <c r="P300" i="34"/>
  <c r="O300" i="34"/>
  <c r="N300" i="34"/>
  <c r="M300" i="34"/>
  <c r="L300" i="34"/>
  <c r="K300" i="34"/>
  <c r="I300" i="34"/>
  <c r="H300" i="34"/>
  <c r="G300" i="34"/>
  <c r="AQ299" i="34"/>
  <c r="AP299" i="34"/>
  <c r="AO299" i="34"/>
  <c r="AN299" i="34"/>
  <c r="AM299" i="34"/>
  <c r="AL299" i="34"/>
  <c r="AK299" i="34"/>
  <c r="AJ299" i="34"/>
  <c r="AI299" i="34"/>
  <c r="AH299" i="34"/>
  <c r="AG299" i="34"/>
  <c r="AF299" i="34"/>
  <c r="AD299" i="34"/>
  <c r="AC299" i="34"/>
  <c r="AB299" i="34"/>
  <c r="Z299" i="34"/>
  <c r="Y299" i="34"/>
  <c r="X299" i="34"/>
  <c r="W299" i="34"/>
  <c r="V299" i="34"/>
  <c r="U299" i="34"/>
  <c r="T299" i="34"/>
  <c r="S299" i="34"/>
  <c r="R299" i="34"/>
  <c r="Q299" i="34"/>
  <c r="P299" i="34"/>
  <c r="O299" i="34"/>
  <c r="N299" i="34"/>
  <c r="M299" i="34"/>
  <c r="L299" i="34"/>
  <c r="K299" i="34"/>
  <c r="I299" i="34"/>
  <c r="H299" i="34"/>
  <c r="G299" i="34"/>
  <c r="AQ298" i="34"/>
  <c r="AP298" i="34"/>
  <c r="AO298" i="34"/>
  <c r="AN298" i="34"/>
  <c r="AM298" i="34"/>
  <c r="AL298" i="34"/>
  <c r="AK298" i="34"/>
  <c r="AJ298" i="34"/>
  <c r="AI298" i="34"/>
  <c r="AH298" i="34"/>
  <c r="AG298" i="34"/>
  <c r="AF298" i="34"/>
  <c r="AD298" i="34"/>
  <c r="AC298" i="34"/>
  <c r="AB298" i="34"/>
  <c r="Z298" i="34"/>
  <c r="Y298" i="34"/>
  <c r="X298" i="34"/>
  <c r="W298" i="34"/>
  <c r="V298" i="34"/>
  <c r="U298" i="34"/>
  <c r="T298" i="34"/>
  <c r="S298" i="34"/>
  <c r="R298" i="34"/>
  <c r="Q298" i="34"/>
  <c r="P298" i="34"/>
  <c r="O298" i="34"/>
  <c r="N298" i="34"/>
  <c r="M298" i="34"/>
  <c r="L298" i="34"/>
  <c r="K298" i="34"/>
  <c r="I298" i="34"/>
  <c r="H298" i="34"/>
  <c r="G298" i="34"/>
  <c r="AQ297" i="34"/>
  <c r="AP297" i="34"/>
  <c r="AO297" i="34"/>
  <c r="AN297" i="34"/>
  <c r="AM297" i="34"/>
  <c r="AL297" i="34"/>
  <c r="AK297" i="34"/>
  <c r="AJ297" i="34"/>
  <c r="AI297" i="34"/>
  <c r="AH297" i="34"/>
  <c r="AG297" i="34"/>
  <c r="AF297" i="34"/>
  <c r="AD297" i="34"/>
  <c r="AC297" i="34"/>
  <c r="AB297" i="34"/>
  <c r="Z297" i="34"/>
  <c r="Y297" i="34"/>
  <c r="X297" i="34"/>
  <c r="W297" i="34"/>
  <c r="V297" i="34"/>
  <c r="U297" i="34"/>
  <c r="T297" i="34"/>
  <c r="S297" i="34"/>
  <c r="R297" i="34"/>
  <c r="Q297" i="34"/>
  <c r="P297" i="34"/>
  <c r="O297" i="34"/>
  <c r="N297" i="34"/>
  <c r="M297" i="34"/>
  <c r="L297" i="34"/>
  <c r="K297" i="34"/>
  <c r="I297" i="34"/>
  <c r="H297" i="34"/>
  <c r="G297" i="34"/>
  <c r="AQ296" i="34"/>
  <c r="AP296" i="34"/>
  <c r="AO296" i="34"/>
  <c r="AN296" i="34"/>
  <c r="AM296" i="34"/>
  <c r="AL296" i="34"/>
  <c r="AK296" i="34"/>
  <c r="AJ296" i="34"/>
  <c r="AI296" i="34"/>
  <c r="AH296" i="34"/>
  <c r="AG296" i="34"/>
  <c r="AF296" i="34"/>
  <c r="AD296" i="34"/>
  <c r="AC296" i="34"/>
  <c r="AB296" i="34"/>
  <c r="Z296" i="34"/>
  <c r="Y296" i="34"/>
  <c r="X296" i="34"/>
  <c r="W296" i="34"/>
  <c r="V296" i="34"/>
  <c r="U296" i="34"/>
  <c r="T296" i="34"/>
  <c r="S296" i="34"/>
  <c r="R296" i="34"/>
  <c r="Q296" i="34"/>
  <c r="P296" i="34"/>
  <c r="O296" i="34"/>
  <c r="N296" i="34"/>
  <c r="M296" i="34"/>
  <c r="L296" i="34"/>
  <c r="K296" i="34"/>
  <c r="I296" i="34"/>
  <c r="H296" i="34"/>
  <c r="G296" i="34"/>
  <c r="AQ295" i="34"/>
  <c r="AP295" i="34"/>
  <c r="AO295" i="34"/>
  <c r="AN295" i="34"/>
  <c r="AM295" i="34"/>
  <c r="AL295" i="34"/>
  <c r="AK295" i="34"/>
  <c r="AJ295" i="34"/>
  <c r="AI295" i="34"/>
  <c r="AH295" i="34"/>
  <c r="AG295" i="34"/>
  <c r="AF295" i="34"/>
  <c r="AD295" i="34"/>
  <c r="AC295" i="34"/>
  <c r="AB295" i="34"/>
  <c r="Z295" i="34"/>
  <c r="Y295" i="34"/>
  <c r="X295" i="34"/>
  <c r="W295" i="34"/>
  <c r="V295" i="34"/>
  <c r="U295" i="34"/>
  <c r="T295" i="34"/>
  <c r="S295" i="34"/>
  <c r="R295" i="34"/>
  <c r="Q295" i="34"/>
  <c r="P295" i="34"/>
  <c r="O295" i="34"/>
  <c r="N295" i="34"/>
  <c r="M295" i="34"/>
  <c r="L295" i="34"/>
  <c r="K295" i="34"/>
  <c r="I295" i="34"/>
  <c r="H295" i="34"/>
  <c r="G295" i="34"/>
  <c r="AQ294" i="34"/>
  <c r="AP294" i="34"/>
  <c r="AO294" i="34"/>
  <c r="AN294" i="34"/>
  <c r="AM294" i="34"/>
  <c r="AL294" i="34"/>
  <c r="AK294" i="34"/>
  <c r="AJ294" i="34"/>
  <c r="AI294" i="34"/>
  <c r="AH294" i="34"/>
  <c r="AG294" i="34"/>
  <c r="AF294" i="34"/>
  <c r="AD294" i="34"/>
  <c r="AC294" i="34"/>
  <c r="AB294" i="34"/>
  <c r="Z294" i="34"/>
  <c r="Y294" i="34"/>
  <c r="X294" i="34"/>
  <c r="W294" i="34"/>
  <c r="V294" i="34"/>
  <c r="U294" i="34"/>
  <c r="T294" i="34"/>
  <c r="S294" i="34"/>
  <c r="R294" i="34"/>
  <c r="Q294" i="34"/>
  <c r="P294" i="34"/>
  <c r="O294" i="34"/>
  <c r="N294" i="34"/>
  <c r="M294" i="34"/>
  <c r="L294" i="34"/>
  <c r="K294" i="34"/>
  <c r="I294" i="34"/>
  <c r="H294" i="34"/>
  <c r="G294" i="34"/>
  <c r="AQ293" i="34"/>
  <c r="AP293" i="34"/>
  <c r="AO293" i="34"/>
  <c r="AN293" i="34"/>
  <c r="AM293" i="34"/>
  <c r="AL293" i="34"/>
  <c r="AK293" i="34"/>
  <c r="AJ293" i="34"/>
  <c r="AI293" i="34"/>
  <c r="AH293" i="34"/>
  <c r="AG293" i="34"/>
  <c r="AF293" i="34"/>
  <c r="AD293" i="34"/>
  <c r="AC293" i="34"/>
  <c r="AB293" i="34"/>
  <c r="Z293" i="34"/>
  <c r="Y293" i="34"/>
  <c r="X293" i="34"/>
  <c r="W293" i="34"/>
  <c r="V293" i="34"/>
  <c r="U293" i="34"/>
  <c r="T293" i="34"/>
  <c r="S293" i="34"/>
  <c r="R293" i="34"/>
  <c r="Q293" i="34"/>
  <c r="P293" i="34"/>
  <c r="O293" i="34"/>
  <c r="N293" i="34"/>
  <c r="M293" i="34"/>
  <c r="L293" i="34"/>
  <c r="K293" i="34"/>
  <c r="I293" i="34"/>
  <c r="H293" i="34"/>
  <c r="G293" i="34"/>
  <c r="AQ292" i="34"/>
  <c r="AP292" i="34"/>
  <c r="AO292" i="34"/>
  <c r="AN292" i="34"/>
  <c r="AM292" i="34"/>
  <c r="AL292" i="34"/>
  <c r="AK292" i="34"/>
  <c r="AJ292" i="34"/>
  <c r="AI292" i="34"/>
  <c r="AH292" i="34"/>
  <c r="AG292" i="34"/>
  <c r="AF292" i="34"/>
  <c r="AD292" i="34"/>
  <c r="AC292" i="34"/>
  <c r="AB292" i="34"/>
  <c r="Z292" i="34"/>
  <c r="Y292" i="34"/>
  <c r="X292" i="34"/>
  <c r="W292" i="34"/>
  <c r="V292" i="34"/>
  <c r="U292" i="34"/>
  <c r="T292" i="34"/>
  <c r="S292" i="34"/>
  <c r="R292" i="34"/>
  <c r="Q292" i="34"/>
  <c r="P292" i="34"/>
  <c r="O292" i="34"/>
  <c r="N292" i="34"/>
  <c r="M292" i="34"/>
  <c r="L292" i="34"/>
  <c r="K292" i="34"/>
  <c r="I292" i="34"/>
  <c r="H292" i="34"/>
  <c r="G292" i="34"/>
  <c r="AQ291" i="34"/>
  <c r="AP291" i="34"/>
  <c r="AO291" i="34"/>
  <c r="AN291" i="34"/>
  <c r="AM291" i="34"/>
  <c r="AL291" i="34"/>
  <c r="AK291" i="34"/>
  <c r="AJ291" i="34"/>
  <c r="AI291" i="34"/>
  <c r="AH291" i="34"/>
  <c r="AG291" i="34"/>
  <c r="AF291" i="34"/>
  <c r="AD291" i="34"/>
  <c r="AC291" i="34"/>
  <c r="AB291" i="34"/>
  <c r="Z291" i="34"/>
  <c r="Y291" i="34"/>
  <c r="X291" i="34"/>
  <c r="W291" i="34"/>
  <c r="V291" i="34"/>
  <c r="U291" i="34"/>
  <c r="T291" i="34"/>
  <c r="S291" i="34"/>
  <c r="R291" i="34"/>
  <c r="Q291" i="34"/>
  <c r="P291" i="34"/>
  <c r="O291" i="34"/>
  <c r="N291" i="34"/>
  <c r="M291" i="34"/>
  <c r="L291" i="34"/>
  <c r="K291" i="34"/>
  <c r="I291" i="34"/>
  <c r="H291" i="34"/>
  <c r="G291" i="34"/>
  <c r="AQ290" i="34"/>
  <c r="AP290" i="34"/>
  <c r="AO290" i="34"/>
  <c r="AN290" i="34"/>
  <c r="AM290" i="34"/>
  <c r="AL290" i="34"/>
  <c r="AK290" i="34"/>
  <c r="AJ290" i="34"/>
  <c r="AI290" i="34"/>
  <c r="AH290" i="34"/>
  <c r="AG290" i="34"/>
  <c r="AF290" i="34"/>
  <c r="AD290" i="34"/>
  <c r="AC290" i="34"/>
  <c r="AB290" i="34"/>
  <c r="Z290" i="34"/>
  <c r="Y290" i="34"/>
  <c r="X290" i="34"/>
  <c r="W290" i="34"/>
  <c r="V290" i="34"/>
  <c r="U290" i="34"/>
  <c r="T290" i="34"/>
  <c r="S290" i="34"/>
  <c r="R290" i="34"/>
  <c r="Q290" i="34"/>
  <c r="P290" i="34"/>
  <c r="O290" i="34"/>
  <c r="N290" i="34"/>
  <c r="M290" i="34"/>
  <c r="L290" i="34"/>
  <c r="K290" i="34"/>
  <c r="I290" i="34"/>
  <c r="H290" i="34"/>
  <c r="G290" i="34"/>
  <c r="AQ289" i="34"/>
  <c r="AP289" i="34"/>
  <c r="AO289" i="34"/>
  <c r="AN289" i="34"/>
  <c r="AM289" i="34"/>
  <c r="AL289" i="34"/>
  <c r="AK289" i="34"/>
  <c r="AJ289" i="34"/>
  <c r="AI289" i="34"/>
  <c r="AH289" i="34"/>
  <c r="AG289" i="34"/>
  <c r="AF289" i="34"/>
  <c r="AD289" i="34"/>
  <c r="AC289" i="34"/>
  <c r="AB289" i="34"/>
  <c r="Z289" i="34"/>
  <c r="Y289" i="34"/>
  <c r="X289" i="34"/>
  <c r="W289" i="34"/>
  <c r="V289" i="34"/>
  <c r="U289" i="34"/>
  <c r="T289" i="34"/>
  <c r="S289" i="34"/>
  <c r="R289" i="34"/>
  <c r="Q289" i="34"/>
  <c r="P289" i="34"/>
  <c r="O289" i="34"/>
  <c r="N289" i="34"/>
  <c r="M289" i="34"/>
  <c r="L289" i="34"/>
  <c r="K289" i="34"/>
  <c r="I289" i="34"/>
  <c r="H289" i="34"/>
  <c r="G289" i="34"/>
  <c r="AQ288" i="34"/>
  <c r="AP288" i="34"/>
  <c r="AO288" i="34"/>
  <c r="AN288" i="34"/>
  <c r="AM288" i="34"/>
  <c r="AL288" i="34"/>
  <c r="AK288" i="34"/>
  <c r="AJ288" i="34"/>
  <c r="AI288" i="34"/>
  <c r="AH288" i="34"/>
  <c r="AG288" i="34"/>
  <c r="AF288" i="34"/>
  <c r="AD288" i="34"/>
  <c r="AC288" i="34"/>
  <c r="AB288" i="34"/>
  <c r="Z288" i="34"/>
  <c r="Y288" i="34"/>
  <c r="X288" i="34"/>
  <c r="W288" i="34"/>
  <c r="V288" i="34"/>
  <c r="U288" i="34"/>
  <c r="T288" i="34"/>
  <c r="S288" i="34"/>
  <c r="R288" i="34"/>
  <c r="Q288" i="34"/>
  <c r="P288" i="34"/>
  <c r="O288" i="34"/>
  <c r="N288" i="34"/>
  <c r="M288" i="34"/>
  <c r="L288" i="34"/>
  <c r="K288" i="34"/>
  <c r="I288" i="34"/>
  <c r="H288" i="34"/>
  <c r="G288" i="34"/>
  <c r="AQ287" i="34"/>
  <c r="AP287" i="34"/>
  <c r="AO287" i="34"/>
  <c r="AN287" i="34"/>
  <c r="AM287" i="34"/>
  <c r="AL287" i="34"/>
  <c r="AK287" i="34"/>
  <c r="AJ287" i="34"/>
  <c r="AI287" i="34"/>
  <c r="AH287" i="34"/>
  <c r="AG287" i="34"/>
  <c r="AF287" i="34"/>
  <c r="AD287" i="34"/>
  <c r="AC287" i="34"/>
  <c r="AB287" i="34"/>
  <c r="Z287" i="34"/>
  <c r="Y287" i="34"/>
  <c r="X287" i="34"/>
  <c r="W287" i="34"/>
  <c r="V287" i="34"/>
  <c r="U287" i="34"/>
  <c r="T287" i="34"/>
  <c r="S287" i="34"/>
  <c r="R287" i="34"/>
  <c r="Q287" i="34"/>
  <c r="P287" i="34"/>
  <c r="O287" i="34"/>
  <c r="N287" i="34"/>
  <c r="M287" i="34"/>
  <c r="L287" i="34"/>
  <c r="K287" i="34"/>
  <c r="I287" i="34"/>
  <c r="H287" i="34"/>
  <c r="G287" i="34"/>
  <c r="AQ286" i="34"/>
  <c r="AP286" i="34"/>
  <c r="AO286" i="34"/>
  <c r="AN286" i="34"/>
  <c r="AM286" i="34"/>
  <c r="AL286" i="34"/>
  <c r="AK286" i="34"/>
  <c r="AJ286" i="34"/>
  <c r="AI286" i="34"/>
  <c r="AH286" i="34"/>
  <c r="AG286" i="34"/>
  <c r="AF286" i="34"/>
  <c r="AD286" i="34"/>
  <c r="AC286" i="34"/>
  <c r="AB286" i="34"/>
  <c r="Z286" i="34"/>
  <c r="Y286" i="34"/>
  <c r="X286" i="34"/>
  <c r="W286" i="34"/>
  <c r="V286" i="34"/>
  <c r="U286" i="34"/>
  <c r="T286" i="34"/>
  <c r="S286" i="34"/>
  <c r="R286" i="34"/>
  <c r="Q286" i="34"/>
  <c r="P286" i="34"/>
  <c r="O286" i="34"/>
  <c r="N286" i="34"/>
  <c r="M286" i="34"/>
  <c r="L286" i="34"/>
  <c r="K286" i="34"/>
  <c r="I286" i="34"/>
  <c r="H286" i="34"/>
  <c r="G286" i="34"/>
  <c r="AQ285" i="34"/>
  <c r="AP285" i="34"/>
  <c r="AO285" i="34"/>
  <c r="AN285" i="34"/>
  <c r="AM285" i="34"/>
  <c r="AL285" i="34"/>
  <c r="AK285" i="34"/>
  <c r="AJ285" i="34"/>
  <c r="AI285" i="34"/>
  <c r="AH285" i="34"/>
  <c r="AG285" i="34"/>
  <c r="AF285" i="34"/>
  <c r="AD285" i="34"/>
  <c r="AC285" i="34"/>
  <c r="AB285" i="34"/>
  <c r="Z285" i="34"/>
  <c r="Y285" i="34"/>
  <c r="X285" i="34"/>
  <c r="W285" i="34"/>
  <c r="V285" i="34"/>
  <c r="U285" i="34"/>
  <c r="T285" i="34"/>
  <c r="S285" i="34"/>
  <c r="R285" i="34"/>
  <c r="Q285" i="34"/>
  <c r="P285" i="34"/>
  <c r="O285" i="34"/>
  <c r="N285" i="34"/>
  <c r="M285" i="34"/>
  <c r="L285" i="34"/>
  <c r="K285" i="34"/>
  <c r="I285" i="34"/>
  <c r="H285" i="34"/>
  <c r="G285" i="34"/>
  <c r="AQ284" i="34"/>
  <c r="AP284" i="34"/>
  <c r="AO284" i="34"/>
  <c r="AN284" i="34"/>
  <c r="AM284" i="34"/>
  <c r="AL284" i="34"/>
  <c r="AK284" i="34"/>
  <c r="AJ284" i="34"/>
  <c r="AI284" i="34"/>
  <c r="AH284" i="34"/>
  <c r="AG284" i="34"/>
  <c r="AF284" i="34"/>
  <c r="AD284" i="34"/>
  <c r="AC284" i="34"/>
  <c r="AB284" i="34"/>
  <c r="Z284" i="34"/>
  <c r="Y284" i="34"/>
  <c r="X284" i="34"/>
  <c r="W284" i="34"/>
  <c r="V284" i="34"/>
  <c r="U284" i="34"/>
  <c r="T284" i="34"/>
  <c r="S284" i="34"/>
  <c r="R284" i="34"/>
  <c r="Q284" i="34"/>
  <c r="P284" i="34"/>
  <c r="O284" i="34"/>
  <c r="N284" i="34"/>
  <c r="M284" i="34"/>
  <c r="L284" i="34"/>
  <c r="K284" i="34"/>
  <c r="I284" i="34"/>
  <c r="H284" i="34"/>
  <c r="G284" i="34"/>
  <c r="AQ283" i="34"/>
  <c r="AP283" i="34"/>
  <c r="AO283" i="34"/>
  <c r="AN283" i="34"/>
  <c r="AM283" i="34"/>
  <c r="AL283" i="34"/>
  <c r="AK283" i="34"/>
  <c r="AJ283" i="34"/>
  <c r="AI283" i="34"/>
  <c r="AH283" i="34"/>
  <c r="AG283" i="34"/>
  <c r="AF283" i="34"/>
  <c r="AD283" i="34"/>
  <c r="AC283" i="34"/>
  <c r="AB283" i="34"/>
  <c r="Z283" i="34"/>
  <c r="Y283" i="34"/>
  <c r="X283" i="34"/>
  <c r="W283" i="34"/>
  <c r="V283" i="34"/>
  <c r="U283" i="34"/>
  <c r="T283" i="34"/>
  <c r="S283" i="34"/>
  <c r="R283" i="34"/>
  <c r="Q283" i="34"/>
  <c r="P283" i="34"/>
  <c r="O283" i="34"/>
  <c r="N283" i="34"/>
  <c r="M283" i="34"/>
  <c r="L283" i="34"/>
  <c r="K283" i="34"/>
  <c r="I283" i="34"/>
  <c r="H283" i="34"/>
  <c r="G283" i="34"/>
  <c r="AQ282" i="34"/>
  <c r="AP282" i="34"/>
  <c r="AO282" i="34"/>
  <c r="AN282" i="34"/>
  <c r="AM282" i="34"/>
  <c r="AL282" i="34"/>
  <c r="AK282" i="34"/>
  <c r="AJ282" i="34"/>
  <c r="AI282" i="34"/>
  <c r="AH282" i="34"/>
  <c r="AG282" i="34"/>
  <c r="AF282" i="34"/>
  <c r="AD282" i="34"/>
  <c r="AC282" i="34"/>
  <c r="AB282" i="34"/>
  <c r="Z282" i="34"/>
  <c r="Y282" i="34"/>
  <c r="X282" i="34"/>
  <c r="W282" i="34"/>
  <c r="V282" i="34"/>
  <c r="U282" i="34"/>
  <c r="T282" i="34"/>
  <c r="S282" i="34"/>
  <c r="R282" i="34"/>
  <c r="Q282" i="34"/>
  <c r="P282" i="34"/>
  <c r="O282" i="34"/>
  <c r="N282" i="34"/>
  <c r="M282" i="34"/>
  <c r="L282" i="34"/>
  <c r="K282" i="34"/>
  <c r="I282" i="34"/>
  <c r="H282" i="34"/>
  <c r="G282" i="34"/>
  <c r="AQ281" i="34"/>
  <c r="AP281" i="34"/>
  <c r="AO281" i="34"/>
  <c r="AN281" i="34"/>
  <c r="AM281" i="34"/>
  <c r="AL281" i="34"/>
  <c r="AK281" i="34"/>
  <c r="AJ281" i="34"/>
  <c r="AI281" i="34"/>
  <c r="AH281" i="34"/>
  <c r="AG281" i="34"/>
  <c r="AF281" i="34"/>
  <c r="AD281" i="34"/>
  <c r="AC281" i="34"/>
  <c r="AB281" i="34"/>
  <c r="Z281" i="34"/>
  <c r="Y281" i="34"/>
  <c r="X281" i="34"/>
  <c r="W281" i="34"/>
  <c r="V281" i="34"/>
  <c r="U281" i="34"/>
  <c r="T281" i="34"/>
  <c r="S281" i="34"/>
  <c r="R281" i="34"/>
  <c r="Q281" i="34"/>
  <c r="P281" i="34"/>
  <c r="O281" i="34"/>
  <c r="N281" i="34"/>
  <c r="M281" i="34"/>
  <c r="L281" i="34"/>
  <c r="K281" i="34"/>
  <c r="I281" i="34"/>
  <c r="H281" i="34"/>
  <c r="G281" i="34"/>
  <c r="AQ280" i="34"/>
  <c r="AP280" i="34"/>
  <c r="AO280" i="34"/>
  <c r="AN280" i="34"/>
  <c r="AM280" i="34"/>
  <c r="AL280" i="34"/>
  <c r="AK280" i="34"/>
  <c r="AJ280" i="34"/>
  <c r="AI280" i="34"/>
  <c r="AH280" i="34"/>
  <c r="AG280" i="34"/>
  <c r="AF280" i="34"/>
  <c r="AD280" i="34"/>
  <c r="AC280" i="34"/>
  <c r="AB280" i="34"/>
  <c r="Z280" i="34"/>
  <c r="Y280" i="34"/>
  <c r="X280" i="34"/>
  <c r="W280" i="34"/>
  <c r="V280" i="34"/>
  <c r="U280" i="34"/>
  <c r="T280" i="34"/>
  <c r="S280" i="34"/>
  <c r="R280" i="34"/>
  <c r="Q280" i="34"/>
  <c r="P280" i="34"/>
  <c r="O280" i="34"/>
  <c r="N280" i="34"/>
  <c r="M280" i="34"/>
  <c r="L280" i="34"/>
  <c r="K280" i="34"/>
  <c r="I280" i="34"/>
  <c r="H280" i="34"/>
  <c r="G280" i="34"/>
  <c r="AQ279" i="34"/>
  <c r="AP279" i="34"/>
  <c r="AO279" i="34"/>
  <c r="AN279" i="34"/>
  <c r="AM279" i="34"/>
  <c r="AL279" i="34"/>
  <c r="AK279" i="34"/>
  <c r="AJ279" i="34"/>
  <c r="AI279" i="34"/>
  <c r="AH279" i="34"/>
  <c r="AG279" i="34"/>
  <c r="AF279" i="34"/>
  <c r="AD279" i="34"/>
  <c r="AC279" i="34"/>
  <c r="AB279" i="34"/>
  <c r="Z279" i="34"/>
  <c r="Y279" i="34"/>
  <c r="X279" i="34"/>
  <c r="W279" i="34"/>
  <c r="V279" i="34"/>
  <c r="U279" i="34"/>
  <c r="T279" i="34"/>
  <c r="S279" i="34"/>
  <c r="R279" i="34"/>
  <c r="Q279" i="34"/>
  <c r="P279" i="34"/>
  <c r="O279" i="34"/>
  <c r="N279" i="34"/>
  <c r="M279" i="34"/>
  <c r="L279" i="34"/>
  <c r="K279" i="34"/>
  <c r="I279" i="34"/>
  <c r="H279" i="34"/>
  <c r="G279" i="34"/>
  <c r="AQ278" i="34"/>
  <c r="AP278" i="34"/>
  <c r="AO278" i="34"/>
  <c r="AN278" i="34"/>
  <c r="AM278" i="34"/>
  <c r="AL278" i="34"/>
  <c r="AK278" i="34"/>
  <c r="AJ278" i="34"/>
  <c r="AI278" i="34"/>
  <c r="AH278" i="34"/>
  <c r="AG278" i="34"/>
  <c r="AF278" i="34"/>
  <c r="AD278" i="34"/>
  <c r="AC278" i="34"/>
  <c r="AB278" i="34"/>
  <c r="Z278" i="34"/>
  <c r="Y278" i="34"/>
  <c r="X278" i="34"/>
  <c r="W278" i="34"/>
  <c r="V278" i="34"/>
  <c r="U278" i="34"/>
  <c r="T278" i="34"/>
  <c r="S278" i="34"/>
  <c r="R278" i="34"/>
  <c r="Q278" i="34"/>
  <c r="P278" i="34"/>
  <c r="O278" i="34"/>
  <c r="N278" i="34"/>
  <c r="M278" i="34"/>
  <c r="L278" i="34"/>
  <c r="K278" i="34"/>
  <c r="I278" i="34"/>
  <c r="H278" i="34"/>
  <c r="G278" i="34"/>
  <c r="AQ277" i="34"/>
  <c r="AP277" i="34"/>
  <c r="AO277" i="34"/>
  <c r="AN277" i="34"/>
  <c r="AM277" i="34"/>
  <c r="AL277" i="34"/>
  <c r="AK277" i="34"/>
  <c r="AJ277" i="34"/>
  <c r="AI277" i="34"/>
  <c r="AH277" i="34"/>
  <c r="AG277" i="34"/>
  <c r="AF277" i="34"/>
  <c r="AD277" i="34"/>
  <c r="AC277" i="34"/>
  <c r="AB277" i="34"/>
  <c r="Z277" i="34"/>
  <c r="Y277" i="34"/>
  <c r="X277" i="34"/>
  <c r="W277" i="34"/>
  <c r="V277" i="34"/>
  <c r="U277" i="34"/>
  <c r="T277" i="34"/>
  <c r="S277" i="34"/>
  <c r="R277" i="34"/>
  <c r="Q277" i="34"/>
  <c r="P277" i="34"/>
  <c r="O277" i="34"/>
  <c r="N277" i="34"/>
  <c r="M277" i="34"/>
  <c r="L277" i="34"/>
  <c r="K277" i="34"/>
  <c r="I277" i="34"/>
  <c r="H277" i="34"/>
  <c r="G277" i="34"/>
  <c r="AQ276" i="34"/>
  <c r="AP276" i="34"/>
  <c r="AO276" i="34"/>
  <c r="AN276" i="34"/>
  <c r="AM276" i="34"/>
  <c r="AL276" i="34"/>
  <c r="AK276" i="34"/>
  <c r="AJ276" i="34"/>
  <c r="AI276" i="34"/>
  <c r="AH276" i="34"/>
  <c r="AG276" i="34"/>
  <c r="AF276" i="34"/>
  <c r="AD276" i="34"/>
  <c r="AC276" i="34"/>
  <c r="AB276" i="34"/>
  <c r="Z276" i="34"/>
  <c r="Y276" i="34"/>
  <c r="X276" i="34"/>
  <c r="W276" i="34"/>
  <c r="V276" i="34"/>
  <c r="U276" i="34"/>
  <c r="T276" i="34"/>
  <c r="S276" i="34"/>
  <c r="R276" i="34"/>
  <c r="Q276" i="34"/>
  <c r="P276" i="34"/>
  <c r="O276" i="34"/>
  <c r="N276" i="34"/>
  <c r="M276" i="34"/>
  <c r="L276" i="34"/>
  <c r="K276" i="34"/>
  <c r="I276" i="34"/>
  <c r="H276" i="34"/>
  <c r="G276" i="34"/>
  <c r="AQ275" i="34"/>
  <c r="AP275" i="34"/>
  <c r="AO275" i="34"/>
  <c r="AN275" i="34"/>
  <c r="AM275" i="34"/>
  <c r="AL275" i="34"/>
  <c r="AK275" i="34"/>
  <c r="AJ275" i="34"/>
  <c r="AI275" i="34"/>
  <c r="AH275" i="34"/>
  <c r="AG275" i="34"/>
  <c r="AF275" i="34"/>
  <c r="AD275" i="34"/>
  <c r="AC275" i="34"/>
  <c r="AB275" i="34"/>
  <c r="Z275" i="34"/>
  <c r="Y275" i="34"/>
  <c r="X275" i="34"/>
  <c r="W275" i="34"/>
  <c r="V275" i="34"/>
  <c r="U275" i="34"/>
  <c r="T275" i="34"/>
  <c r="S275" i="34"/>
  <c r="R275" i="34"/>
  <c r="Q275" i="34"/>
  <c r="P275" i="34"/>
  <c r="O275" i="34"/>
  <c r="N275" i="34"/>
  <c r="M275" i="34"/>
  <c r="L275" i="34"/>
  <c r="K275" i="34"/>
  <c r="I275" i="34"/>
  <c r="H275" i="34"/>
  <c r="G275" i="34"/>
  <c r="AQ274" i="34"/>
  <c r="AP274" i="34"/>
  <c r="AO274" i="34"/>
  <c r="AN274" i="34"/>
  <c r="AM274" i="34"/>
  <c r="AL274" i="34"/>
  <c r="AK274" i="34"/>
  <c r="AJ274" i="34"/>
  <c r="AI274" i="34"/>
  <c r="AH274" i="34"/>
  <c r="AG274" i="34"/>
  <c r="AF274" i="34"/>
  <c r="AD274" i="34"/>
  <c r="AC274" i="34"/>
  <c r="AB274" i="34"/>
  <c r="Z274" i="34"/>
  <c r="Y274" i="34"/>
  <c r="X274" i="34"/>
  <c r="W274" i="34"/>
  <c r="V274" i="34"/>
  <c r="U274" i="34"/>
  <c r="T274" i="34"/>
  <c r="S274" i="34"/>
  <c r="R274" i="34"/>
  <c r="Q274" i="34"/>
  <c r="P274" i="34"/>
  <c r="O274" i="34"/>
  <c r="N274" i="34"/>
  <c r="M274" i="34"/>
  <c r="L274" i="34"/>
  <c r="K274" i="34"/>
  <c r="I274" i="34"/>
  <c r="H274" i="34"/>
  <c r="G274" i="34"/>
  <c r="AQ273" i="34"/>
  <c r="AP273" i="34"/>
  <c r="AO273" i="34"/>
  <c r="AN273" i="34"/>
  <c r="AM273" i="34"/>
  <c r="AL273" i="34"/>
  <c r="AK273" i="34"/>
  <c r="AJ273" i="34"/>
  <c r="AI273" i="34"/>
  <c r="AH273" i="34"/>
  <c r="AG273" i="34"/>
  <c r="AF273" i="34"/>
  <c r="AD273" i="34"/>
  <c r="AC273" i="34"/>
  <c r="AB273" i="34"/>
  <c r="Z273" i="34"/>
  <c r="Y273" i="34"/>
  <c r="X273" i="34"/>
  <c r="W273" i="34"/>
  <c r="V273" i="34"/>
  <c r="U273" i="34"/>
  <c r="T273" i="34"/>
  <c r="S273" i="34"/>
  <c r="R273" i="34"/>
  <c r="Q273" i="34"/>
  <c r="P273" i="34"/>
  <c r="O273" i="34"/>
  <c r="N273" i="34"/>
  <c r="M273" i="34"/>
  <c r="L273" i="34"/>
  <c r="K273" i="34"/>
  <c r="I273" i="34"/>
  <c r="H273" i="34"/>
  <c r="G273" i="34"/>
  <c r="AQ272" i="34"/>
  <c r="AP272" i="34"/>
  <c r="AO272" i="34"/>
  <c r="AN272" i="34"/>
  <c r="AM272" i="34"/>
  <c r="AL272" i="34"/>
  <c r="AK272" i="34"/>
  <c r="AJ272" i="34"/>
  <c r="AI272" i="34"/>
  <c r="AH272" i="34"/>
  <c r="AG272" i="34"/>
  <c r="AF272" i="34"/>
  <c r="AD272" i="34"/>
  <c r="AC272" i="34"/>
  <c r="AB272" i="34"/>
  <c r="Z272" i="34"/>
  <c r="Y272" i="34"/>
  <c r="X272" i="34"/>
  <c r="W272" i="34"/>
  <c r="V272" i="34"/>
  <c r="U272" i="34"/>
  <c r="T272" i="34"/>
  <c r="S272" i="34"/>
  <c r="R272" i="34"/>
  <c r="Q272" i="34"/>
  <c r="P272" i="34"/>
  <c r="O272" i="34"/>
  <c r="N272" i="34"/>
  <c r="M272" i="34"/>
  <c r="L272" i="34"/>
  <c r="K272" i="34"/>
  <c r="I272" i="34"/>
  <c r="H272" i="34"/>
  <c r="G272" i="34"/>
  <c r="AQ271" i="34"/>
  <c r="AP271" i="34"/>
  <c r="AO271" i="34"/>
  <c r="AN271" i="34"/>
  <c r="AM271" i="34"/>
  <c r="AL271" i="34"/>
  <c r="AK271" i="34"/>
  <c r="AJ271" i="34"/>
  <c r="AI271" i="34"/>
  <c r="AH271" i="34"/>
  <c r="AG271" i="34"/>
  <c r="AF271" i="34"/>
  <c r="AD271" i="34"/>
  <c r="AC271" i="34"/>
  <c r="AB271" i="34"/>
  <c r="Z271" i="34"/>
  <c r="Y271" i="34"/>
  <c r="X271" i="34"/>
  <c r="W271" i="34"/>
  <c r="V271" i="34"/>
  <c r="U271" i="34"/>
  <c r="T271" i="34"/>
  <c r="S271" i="34"/>
  <c r="R271" i="34"/>
  <c r="Q271" i="34"/>
  <c r="P271" i="34"/>
  <c r="O271" i="34"/>
  <c r="N271" i="34"/>
  <c r="M271" i="34"/>
  <c r="L271" i="34"/>
  <c r="K271" i="34"/>
  <c r="I271" i="34"/>
  <c r="H271" i="34"/>
  <c r="G271" i="34"/>
  <c r="AQ270" i="34"/>
  <c r="AP270" i="34"/>
  <c r="AO270" i="34"/>
  <c r="AN270" i="34"/>
  <c r="AM270" i="34"/>
  <c r="AL270" i="34"/>
  <c r="AK270" i="34"/>
  <c r="AJ270" i="34"/>
  <c r="AI270" i="34"/>
  <c r="AH270" i="34"/>
  <c r="AG270" i="34"/>
  <c r="AF270" i="34"/>
  <c r="AD270" i="34"/>
  <c r="AC270" i="34"/>
  <c r="AB270" i="34"/>
  <c r="Z270" i="34"/>
  <c r="Y270" i="34"/>
  <c r="X270" i="34"/>
  <c r="W270" i="34"/>
  <c r="V270" i="34"/>
  <c r="U270" i="34"/>
  <c r="T270" i="34"/>
  <c r="S270" i="34"/>
  <c r="R270" i="34"/>
  <c r="Q270" i="34"/>
  <c r="P270" i="34"/>
  <c r="O270" i="34"/>
  <c r="N270" i="34"/>
  <c r="M270" i="34"/>
  <c r="L270" i="34"/>
  <c r="K270" i="34"/>
  <c r="I270" i="34"/>
  <c r="H270" i="34"/>
  <c r="G270" i="34"/>
  <c r="AQ269" i="34"/>
  <c r="AP269" i="34"/>
  <c r="AO269" i="34"/>
  <c r="AN269" i="34"/>
  <c r="AM269" i="34"/>
  <c r="AL269" i="34"/>
  <c r="AK269" i="34"/>
  <c r="AJ269" i="34"/>
  <c r="AI269" i="34"/>
  <c r="AH269" i="34"/>
  <c r="AG269" i="34"/>
  <c r="AF269" i="34"/>
  <c r="AD269" i="34"/>
  <c r="AC269" i="34"/>
  <c r="AB269" i="34"/>
  <c r="Z269" i="34"/>
  <c r="Y269" i="34"/>
  <c r="X269" i="34"/>
  <c r="W269" i="34"/>
  <c r="V269" i="34"/>
  <c r="U269" i="34"/>
  <c r="T269" i="34"/>
  <c r="S269" i="34"/>
  <c r="R269" i="34"/>
  <c r="Q269" i="34"/>
  <c r="P269" i="34"/>
  <c r="O269" i="34"/>
  <c r="N269" i="34"/>
  <c r="M269" i="34"/>
  <c r="L269" i="34"/>
  <c r="K269" i="34"/>
  <c r="I269" i="34"/>
  <c r="H269" i="34"/>
  <c r="G269" i="34"/>
  <c r="AQ268" i="34"/>
  <c r="AP268" i="34"/>
  <c r="AO268" i="34"/>
  <c r="AN268" i="34"/>
  <c r="AM268" i="34"/>
  <c r="AL268" i="34"/>
  <c r="AK268" i="34"/>
  <c r="AJ268" i="34"/>
  <c r="AI268" i="34"/>
  <c r="AH268" i="34"/>
  <c r="AG268" i="34"/>
  <c r="AF268" i="34"/>
  <c r="AD268" i="34"/>
  <c r="AC268" i="34"/>
  <c r="AB268" i="34"/>
  <c r="Z268" i="34"/>
  <c r="Y268" i="34"/>
  <c r="X268" i="34"/>
  <c r="W268" i="34"/>
  <c r="V268" i="34"/>
  <c r="U268" i="34"/>
  <c r="T268" i="34"/>
  <c r="S268" i="34"/>
  <c r="R268" i="34"/>
  <c r="Q268" i="34"/>
  <c r="P268" i="34"/>
  <c r="O268" i="34"/>
  <c r="N268" i="34"/>
  <c r="M268" i="34"/>
  <c r="L268" i="34"/>
  <c r="K268" i="34"/>
  <c r="I268" i="34"/>
  <c r="H268" i="34"/>
  <c r="G268" i="34"/>
  <c r="AQ267" i="34"/>
  <c r="AP267" i="34"/>
  <c r="AO267" i="34"/>
  <c r="AN267" i="34"/>
  <c r="AM267" i="34"/>
  <c r="AL267" i="34"/>
  <c r="AK267" i="34"/>
  <c r="AJ267" i="34"/>
  <c r="AI267" i="34"/>
  <c r="AH267" i="34"/>
  <c r="AG267" i="34"/>
  <c r="AF267" i="34"/>
  <c r="AD267" i="34"/>
  <c r="AC267" i="34"/>
  <c r="AB267" i="34"/>
  <c r="Z267" i="34"/>
  <c r="Y267" i="34"/>
  <c r="X267" i="34"/>
  <c r="W267" i="34"/>
  <c r="V267" i="34"/>
  <c r="U267" i="34"/>
  <c r="T267" i="34"/>
  <c r="S267" i="34"/>
  <c r="R267" i="34"/>
  <c r="Q267" i="34"/>
  <c r="P267" i="34"/>
  <c r="O267" i="34"/>
  <c r="N267" i="34"/>
  <c r="M267" i="34"/>
  <c r="L267" i="34"/>
  <c r="K267" i="34"/>
  <c r="I267" i="34"/>
  <c r="H267" i="34"/>
  <c r="G267" i="34"/>
  <c r="AQ266" i="34"/>
  <c r="AP266" i="34"/>
  <c r="AO266" i="34"/>
  <c r="AN266" i="34"/>
  <c r="AM266" i="34"/>
  <c r="AL266" i="34"/>
  <c r="AK266" i="34"/>
  <c r="AJ266" i="34"/>
  <c r="AI266" i="34"/>
  <c r="AH266" i="34"/>
  <c r="AG266" i="34"/>
  <c r="AF266" i="34"/>
  <c r="AD266" i="34"/>
  <c r="AC266" i="34"/>
  <c r="AB266" i="34"/>
  <c r="Z266" i="34"/>
  <c r="Y266" i="34"/>
  <c r="X266" i="34"/>
  <c r="W266" i="34"/>
  <c r="V266" i="34"/>
  <c r="U266" i="34"/>
  <c r="T266" i="34"/>
  <c r="S266" i="34"/>
  <c r="R266" i="34"/>
  <c r="Q266" i="34"/>
  <c r="P266" i="34"/>
  <c r="O266" i="34"/>
  <c r="N266" i="34"/>
  <c r="M266" i="34"/>
  <c r="L266" i="34"/>
  <c r="K266" i="34"/>
  <c r="I266" i="34"/>
  <c r="H266" i="34"/>
  <c r="G266" i="34"/>
  <c r="AQ265" i="34"/>
  <c r="AP265" i="34"/>
  <c r="AO265" i="34"/>
  <c r="AN265" i="34"/>
  <c r="AM265" i="34"/>
  <c r="AL265" i="34"/>
  <c r="AK265" i="34"/>
  <c r="AJ265" i="34"/>
  <c r="AI265" i="34"/>
  <c r="AH265" i="34"/>
  <c r="AG265" i="34"/>
  <c r="AF265" i="34"/>
  <c r="AD265" i="34"/>
  <c r="AC265" i="34"/>
  <c r="AB265" i="34"/>
  <c r="Z265" i="34"/>
  <c r="Y265" i="34"/>
  <c r="X265" i="34"/>
  <c r="W265" i="34"/>
  <c r="V265" i="34"/>
  <c r="U265" i="34"/>
  <c r="T265" i="34"/>
  <c r="S265" i="34"/>
  <c r="R265" i="34"/>
  <c r="Q265" i="34"/>
  <c r="P265" i="34"/>
  <c r="O265" i="34"/>
  <c r="N265" i="34"/>
  <c r="M265" i="34"/>
  <c r="L265" i="34"/>
  <c r="K265" i="34"/>
  <c r="I265" i="34"/>
  <c r="H265" i="34"/>
  <c r="G265" i="34"/>
  <c r="AQ264" i="34"/>
  <c r="AP264" i="34"/>
  <c r="AO264" i="34"/>
  <c r="AN264" i="34"/>
  <c r="AM264" i="34"/>
  <c r="AL264" i="34"/>
  <c r="AK264" i="34"/>
  <c r="AJ264" i="34"/>
  <c r="AI264" i="34"/>
  <c r="AH264" i="34"/>
  <c r="AG264" i="34"/>
  <c r="AF264" i="34"/>
  <c r="AD264" i="34"/>
  <c r="AC264" i="34"/>
  <c r="AB264" i="34"/>
  <c r="Z264" i="34"/>
  <c r="Y264" i="34"/>
  <c r="X264" i="34"/>
  <c r="W264" i="34"/>
  <c r="V264" i="34"/>
  <c r="U264" i="34"/>
  <c r="T264" i="34"/>
  <c r="S264" i="34"/>
  <c r="R264" i="34"/>
  <c r="Q264" i="34"/>
  <c r="P264" i="34"/>
  <c r="O264" i="34"/>
  <c r="N264" i="34"/>
  <c r="M264" i="34"/>
  <c r="L264" i="34"/>
  <c r="K264" i="34"/>
  <c r="I264" i="34"/>
  <c r="H264" i="34"/>
  <c r="G264" i="34"/>
  <c r="AQ263" i="34"/>
  <c r="AP263" i="34"/>
  <c r="AO263" i="34"/>
  <c r="AN263" i="34"/>
  <c r="AM263" i="34"/>
  <c r="AL263" i="34"/>
  <c r="AK263" i="34"/>
  <c r="AJ263" i="34"/>
  <c r="AI263" i="34"/>
  <c r="AH263" i="34"/>
  <c r="AG263" i="34"/>
  <c r="AF263" i="34"/>
  <c r="AD263" i="34"/>
  <c r="AC263" i="34"/>
  <c r="AB263" i="34"/>
  <c r="Z263" i="34"/>
  <c r="Y263" i="34"/>
  <c r="X263" i="34"/>
  <c r="W263" i="34"/>
  <c r="V263" i="34"/>
  <c r="U263" i="34"/>
  <c r="T263" i="34"/>
  <c r="S263" i="34"/>
  <c r="R263" i="34"/>
  <c r="Q263" i="34"/>
  <c r="P263" i="34"/>
  <c r="O263" i="34"/>
  <c r="N263" i="34"/>
  <c r="M263" i="34"/>
  <c r="L263" i="34"/>
  <c r="K263" i="34"/>
  <c r="I263" i="34"/>
  <c r="H263" i="34"/>
  <c r="G263" i="34"/>
  <c r="AQ262" i="34"/>
  <c r="AP262" i="34"/>
  <c r="AO262" i="34"/>
  <c r="AN262" i="34"/>
  <c r="AM262" i="34"/>
  <c r="AL262" i="34"/>
  <c r="AK262" i="34"/>
  <c r="AJ262" i="34"/>
  <c r="AI262" i="34"/>
  <c r="AH262" i="34"/>
  <c r="AG262" i="34"/>
  <c r="AF262" i="34"/>
  <c r="AD262" i="34"/>
  <c r="AC262" i="34"/>
  <c r="AB262" i="34"/>
  <c r="Z262" i="34"/>
  <c r="Y262" i="34"/>
  <c r="X262" i="34"/>
  <c r="W262" i="34"/>
  <c r="V262" i="34"/>
  <c r="U262" i="34"/>
  <c r="T262" i="34"/>
  <c r="S262" i="34"/>
  <c r="R262" i="34"/>
  <c r="Q262" i="34"/>
  <c r="P262" i="34"/>
  <c r="O262" i="34"/>
  <c r="N262" i="34"/>
  <c r="M262" i="34"/>
  <c r="L262" i="34"/>
  <c r="K262" i="34"/>
  <c r="I262" i="34"/>
  <c r="H262" i="34"/>
  <c r="G262" i="34"/>
  <c r="AQ261" i="34"/>
  <c r="AP261" i="34"/>
  <c r="AO261" i="34"/>
  <c r="AN261" i="34"/>
  <c r="AM261" i="34"/>
  <c r="AL261" i="34"/>
  <c r="AK261" i="34"/>
  <c r="AJ261" i="34"/>
  <c r="AI261" i="34"/>
  <c r="AH261" i="34"/>
  <c r="AG261" i="34"/>
  <c r="AF261" i="34"/>
  <c r="AD261" i="34"/>
  <c r="AC261" i="34"/>
  <c r="AB261" i="34"/>
  <c r="Z261" i="34"/>
  <c r="Y261" i="34"/>
  <c r="X261" i="34"/>
  <c r="W261" i="34"/>
  <c r="V261" i="34"/>
  <c r="U261" i="34"/>
  <c r="T261" i="34"/>
  <c r="S261" i="34"/>
  <c r="R261" i="34"/>
  <c r="Q261" i="34"/>
  <c r="P261" i="34"/>
  <c r="O261" i="34"/>
  <c r="N261" i="34"/>
  <c r="M261" i="34"/>
  <c r="L261" i="34"/>
  <c r="K261" i="34"/>
  <c r="I261" i="34"/>
  <c r="H261" i="34"/>
  <c r="G261" i="34"/>
  <c r="AQ260" i="34"/>
  <c r="AP260" i="34"/>
  <c r="AO260" i="34"/>
  <c r="AN260" i="34"/>
  <c r="AM260" i="34"/>
  <c r="AL260" i="34"/>
  <c r="AK260" i="34"/>
  <c r="AJ260" i="34"/>
  <c r="AI260" i="34"/>
  <c r="AH260" i="34"/>
  <c r="AG260" i="34"/>
  <c r="AF260" i="34"/>
  <c r="AD260" i="34"/>
  <c r="AC260" i="34"/>
  <c r="AB260" i="34"/>
  <c r="Z260" i="34"/>
  <c r="Y260" i="34"/>
  <c r="X260" i="34"/>
  <c r="W260" i="34"/>
  <c r="V260" i="34"/>
  <c r="U260" i="34"/>
  <c r="T260" i="34"/>
  <c r="S260" i="34"/>
  <c r="R260" i="34"/>
  <c r="Q260" i="34"/>
  <c r="P260" i="34"/>
  <c r="O260" i="34"/>
  <c r="N260" i="34"/>
  <c r="M260" i="34"/>
  <c r="L260" i="34"/>
  <c r="K260" i="34"/>
  <c r="I260" i="34"/>
  <c r="H260" i="34"/>
  <c r="G260" i="34"/>
  <c r="AQ259" i="34"/>
  <c r="AP259" i="34"/>
  <c r="AO259" i="34"/>
  <c r="AN259" i="34"/>
  <c r="AM259" i="34"/>
  <c r="AL259" i="34"/>
  <c r="AK259" i="34"/>
  <c r="AJ259" i="34"/>
  <c r="AI259" i="34"/>
  <c r="AH259" i="34"/>
  <c r="AG259" i="34"/>
  <c r="AF259" i="34"/>
  <c r="AD259" i="34"/>
  <c r="AC259" i="34"/>
  <c r="AB259" i="34"/>
  <c r="Z259" i="34"/>
  <c r="Y259" i="34"/>
  <c r="X259" i="34"/>
  <c r="W259" i="34"/>
  <c r="V259" i="34"/>
  <c r="U259" i="34"/>
  <c r="T259" i="34"/>
  <c r="S259" i="34"/>
  <c r="R259" i="34"/>
  <c r="Q259" i="34"/>
  <c r="P259" i="34"/>
  <c r="O259" i="34"/>
  <c r="N259" i="34"/>
  <c r="M259" i="34"/>
  <c r="L259" i="34"/>
  <c r="K259" i="34"/>
  <c r="I259" i="34"/>
  <c r="H259" i="34"/>
  <c r="G259" i="34"/>
  <c r="AQ258" i="34"/>
  <c r="AP258" i="34"/>
  <c r="AO258" i="34"/>
  <c r="AN258" i="34"/>
  <c r="AM258" i="34"/>
  <c r="AL258" i="34"/>
  <c r="AK258" i="34"/>
  <c r="AJ258" i="34"/>
  <c r="AI258" i="34"/>
  <c r="AH258" i="34"/>
  <c r="AG258" i="34"/>
  <c r="AF258" i="34"/>
  <c r="AD258" i="34"/>
  <c r="AC258" i="34"/>
  <c r="AB258" i="34"/>
  <c r="Z258" i="34"/>
  <c r="Y258" i="34"/>
  <c r="X258" i="34"/>
  <c r="W258" i="34"/>
  <c r="V258" i="34"/>
  <c r="U258" i="34"/>
  <c r="T258" i="34"/>
  <c r="S258" i="34"/>
  <c r="R258" i="34"/>
  <c r="Q258" i="34"/>
  <c r="P258" i="34"/>
  <c r="O258" i="34"/>
  <c r="N258" i="34"/>
  <c r="M258" i="34"/>
  <c r="L258" i="34"/>
  <c r="K258" i="34"/>
  <c r="I258" i="34"/>
  <c r="H258" i="34"/>
  <c r="G258" i="34"/>
  <c r="AQ257" i="34"/>
  <c r="AP257" i="34"/>
  <c r="AO257" i="34"/>
  <c r="AN257" i="34"/>
  <c r="AM257" i="34"/>
  <c r="AL257" i="34"/>
  <c r="AK257" i="34"/>
  <c r="AJ257" i="34"/>
  <c r="AI257" i="34"/>
  <c r="AH257" i="34"/>
  <c r="AG257" i="34"/>
  <c r="AF257" i="34"/>
  <c r="AD257" i="34"/>
  <c r="AC257" i="34"/>
  <c r="AB257" i="34"/>
  <c r="Z257" i="34"/>
  <c r="Y257" i="34"/>
  <c r="X257" i="34"/>
  <c r="W257" i="34"/>
  <c r="V257" i="34"/>
  <c r="U257" i="34"/>
  <c r="T257" i="34"/>
  <c r="S257" i="34"/>
  <c r="R257" i="34"/>
  <c r="Q257" i="34"/>
  <c r="P257" i="34"/>
  <c r="O257" i="34"/>
  <c r="N257" i="34"/>
  <c r="M257" i="34"/>
  <c r="L257" i="34"/>
  <c r="K257" i="34"/>
  <c r="I257" i="34"/>
  <c r="H257" i="34"/>
  <c r="G257" i="34"/>
  <c r="AQ256" i="34"/>
  <c r="AP256" i="34"/>
  <c r="AO256" i="34"/>
  <c r="AN256" i="34"/>
  <c r="AM256" i="34"/>
  <c r="AL256" i="34"/>
  <c r="AK256" i="34"/>
  <c r="AJ256" i="34"/>
  <c r="AI256" i="34"/>
  <c r="AH256" i="34"/>
  <c r="AG256" i="34"/>
  <c r="AF256" i="34"/>
  <c r="AD256" i="34"/>
  <c r="AC256" i="34"/>
  <c r="AB256" i="34"/>
  <c r="Z256" i="34"/>
  <c r="Y256" i="34"/>
  <c r="X256" i="34"/>
  <c r="W256" i="34"/>
  <c r="V256" i="34"/>
  <c r="U256" i="34"/>
  <c r="T256" i="34"/>
  <c r="S256" i="34"/>
  <c r="R256" i="34"/>
  <c r="Q256" i="34"/>
  <c r="P256" i="34"/>
  <c r="O256" i="34"/>
  <c r="N256" i="34"/>
  <c r="M256" i="34"/>
  <c r="L256" i="34"/>
  <c r="K256" i="34"/>
  <c r="I256" i="34"/>
  <c r="H256" i="34"/>
  <c r="G256" i="34"/>
  <c r="AQ255" i="34"/>
  <c r="AP255" i="34"/>
  <c r="AO255" i="34"/>
  <c r="AN255" i="34"/>
  <c r="AM255" i="34"/>
  <c r="AL255" i="34"/>
  <c r="AK255" i="34"/>
  <c r="AJ255" i="34"/>
  <c r="AI255" i="34"/>
  <c r="AH255" i="34"/>
  <c r="AG255" i="34"/>
  <c r="AF255" i="34"/>
  <c r="AD255" i="34"/>
  <c r="AC255" i="34"/>
  <c r="AB255" i="34"/>
  <c r="Z255" i="34"/>
  <c r="Y255" i="34"/>
  <c r="X255" i="34"/>
  <c r="W255" i="34"/>
  <c r="V255" i="34"/>
  <c r="U255" i="34"/>
  <c r="T255" i="34"/>
  <c r="S255" i="34"/>
  <c r="R255" i="34"/>
  <c r="Q255" i="34"/>
  <c r="P255" i="34"/>
  <c r="O255" i="34"/>
  <c r="N255" i="34"/>
  <c r="M255" i="34"/>
  <c r="L255" i="34"/>
  <c r="K255" i="34"/>
  <c r="I255" i="34"/>
  <c r="H255" i="34"/>
  <c r="G255" i="34"/>
  <c r="AQ254" i="34"/>
  <c r="AP254" i="34"/>
  <c r="AO254" i="34"/>
  <c r="AN254" i="34"/>
  <c r="AM254" i="34"/>
  <c r="AL254" i="34"/>
  <c r="AK254" i="34"/>
  <c r="AJ254" i="34"/>
  <c r="AI254" i="34"/>
  <c r="AH254" i="34"/>
  <c r="AG254" i="34"/>
  <c r="AF254" i="34"/>
  <c r="AD254" i="34"/>
  <c r="AC254" i="34"/>
  <c r="AB254" i="34"/>
  <c r="Z254" i="34"/>
  <c r="Y254" i="34"/>
  <c r="X254" i="34"/>
  <c r="W254" i="34"/>
  <c r="V254" i="34"/>
  <c r="U254" i="34"/>
  <c r="T254" i="34"/>
  <c r="S254" i="34"/>
  <c r="R254" i="34"/>
  <c r="Q254" i="34"/>
  <c r="P254" i="34"/>
  <c r="O254" i="34"/>
  <c r="N254" i="34"/>
  <c r="M254" i="34"/>
  <c r="L254" i="34"/>
  <c r="K254" i="34"/>
  <c r="I254" i="34"/>
  <c r="H254" i="34"/>
  <c r="G254" i="34"/>
  <c r="AQ253" i="34"/>
  <c r="AP253" i="34"/>
  <c r="AO253" i="34"/>
  <c r="AN253" i="34"/>
  <c r="AM253" i="34"/>
  <c r="AL253" i="34"/>
  <c r="AK253" i="34"/>
  <c r="AJ253" i="34"/>
  <c r="AI253" i="34"/>
  <c r="AH253" i="34"/>
  <c r="AG253" i="34"/>
  <c r="AF253" i="34"/>
  <c r="AD253" i="34"/>
  <c r="AC253" i="34"/>
  <c r="AB253" i="34"/>
  <c r="Z253" i="34"/>
  <c r="Y253" i="34"/>
  <c r="X253" i="34"/>
  <c r="W253" i="34"/>
  <c r="V253" i="34"/>
  <c r="U253" i="34"/>
  <c r="T253" i="34"/>
  <c r="S253" i="34"/>
  <c r="R253" i="34"/>
  <c r="Q253" i="34"/>
  <c r="P253" i="34"/>
  <c r="O253" i="34"/>
  <c r="N253" i="34"/>
  <c r="M253" i="34"/>
  <c r="L253" i="34"/>
  <c r="K253" i="34"/>
  <c r="I253" i="34"/>
  <c r="H253" i="34"/>
  <c r="G253" i="34"/>
  <c r="AQ252" i="34"/>
  <c r="AP252" i="34"/>
  <c r="AO252" i="34"/>
  <c r="AN252" i="34"/>
  <c r="AM252" i="34"/>
  <c r="AL252" i="34"/>
  <c r="AK252" i="34"/>
  <c r="AJ252" i="34"/>
  <c r="AI252" i="34"/>
  <c r="AH252" i="34"/>
  <c r="AG252" i="34"/>
  <c r="AF252" i="34"/>
  <c r="AD252" i="34"/>
  <c r="AC252" i="34"/>
  <c r="AB252" i="34"/>
  <c r="Z252" i="34"/>
  <c r="Y252" i="34"/>
  <c r="X252" i="34"/>
  <c r="W252" i="34"/>
  <c r="V252" i="34"/>
  <c r="U252" i="34"/>
  <c r="T252" i="34"/>
  <c r="S252" i="34"/>
  <c r="R252" i="34"/>
  <c r="Q252" i="34"/>
  <c r="P252" i="34"/>
  <c r="O252" i="34"/>
  <c r="N252" i="34"/>
  <c r="M252" i="34"/>
  <c r="L252" i="34"/>
  <c r="K252" i="34"/>
  <c r="I252" i="34"/>
  <c r="H252" i="34"/>
  <c r="G252" i="34"/>
  <c r="AQ251" i="34"/>
  <c r="AP251" i="34"/>
  <c r="AO251" i="34"/>
  <c r="AN251" i="34"/>
  <c r="AM251" i="34"/>
  <c r="AL251" i="34"/>
  <c r="AK251" i="34"/>
  <c r="AJ251" i="34"/>
  <c r="AI251" i="34"/>
  <c r="AH251" i="34"/>
  <c r="AG251" i="34"/>
  <c r="AF251" i="34"/>
  <c r="AD251" i="34"/>
  <c r="AC251" i="34"/>
  <c r="AB251" i="34"/>
  <c r="Z251" i="34"/>
  <c r="Y251" i="34"/>
  <c r="X251" i="34"/>
  <c r="W251" i="34"/>
  <c r="V251" i="34"/>
  <c r="U251" i="34"/>
  <c r="T251" i="34"/>
  <c r="S251" i="34"/>
  <c r="R251" i="34"/>
  <c r="Q251" i="34"/>
  <c r="P251" i="34"/>
  <c r="O251" i="34"/>
  <c r="N251" i="34"/>
  <c r="M251" i="34"/>
  <c r="L251" i="34"/>
  <c r="K251" i="34"/>
  <c r="I251" i="34"/>
  <c r="H251" i="34"/>
  <c r="G251" i="34"/>
  <c r="AQ250" i="34"/>
  <c r="AP250" i="34"/>
  <c r="AO250" i="34"/>
  <c r="AN250" i="34"/>
  <c r="AM250" i="34"/>
  <c r="AL250" i="34"/>
  <c r="AK250" i="34"/>
  <c r="AJ250" i="34"/>
  <c r="AI250" i="34"/>
  <c r="AH250" i="34"/>
  <c r="AG250" i="34"/>
  <c r="AF250" i="34"/>
  <c r="AD250" i="34"/>
  <c r="AC250" i="34"/>
  <c r="AB250" i="34"/>
  <c r="Z250" i="34"/>
  <c r="Y250" i="34"/>
  <c r="X250" i="34"/>
  <c r="W250" i="34"/>
  <c r="V250" i="34"/>
  <c r="U250" i="34"/>
  <c r="T250" i="34"/>
  <c r="S250" i="34"/>
  <c r="R250" i="34"/>
  <c r="Q250" i="34"/>
  <c r="P250" i="34"/>
  <c r="O250" i="34"/>
  <c r="N250" i="34"/>
  <c r="M250" i="34"/>
  <c r="L250" i="34"/>
  <c r="K250" i="34"/>
  <c r="I250" i="34"/>
  <c r="H250" i="34"/>
  <c r="G250" i="34"/>
  <c r="AQ249" i="34"/>
  <c r="AP249" i="34"/>
  <c r="AO249" i="34"/>
  <c r="AN249" i="34"/>
  <c r="AM249" i="34"/>
  <c r="AL249" i="34"/>
  <c r="AK249" i="34"/>
  <c r="AJ249" i="34"/>
  <c r="AI249" i="34"/>
  <c r="AH249" i="34"/>
  <c r="AG249" i="34"/>
  <c r="AF249" i="34"/>
  <c r="AD249" i="34"/>
  <c r="AC249" i="34"/>
  <c r="AB249" i="34"/>
  <c r="Z249" i="34"/>
  <c r="Y249" i="34"/>
  <c r="X249" i="34"/>
  <c r="W249" i="34"/>
  <c r="V249" i="34"/>
  <c r="U249" i="34"/>
  <c r="T249" i="34"/>
  <c r="S249" i="34"/>
  <c r="R249" i="34"/>
  <c r="Q249" i="34"/>
  <c r="P249" i="34"/>
  <c r="O249" i="34"/>
  <c r="N249" i="34"/>
  <c r="M249" i="34"/>
  <c r="L249" i="34"/>
  <c r="K249" i="34"/>
  <c r="I249" i="34"/>
  <c r="H249" i="34"/>
  <c r="G249" i="34"/>
  <c r="AQ248" i="34"/>
  <c r="AP248" i="34"/>
  <c r="AO248" i="34"/>
  <c r="AN248" i="34"/>
  <c r="AM248" i="34"/>
  <c r="AL248" i="34"/>
  <c r="AK248" i="34"/>
  <c r="AJ248" i="34"/>
  <c r="AI248" i="34"/>
  <c r="AH248" i="34"/>
  <c r="AG248" i="34"/>
  <c r="AF248" i="34"/>
  <c r="AD248" i="34"/>
  <c r="AC248" i="34"/>
  <c r="AB248" i="34"/>
  <c r="Z248" i="34"/>
  <c r="Y248" i="34"/>
  <c r="X248" i="34"/>
  <c r="W248" i="34"/>
  <c r="V248" i="34"/>
  <c r="U248" i="34"/>
  <c r="T248" i="34"/>
  <c r="S248" i="34"/>
  <c r="R248" i="34"/>
  <c r="Q248" i="34"/>
  <c r="P248" i="34"/>
  <c r="O248" i="34"/>
  <c r="N248" i="34"/>
  <c r="M248" i="34"/>
  <c r="L248" i="34"/>
  <c r="K248" i="34"/>
  <c r="I248" i="34"/>
  <c r="H248" i="34"/>
  <c r="G248" i="34"/>
  <c r="AQ247" i="34"/>
  <c r="AP247" i="34"/>
  <c r="AO247" i="34"/>
  <c r="AN247" i="34"/>
  <c r="AM247" i="34"/>
  <c r="AL247" i="34"/>
  <c r="AK247" i="34"/>
  <c r="AJ247" i="34"/>
  <c r="AI247" i="34"/>
  <c r="AH247" i="34"/>
  <c r="AG247" i="34"/>
  <c r="AF247" i="34"/>
  <c r="AD247" i="34"/>
  <c r="AC247" i="34"/>
  <c r="AB247" i="34"/>
  <c r="Z247" i="34"/>
  <c r="Y247" i="34"/>
  <c r="X247" i="34"/>
  <c r="W247" i="34"/>
  <c r="V247" i="34"/>
  <c r="U247" i="34"/>
  <c r="T247" i="34"/>
  <c r="S247" i="34"/>
  <c r="R247" i="34"/>
  <c r="Q247" i="34"/>
  <c r="P247" i="34"/>
  <c r="O247" i="34"/>
  <c r="N247" i="34"/>
  <c r="M247" i="34"/>
  <c r="L247" i="34"/>
  <c r="K247" i="34"/>
  <c r="I247" i="34"/>
  <c r="H247" i="34"/>
  <c r="G247" i="34"/>
  <c r="AQ246" i="34"/>
  <c r="AP246" i="34"/>
  <c r="AO246" i="34"/>
  <c r="AN246" i="34"/>
  <c r="AM246" i="34"/>
  <c r="AL246" i="34"/>
  <c r="AK246" i="34"/>
  <c r="AJ246" i="34"/>
  <c r="AI246" i="34"/>
  <c r="AH246" i="34"/>
  <c r="AG246" i="34"/>
  <c r="AF246" i="34"/>
  <c r="AD246" i="34"/>
  <c r="AC246" i="34"/>
  <c r="AB246" i="34"/>
  <c r="Z246" i="34"/>
  <c r="Y246" i="34"/>
  <c r="X246" i="34"/>
  <c r="W246" i="34"/>
  <c r="V246" i="34"/>
  <c r="U246" i="34"/>
  <c r="T246" i="34"/>
  <c r="S246" i="34"/>
  <c r="R246" i="34"/>
  <c r="Q246" i="34"/>
  <c r="P246" i="34"/>
  <c r="O246" i="34"/>
  <c r="N246" i="34"/>
  <c r="M246" i="34"/>
  <c r="L246" i="34"/>
  <c r="K246" i="34"/>
  <c r="I246" i="34"/>
  <c r="H246" i="34"/>
  <c r="G246" i="34"/>
  <c r="AQ245" i="34"/>
  <c r="AP245" i="34"/>
  <c r="AO245" i="34"/>
  <c r="AN245" i="34"/>
  <c r="AM245" i="34"/>
  <c r="AL245" i="34"/>
  <c r="AK245" i="34"/>
  <c r="AJ245" i="34"/>
  <c r="AI245" i="34"/>
  <c r="AH245" i="34"/>
  <c r="AG245" i="34"/>
  <c r="AF245" i="34"/>
  <c r="AD245" i="34"/>
  <c r="AC245" i="34"/>
  <c r="AB245" i="34"/>
  <c r="Z245" i="34"/>
  <c r="Y245" i="34"/>
  <c r="X245" i="34"/>
  <c r="W245" i="34"/>
  <c r="V245" i="34"/>
  <c r="U245" i="34"/>
  <c r="T245" i="34"/>
  <c r="S245" i="34"/>
  <c r="R245" i="34"/>
  <c r="Q245" i="34"/>
  <c r="P245" i="34"/>
  <c r="O245" i="34"/>
  <c r="N245" i="34"/>
  <c r="M245" i="34"/>
  <c r="L245" i="34"/>
  <c r="K245" i="34"/>
  <c r="I245" i="34"/>
  <c r="H245" i="34"/>
  <c r="G245" i="34"/>
  <c r="AQ244" i="34"/>
  <c r="AP244" i="34"/>
  <c r="AO244" i="34"/>
  <c r="AN244" i="34"/>
  <c r="AM244" i="34"/>
  <c r="AL244" i="34"/>
  <c r="AK244" i="34"/>
  <c r="AJ244" i="34"/>
  <c r="AI244" i="34"/>
  <c r="AH244" i="34"/>
  <c r="AG244" i="34"/>
  <c r="AF244" i="34"/>
  <c r="AD244" i="34"/>
  <c r="AC244" i="34"/>
  <c r="AB244" i="34"/>
  <c r="Z244" i="34"/>
  <c r="Y244" i="34"/>
  <c r="X244" i="34"/>
  <c r="W244" i="34"/>
  <c r="V244" i="34"/>
  <c r="U244" i="34"/>
  <c r="T244" i="34"/>
  <c r="S244" i="34"/>
  <c r="R244" i="34"/>
  <c r="Q244" i="34"/>
  <c r="P244" i="34"/>
  <c r="O244" i="34"/>
  <c r="N244" i="34"/>
  <c r="M244" i="34"/>
  <c r="L244" i="34"/>
  <c r="K244" i="34"/>
  <c r="I244" i="34"/>
  <c r="H244" i="34"/>
  <c r="G244" i="34"/>
  <c r="AQ243" i="34"/>
  <c r="AP243" i="34"/>
  <c r="AO243" i="34"/>
  <c r="AN243" i="34"/>
  <c r="AM243" i="34"/>
  <c r="AL243" i="34"/>
  <c r="AK243" i="34"/>
  <c r="AJ243" i="34"/>
  <c r="AI243" i="34"/>
  <c r="AH243" i="34"/>
  <c r="AG243" i="34"/>
  <c r="AF243" i="34"/>
  <c r="AD243" i="34"/>
  <c r="AC243" i="34"/>
  <c r="AB243" i="34"/>
  <c r="Z243" i="34"/>
  <c r="Y243" i="34"/>
  <c r="X243" i="34"/>
  <c r="W243" i="34"/>
  <c r="V243" i="34"/>
  <c r="U243" i="34"/>
  <c r="T243" i="34"/>
  <c r="S243" i="34"/>
  <c r="R243" i="34"/>
  <c r="Q243" i="34"/>
  <c r="P243" i="34"/>
  <c r="O243" i="34"/>
  <c r="N243" i="34"/>
  <c r="M243" i="34"/>
  <c r="L243" i="34"/>
  <c r="K243" i="34"/>
  <c r="I243" i="34"/>
  <c r="H243" i="34"/>
  <c r="G243" i="34"/>
  <c r="AQ242" i="34"/>
  <c r="AP242" i="34"/>
  <c r="AO242" i="34"/>
  <c r="AN242" i="34"/>
  <c r="AM242" i="34"/>
  <c r="AL242" i="34"/>
  <c r="AK242" i="34"/>
  <c r="AJ242" i="34"/>
  <c r="AI242" i="34"/>
  <c r="AH242" i="34"/>
  <c r="AG242" i="34"/>
  <c r="AF242" i="34"/>
  <c r="AD242" i="34"/>
  <c r="AC242" i="34"/>
  <c r="AB242" i="34"/>
  <c r="Z242" i="34"/>
  <c r="Y242" i="34"/>
  <c r="X242" i="34"/>
  <c r="W242" i="34"/>
  <c r="V242" i="34"/>
  <c r="U242" i="34"/>
  <c r="T242" i="34"/>
  <c r="S242" i="34"/>
  <c r="R242" i="34"/>
  <c r="Q242" i="34"/>
  <c r="P242" i="34"/>
  <c r="O242" i="34"/>
  <c r="N242" i="34"/>
  <c r="M242" i="34"/>
  <c r="L242" i="34"/>
  <c r="K242" i="34"/>
  <c r="I242" i="34"/>
  <c r="H242" i="34"/>
  <c r="G242" i="34"/>
  <c r="AQ241" i="34"/>
  <c r="AP241" i="34"/>
  <c r="AO241" i="34"/>
  <c r="AN241" i="34"/>
  <c r="AM241" i="34"/>
  <c r="AL241" i="34"/>
  <c r="AK241" i="34"/>
  <c r="AJ241" i="34"/>
  <c r="AI241" i="34"/>
  <c r="AH241" i="34"/>
  <c r="AG241" i="34"/>
  <c r="AF241" i="34"/>
  <c r="AD241" i="34"/>
  <c r="AC241" i="34"/>
  <c r="AB241" i="34"/>
  <c r="Z241" i="34"/>
  <c r="Y241" i="34"/>
  <c r="X241" i="34"/>
  <c r="W241" i="34"/>
  <c r="V241" i="34"/>
  <c r="U241" i="34"/>
  <c r="T241" i="34"/>
  <c r="S241" i="34"/>
  <c r="R241" i="34"/>
  <c r="Q241" i="34"/>
  <c r="P241" i="34"/>
  <c r="O241" i="34"/>
  <c r="N241" i="34"/>
  <c r="M241" i="34"/>
  <c r="L241" i="34"/>
  <c r="K241" i="34"/>
  <c r="I241" i="34"/>
  <c r="H241" i="34"/>
  <c r="G241" i="34"/>
  <c r="AQ240" i="34"/>
  <c r="AP240" i="34"/>
  <c r="AO240" i="34"/>
  <c r="AN240" i="34"/>
  <c r="AM240" i="34"/>
  <c r="AL240" i="34"/>
  <c r="AK240" i="34"/>
  <c r="AJ240" i="34"/>
  <c r="AI240" i="34"/>
  <c r="AH240" i="34"/>
  <c r="AG240" i="34"/>
  <c r="AF240" i="34"/>
  <c r="AD240" i="34"/>
  <c r="AC240" i="34"/>
  <c r="AB240" i="34"/>
  <c r="Z240" i="34"/>
  <c r="Y240" i="34"/>
  <c r="X240" i="34"/>
  <c r="W240" i="34"/>
  <c r="V240" i="34"/>
  <c r="U240" i="34"/>
  <c r="T240" i="34"/>
  <c r="S240" i="34"/>
  <c r="R240" i="34"/>
  <c r="Q240" i="34"/>
  <c r="P240" i="34"/>
  <c r="O240" i="34"/>
  <c r="N240" i="34"/>
  <c r="M240" i="34"/>
  <c r="L240" i="34"/>
  <c r="K240" i="34"/>
  <c r="I240" i="34"/>
  <c r="H240" i="34"/>
  <c r="G240" i="34"/>
  <c r="AQ239" i="34"/>
  <c r="AP239" i="34"/>
  <c r="AO239" i="34"/>
  <c r="AN239" i="34"/>
  <c r="AM239" i="34"/>
  <c r="AL239" i="34"/>
  <c r="AK239" i="34"/>
  <c r="AJ239" i="34"/>
  <c r="AI239" i="34"/>
  <c r="AH239" i="34"/>
  <c r="AG239" i="34"/>
  <c r="AF239" i="34"/>
  <c r="AD239" i="34"/>
  <c r="AC239" i="34"/>
  <c r="AB239" i="34"/>
  <c r="Z239" i="34"/>
  <c r="Y239" i="34"/>
  <c r="X239" i="34"/>
  <c r="W239" i="34"/>
  <c r="V239" i="34"/>
  <c r="U239" i="34"/>
  <c r="T239" i="34"/>
  <c r="S239" i="34"/>
  <c r="R239" i="34"/>
  <c r="Q239" i="34"/>
  <c r="P239" i="34"/>
  <c r="O239" i="34"/>
  <c r="N239" i="34"/>
  <c r="M239" i="34"/>
  <c r="L239" i="34"/>
  <c r="K239" i="34"/>
  <c r="I239" i="34"/>
  <c r="H239" i="34"/>
  <c r="G239" i="34"/>
  <c r="AQ238" i="34"/>
  <c r="AP238" i="34"/>
  <c r="AO238" i="34"/>
  <c r="AN238" i="34"/>
  <c r="AM238" i="34"/>
  <c r="AL238" i="34"/>
  <c r="AK238" i="34"/>
  <c r="AJ238" i="34"/>
  <c r="AI238" i="34"/>
  <c r="AH238" i="34"/>
  <c r="AG238" i="34"/>
  <c r="AF238" i="34"/>
  <c r="AD238" i="34"/>
  <c r="AC238" i="34"/>
  <c r="AB238" i="34"/>
  <c r="Z238" i="34"/>
  <c r="Y238" i="34"/>
  <c r="X238" i="34"/>
  <c r="W238" i="34"/>
  <c r="V238" i="34"/>
  <c r="U238" i="34"/>
  <c r="T238" i="34"/>
  <c r="S238" i="34"/>
  <c r="R238" i="34"/>
  <c r="Q238" i="34"/>
  <c r="P238" i="34"/>
  <c r="O238" i="34"/>
  <c r="N238" i="34"/>
  <c r="M238" i="34"/>
  <c r="L238" i="34"/>
  <c r="K238" i="34"/>
  <c r="I238" i="34"/>
  <c r="H238" i="34"/>
  <c r="G238" i="34"/>
  <c r="AQ237" i="34"/>
  <c r="AP237" i="34"/>
  <c r="AO237" i="34"/>
  <c r="AN237" i="34"/>
  <c r="AM237" i="34"/>
  <c r="AL237" i="34"/>
  <c r="AK237" i="34"/>
  <c r="AJ237" i="34"/>
  <c r="AI237" i="34"/>
  <c r="AH237" i="34"/>
  <c r="AG237" i="34"/>
  <c r="AF237" i="34"/>
  <c r="AD237" i="34"/>
  <c r="AC237" i="34"/>
  <c r="AB237" i="34"/>
  <c r="Z237" i="34"/>
  <c r="Y237" i="34"/>
  <c r="X237" i="34"/>
  <c r="W237" i="34"/>
  <c r="V237" i="34"/>
  <c r="U237" i="34"/>
  <c r="T237" i="34"/>
  <c r="S237" i="34"/>
  <c r="R237" i="34"/>
  <c r="Q237" i="34"/>
  <c r="P237" i="34"/>
  <c r="O237" i="34"/>
  <c r="N237" i="34"/>
  <c r="M237" i="34"/>
  <c r="L237" i="34"/>
  <c r="K237" i="34"/>
  <c r="I237" i="34"/>
  <c r="H237" i="34"/>
  <c r="G237" i="34"/>
  <c r="AQ236" i="34"/>
  <c r="AP236" i="34"/>
  <c r="AO236" i="34"/>
  <c r="AN236" i="34"/>
  <c r="AM236" i="34"/>
  <c r="AL236" i="34"/>
  <c r="AK236" i="34"/>
  <c r="AJ236" i="34"/>
  <c r="AI236" i="34"/>
  <c r="AH236" i="34"/>
  <c r="AG236" i="34"/>
  <c r="AF236" i="34"/>
  <c r="AD236" i="34"/>
  <c r="AC236" i="34"/>
  <c r="AB236" i="34"/>
  <c r="Z236" i="34"/>
  <c r="Y236" i="34"/>
  <c r="X236" i="34"/>
  <c r="W236" i="34"/>
  <c r="V236" i="34"/>
  <c r="U236" i="34"/>
  <c r="T236" i="34"/>
  <c r="S236" i="34"/>
  <c r="R236" i="34"/>
  <c r="Q236" i="34"/>
  <c r="P236" i="34"/>
  <c r="O236" i="34"/>
  <c r="N236" i="34"/>
  <c r="M236" i="34"/>
  <c r="L236" i="34"/>
  <c r="K236" i="34"/>
  <c r="I236" i="34"/>
  <c r="H236" i="34"/>
  <c r="G236" i="34"/>
  <c r="AQ235" i="34"/>
  <c r="AP235" i="34"/>
  <c r="AO235" i="34"/>
  <c r="AN235" i="34"/>
  <c r="AM235" i="34"/>
  <c r="AL235" i="34"/>
  <c r="AK235" i="34"/>
  <c r="AJ235" i="34"/>
  <c r="AI235" i="34"/>
  <c r="AH235" i="34"/>
  <c r="AG235" i="34"/>
  <c r="AF235" i="34"/>
  <c r="AD235" i="34"/>
  <c r="AC235" i="34"/>
  <c r="AB235" i="34"/>
  <c r="Z235" i="34"/>
  <c r="Y235" i="34"/>
  <c r="X235" i="34"/>
  <c r="W235" i="34"/>
  <c r="V235" i="34"/>
  <c r="U235" i="34"/>
  <c r="T235" i="34"/>
  <c r="S235" i="34"/>
  <c r="R235" i="34"/>
  <c r="Q235" i="34"/>
  <c r="P235" i="34"/>
  <c r="O235" i="34"/>
  <c r="N235" i="34"/>
  <c r="M235" i="34"/>
  <c r="L235" i="34"/>
  <c r="K235" i="34"/>
  <c r="I235" i="34"/>
  <c r="H235" i="34"/>
  <c r="G235" i="34"/>
  <c r="AQ234" i="34"/>
  <c r="AP234" i="34"/>
  <c r="AO234" i="34"/>
  <c r="AN234" i="34"/>
  <c r="AM234" i="34"/>
  <c r="AL234" i="34"/>
  <c r="AK234" i="34"/>
  <c r="AJ234" i="34"/>
  <c r="AI234" i="34"/>
  <c r="AH234" i="34"/>
  <c r="AG234" i="34"/>
  <c r="AF234" i="34"/>
  <c r="AD234" i="34"/>
  <c r="AC234" i="34"/>
  <c r="AB234" i="34"/>
  <c r="Z234" i="34"/>
  <c r="Y234" i="34"/>
  <c r="X234" i="34"/>
  <c r="W234" i="34"/>
  <c r="V234" i="34"/>
  <c r="U234" i="34"/>
  <c r="T234" i="34"/>
  <c r="S234" i="34"/>
  <c r="R234" i="34"/>
  <c r="Q234" i="34"/>
  <c r="P234" i="34"/>
  <c r="O234" i="34"/>
  <c r="N234" i="34"/>
  <c r="M234" i="34"/>
  <c r="L234" i="34"/>
  <c r="K234" i="34"/>
  <c r="I234" i="34"/>
  <c r="H234" i="34"/>
  <c r="G234" i="34"/>
  <c r="AQ233" i="34"/>
  <c r="AP233" i="34"/>
  <c r="AO233" i="34"/>
  <c r="AN233" i="34"/>
  <c r="AM233" i="34"/>
  <c r="AL233" i="34"/>
  <c r="AK233" i="34"/>
  <c r="AJ233" i="34"/>
  <c r="AI233" i="34"/>
  <c r="AH233" i="34"/>
  <c r="AG233" i="34"/>
  <c r="AF233" i="34"/>
  <c r="AD233" i="34"/>
  <c r="AC233" i="34"/>
  <c r="AB233" i="34"/>
  <c r="Z233" i="34"/>
  <c r="Y233" i="34"/>
  <c r="X233" i="34"/>
  <c r="W233" i="34"/>
  <c r="V233" i="34"/>
  <c r="U233" i="34"/>
  <c r="T233" i="34"/>
  <c r="S233" i="34"/>
  <c r="R233" i="34"/>
  <c r="Q233" i="34"/>
  <c r="P233" i="34"/>
  <c r="O233" i="34"/>
  <c r="N233" i="34"/>
  <c r="M233" i="34"/>
  <c r="L233" i="34"/>
  <c r="K233" i="34"/>
  <c r="I233" i="34"/>
  <c r="H233" i="34"/>
  <c r="G233" i="34"/>
  <c r="AQ232" i="34"/>
  <c r="AP232" i="34"/>
  <c r="AO232" i="34"/>
  <c r="AN232" i="34"/>
  <c r="AM232" i="34"/>
  <c r="AL232" i="34"/>
  <c r="AK232" i="34"/>
  <c r="AJ232" i="34"/>
  <c r="AI232" i="34"/>
  <c r="AH232" i="34"/>
  <c r="AG232" i="34"/>
  <c r="AF232" i="34"/>
  <c r="AD232" i="34"/>
  <c r="AC232" i="34"/>
  <c r="AB232" i="34"/>
  <c r="Z232" i="34"/>
  <c r="Y232" i="34"/>
  <c r="X232" i="34"/>
  <c r="W232" i="34"/>
  <c r="V232" i="34"/>
  <c r="U232" i="34"/>
  <c r="T232" i="34"/>
  <c r="S232" i="34"/>
  <c r="R232" i="34"/>
  <c r="Q232" i="34"/>
  <c r="P232" i="34"/>
  <c r="O232" i="34"/>
  <c r="N232" i="34"/>
  <c r="M232" i="34"/>
  <c r="L232" i="34"/>
  <c r="K232" i="34"/>
  <c r="I232" i="34"/>
  <c r="H232" i="34"/>
  <c r="G232" i="34"/>
  <c r="AQ231" i="34"/>
  <c r="AP231" i="34"/>
  <c r="AO231" i="34"/>
  <c r="AN231" i="34"/>
  <c r="AM231" i="34"/>
  <c r="AL231" i="34"/>
  <c r="AK231" i="34"/>
  <c r="AJ231" i="34"/>
  <c r="AI231" i="34"/>
  <c r="AH231" i="34"/>
  <c r="AG231" i="34"/>
  <c r="AF231" i="34"/>
  <c r="AD231" i="34"/>
  <c r="AC231" i="34"/>
  <c r="AB231" i="34"/>
  <c r="Z231" i="34"/>
  <c r="Y231" i="34"/>
  <c r="X231" i="34"/>
  <c r="W231" i="34"/>
  <c r="V231" i="34"/>
  <c r="U231" i="34"/>
  <c r="T231" i="34"/>
  <c r="S231" i="34"/>
  <c r="R231" i="34"/>
  <c r="Q231" i="34"/>
  <c r="P231" i="34"/>
  <c r="O231" i="34"/>
  <c r="N231" i="34"/>
  <c r="M231" i="34"/>
  <c r="L231" i="34"/>
  <c r="K231" i="34"/>
  <c r="I231" i="34"/>
  <c r="H231" i="34"/>
  <c r="G231" i="34"/>
  <c r="AQ230" i="34"/>
  <c r="AP230" i="34"/>
  <c r="AO230" i="34"/>
  <c r="AN230" i="34"/>
  <c r="AM230" i="34"/>
  <c r="AL230" i="34"/>
  <c r="AK230" i="34"/>
  <c r="AJ230" i="34"/>
  <c r="AI230" i="34"/>
  <c r="AH230" i="34"/>
  <c r="AG230" i="34"/>
  <c r="AF230" i="34"/>
  <c r="AD230" i="34"/>
  <c r="AC230" i="34"/>
  <c r="AB230" i="34"/>
  <c r="Z230" i="34"/>
  <c r="Y230" i="34"/>
  <c r="X230" i="34"/>
  <c r="W230" i="34"/>
  <c r="V230" i="34"/>
  <c r="U230" i="34"/>
  <c r="T230" i="34"/>
  <c r="S230" i="34"/>
  <c r="R230" i="34"/>
  <c r="Q230" i="34"/>
  <c r="P230" i="34"/>
  <c r="O230" i="34"/>
  <c r="N230" i="34"/>
  <c r="M230" i="34"/>
  <c r="L230" i="34"/>
  <c r="K230" i="34"/>
  <c r="I230" i="34"/>
  <c r="H230" i="34"/>
  <c r="G230" i="34"/>
  <c r="AQ229" i="34"/>
  <c r="AP229" i="34"/>
  <c r="AO229" i="34"/>
  <c r="AN229" i="34"/>
  <c r="AM229" i="34"/>
  <c r="AL229" i="34"/>
  <c r="AK229" i="34"/>
  <c r="AJ229" i="34"/>
  <c r="AI229" i="34"/>
  <c r="AH229" i="34"/>
  <c r="AG229" i="34"/>
  <c r="AF229" i="34"/>
  <c r="AD229" i="34"/>
  <c r="AC229" i="34"/>
  <c r="AB229" i="34"/>
  <c r="Z229" i="34"/>
  <c r="Y229" i="34"/>
  <c r="X229" i="34"/>
  <c r="W229" i="34"/>
  <c r="V229" i="34"/>
  <c r="U229" i="34"/>
  <c r="T229" i="34"/>
  <c r="S229" i="34"/>
  <c r="R229" i="34"/>
  <c r="Q229" i="34"/>
  <c r="P229" i="34"/>
  <c r="O229" i="34"/>
  <c r="N229" i="34"/>
  <c r="M229" i="34"/>
  <c r="L229" i="34"/>
  <c r="K229" i="34"/>
  <c r="I229" i="34"/>
  <c r="H229" i="34"/>
  <c r="G229" i="34"/>
  <c r="AQ228" i="34"/>
  <c r="AP228" i="34"/>
  <c r="AO228" i="34"/>
  <c r="AN228" i="34"/>
  <c r="AM228" i="34"/>
  <c r="AL228" i="34"/>
  <c r="AK228" i="34"/>
  <c r="AJ228" i="34"/>
  <c r="AI228" i="34"/>
  <c r="AH228" i="34"/>
  <c r="AG228" i="34"/>
  <c r="AF228" i="34"/>
  <c r="AD228" i="34"/>
  <c r="AC228" i="34"/>
  <c r="AB228" i="34"/>
  <c r="Z228" i="34"/>
  <c r="Y228" i="34"/>
  <c r="X228" i="34"/>
  <c r="W228" i="34"/>
  <c r="V228" i="34"/>
  <c r="U228" i="34"/>
  <c r="T228" i="34"/>
  <c r="S228" i="34"/>
  <c r="R228" i="34"/>
  <c r="Q228" i="34"/>
  <c r="P228" i="34"/>
  <c r="O228" i="34"/>
  <c r="N228" i="34"/>
  <c r="M228" i="34"/>
  <c r="L228" i="34"/>
  <c r="K228" i="34"/>
  <c r="I228" i="34"/>
  <c r="H228" i="34"/>
  <c r="G228" i="34"/>
  <c r="AQ227" i="34"/>
  <c r="AP227" i="34"/>
  <c r="AO227" i="34"/>
  <c r="AN227" i="34"/>
  <c r="AM227" i="34"/>
  <c r="AL227" i="34"/>
  <c r="AK227" i="34"/>
  <c r="AJ227" i="34"/>
  <c r="AI227" i="34"/>
  <c r="AH227" i="34"/>
  <c r="AG227" i="34"/>
  <c r="AF227" i="34"/>
  <c r="AD227" i="34"/>
  <c r="AC227" i="34"/>
  <c r="AB227" i="34"/>
  <c r="Z227" i="34"/>
  <c r="Y227" i="34"/>
  <c r="X227" i="34"/>
  <c r="W227" i="34"/>
  <c r="V227" i="34"/>
  <c r="U227" i="34"/>
  <c r="T227" i="34"/>
  <c r="S227" i="34"/>
  <c r="R227" i="34"/>
  <c r="Q227" i="34"/>
  <c r="P227" i="34"/>
  <c r="O227" i="34"/>
  <c r="N227" i="34"/>
  <c r="M227" i="34"/>
  <c r="L227" i="34"/>
  <c r="K227" i="34"/>
  <c r="I227" i="34"/>
  <c r="H227" i="34"/>
  <c r="G227" i="34"/>
  <c r="AQ226" i="34"/>
  <c r="AP226" i="34"/>
  <c r="AO226" i="34"/>
  <c r="AN226" i="34"/>
  <c r="AM226" i="34"/>
  <c r="AL226" i="34"/>
  <c r="AK226" i="34"/>
  <c r="AJ226" i="34"/>
  <c r="AI226" i="34"/>
  <c r="AH226" i="34"/>
  <c r="AG226" i="34"/>
  <c r="AF226" i="34"/>
  <c r="AD226" i="34"/>
  <c r="AC226" i="34"/>
  <c r="AB226" i="34"/>
  <c r="Z226" i="34"/>
  <c r="Y226" i="34"/>
  <c r="X226" i="34"/>
  <c r="W226" i="34"/>
  <c r="V226" i="34"/>
  <c r="U226" i="34"/>
  <c r="T226" i="34"/>
  <c r="S226" i="34"/>
  <c r="R226" i="34"/>
  <c r="Q226" i="34"/>
  <c r="P226" i="34"/>
  <c r="O226" i="34"/>
  <c r="N226" i="34"/>
  <c r="M226" i="34"/>
  <c r="L226" i="34"/>
  <c r="K226" i="34"/>
  <c r="I226" i="34"/>
  <c r="H226" i="34"/>
  <c r="G226" i="34"/>
  <c r="AQ225" i="34"/>
  <c r="AP225" i="34"/>
  <c r="AO225" i="34"/>
  <c r="AN225" i="34"/>
  <c r="AM225" i="34"/>
  <c r="AL225" i="34"/>
  <c r="AK225" i="34"/>
  <c r="AJ225" i="34"/>
  <c r="AI225" i="34"/>
  <c r="AH225" i="34"/>
  <c r="AG225" i="34"/>
  <c r="AF225" i="34"/>
  <c r="AD225" i="34"/>
  <c r="AC225" i="34"/>
  <c r="AB225" i="34"/>
  <c r="Z225" i="34"/>
  <c r="Y225" i="34"/>
  <c r="X225" i="34"/>
  <c r="W225" i="34"/>
  <c r="V225" i="34"/>
  <c r="U225" i="34"/>
  <c r="T225" i="34"/>
  <c r="S225" i="34"/>
  <c r="R225" i="34"/>
  <c r="Q225" i="34"/>
  <c r="P225" i="34"/>
  <c r="O225" i="34"/>
  <c r="N225" i="34"/>
  <c r="M225" i="34"/>
  <c r="L225" i="34"/>
  <c r="K225" i="34"/>
  <c r="I225" i="34"/>
  <c r="H225" i="34"/>
  <c r="G225" i="34"/>
  <c r="AQ224" i="34"/>
  <c r="AP224" i="34"/>
  <c r="AO224" i="34"/>
  <c r="AN224" i="34"/>
  <c r="AM224" i="34"/>
  <c r="AL224" i="34"/>
  <c r="AK224" i="34"/>
  <c r="AJ224" i="34"/>
  <c r="AI224" i="34"/>
  <c r="AH224" i="34"/>
  <c r="AG224" i="34"/>
  <c r="AF224" i="34"/>
  <c r="AD224" i="34"/>
  <c r="AC224" i="34"/>
  <c r="AB224" i="34"/>
  <c r="Z224" i="34"/>
  <c r="Y224" i="34"/>
  <c r="X224" i="34"/>
  <c r="W224" i="34"/>
  <c r="V224" i="34"/>
  <c r="U224" i="34"/>
  <c r="T224" i="34"/>
  <c r="S224" i="34"/>
  <c r="R224" i="34"/>
  <c r="Q224" i="34"/>
  <c r="P224" i="34"/>
  <c r="O224" i="34"/>
  <c r="N224" i="34"/>
  <c r="M224" i="34"/>
  <c r="L224" i="34"/>
  <c r="K224" i="34"/>
  <c r="I224" i="34"/>
  <c r="H224" i="34"/>
  <c r="G224" i="34"/>
  <c r="AQ223" i="34"/>
  <c r="AP223" i="34"/>
  <c r="AO223" i="34"/>
  <c r="AN223" i="34"/>
  <c r="AM223" i="34"/>
  <c r="AL223" i="34"/>
  <c r="AK223" i="34"/>
  <c r="AJ223" i="34"/>
  <c r="AI223" i="34"/>
  <c r="AH223" i="34"/>
  <c r="AG223" i="34"/>
  <c r="AF223" i="34"/>
  <c r="AD223" i="34"/>
  <c r="AC223" i="34"/>
  <c r="AB223" i="34"/>
  <c r="Z223" i="34"/>
  <c r="Y223" i="34"/>
  <c r="X223" i="34"/>
  <c r="W223" i="34"/>
  <c r="V223" i="34"/>
  <c r="U223" i="34"/>
  <c r="T223" i="34"/>
  <c r="S223" i="34"/>
  <c r="R223" i="34"/>
  <c r="Q223" i="34"/>
  <c r="P223" i="34"/>
  <c r="O223" i="34"/>
  <c r="N223" i="34"/>
  <c r="M223" i="34"/>
  <c r="L223" i="34"/>
  <c r="K223" i="34"/>
  <c r="I223" i="34"/>
  <c r="H223" i="34"/>
  <c r="G223" i="34"/>
  <c r="AQ222" i="34"/>
  <c r="AP222" i="34"/>
  <c r="AO222" i="34"/>
  <c r="AN222" i="34"/>
  <c r="AM222" i="34"/>
  <c r="AL222" i="34"/>
  <c r="AK222" i="34"/>
  <c r="AJ222" i="34"/>
  <c r="AI222" i="34"/>
  <c r="AH222" i="34"/>
  <c r="AG222" i="34"/>
  <c r="AF222" i="34"/>
  <c r="AD222" i="34"/>
  <c r="AC222" i="34"/>
  <c r="AB222" i="34"/>
  <c r="Z222" i="34"/>
  <c r="Y222" i="34"/>
  <c r="X222" i="34"/>
  <c r="W222" i="34"/>
  <c r="V222" i="34"/>
  <c r="U222" i="34"/>
  <c r="T222" i="34"/>
  <c r="S222" i="34"/>
  <c r="R222" i="34"/>
  <c r="Q222" i="34"/>
  <c r="P222" i="34"/>
  <c r="O222" i="34"/>
  <c r="N222" i="34"/>
  <c r="M222" i="34"/>
  <c r="L222" i="34"/>
  <c r="K222" i="34"/>
  <c r="I222" i="34"/>
  <c r="H222" i="34"/>
  <c r="G222" i="34"/>
  <c r="AQ221" i="34"/>
  <c r="AP221" i="34"/>
  <c r="AO221" i="34"/>
  <c r="AN221" i="34"/>
  <c r="AM221" i="34"/>
  <c r="AL221" i="34"/>
  <c r="AK221" i="34"/>
  <c r="AJ221" i="34"/>
  <c r="AI221" i="34"/>
  <c r="AH221" i="34"/>
  <c r="AG221" i="34"/>
  <c r="AF221" i="34"/>
  <c r="AD221" i="34"/>
  <c r="AC221" i="34"/>
  <c r="AB221" i="34"/>
  <c r="Z221" i="34"/>
  <c r="Y221" i="34"/>
  <c r="X221" i="34"/>
  <c r="W221" i="34"/>
  <c r="V221" i="34"/>
  <c r="U221" i="34"/>
  <c r="T221" i="34"/>
  <c r="S221" i="34"/>
  <c r="R221" i="34"/>
  <c r="Q221" i="34"/>
  <c r="P221" i="34"/>
  <c r="O221" i="34"/>
  <c r="N221" i="34"/>
  <c r="M221" i="34"/>
  <c r="L221" i="34"/>
  <c r="K221" i="34"/>
  <c r="I221" i="34"/>
  <c r="H221" i="34"/>
  <c r="G221" i="34"/>
  <c r="AQ220" i="34"/>
  <c r="AP220" i="34"/>
  <c r="AO220" i="34"/>
  <c r="AN220" i="34"/>
  <c r="AM220" i="34"/>
  <c r="AL220" i="34"/>
  <c r="AK220" i="34"/>
  <c r="AJ220" i="34"/>
  <c r="AI220" i="34"/>
  <c r="AH220" i="34"/>
  <c r="AG220" i="34"/>
  <c r="AF220" i="34"/>
  <c r="AD220" i="34"/>
  <c r="AC220" i="34"/>
  <c r="AB220" i="34"/>
  <c r="Z220" i="34"/>
  <c r="Y220" i="34"/>
  <c r="X220" i="34"/>
  <c r="W220" i="34"/>
  <c r="V220" i="34"/>
  <c r="U220" i="34"/>
  <c r="T220" i="34"/>
  <c r="S220" i="34"/>
  <c r="R220" i="34"/>
  <c r="Q220" i="34"/>
  <c r="P220" i="34"/>
  <c r="O220" i="34"/>
  <c r="N220" i="34"/>
  <c r="M220" i="34"/>
  <c r="L220" i="34"/>
  <c r="K220" i="34"/>
  <c r="I220" i="34"/>
  <c r="H220" i="34"/>
  <c r="G220" i="34"/>
  <c r="AQ219" i="34"/>
  <c r="AP219" i="34"/>
  <c r="AO219" i="34"/>
  <c r="AN219" i="34"/>
  <c r="AM219" i="34"/>
  <c r="AL219" i="34"/>
  <c r="AK219" i="34"/>
  <c r="AJ219" i="34"/>
  <c r="AI219" i="34"/>
  <c r="AH219" i="34"/>
  <c r="AG219" i="34"/>
  <c r="AF219" i="34"/>
  <c r="AD219" i="34"/>
  <c r="AC219" i="34"/>
  <c r="AB219" i="34"/>
  <c r="Z219" i="34"/>
  <c r="Y219" i="34"/>
  <c r="X219" i="34"/>
  <c r="W219" i="34"/>
  <c r="V219" i="34"/>
  <c r="U219" i="34"/>
  <c r="T219" i="34"/>
  <c r="S219" i="34"/>
  <c r="R219" i="34"/>
  <c r="Q219" i="34"/>
  <c r="P219" i="34"/>
  <c r="O219" i="34"/>
  <c r="N219" i="34"/>
  <c r="M219" i="34"/>
  <c r="L219" i="34"/>
  <c r="K219" i="34"/>
  <c r="I219" i="34"/>
  <c r="H219" i="34"/>
  <c r="G219" i="34"/>
  <c r="AQ218" i="34"/>
  <c r="AP218" i="34"/>
  <c r="AO218" i="34"/>
  <c r="AN218" i="34"/>
  <c r="AM218" i="34"/>
  <c r="AL218" i="34"/>
  <c r="AK218" i="34"/>
  <c r="AJ218" i="34"/>
  <c r="AI218" i="34"/>
  <c r="AH218" i="34"/>
  <c r="AG218" i="34"/>
  <c r="AF218" i="34"/>
  <c r="AD218" i="34"/>
  <c r="AC218" i="34"/>
  <c r="AB218" i="34"/>
  <c r="Z218" i="34"/>
  <c r="Y218" i="34"/>
  <c r="X218" i="34"/>
  <c r="W218" i="34"/>
  <c r="V218" i="34"/>
  <c r="U218" i="34"/>
  <c r="T218" i="34"/>
  <c r="S218" i="34"/>
  <c r="R218" i="34"/>
  <c r="Q218" i="34"/>
  <c r="P218" i="34"/>
  <c r="O218" i="34"/>
  <c r="N218" i="34"/>
  <c r="M218" i="34"/>
  <c r="L218" i="34"/>
  <c r="K218" i="34"/>
  <c r="I218" i="34"/>
  <c r="H218" i="34"/>
  <c r="G218" i="34"/>
  <c r="AQ217" i="34"/>
  <c r="AP217" i="34"/>
  <c r="AO217" i="34"/>
  <c r="AN217" i="34"/>
  <c r="AM217" i="34"/>
  <c r="AL217" i="34"/>
  <c r="AK217" i="34"/>
  <c r="AJ217" i="34"/>
  <c r="AI217" i="34"/>
  <c r="AH217" i="34"/>
  <c r="AG217" i="34"/>
  <c r="AF217" i="34"/>
  <c r="AD217" i="34"/>
  <c r="AC217" i="34"/>
  <c r="AB217" i="34"/>
  <c r="Z217" i="34"/>
  <c r="Y217" i="34"/>
  <c r="X217" i="34"/>
  <c r="W217" i="34"/>
  <c r="V217" i="34"/>
  <c r="U217" i="34"/>
  <c r="T217" i="34"/>
  <c r="S217" i="34"/>
  <c r="R217" i="34"/>
  <c r="Q217" i="34"/>
  <c r="P217" i="34"/>
  <c r="O217" i="34"/>
  <c r="N217" i="34"/>
  <c r="M217" i="34"/>
  <c r="L217" i="34"/>
  <c r="K217" i="34"/>
  <c r="I217" i="34"/>
  <c r="H217" i="34"/>
  <c r="G217" i="34"/>
  <c r="AQ216" i="34"/>
  <c r="AP216" i="34"/>
  <c r="AO216" i="34"/>
  <c r="AN216" i="34"/>
  <c r="AM216" i="34"/>
  <c r="AL216" i="34"/>
  <c r="AK216" i="34"/>
  <c r="AJ216" i="34"/>
  <c r="AI216" i="34"/>
  <c r="AH216" i="34"/>
  <c r="AG216" i="34"/>
  <c r="AF216" i="34"/>
  <c r="AD216" i="34"/>
  <c r="AC216" i="34"/>
  <c r="AB216" i="34"/>
  <c r="Z216" i="34"/>
  <c r="Y216" i="34"/>
  <c r="X216" i="34"/>
  <c r="W216" i="34"/>
  <c r="V216" i="34"/>
  <c r="U216" i="34"/>
  <c r="T216" i="34"/>
  <c r="S216" i="34"/>
  <c r="R216" i="34"/>
  <c r="Q216" i="34"/>
  <c r="P216" i="34"/>
  <c r="O216" i="34"/>
  <c r="N216" i="34"/>
  <c r="M216" i="34"/>
  <c r="L216" i="34"/>
  <c r="K216" i="34"/>
  <c r="I216" i="34"/>
  <c r="H216" i="34"/>
  <c r="G216" i="34"/>
  <c r="AQ215" i="34"/>
  <c r="AP215" i="34"/>
  <c r="AO215" i="34"/>
  <c r="AN215" i="34"/>
  <c r="AM215" i="34"/>
  <c r="AL215" i="34"/>
  <c r="AK215" i="34"/>
  <c r="AJ215" i="34"/>
  <c r="AI215" i="34"/>
  <c r="AH215" i="34"/>
  <c r="AG215" i="34"/>
  <c r="AF215" i="34"/>
  <c r="AD215" i="34"/>
  <c r="AC215" i="34"/>
  <c r="AB215" i="34"/>
  <c r="Z215" i="34"/>
  <c r="Y215" i="34"/>
  <c r="X215" i="34"/>
  <c r="W215" i="34"/>
  <c r="V215" i="34"/>
  <c r="U215" i="34"/>
  <c r="T215" i="34"/>
  <c r="S215" i="34"/>
  <c r="R215" i="34"/>
  <c r="Q215" i="34"/>
  <c r="P215" i="34"/>
  <c r="O215" i="34"/>
  <c r="N215" i="34"/>
  <c r="M215" i="34"/>
  <c r="L215" i="34"/>
  <c r="K215" i="34"/>
  <c r="I215" i="34"/>
  <c r="H215" i="34"/>
  <c r="G215" i="34"/>
  <c r="AQ214" i="34"/>
  <c r="AP214" i="34"/>
  <c r="AO214" i="34"/>
  <c r="AN214" i="34"/>
  <c r="AM214" i="34"/>
  <c r="AL214" i="34"/>
  <c r="AK214" i="34"/>
  <c r="AJ214" i="34"/>
  <c r="AI214" i="34"/>
  <c r="AH214" i="34"/>
  <c r="AG214" i="34"/>
  <c r="AF214" i="34"/>
  <c r="AD214" i="34"/>
  <c r="AC214" i="34"/>
  <c r="AB214" i="34"/>
  <c r="Z214" i="34"/>
  <c r="Y214" i="34"/>
  <c r="X214" i="34"/>
  <c r="W214" i="34"/>
  <c r="V214" i="34"/>
  <c r="U214" i="34"/>
  <c r="T214" i="34"/>
  <c r="S214" i="34"/>
  <c r="R214" i="34"/>
  <c r="Q214" i="34"/>
  <c r="P214" i="34"/>
  <c r="O214" i="34"/>
  <c r="N214" i="34"/>
  <c r="M214" i="34"/>
  <c r="L214" i="34"/>
  <c r="K214" i="34"/>
  <c r="I214" i="34"/>
  <c r="H214" i="34"/>
  <c r="G214" i="34"/>
  <c r="AQ213" i="34"/>
  <c r="AP213" i="34"/>
  <c r="AO213" i="34"/>
  <c r="AN213" i="34"/>
  <c r="AM213" i="34"/>
  <c r="AL213" i="34"/>
  <c r="AK213" i="34"/>
  <c r="AJ213" i="34"/>
  <c r="AI213" i="34"/>
  <c r="AH213" i="34"/>
  <c r="AG213" i="34"/>
  <c r="AF213" i="34"/>
  <c r="AD213" i="34"/>
  <c r="AC213" i="34"/>
  <c r="AB213" i="34"/>
  <c r="Z213" i="34"/>
  <c r="Y213" i="34"/>
  <c r="X213" i="34"/>
  <c r="W213" i="34"/>
  <c r="V213" i="34"/>
  <c r="U213" i="34"/>
  <c r="T213" i="34"/>
  <c r="S213" i="34"/>
  <c r="R213" i="34"/>
  <c r="Q213" i="34"/>
  <c r="P213" i="34"/>
  <c r="O213" i="34"/>
  <c r="N213" i="34"/>
  <c r="M213" i="34"/>
  <c r="L213" i="34"/>
  <c r="K213" i="34"/>
  <c r="I213" i="34"/>
  <c r="H213" i="34"/>
  <c r="G213" i="34"/>
  <c r="AQ212" i="34"/>
  <c r="AP212" i="34"/>
  <c r="AO212" i="34"/>
  <c r="AN212" i="34"/>
  <c r="AM212" i="34"/>
  <c r="AL212" i="34"/>
  <c r="AK212" i="34"/>
  <c r="AJ212" i="34"/>
  <c r="AI212" i="34"/>
  <c r="AH212" i="34"/>
  <c r="AG212" i="34"/>
  <c r="AF212" i="34"/>
  <c r="AD212" i="34"/>
  <c r="AC212" i="34"/>
  <c r="AB212" i="34"/>
  <c r="Z212" i="34"/>
  <c r="Y212" i="34"/>
  <c r="X212" i="34"/>
  <c r="W212" i="34"/>
  <c r="V212" i="34"/>
  <c r="U212" i="34"/>
  <c r="T212" i="34"/>
  <c r="S212" i="34"/>
  <c r="R212" i="34"/>
  <c r="Q212" i="34"/>
  <c r="P212" i="34"/>
  <c r="O212" i="34"/>
  <c r="N212" i="34"/>
  <c r="M212" i="34"/>
  <c r="L212" i="34"/>
  <c r="K212" i="34"/>
  <c r="I212" i="34"/>
  <c r="H212" i="34"/>
  <c r="G212" i="34"/>
  <c r="AQ211" i="34"/>
  <c r="AP211" i="34"/>
  <c r="AO211" i="34"/>
  <c r="AN211" i="34"/>
  <c r="AM211" i="34"/>
  <c r="AL211" i="34"/>
  <c r="AK211" i="34"/>
  <c r="AJ211" i="34"/>
  <c r="AI211" i="34"/>
  <c r="AH211" i="34"/>
  <c r="AG211" i="34"/>
  <c r="AF211" i="34"/>
  <c r="AD211" i="34"/>
  <c r="AC211" i="34"/>
  <c r="AB211" i="34"/>
  <c r="Z211" i="34"/>
  <c r="Y211" i="34"/>
  <c r="X211" i="34"/>
  <c r="W211" i="34"/>
  <c r="V211" i="34"/>
  <c r="U211" i="34"/>
  <c r="T211" i="34"/>
  <c r="S211" i="34"/>
  <c r="R211" i="34"/>
  <c r="Q211" i="34"/>
  <c r="P211" i="34"/>
  <c r="O211" i="34"/>
  <c r="N211" i="34"/>
  <c r="M211" i="34"/>
  <c r="L211" i="34"/>
  <c r="K211" i="34"/>
  <c r="I211" i="34"/>
  <c r="H211" i="34"/>
  <c r="G211" i="34"/>
  <c r="AQ210" i="34"/>
  <c r="AP210" i="34"/>
  <c r="AO210" i="34"/>
  <c r="AN210" i="34"/>
  <c r="AM210" i="34"/>
  <c r="AL210" i="34"/>
  <c r="AK210" i="34"/>
  <c r="AJ210" i="34"/>
  <c r="AI210" i="34"/>
  <c r="AH210" i="34"/>
  <c r="AG210" i="34"/>
  <c r="AF210" i="34"/>
  <c r="AD210" i="34"/>
  <c r="AC210" i="34"/>
  <c r="AB210" i="34"/>
  <c r="Z210" i="34"/>
  <c r="Y210" i="34"/>
  <c r="X210" i="34"/>
  <c r="W210" i="34"/>
  <c r="V210" i="34"/>
  <c r="U210" i="34"/>
  <c r="T210" i="34"/>
  <c r="S210" i="34"/>
  <c r="R210" i="34"/>
  <c r="Q210" i="34"/>
  <c r="P210" i="34"/>
  <c r="O210" i="34"/>
  <c r="N210" i="34"/>
  <c r="M210" i="34"/>
  <c r="L210" i="34"/>
  <c r="K210" i="34"/>
  <c r="I210" i="34"/>
  <c r="H210" i="34"/>
  <c r="G210" i="34"/>
  <c r="AQ209" i="34"/>
  <c r="AP209" i="34"/>
  <c r="AO209" i="34"/>
  <c r="AN209" i="34"/>
  <c r="AM209" i="34"/>
  <c r="AL209" i="34"/>
  <c r="AK209" i="34"/>
  <c r="AJ209" i="34"/>
  <c r="AI209" i="34"/>
  <c r="AH209" i="34"/>
  <c r="AG209" i="34"/>
  <c r="AF209" i="34"/>
  <c r="AD209" i="34"/>
  <c r="AC209" i="34"/>
  <c r="AB209" i="34"/>
  <c r="Z209" i="34"/>
  <c r="Y209" i="34"/>
  <c r="X209" i="34"/>
  <c r="W209" i="34"/>
  <c r="V209" i="34"/>
  <c r="U209" i="34"/>
  <c r="T209" i="34"/>
  <c r="S209" i="34"/>
  <c r="R209" i="34"/>
  <c r="Q209" i="34"/>
  <c r="P209" i="34"/>
  <c r="O209" i="34"/>
  <c r="N209" i="34"/>
  <c r="M209" i="34"/>
  <c r="L209" i="34"/>
  <c r="K209" i="34"/>
  <c r="I209" i="34"/>
  <c r="H209" i="34"/>
  <c r="G209" i="34"/>
  <c r="AQ208" i="34"/>
  <c r="AP208" i="34"/>
  <c r="AO208" i="34"/>
  <c r="AN208" i="34"/>
  <c r="AM208" i="34"/>
  <c r="AL208" i="34"/>
  <c r="AK208" i="34"/>
  <c r="AJ208" i="34"/>
  <c r="AI208" i="34"/>
  <c r="AH208" i="34"/>
  <c r="AG208" i="34"/>
  <c r="AF208" i="34"/>
  <c r="AD208" i="34"/>
  <c r="AC208" i="34"/>
  <c r="AB208" i="34"/>
  <c r="Z208" i="34"/>
  <c r="Y208" i="34"/>
  <c r="X208" i="34"/>
  <c r="W208" i="34"/>
  <c r="V208" i="34"/>
  <c r="U208" i="34"/>
  <c r="T208" i="34"/>
  <c r="S208" i="34"/>
  <c r="R208" i="34"/>
  <c r="Q208" i="34"/>
  <c r="P208" i="34"/>
  <c r="O208" i="34"/>
  <c r="N208" i="34"/>
  <c r="M208" i="34"/>
  <c r="L208" i="34"/>
  <c r="K208" i="34"/>
  <c r="I208" i="34"/>
  <c r="H208" i="34"/>
  <c r="G208" i="34"/>
  <c r="AQ207" i="34"/>
  <c r="AP207" i="34"/>
  <c r="AO207" i="34"/>
  <c r="AN207" i="34"/>
  <c r="AM207" i="34"/>
  <c r="AL207" i="34"/>
  <c r="AK207" i="34"/>
  <c r="AJ207" i="34"/>
  <c r="AI207" i="34"/>
  <c r="AH207" i="34"/>
  <c r="AG207" i="34"/>
  <c r="AF207" i="34"/>
  <c r="AD207" i="34"/>
  <c r="AC207" i="34"/>
  <c r="AB207" i="34"/>
  <c r="Z207" i="34"/>
  <c r="Y207" i="34"/>
  <c r="X207" i="34"/>
  <c r="W207" i="34"/>
  <c r="V207" i="34"/>
  <c r="U207" i="34"/>
  <c r="T207" i="34"/>
  <c r="S207" i="34"/>
  <c r="R207" i="34"/>
  <c r="Q207" i="34"/>
  <c r="P207" i="34"/>
  <c r="O207" i="34"/>
  <c r="N207" i="34"/>
  <c r="M207" i="34"/>
  <c r="L207" i="34"/>
  <c r="K207" i="34"/>
  <c r="I207" i="34"/>
  <c r="H207" i="34"/>
  <c r="G207" i="34"/>
  <c r="AQ206" i="34"/>
  <c r="AP206" i="34"/>
  <c r="AO206" i="34"/>
  <c r="AN206" i="34"/>
  <c r="AM206" i="34"/>
  <c r="AL206" i="34"/>
  <c r="AK206" i="34"/>
  <c r="AJ206" i="34"/>
  <c r="AI206" i="34"/>
  <c r="AH206" i="34"/>
  <c r="AG206" i="34"/>
  <c r="AF206" i="34"/>
  <c r="AD206" i="34"/>
  <c r="AC206" i="34"/>
  <c r="AB206" i="34"/>
  <c r="Z206" i="34"/>
  <c r="Y206" i="34"/>
  <c r="X206" i="34"/>
  <c r="W206" i="34"/>
  <c r="V206" i="34"/>
  <c r="U206" i="34"/>
  <c r="T206" i="34"/>
  <c r="S206" i="34"/>
  <c r="R206" i="34"/>
  <c r="Q206" i="34"/>
  <c r="P206" i="34"/>
  <c r="O206" i="34"/>
  <c r="N206" i="34"/>
  <c r="M206" i="34"/>
  <c r="L206" i="34"/>
  <c r="K206" i="34"/>
  <c r="I206" i="34"/>
  <c r="H206" i="34"/>
  <c r="G206" i="34"/>
  <c r="AQ205" i="34"/>
  <c r="AP205" i="34"/>
  <c r="AO205" i="34"/>
  <c r="AN205" i="34"/>
  <c r="AM205" i="34"/>
  <c r="AL205" i="34"/>
  <c r="AK205" i="34"/>
  <c r="AJ205" i="34"/>
  <c r="AI205" i="34"/>
  <c r="AH205" i="34"/>
  <c r="AG205" i="34"/>
  <c r="AF205" i="34"/>
  <c r="AD205" i="34"/>
  <c r="AC205" i="34"/>
  <c r="AB205" i="34"/>
  <c r="Z205" i="34"/>
  <c r="Y205" i="34"/>
  <c r="X205" i="34"/>
  <c r="W205" i="34"/>
  <c r="V205" i="34"/>
  <c r="U205" i="34"/>
  <c r="T205" i="34"/>
  <c r="S205" i="34"/>
  <c r="R205" i="34"/>
  <c r="Q205" i="34"/>
  <c r="P205" i="34"/>
  <c r="O205" i="34"/>
  <c r="N205" i="34"/>
  <c r="M205" i="34"/>
  <c r="L205" i="34"/>
  <c r="K205" i="34"/>
  <c r="I205" i="34"/>
  <c r="H205" i="34"/>
  <c r="G205" i="34"/>
  <c r="AQ204" i="34"/>
  <c r="AP204" i="34"/>
  <c r="AO204" i="34"/>
  <c r="AN204" i="34"/>
  <c r="AM204" i="34"/>
  <c r="AL204" i="34"/>
  <c r="AK204" i="34"/>
  <c r="AJ204" i="34"/>
  <c r="AI204" i="34"/>
  <c r="AH204" i="34"/>
  <c r="AG204" i="34"/>
  <c r="AF204" i="34"/>
  <c r="AD204" i="34"/>
  <c r="AC204" i="34"/>
  <c r="AB204" i="34"/>
  <c r="Z204" i="34"/>
  <c r="Y204" i="34"/>
  <c r="X204" i="34"/>
  <c r="W204" i="34"/>
  <c r="V204" i="34"/>
  <c r="U204" i="34"/>
  <c r="T204" i="34"/>
  <c r="S204" i="34"/>
  <c r="R204" i="34"/>
  <c r="Q204" i="34"/>
  <c r="P204" i="34"/>
  <c r="O204" i="34"/>
  <c r="N204" i="34"/>
  <c r="M204" i="34"/>
  <c r="L204" i="34"/>
  <c r="K204" i="34"/>
  <c r="I204" i="34"/>
  <c r="H204" i="34"/>
  <c r="G204" i="34"/>
  <c r="AQ203" i="34"/>
  <c r="AP203" i="34"/>
  <c r="AO203" i="34"/>
  <c r="AN203" i="34"/>
  <c r="AM203" i="34"/>
  <c r="AL203" i="34"/>
  <c r="AK203" i="34"/>
  <c r="AJ203" i="34"/>
  <c r="AI203" i="34"/>
  <c r="AH203" i="34"/>
  <c r="AG203" i="34"/>
  <c r="AF203" i="34"/>
  <c r="AD203" i="34"/>
  <c r="AC203" i="34"/>
  <c r="AB203" i="34"/>
  <c r="Z203" i="34"/>
  <c r="Y203" i="34"/>
  <c r="X203" i="34"/>
  <c r="W203" i="34"/>
  <c r="V203" i="34"/>
  <c r="U203" i="34"/>
  <c r="T203" i="34"/>
  <c r="S203" i="34"/>
  <c r="R203" i="34"/>
  <c r="Q203" i="34"/>
  <c r="P203" i="34"/>
  <c r="O203" i="34"/>
  <c r="N203" i="34"/>
  <c r="M203" i="34"/>
  <c r="L203" i="34"/>
  <c r="K203" i="34"/>
  <c r="I203" i="34"/>
  <c r="H203" i="34"/>
  <c r="G203" i="34"/>
  <c r="AQ202" i="34"/>
  <c r="AP202" i="34"/>
  <c r="AO202" i="34"/>
  <c r="AN202" i="34"/>
  <c r="AM202" i="34"/>
  <c r="AL202" i="34"/>
  <c r="AK202" i="34"/>
  <c r="AJ202" i="34"/>
  <c r="AI202" i="34"/>
  <c r="AH202" i="34"/>
  <c r="AG202" i="34"/>
  <c r="AF202" i="34"/>
  <c r="AD202" i="34"/>
  <c r="AC202" i="34"/>
  <c r="AB202" i="34"/>
  <c r="Z202" i="34"/>
  <c r="Y202" i="34"/>
  <c r="X202" i="34"/>
  <c r="W202" i="34"/>
  <c r="V202" i="34"/>
  <c r="U202" i="34"/>
  <c r="T202" i="34"/>
  <c r="S202" i="34"/>
  <c r="R202" i="34"/>
  <c r="Q202" i="34"/>
  <c r="P202" i="34"/>
  <c r="O202" i="34"/>
  <c r="N202" i="34"/>
  <c r="M202" i="34"/>
  <c r="L202" i="34"/>
  <c r="K202" i="34"/>
  <c r="I202" i="34"/>
  <c r="H202" i="34"/>
  <c r="G202" i="34"/>
  <c r="AQ201" i="34"/>
  <c r="AP201" i="34"/>
  <c r="AO201" i="34"/>
  <c r="AN201" i="34"/>
  <c r="AM201" i="34"/>
  <c r="AL201" i="34"/>
  <c r="AK201" i="34"/>
  <c r="AJ201" i="34"/>
  <c r="AI201" i="34"/>
  <c r="AH201" i="34"/>
  <c r="AG201" i="34"/>
  <c r="AF201" i="34"/>
  <c r="AD201" i="34"/>
  <c r="AC201" i="34"/>
  <c r="AB201" i="34"/>
  <c r="Z201" i="34"/>
  <c r="Y201" i="34"/>
  <c r="X201" i="34"/>
  <c r="W201" i="34"/>
  <c r="V201" i="34"/>
  <c r="U201" i="34"/>
  <c r="T201" i="34"/>
  <c r="S201" i="34"/>
  <c r="R201" i="34"/>
  <c r="Q201" i="34"/>
  <c r="P201" i="34"/>
  <c r="O201" i="34"/>
  <c r="N201" i="34"/>
  <c r="M201" i="34"/>
  <c r="L201" i="34"/>
  <c r="K201" i="34"/>
  <c r="I201" i="34"/>
  <c r="H201" i="34"/>
  <c r="G201" i="34"/>
  <c r="AQ200" i="34"/>
  <c r="AP200" i="34"/>
  <c r="AO200" i="34"/>
  <c r="AN200" i="34"/>
  <c r="AM200" i="34"/>
  <c r="AL200" i="34"/>
  <c r="AK200" i="34"/>
  <c r="AJ200" i="34"/>
  <c r="AI200" i="34"/>
  <c r="AH200" i="34"/>
  <c r="AG200" i="34"/>
  <c r="AF200" i="34"/>
  <c r="AD200" i="34"/>
  <c r="AC200" i="34"/>
  <c r="AB200" i="34"/>
  <c r="Z200" i="34"/>
  <c r="Y200" i="34"/>
  <c r="X200" i="34"/>
  <c r="W200" i="34"/>
  <c r="V200" i="34"/>
  <c r="U200" i="34"/>
  <c r="T200" i="34"/>
  <c r="S200" i="34"/>
  <c r="R200" i="34"/>
  <c r="Q200" i="34"/>
  <c r="P200" i="34"/>
  <c r="O200" i="34"/>
  <c r="N200" i="34"/>
  <c r="M200" i="34"/>
  <c r="L200" i="34"/>
  <c r="K200" i="34"/>
  <c r="I200" i="34"/>
  <c r="H200" i="34"/>
  <c r="G200" i="34"/>
  <c r="AQ199" i="34"/>
  <c r="AP199" i="34"/>
  <c r="AO199" i="34"/>
  <c r="AN199" i="34"/>
  <c r="AM199" i="34"/>
  <c r="AL199" i="34"/>
  <c r="AK199" i="34"/>
  <c r="AJ199" i="34"/>
  <c r="AI199" i="34"/>
  <c r="AH199" i="34"/>
  <c r="AG199" i="34"/>
  <c r="AF199" i="34"/>
  <c r="AD199" i="34"/>
  <c r="AC199" i="34"/>
  <c r="AB199" i="34"/>
  <c r="Z199" i="34"/>
  <c r="Y199" i="34"/>
  <c r="X199" i="34"/>
  <c r="W199" i="34"/>
  <c r="V199" i="34"/>
  <c r="U199" i="34"/>
  <c r="T199" i="34"/>
  <c r="S199" i="34"/>
  <c r="R199" i="34"/>
  <c r="Q199" i="34"/>
  <c r="P199" i="34"/>
  <c r="O199" i="34"/>
  <c r="N199" i="34"/>
  <c r="M199" i="34"/>
  <c r="L199" i="34"/>
  <c r="K199" i="34"/>
  <c r="I199" i="34"/>
  <c r="H199" i="34"/>
  <c r="G199" i="34"/>
  <c r="AQ198" i="34"/>
  <c r="AP198" i="34"/>
  <c r="AO198" i="34"/>
  <c r="AN198" i="34"/>
  <c r="AM198" i="34"/>
  <c r="AL198" i="34"/>
  <c r="AK198" i="34"/>
  <c r="AJ198" i="34"/>
  <c r="AI198" i="34"/>
  <c r="AH198" i="34"/>
  <c r="AG198" i="34"/>
  <c r="AF198" i="34"/>
  <c r="AD198" i="34"/>
  <c r="AC198" i="34"/>
  <c r="AB198" i="34"/>
  <c r="Z198" i="34"/>
  <c r="Y198" i="34"/>
  <c r="X198" i="34"/>
  <c r="W198" i="34"/>
  <c r="V198" i="34"/>
  <c r="U198" i="34"/>
  <c r="T198" i="34"/>
  <c r="S198" i="34"/>
  <c r="R198" i="34"/>
  <c r="Q198" i="34"/>
  <c r="P198" i="34"/>
  <c r="O198" i="34"/>
  <c r="N198" i="34"/>
  <c r="M198" i="34"/>
  <c r="L198" i="34"/>
  <c r="K198" i="34"/>
  <c r="I198" i="34"/>
  <c r="H198" i="34"/>
  <c r="G198" i="34"/>
  <c r="AQ197" i="34"/>
  <c r="AP197" i="34"/>
  <c r="AO197" i="34"/>
  <c r="AN197" i="34"/>
  <c r="AM197" i="34"/>
  <c r="AL197" i="34"/>
  <c r="AK197" i="34"/>
  <c r="AJ197" i="34"/>
  <c r="AI197" i="34"/>
  <c r="AH197" i="34"/>
  <c r="AG197" i="34"/>
  <c r="AF197" i="34"/>
  <c r="AD197" i="34"/>
  <c r="AC197" i="34"/>
  <c r="AB197" i="34"/>
  <c r="Z197" i="34"/>
  <c r="Y197" i="34"/>
  <c r="X197" i="34"/>
  <c r="W197" i="34"/>
  <c r="V197" i="34"/>
  <c r="U197" i="34"/>
  <c r="T197" i="34"/>
  <c r="S197" i="34"/>
  <c r="R197" i="34"/>
  <c r="Q197" i="34"/>
  <c r="P197" i="34"/>
  <c r="O197" i="34"/>
  <c r="N197" i="34"/>
  <c r="M197" i="34"/>
  <c r="L197" i="34"/>
  <c r="K197" i="34"/>
  <c r="I197" i="34"/>
  <c r="H197" i="34"/>
  <c r="G197" i="34"/>
  <c r="AQ196" i="34"/>
  <c r="AP196" i="34"/>
  <c r="AO196" i="34"/>
  <c r="AN196" i="34"/>
  <c r="AM196" i="34"/>
  <c r="AL196" i="34"/>
  <c r="AK196" i="34"/>
  <c r="AJ196" i="34"/>
  <c r="AI196" i="34"/>
  <c r="AH196" i="34"/>
  <c r="AG196" i="34"/>
  <c r="AF196" i="34"/>
  <c r="AD196" i="34"/>
  <c r="AC196" i="34"/>
  <c r="AB196" i="34"/>
  <c r="Z196" i="34"/>
  <c r="Y196" i="34"/>
  <c r="X196" i="34"/>
  <c r="W196" i="34"/>
  <c r="V196" i="34"/>
  <c r="U196" i="34"/>
  <c r="T196" i="34"/>
  <c r="S196" i="34"/>
  <c r="R196" i="34"/>
  <c r="Q196" i="34"/>
  <c r="P196" i="34"/>
  <c r="O196" i="34"/>
  <c r="N196" i="34"/>
  <c r="M196" i="34"/>
  <c r="L196" i="34"/>
  <c r="K196" i="34"/>
  <c r="I196" i="34"/>
  <c r="H196" i="34"/>
  <c r="G196" i="34"/>
  <c r="AQ195" i="34"/>
  <c r="AP195" i="34"/>
  <c r="AO195" i="34"/>
  <c r="AN195" i="34"/>
  <c r="AM195" i="34"/>
  <c r="AL195" i="34"/>
  <c r="AK195" i="34"/>
  <c r="AJ195" i="34"/>
  <c r="AI195" i="34"/>
  <c r="AH195" i="34"/>
  <c r="AG195" i="34"/>
  <c r="AF195" i="34"/>
  <c r="AD195" i="34"/>
  <c r="AC195" i="34"/>
  <c r="AB195" i="34"/>
  <c r="Z195" i="34"/>
  <c r="Y195" i="34"/>
  <c r="X195" i="34"/>
  <c r="W195" i="34"/>
  <c r="V195" i="34"/>
  <c r="U195" i="34"/>
  <c r="T195" i="34"/>
  <c r="S195" i="34"/>
  <c r="R195" i="34"/>
  <c r="Q195" i="34"/>
  <c r="P195" i="34"/>
  <c r="O195" i="34"/>
  <c r="N195" i="34"/>
  <c r="M195" i="34"/>
  <c r="L195" i="34"/>
  <c r="K195" i="34"/>
  <c r="I195" i="34"/>
  <c r="H195" i="34"/>
  <c r="G195" i="34"/>
  <c r="AQ194" i="34"/>
  <c r="AP194" i="34"/>
  <c r="AO194" i="34"/>
  <c r="AN194" i="34"/>
  <c r="AM194" i="34"/>
  <c r="AL194" i="34"/>
  <c r="AK194" i="34"/>
  <c r="AJ194" i="34"/>
  <c r="AI194" i="34"/>
  <c r="AH194" i="34"/>
  <c r="AG194" i="34"/>
  <c r="AF194" i="34"/>
  <c r="AD194" i="34"/>
  <c r="AC194" i="34"/>
  <c r="AB194" i="34"/>
  <c r="Z194" i="34"/>
  <c r="Y194" i="34"/>
  <c r="X194" i="34"/>
  <c r="W194" i="34"/>
  <c r="V194" i="34"/>
  <c r="U194" i="34"/>
  <c r="T194" i="34"/>
  <c r="S194" i="34"/>
  <c r="R194" i="34"/>
  <c r="Q194" i="34"/>
  <c r="P194" i="34"/>
  <c r="O194" i="34"/>
  <c r="N194" i="34"/>
  <c r="M194" i="34"/>
  <c r="L194" i="34"/>
  <c r="K194" i="34"/>
  <c r="I194" i="34"/>
  <c r="H194" i="34"/>
  <c r="G194" i="34"/>
  <c r="AQ193" i="34"/>
  <c r="AP193" i="34"/>
  <c r="AO193" i="34"/>
  <c r="AN193" i="34"/>
  <c r="AM193" i="34"/>
  <c r="AL193" i="34"/>
  <c r="AK193" i="34"/>
  <c r="AJ193" i="34"/>
  <c r="AI193" i="34"/>
  <c r="AH193" i="34"/>
  <c r="AG193" i="34"/>
  <c r="AF193" i="34"/>
  <c r="AD193" i="34"/>
  <c r="AC193" i="34"/>
  <c r="AB193" i="34"/>
  <c r="Z193" i="34"/>
  <c r="Y193" i="34"/>
  <c r="X193" i="34"/>
  <c r="W193" i="34"/>
  <c r="V193" i="34"/>
  <c r="U193" i="34"/>
  <c r="T193" i="34"/>
  <c r="S193" i="34"/>
  <c r="R193" i="34"/>
  <c r="Q193" i="34"/>
  <c r="P193" i="34"/>
  <c r="O193" i="34"/>
  <c r="N193" i="34"/>
  <c r="M193" i="34"/>
  <c r="L193" i="34"/>
  <c r="K193" i="34"/>
  <c r="I193" i="34"/>
  <c r="H193" i="34"/>
  <c r="G193" i="34"/>
  <c r="AQ192" i="34"/>
  <c r="AP192" i="34"/>
  <c r="AO192" i="34"/>
  <c r="AN192" i="34"/>
  <c r="AM192" i="34"/>
  <c r="AL192" i="34"/>
  <c r="AK192" i="34"/>
  <c r="AJ192" i="34"/>
  <c r="AI192" i="34"/>
  <c r="AH192" i="34"/>
  <c r="AG192" i="34"/>
  <c r="AF192" i="34"/>
  <c r="AD192" i="34"/>
  <c r="AC192" i="34"/>
  <c r="AB192" i="34"/>
  <c r="Z192" i="34"/>
  <c r="Y192" i="34"/>
  <c r="X192" i="34"/>
  <c r="W192" i="34"/>
  <c r="V192" i="34"/>
  <c r="U192" i="34"/>
  <c r="T192" i="34"/>
  <c r="S192" i="34"/>
  <c r="R192" i="34"/>
  <c r="Q192" i="34"/>
  <c r="P192" i="34"/>
  <c r="O192" i="34"/>
  <c r="N192" i="34"/>
  <c r="M192" i="34"/>
  <c r="L192" i="34"/>
  <c r="K192" i="34"/>
  <c r="I192" i="34"/>
  <c r="H192" i="34"/>
  <c r="G192" i="34"/>
  <c r="AQ191" i="34"/>
  <c r="AP191" i="34"/>
  <c r="AO191" i="34"/>
  <c r="AN191" i="34"/>
  <c r="AM191" i="34"/>
  <c r="AL191" i="34"/>
  <c r="AK191" i="34"/>
  <c r="AJ191" i="34"/>
  <c r="AI191" i="34"/>
  <c r="AH191" i="34"/>
  <c r="AG191" i="34"/>
  <c r="AF191" i="34"/>
  <c r="AD191" i="34"/>
  <c r="AC191" i="34"/>
  <c r="AB191" i="34"/>
  <c r="Z191" i="34"/>
  <c r="Y191" i="34"/>
  <c r="X191" i="34"/>
  <c r="W191" i="34"/>
  <c r="V191" i="34"/>
  <c r="U191" i="34"/>
  <c r="T191" i="34"/>
  <c r="S191" i="34"/>
  <c r="R191" i="34"/>
  <c r="Q191" i="34"/>
  <c r="P191" i="34"/>
  <c r="O191" i="34"/>
  <c r="N191" i="34"/>
  <c r="M191" i="34"/>
  <c r="L191" i="34"/>
  <c r="K191" i="34"/>
  <c r="I191" i="34"/>
  <c r="H191" i="34"/>
  <c r="G191" i="34"/>
  <c r="AQ190" i="34"/>
  <c r="AP190" i="34"/>
  <c r="AO190" i="34"/>
  <c r="AN190" i="34"/>
  <c r="AM190" i="34"/>
  <c r="AL190" i="34"/>
  <c r="AK190" i="34"/>
  <c r="AJ190" i="34"/>
  <c r="AI190" i="34"/>
  <c r="AH190" i="34"/>
  <c r="AG190" i="34"/>
  <c r="AF190" i="34"/>
  <c r="AD190" i="34"/>
  <c r="AC190" i="34"/>
  <c r="AB190" i="34"/>
  <c r="Z190" i="34"/>
  <c r="Y190" i="34"/>
  <c r="X190" i="34"/>
  <c r="W190" i="34"/>
  <c r="V190" i="34"/>
  <c r="U190" i="34"/>
  <c r="T190" i="34"/>
  <c r="S190" i="34"/>
  <c r="R190" i="34"/>
  <c r="Q190" i="34"/>
  <c r="P190" i="34"/>
  <c r="O190" i="34"/>
  <c r="N190" i="34"/>
  <c r="M190" i="34"/>
  <c r="L190" i="34"/>
  <c r="K190" i="34"/>
  <c r="I190" i="34"/>
  <c r="H190" i="34"/>
  <c r="G190" i="34"/>
  <c r="AQ189" i="34"/>
  <c r="AP189" i="34"/>
  <c r="AO189" i="34"/>
  <c r="AN189" i="34"/>
  <c r="AM189" i="34"/>
  <c r="AL189" i="34"/>
  <c r="AK189" i="34"/>
  <c r="AJ189" i="34"/>
  <c r="AI189" i="34"/>
  <c r="AH189" i="34"/>
  <c r="AG189" i="34"/>
  <c r="AF189" i="34"/>
  <c r="AD189" i="34"/>
  <c r="AC189" i="34"/>
  <c r="AB189" i="34"/>
  <c r="Z189" i="34"/>
  <c r="Y189" i="34"/>
  <c r="X189" i="34"/>
  <c r="W189" i="34"/>
  <c r="V189" i="34"/>
  <c r="U189" i="34"/>
  <c r="T189" i="34"/>
  <c r="S189" i="34"/>
  <c r="R189" i="34"/>
  <c r="Q189" i="34"/>
  <c r="P189" i="34"/>
  <c r="O189" i="34"/>
  <c r="N189" i="34"/>
  <c r="M189" i="34"/>
  <c r="L189" i="34"/>
  <c r="K189" i="34"/>
  <c r="I189" i="34"/>
  <c r="H189" i="34"/>
  <c r="G189" i="34"/>
  <c r="AQ188" i="34"/>
  <c r="AP188" i="34"/>
  <c r="AO188" i="34"/>
  <c r="AN188" i="34"/>
  <c r="AM188" i="34"/>
  <c r="AL188" i="34"/>
  <c r="AK188" i="34"/>
  <c r="AJ188" i="34"/>
  <c r="AI188" i="34"/>
  <c r="AH188" i="34"/>
  <c r="AG188" i="34"/>
  <c r="AF188" i="34"/>
  <c r="AD188" i="34"/>
  <c r="AC188" i="34"/>
  <c r="AB188" i="34"/>
  <c r="Z188" i="34"/>
  <c r="Y188" i="34"/>
  <c r="X188" i="34"/>
  <c r="W188" i="34"/>
  <c r="V188" i="34"/>
  <c r="U188" i="34"/>
  <c r="T188" i="34"/>
  <c r="S188" i="34"/>
  <c r="R188" i="34"/>
  <c r="Q188" i="34"/>
  <c r="P188" i="34"/>
  <c r="O188" i="34"/>
  <c r="N188" i="34"/>
  <c r="M188" i="34"/>
  <c r="L188" i="34"/>
  <c r="K188" i="34"/>
  <c r="I188" i="34"/>
  <c r="H188" i="34"/>
  <c r="G188" i="34"/>
  <c r="AQ187" i="34"/>
  <c r="AP187" i="34"/>
  <c r="AO187" i="34"/>
  <c r="AN187" i="34"/>
  <c r="AM187" i="34"/>
  <c r="AL187" i="34"/>
  <c r="AK187" i="34"/>
  <c r="AJ187" i="34"/>
  <c r="AI187" i="34"/>
  <c r="AH187" i="34"/>
  <c r="AG187" i="34"/>
  <c r="AF187" i="34"/>
  <c r="AD187" i="34"/>
  <c r="AC187" i="34"/>
  <c r="AB187" i="34"/>
  <c r="Z187" i="34"/>
  <c r="Y187" i="34"/>
  <c r="X187" i="34"/>
  <c r="W187" i="34"/>
  <c r="V187" i="34"/>
  <c r="U187" i="34"/>
  <c r="T187" i="34"/>
  <c r="S187" i="34"/>
  <c r="R187" i="34"/>
  <c r="Q187" i="34"/>
  <c r="P187" i="34"/>
  <c r="O187" i="34"/>
  <c r="N187" i="34"/>
  <c r="M187" i="34"/>
  <c r="L187" i="34"/>
  <c r="K187" i="34"/>
  <c r="I187" i="34"/>
  <c r="H187" i="34"/>
  <c r="G187" i="34"/>
  <c r="AQ186" i="34"/>
  <c r="AP186" i="34"/>
  <c r="AO186" i="34"/>
  <c r="AN186" i="34"/>
  <c r="AM186" i="34"/>
  <c r="AL186" i="34"/>
  <c r="AK186" i="34"/>
  <c r="AJ186" i="34"/>
  <c r="AI186" i="34"/>
  <c r="AH186" i="34"/>
  <c r="AG186" i="34"/>
  <c r="AF186" i="34"/>
  <c r="AD186" i="34"/>
  <c r="AC186" i="34"/>
  <c r="AB186" i="34"/>
  <c r="Z186" i="34"/>
  <c r="Y186" i="34"/>
  <c r="X186" i="34"/>
  <c r="W186" i="34"/>
  <c r="V186" i="34"/>
  <c r="U186" i="34"/>
  <c r="T186" i="34"/>
  <c r="S186" i="34"/>
  <c r="R186" i="34"/>
  <c r="Q186" i="34"/>
  <c r="P186" i="34"/>
  <c r="O186" i="34"/>
  <c r="N186" i="34"/>
  <c r="M186" i="34"/>
  <c r="L186" i="34"/>
  <c r="K186" i="34"/>
  <c r="I186" i="34"/>
  <c r="H186" i="34"/>
  <c r="G186" i="34"/>
  <c r="AQ185" i="34"/>
  <c r="AP185" i="34"/>
  <c r="AO185" i="34"/>
  <c r="AN185" i="34"/>
  <c r="AM185" i="34"/>
  <c r="AL185" i="34"/>
  <c r="AK185" i="34"/>
  <c r="AJ185" i="34"/>
  <c r="AI185" i="34"/>
  <c r="AH185" i="34"/>
  <c r="AG185" i="34"/>
  <c r="AF185" i="34"/>
  <c r="AD185" i="34"/>
  <c r="AC185" i="34"/>
  <c r="AB185" i="34"/>
  <c r="Z185" i="34"/>
  <c r="Y185" i="34"/>
  <c r="X185" i="34"/>
  <c r="W185" i="34"/>
  <c r="V185" i="34"/>
  <c r="U185" i="34"/>
  <c r="T185" i="34"/>
  <c r="S185" i="34"/>
  <c r="R185" i="34"/>
  <c r="Q185" i="34"/>
  <c r="P185" i="34"/>
  <c r="O185" i="34"/>
  <c r="N185" i="34"/>
  <c r="M185" i="34"/>
  <c r="L185" i="34"/>
  <c r="K185" i="34"/>
  <c r="I185" i="34"/>
  <c r="H185" i="34"/>
  <c r="G185" i="34"/>
  <c r="AQ184" i="34"/>
  <c r="AP184" i="34"/>
  <c r="AO184" i="34"/>
  <c r="AN184" i="34"/>
  <c r="AM184" i="34"/>
  <c r="AL184" i="34"/>
  <c r="AK184" i="34"/>
  <c r="AJ184" i="34"/>
  <c r="AI184" i="34"/>
  <c r="AH184" i="34"/>
  <c r="AG184" i="34"/>
  <c r="AF184" i="34"/>
  <c r="AD184" i="34"/>
  <c r="AC184" i="34"/>
  <c r="AB184" i="34"/>
  <c r="Z184" i="34"/>
  <c r="Y184" i="34"/>
  <c r="X184" i="34"/>
  <c r="W184" i="34"/>
  <c r="V184" i="34"/>
  <c r="U184" i="34"/>
  <c r="T184" i="34"/>
  <c r="S184" i="34"/>
  <c r="R184" i="34"/>
  <c r="Q184" i="34"/>
  <c r="P184" i="34"/>
  <c r="O184" i="34"/>
  <c r="N184" i="34"/>
  <c r="M184" i="34"/>
  <c r="L184" i="34"/>
  <c r="K184" i="34"/>
  <c r="I184" i="34"/>
  <c r="H184" i="34"/>
  <c r="G184" i="34"/>
  <c r="AQ183" i="34"/>
  <c r="AP183" i="34"/>
  <c r="AO183" i="34"/>
  <c r="AN183" i="34"/>
  <c r="AM183" i="34"/>
  <c r="AL183" i="34"/>
  <c r="AK183" i="34"/>
  <c r="AJ183" i="34"/>
  <c r="AI183" i="34"/>
  <c r="AH183" i="34"/>
  <c r="AG183" i="34"/>
  <c r="AF183" i="34"/>
  <c r="AD183" i="34"/>
  <c r="AC183" i="34"/>
  <c r="AB183" i="34"/>
  <c r="Z183" i="34"/>
  <c r="Y183" i="34"/>
  <c r="X183" i="34"/>
  <c r="W183" i="34"/>
  <c r="V183" i="34"/>
  <c r="U183" i="34"/>
  <c r="T183" i="34"/>
  <c r="S183" i="34"/>
  <c r="R183" i="34"/>
  <c r="Q183" i="34"/>
  <c r="P183" i="34"/>
  <c r="O183" i="34"/>
  <c r="N183" i="34"/>
  <c r="M183" i="34"/>
  <c r="L183" i="34"/>
  <c r="K183" i="34"/>
  <c r="I183" i="34"/>
  <c r="H183" i="34"/>
  <c r="G183" i="34"/>
  <c r="AQ182" i="34"/>
  <c r="AP182" i="34"/>
  <c r="AO182" i="34"/>
  <c r="AN182" i="34"/>
  <c r="AM182" i="34"/>
  <c r="AL182" i="34"/>
  <c r="AK182" i="34"/>
  <c r="AJ182" i="34"/>
  <c r="AI182" i="34"/>
  <c r="AH182" i="34"/>
  <c r="AG182" i="34"/>
  <c r="AF182" i="34"/>
  <c r="AD182" i="34"/>
  <c r="AC182" i="34"/>
  <c r="AB182" i="34"/>
  <c r="Z182" i="34"/>
  <c r="Y182" i="34"/>
  <c r="X182" i="34"/>
  <c r="W182" i="34"/>
  <c r="V182" i="34"/>
  <c r="U182" i="34"/>
  <c r="T182" i="34"/>
  <c r="S182" i="34"/>
  <c r="R182" i="34"/>
  <c r="Q182" i="34"/>
  <c r="P182" i="34"/>
  <c r="O182" i="34"/>
  <c r="N182" i="34"/>
  <c r="M182" i="34"/>
  <c r="L182" i="34"/>
  <c r="K182" i="34"/>
  <c r="I182" i="34"/>
  <c r="H182" i="34"/>
  <c r="G182" i="34"/>
  <c r="AQ181" i="34"/>
  <c r="AP181" i="34"/>
  <c r="AO181" i="34"/>
  <c r="AN181" i="34"/>
  <c r="AM181" i="34"/>
  <c r="AL181" i="34"/>
  <c r="AK181" i="34"/>
  <c r="AJ181" i="34"/>
  <c r="AI181" i="34"/>
  <c r="AH181" i="34"/>
  <c r="AG181" i="34"/>
  <c r="AF181" i="34"/>
  <c r="AD181" i="34"/>
  <c r="AC181" i="34"/>
  <c r="AB181" i="34"/>
  <c r="Z181" i="34"/>
  <c r="Y181" i="34"/>
  <c r="X181" i="34"/>
  <c r="W181" i="34"/>
  <c r="V181" i="34"/>
  <c r="U181" i="34"/>
  <c r="T181" i="34"/>
  <c r="S181" i="34"/>
  <c r="R181" i="34"/>
  <c r="Q181" i="34"/>
  <c r="P181" i="34"/>
  <c r="O181" i="34"/>
  <c r="N181" i="34"/>
  <c r="M181" i="34"/>
  <c r="L181" i="34"/>
  <c r="K181" i="34"/>
  <c r="I181" i="34"/>
  <c r="H181" i="34"/>
  <c r="G181" i="34"/>
  <c r="AQ180" i="34"/>
  <c r="AP180" i="34"/>
  <c r="AO180" i="34"/>
  <c r="AN180" i="34"/>
  <c r="AM180" i="34"/>
  <c r="AL180" i="34"/>
  <c r="AK180" i="34"/>
  <c r="AJ180" i="34"/>
  <c r="AI180" i="34"/>
  <c r="AH180" i="34"/>
  <c r="AG180" i="34"/>
  <c r="AF180" i="34"/>
  <c r="AD180" i="34"/>
  <c r="AC180" i="34"/>
  <c r="AB180" i="34"/>
  <c r="Z180" i="34"/>
  <c r="Y180" i="34"/>
  <c r="X180" i="34"/>
  <c r="W180" i="34"/>
  <c r="V180" i="34"/>
  <c r="U180" i="34"/>
  <c r="T180" i="34"/>
  <c r="S180" i="34"/>
  <c r="R180" i="34"/>
  <c r="Q180" i="34"/>
  <c r="P180" i="34"/>
  <c r="O180" i="34"/>
  <c r="N180" i="34"/>
  <c r="M180" i="34"/>
  <c r="L180" i="34"/>
  <c r="K180" i="34"/>
  <c r="I180" i="34"/>
  <c r="H180" i="34"/>
  <c r="G180" i="34"/>
  <c r="AQ179" i="34"/>
  <c r="AP179" i="34"/>
  <c r="AO179" i="34"/>
  <c r="AN179" i="34"/>
  <c r="AM179" i="34"/>
  <c r="AL179" i="34"/>
  <c r="AK179" i="34"/>
  <c r="AJ179" i="34"/>
  <c r="AI179" i="34"/>
  <c r="AH179" i="34"/>
  <c r="AG179" i="34"/>
  <c r="AF179" i="34"/>
  <c r="AD179" i="34"/>
  <c r="AC179" i="34"/>
  <c r="AB179" i="34"/>
  <c r="Z179" i="34"/>
  <c r="Y179" i="34"/>
  <c r="X179" i="34"/>
  <c r="W179" i="34"/>
  <c r="V179" i="34"/>
  <c r="U179" i="34"/>
  <c r="T179" i="34"/>
  <c r="S179" i="34"/>
  <c r="R179" i="34"/>
  <c r="Q179" i="34"/>
  <c r="P179" i="34"/>
  <c r="O179" i="34"/>
  <c r="N179" i="34"/>
  <c r="M179" i="34"/>
  <c r="L179" i="34"/>
  <c r="K179" i="34"/>
  <c r="I179" i="34"/>
  <c r="H179" i="34"/>
  <c r="G179" i="34"/>
  <c r="AQ178" i="34"/>
  <c r="AP178" i="34"/>
  <c r="AO178" i="34"/>
  <c r="AN178" i="34"/>
  <c r="AM178" i="34"/>
  <c r="AL178" i="34"/>
  <c r="AK178" i="34"/>
  <c r="AJ178" i="34"/>
  <c r="AI178" i="34"/>
  <c r="AH178" i="34"/>
  <c r="AG178" i="34"/>
  <c r="AF178" i="34"/>
  <c r="AD178" i="34"/>
  <c r="AC178" i="34"/>
  <c r="AB178" i="34"/>
  <c r="Z178" i="34"/>
  <c r="Y178" i="34"/>
  <c r="X178" i="34"/>
  <c r="W178" i="34"/>
  <c r="V178" i="34"/>
  <c r="U178" i="34"/>
  <c r="T178" i="34"/>
  <c r="S178" i="34"/>
  <c r="R178" i="34"/>
  <c r="Q178" i="34"/>
  <c r="P178" i="34"/>
  <c r="O178" i="34"/>
  <c r="N178" i="34"/>
  <c r="M178" i="34"/>
  <c r="L178" i="34"/>
  <c r="K178" i="34"/>
  <c r="I178" i="34"/>
  <c r="H178" i="34"/>
  <c r="G178" i="34"/>
  <c r="AQ177" i="34"/>
  <c r="AP177" i="34"/>
  <c r="AO177" i="34"/>
  <c r="AN177" i="34"/>
  <c r="AM177" i="34"/>
  <c r="AL177" i="34"/>
  <c r="AK177" i="34"/>
  <c r="AJ177" i="34"/>
  <c r="AI177" i="34"/>
  <c r="AH177" i="34"/>
  <c r="AG177" i="34"/>
  <c r="AF177" i="34"/>
  <c r="AD177" i="34"/>
  <c r="AC177" i="34"/>
  <c r="AB177" i="34"/>
  <c r="Z177" i="34"/>
  <c r="Y177" i="34"/>
  <c r="X177" i="34"/>
  <c r="W177" i="34"/>
  <c r="V177" i="34"/>
  <c r="U177" i="34"/>
  <c r="T177" i="34"/>
  <c r="S177" i="34"/>
  <c r="R177" i="34"/>
  <c r="Q177" i="34"/>
  <c r="P177" i="34"/>
  <c r="O177" i="34"/>
  <c r="N177" i="34"/>
  <c r="M177" i="34"/>
  <c r="L177" i="34"/>
  <c r="K177" i="34"/>
  <c r="I177" i="34"/>
  <c r="H177" i="34"/>
  <c r="G177" i="34"/>
  <c r="AQ176" i="34"/>
  <c r="AP176" i="34"/>
  <c r="AO176" i="34"/>
  <c r="AN176" i="34"/>
  <c r="AM176" i="34"/>
  <c r="AL176" i="34"/>
  <c r="AK176" i="34"/>
  <c r="AJ176" i="34"/>
  <c r="AI176" i="34"/>
  <c r="AH176" i="34"/>
  <c r="AG176" i="34"/>
  <c r="AF176" i="34"/>
  <c r="AD176" i="34"/>
  <c r="AC176" i="34"/>
  <c r="AB176" i="34"/>
  <c r="Z176" i="34"/>
  <c r="Y176" i="34"/>
  <c r="X176" i="34"/>
  <c r="W176" i="34"/>
  <c r="V176" i="34"/>
  <c r="U176" i="34"/>
  <c r="T176" i="34"/>
  <c r="S176" i="34"/>
  <c r="R176" i="34"/>
  <c r="Q176" i="34"/>
  <c r="P176" i="34"/>
  <c r="O176" i="34"/>
  <c r="N176" i="34"/>
  <c r="M176" i="34"/>
  <c r="L176" i="34"/>
  <c r="K176" i="34"/>
  <c r="I176" i="34"/>
  <c r="H176" i="34"/>
  <c r="G176" i="34"/>
  <c r="AQ175" i="34"/>
  <c r="AP175" i="34"/>
  <c r="AO175" i="34"/>
  <c r="AN175" i="34"/>
  <c r="AM175" i="34"/>
  <c r="AL175" i="34"/>
  <c r="AK175" i="34"/>
  <c r="AJ175" i="34"/>
  <c r="AI175" i="34"/>
  <c r="AH175" i="34"/>
  <c r="AG175" i="34"/>
  <c r="AF175" i="34"/>
  <c r="AD175" i="34"/>
  <c r="AC175" i="34"/>
  <c r="AB175" i="34"/>
  <c r="Z175" i="34"/>
  <c r="Y175" i="34"/>
  <c r="X175" i="34"/>
  <c r="W175" i="34"/>
  <c r="V175" i="34"/>
  <c r="U175" i="34"/>
  <c r="T175" i="34"/>
  <c r="S175" i="34"/>
  <c r="R175" i="34"/>
  <c r="Q175" i="34"/>
  <c r="P175" i="34"/>
  <c r="O175" i="34"/>
  <c r="N175" i="34"/>
  <c r="M175" i="34"/>
  <c r="L175" i="34"/>
  <c r="K175" i="34"/>
  <c r="I175" i="34"/>
  <c r="H175" i="34"/>
  <c r="G175" i="34"/>
  <c r="AQ174" i="34"/>
  <c r="AP174" i="34"/>
  <c r="AO174" i="34"/>
  <c r="AN174" i="34"/>
  <c r="AM174" i="34"/>
  <c r="AL174" i="34"/>
  <c r="AK174" i="34"/>
  <c r="AJ174" i="34"/>
  <c r="AI174" i="34"/>
  <c r="AH174" i="34"/>
  <c r="AG174" i="34"/>
  <c r="AF174" i="34"/>
  <c r="AD174" i="34"/>
  <c r="AC174" i="34"/>
  <c r="AB174" i="34"/>
  <c r="Z174" i="34"/>
  <c r="Y174" i="34"/>
  <c r="X174" i="34"/>
  <c r="W174" i="34"/>
  <c r="V174" i="34"/>
  <c r="U174" i="34"/>
  <c r="T174" i="34"/>
  <c r="S174" i="34"/>
  <c r="R174" i="34"/>
  <c r="Q174" i="34"/>
  <c r="P174" i="34"/>
  <c r="O174" i="34"/>
  <c r="N174" i="34"/>
  <c r="M174" i="34"/>
  <c r="L174" i="34"/>
  <c r="K174" i="34"/>
  <c r="I174" i="34"/>
  <c r="H174" i="34"/>
  <c r="G174" i="34"/>
  <c r="AQ173" i="34"/>
  <c r="AP173" i="34"/>
  <c r="AO173" i="34"/>
  <c r="AN173" i="34"/>
  <c r="AM173" i="34"/>
  <c r="AL173" i="34"/>
  <c r="AK173" i="34"/>
  <c r="AJ173" i="34"/>
  <c r="AI173" i="34"/>
  <c r="AH173" i="34"/>
  <c r="AG173" i="34"/>
  <c r="AF173" i="34"/>
  <c r="AD173" i="34"/>
  <c r="AC173" i="34"/>
  <c r="AB173" i="34"/>
  <c r="Z173" i="34"/>
  <c r="Y173" i="34"/>
  <c r="X173" i="34"/>
  <c r="W173" i="34"/>
  <c r="V173" i="34"/>
  <c r="U173" i="34"/>
  <c r="T173" i="34"/>
  <c r="S173" i="34"/>
  <c r="R173" i="34"/>
  <c r="Q173" i="34"/>
  <c r="P173" i="34"/>
  <c r="O173" i="34"/>
  <c r="N173" i="34"/>
  <c r="M173" i="34"/>
  <c r="L173" i="34"/>
  <c r="K173" i="34"/>
  <c r="I173" i="34"/>
  <c r="H173" i="34"/>
  <c r="G173" i="34"/>
  <c r="AQ172" i="34"/>
  <c r="AP172" i="34"/>
  <c r="AO172" i="34"/>
  <c r="AN172" i="34"/>
  <c r="AM172" i="34"/>
  <c r="AL172" i="34"/>
  <c r="AK172" i="34"/>
  <c r="AJ172" i="34"/>
  <c r="AI172" i="34"/>
  <c r="AH172" i="34"/>
  <c r="AG172" i="34"/>
  <c r="AF172" i="34"/>
  <c r="AD172" i="34"/>
  <c r="AC172" i="34"/>
  <c r="AB172" i="34"/>
  <c r="Z172" i="34"/>
  <c r="Y172" i="34"/>
  <c r="X172" i="34"/>
  <c r="W172" i="34"/>
  <c r="V172" i="34"/>
  <c r="U172" i="34"/>
  <c r="T172" i="34"/>
  <c r="S172" i="34"/>
  <c r="R172" i="34"/>
  <c r="Q172" i="34"/>
  <c r="P172" i="34"/>
  <c r="O172" i="34"/>
  <c r="N172" i="34"/>
  <c r="M172" i="34"/>
  <c r="L172" i="34"/>
  <c r="K172" i="34"/>
  <c r="I172" i="34"/>
  <c r="H172" i="34"/>
  <c r="G172" i="34"/>
  <c r="AQ171" i="34"/>
  <c r="AP171" i="34"/>
  <c r="AO171" i="34"/>
  <c r="AN171" i="34"/>
  <c r="AM171" i="34"/>
  <c r="AL171" i="34"/>
  <c r="AK171" i="34"/>
  <c r="AJ171" i="34"/>
  <c r="AI171" i="34"/>
  <c r="AH171" i="34"/>
  <c r="AG171" i="34"/>
  <c r="AF171" i="34"/>
  <c r="AD171" i="34"/>
  <c r="AC171" i="34"/>
  <c r="AB171" i="34"/>
  <c r="Z171" i="34"/>
  <c r="Y171" i="34"/>
  <c r="X171" i="34"/>
  <c r="W171" i="34"/>
  <c r="V171" i="34"/>
  <c r="U171" i="34"/>
  <c r="T171" i="34"/>
  <c r="S171" i="34"/>
  <c r="R171" i="34"/>
  <c r="Q171" i="34"/>
  <c r="P171" i="34"/>
  <c r="O171" i="34"/>
  <c r="N171" i="34"/>
  <c r="M171" i="34"/>
  <c r="L171" i="34"/>
  <c r="K171" i="34"/>
  <c r="I171" i="34"/>
  <c r="H171" i="34"/>
  <c r="G171" i="34"/>
  <c r="AQ170" i="34"/>
  <c r="AP170" i="34"/>
  <c r="AO170" i="34"/>
  <c r="AN170" i="34"/>
  <c r="AM170" i="34"/>
  <c r="AL170" i="34"/>
  <c r="AK170" i="34"/>
  <c r="AJ170" i="34"/>
  <c r="AI170" i="34"/>
  <c r="AH170" i="34"/>
  <c r="AG170" i="34"/>
  <c r="AF170" i="34"/>
  <c r="AD170" i="34"/>
  <c r="AC170" i="34"/>
  <c r="AB170" i="34"/>
  <c r="Z170" i="34"/>
  <c r="Y170" i="34"/>
  <c r="X170" i="34"/>
  <c r="W170" i="34"/>
  <c r="V170" i="34"/>
  <c r="U170" i="34"/>
  <c r="T170" i="34"/>
  <c r="S170" i="34"/>
  <c r="R170" i="34"/>
  <c r="Q170" i="34"/>
  <c r="P170" i="34"/>
  <c r="O170" i="34"/>
  <c r="N170" i="34"/>
  <c r="M170" i="34"/>
  <c r="L170" i="34"/>
  <c r="K170" i="34"/>
  <c r="I170" i="34"/>
  <c r="H170" i="34"/>
  <c r="G170" i="34"/>
  <c r="AQ169" i="34"/>
  <c r="AP169" i="34"/>
  <c r="AO169" i="34"/>
  <c r="AN169" i="34"/>
  <c r="AM169" i="34"/>
  <c r="AL169" i="34"/>
  <c r="AK169" i="34"/>
  <c r="AJ169" i="34"/>
  <c r="AI169" i="34"/>
  <c r="AH169" i="34"/>
  <c r="AG169" i="34"/>
  <c r="AF169" i="34"/>
  <c r="AD169" i="34"/>
  <c r="AC169" i="34"/>
  <c r="AB169" i="34"/>
  <c r="Z169" i="34"/>
  <c r="Y169" i="34"/>
  <c r="X169" i="34"/>
  <c r="W169" i="34"/>
  <c r="V169" i="34"/>
  <c r="U169" i="34"/>
  <c r="T169" i="34"/>
  <c r="S169" i="34"/>
  <c r="R169" i="34"/>
  <c r="Q169" i="34"/>
  <c r="P169" i="34"/>
  <c r="O169" i="34"/>
  <c r="N169" i="34"/>
  <c r="M169" i="34"/>
  <c r="L169" i="34"/>
  <c r="K169" i="34"/>
  <c r="I169" i="34"/>
  <c r="H169" i="34"/>
  <c r="G169" i="34"/>
  <c r="AQ168" i="34"/>
  <c r="AP168" i="34"/>
  <c r="AO168" i="34"/>
  <c r="AN168" i="34"/>
  <c r="AM168" i="34"/>
  <c r="AL168" i="34"/>
  <c r="AK168" i="34"/>
  <c r="AJ168" i="34"/>
  <c r="AI168" i="34"/>
  <c r="AH168" i="34"/>
  <c r="AG168" i="34"/>
  <c r="AF168" i="34"/>
  <c r="AD168" i="34"/>
  <c r="AC168" i="34"/>
  <c r="AB168" i="34"/>
  <c r="Z168" i="34"/>
  <c r="Y168" i="34"/>
  <c r="X168" i="34"/>
  <c r="W168" i="34"/>
  <c r="V168" i="34"/>
  <c r="U168" i="34"/>
  <c r="T168" i="34"/>
  <c r="S168" i="34"/>
  <c r="R168" i="34"/>
  <c r="Q168" i="34"/>
  <c r="P168" i="34"/>
  <c r="O168" i="34"/>
  <c r="N168" i="34"/>
  <c r="M168" i="34"/>
  <c r="L168" i="34"/>
  <c r="K168" i="34"/>
  <c r="I168" i="34"/>
  <c r="H168" i="34"/>
  <c r="G168" i="34"/>
  <c r="AQ167" i="34"/>
  <c r="AP167" i="34"/>
  <c r="AO167" i="34"/>
  <c r="AN167" i="34"/>
  <c r="AM167" i="34"/>
  <c r="AL167" i="34"/>
  <c r="AK167" i="34"/>
  <c r="AJ167" i="34"/>
  <c r="AI167" i="34"/>
  <c r="AH167" i="34"/>
  <c r="AG167" i="34"/>
  <c r="AF167" i="34"/>
  <c r="AD167" i="34"/>
  <c r="AC167" i="34"/>
  <c r="AB167" i="34"/>
  <c r="Z167" i="34"/>
  <c r="Y167" i="34"/>
  <c r="X167" i="34"/>
  <c r="W167" i="34"/>
  <c r="V167" i="34"/>
  <c r="U167" i="34"/>
  <c r="T167" i="34"/>
  <c r="S167" i="34"/>
  <c r="R167" i="34"/>
  <c r="Q167" i="34"/>
  <c r="P167" i="34"/>
  <c r="O167" i="34"/>
  <c r="N167" i="34"/>
  <c r="M167" i="34"/>
  <c r="L167" i="34"/>
  <c r="K167" i="34"/>
  <c r="I167" i="34"/>
  <c r="H167" i="34"/>
  <c r="G167" i="34"/>
  <c r="AQ166" i="34"/>
  <c r="AP166" i="34"/>
  <c r="AO166" i="34"/>
  <c r="AN166" i="34"/>
  <c r="AM166" i="34"/>
  <c r="AL166" i="34"/>
  <c r="AK166" i="34"/>
  <c r="AJ166" i="34"/>
  <c r="AI166" i="34"/>
  <c r="AH166" i="34"/>
  <c r="AG166" i="34"/>
  <c r="AF166" i="34"/>
  <c r="AD166" i="34"/>
  <c r="AC166" i="34"/>
  <c r="AB166" i="34"/>
  <c r="Z166" i="34"/>
  <c r="Y166" i="34"/>
  <c r="X166" i="34"/>
  <c r="W166" i="34"/>
  <c r="V166" i="34"/>
  <c r="U166" i="34"/>
  <c r="T166" i="34"/>
  <c r="S166" i="34"/>
  <c r="R166" i="34"/>
  <c r="Q166" i="34"/>
  <c r="P166" i="34"/>
  <c r="O166" i="34"/>
  <c r="N166" i="34"/>
  <c r="M166" i="34"/>
  <c r="L166" i="34"/>
  <c r="K166" i="34"/>
  <c r="I166" i="34"/>
  <c r="H166" i="34"/>
  <c r="G166" i="34"/>
  <c r="AQ165" i="34"/>
  <c r="AP165" i="34"/>
  <c r="AO165" i="34"/>
  <c r="AN165" i="34"/>
  <c r="AM165" i="34"/>
  <c r="AL165" i="34"/>
  <c r="AK165" i="34"/>
  <c r="AJ165" i="34"/>
  <c r="AI165" i="34"/>
  <c r="AH165" i="34"/>
  <c r="AG165" i="34"/>
  <c r="AF165" i="34"/>
  <c r="AD165" i="34"/>
  <c r="AC165" i="34"/>
  <c r="AB165" i="34"/>
  <c r="Z165" i="34"/>
  <c r="Y165" i="34"/>
  <c r="X165" i="34"/>
  <c r="W165" i="34"/>
  <c r="V165" i="34"/>
  <c r="U165" i="34"/>
  <c r="T165" i="34"/>
  <c r="S165" i="34"/>
  <c r="R165" i="34"/>
  <c r="Q165" i="34"/>
  <c r="P165" i="34"/>
  <c r="O165" i="34"/>
  <c r="N165" i="34"/>
  <c r="M165" i="34"/>
  <c r="L165" i="34"/>
  <c r="K165" i="34"/>
  <c r="I165" i="34"/>
  <c r="H165" i="34"/>
  <c r="G165" i="34"/>
  <c r="AQ164" i="34"/>
  <c r="AP164" i="34"/>
  <c r="AO164" i="34"/>
  <c r="AN164" i="34"/>
  <c r="AM164" i="34"/>
  <c r="AL164" i="34"/>
  <c r="AK164" i="34"/>
  <c r="AJ164" i="34"/>
  <c r="AI164" i="34"/>
  <c r="AH164" i="34"/>
  <c r="AG164" i="34"/>
  <c r="AF164" i="34"/>
  <c r="AD164" i="34"/>
  <c r="AC164" i="34"/>
  <c r="AB164" i="34"/>
  <c r="Z164" i="34"/>
  <c r="Y164" i="34"/>
  <c r="X164" i="34"/>
  <c r="W164" i="34"/>
  <c r="V164" i="34"/>
  <c r="U164" i="34"/>
  <c r="T164" i="34"/>
  <c r="S164" i="34"/>
  <c r="R164" i="34"/>
  <c r="Q164" i="34"/>
  <c r="P164" i="34"/>
  <c r="O164" i="34"/>
  <c r="N164" i="34"/>
  <c r="M164" i="34"/>
  <c r="L164" i="34"/>
  <c r="K164" i="34"/>
  <c r="I164" i="34"/>
  <c r="H164" i="34"/>
  <c r="G164" i="34"/>
  <c r="AQ163" i="34"/>
  <c r="AP163" i="34"/>
  <c r="AO163" i="34"/>
  <c r="AN163" i="34"/>
  <c r="AM163" i="34"/>
  <c r="AL163" i="34"/>
  <c r="AK163" i="34"/>
  <c r="AJ163" i="34"/>
  <c r="AI163" i="34"/>
  <c r="AH163" i="34"/>
  <c r="AG163" i="34"/>
  <c r="AF163" i="34"/>
  <c r="AD163" i="34"/>
  <c r="AC163" i="34"/>
  <c r="AB163" i="34"/>
  <c r="Z163" i="34"/>
  <c r="Y163" i="34"/>
  <c r="X163" i="34"/>
  <c r="W163" i="34"/>
  <c r="V163" i="34"/>
  <c r="U163" i="34"/>
  <c r="T163" i="34"/>
  <c r="S163" i="34"/>
  <c r="R163" i="34"/>
  <c r="Q163" i="34"/>
  <c r="P163" i="34"/>
  <c r="O163" i="34"/>
  <c r="N163" i="34"/>
  <c r="M163" i="34"/>
  <c r="L163" i="34"/>
  <c r="K163" i="34"/>
  <c r="I163" i="34"/>
  <c r="H163" i="34"/>
  <c r="G163" i="34"/>
  <c r="AQ162" i="34"/>
  <c r="AP162" i="34"/>
  <c r="AO162" i="34"/>
  <c r="AN162" i="34"/>
  <c r="AM162" i="34"/>
  <c r="AL162" i="34"/>
  <c r="AK162" i="34"/>
  <c r="AJ162" i="34"/>
  <c r="AI162" i="34"/>
  <c r="AH162" i="34"/>
  <c r="AG162" i="34"/>
  <c r="AF162" i="34"/>
  <c r="AD162" i="34"/>
  <c r="AC162" i="34"/>
  <c r="AB162" i="34"/>
  <c r="Z162" i="34"/>
  <c r="Y162" i="34"/>
  <c r="X162" i="34"/>
  <c r="W162" i="34"/>
  <c r="V162" i="34"/>
  <c r="U162" i="34"/>
  <c r="T162" i="34"/>
  <c r="S162" i="34"/>
  <c r="R162" i="34"/>
  <c r="Q162" i="34"/>
  <c r="P162" i="34"/>
  <c r="O162" i="34"/>
  <c r="N162" i="34"/>
  <c r="M162" i="34"/>
  <c r="L162" i="34"/>
  <c r="K162" i="34"/>
  <c r="I162" i="34"/>
  <c r="H162" i="34"/>
  <c r="G162" i="34"/>
  <c r="AQ161" i="34"/>
  <c r="AP161" i="34"/>
  <c r="AO161" i="34"/>
  <c r="AN161" i="34"/>
  <c r="AM161" i="34"/>
  <c r="AL161" i="34"/>
  <c r="AK161" i="34"/>
  <c r="AJ161" i="34"/>
  <c r="AI161" i="34"/>
  <c r="AH161" i="34"/>
  <c r="AG161" i="34"/>
  <c r="AF161" i="34"/>
  <c r="AD161" i="34"/>
  <c r="AC161" i="34"/>
  <c r="AB161" i="34"/>
  <c r="Z161" i="34"/>
  <c r="Y161" i="34"/>
  <c r="X161" i="34"/>
  <c r="W161" i="34"/>
  <c r="V161" i="34"/>
  <c r="U161" i="34"/>
  <c r="T161" i="34"/>
  <c r="S161" i="34"/>
  <c r="R161" i="34"/>
  <c r="Q161" i="34"/>
  <c r="P161" i="34"/>
  <c r="O161" i="34"/>
  <c r="N161" i="34"/>
  <c r="M161" i="34"/>
  <c r="L161" i="34"/>
  <c r="K161" i="34"/>
  <c r="I161" i="34"/>
  <c r="H161" i="34"/>
  <c r="G161" i="34"/>
  <c r="AQ160" i="34"/>
  <c r="AP160" i="34"/>
  <c r="AO160" i="34"/>
  <c r="AN160" i="34"/>
  <c r="AM160" i="34"/>
  <c r="AL160" i="34"/>
  <c r="AK160" i="34"/>
  <c r="AJ160" i="34"/>
  <c r="AI160" i="34"/>
  <c r="AH160" i="34"/>
  <c r="AG160" i="34"/>
  <c r="AF160" i="34"/>
  <c r="AD160" i="34"/>
  <c r="AC160" i="34"/>
  <c r="AB160" i="34"/>
  <c r="Z160" i="34"/>
  <c r="Y160" i="34"/>
  <c r="X160" i="34"/>
  <c r="W160" i="34"/>
  <c r="V160" i="34"/>
  <c r="U160" i="34"/>
  <c r="T160" i="34"/>
  <c r="S160" i="34"/>
  <c r="R160" i="34"/>
  <c r="Q160" i="34"/>
  <c r="P160" i="34"/>
  <c r="O160" i="34"/>
  <c r="N160" i="34"/>
  <c r="M160" i="34"/>
  <c r="L160" i="34"/>
  <c r="K160" i="34"/>
  <c r="I160" i="34"/>
  <c r="H160" i="34"/>
  <c r="G160" i="34"/>
  <c r="AQ159" i="34"/>
  <c r="AP159" i="34"/>
  <c r="AO159" i="34"/>
  <c r="AN159" i="34"/>
  <c r="AM159" i="34"/>
  <c r="AL159" i="34"/>
  <c r="AK159" i="34"/>
  <c r="AJ159" i="34"/>
  <c r="AI159" i="34"/>
  <c r="AH159" i="34"/>
  <c r="AG159" i="34"/>
  <c r="AF159" i="34"/>
  <c r="AD159" i="34"/>
  <c r="AC159" i="34"/>
  <c r="AB159" i="34"/>
  <c r="Z159" i="34"/>
  <c r="Y159" i="34"/>
  <c r="X159" i="34"/>
  <c r="W159" i="34"/>
  <c r="V159" i="34"/>
  <c r="U159" i="34"/>
  <c r="T159" i="34"/>
  <c r="S159" i="34"/>
  <c r="R159" i="34"/>
  <c r="Q159" i="34"/>
  <c r="P159" i="34"/>
  <c r="O159" i="34"/>
  <c r="N159" i="34"/>
  <c r="M159" i="34"/>
  <c r="L159" i="34"/>
  <c r="K159" i="34"/>
  <c r="I159" i="34"/>
  <c r="H159" i="34"/>
  <c r="G159" i="34"/>
  <c r="AQ158" i="34"/>
  <c r="AP158" i="34"/>
  <c r="AO158" i="34"/>
  <c r="AN158" i="34"/>
  <c r="AM158" i="34"/>
  <c r="AL158" i="34"/>
  <c r="AK158" i="34"/>
  <c r="AJ158" i="34"/>
  <c r="AI158" i="34"/>
  <c r="AH158" i="34"/>
  <c r="AG158" i="34"/>
  <c r="AF158" i="34"/>
  <c r="AD158" i="34"/>
  <c r="AC158" i="34"/>
  <c r="AB158" i="34"/>
  <c r="Z158" i="34"/>
  <c r="Y158" i="34"/>
  <c r="X158" i="34"/>
  <c r="W158" i="34"/>
  <c r="V158" i="34"/>
  <c r="U158" i="34"/>
  <c r="T158" i="34"/>
  <c r="S158" i="34"/>
  <c r="R158" i="34"/>
  <c r="Q158" i="34"/>
  <c r="P158" i="34"/>
  <c r="O158" i="34"/>
  <c r="N158" i="34"/>
  <c r="M158" i="34"/>
  <c r="L158" i="34"/>
  <c r="K158" i="34"/>
  <c r="I158" i="34"/>
  <c r="H158" i="34"/>
  <c r="G158" i="34"/>
  <c r="AQ157" i="34"/>
  <c r="AP157" i="34"/>
  <c r="AO157" i="34"/>
  <c r="AN157" i="34"/>
  <c r="AM157" i="34"/>
  <c r="AL157" i="34"/>
  <c r="AK157" i="34"/>
  <c r="AJ157" i="34"/>
  <c r="AI157" i="34"/>
  <c r="AH157" i="34"/>
  <c r="AG157" i="34"/>
  <c r="AF157" i="34"/>
  <c r="AD157" i="34"/>
  <c r="AC157" i="34"/>
  <c r="AB157" i="34"/>
  <c r="Z157" i="34"/>
  <c r="Y157" i="34"/>
  <c r="X157" i="34"/>
  <c r="W157" i="34"/>
  <c r="V157" i="34"/>
  <c r="U157" i="34"/>
  <c r="T157" i="34"/>
  <c r="S157" i="34"/>
  <c r="R157" i="34"/>
  <c r="Q157" i="34"/>
  <c r="P157" i="34"/>
  <c r="O157" i="34"/>
  <c r="N157" i="34"/>
  <c r="M157" i="34"/>
  <c r="L157" i="34"/>
  <c r="K157" i="34"/>
  <c r="I157" i="34"/>
  <c r="H157" i="34"/>
  <c r="G157" i="34"/>
  <c r="AQ156" i="34"/>
  <c r="AP156" i="34"/>
  <c r="AO156" i="34"/>
  <c r="AN156" i="34"/>
  <c r="AM156" i="34"/>
  <c r="AL156" i="34"/>
  <c r="AK156" i="34"/>
  <c r="AJ156" i="34"/>
  <c r="AI156" i="34"/>
  <c r="AH156" i="34"/>
  <c r="AG156" i="34"/>
  <c r="AF156" i="34"/>
  <c r="AD156" i="34"/>
  <c r="AC156" i="34"/>
  <c r="AB156" i="34"/>
  <c r="Z156" i="34"/>
  <c r="Y156" i="34"/>
  <c r="X156" i="34"/>
  <c r="W156" i="34"/>
  <c r="V156" i="34"/>
  <c r="U156" i="34"/>
  <c r="T156" i="34"/>
  <c r="S156" i="34"/>
  <c r="R156" i="34"/>
  <c r="Q156" i="34"/>
  <c r="P156" i="34"/>
  <c r="O156" i="34"/>
  <c r="N156" i="34"/>
  <c r="M156" i="34"/>
  <c r="L156" i="34"/>
  <c r="K156" i="34"/>
  <c r="I156" i="34"/>
  <c r="H156" i="34"/>
  <c r="G156" i="34"/>
  <c r="AQ155" i="34"/>
  <c r="AP155" i="34"/>
  <c r="AO155" i="34"/>
  <c r="AN155" i="34"/>
  <c r="AM155" i="34"/>
  <c r="AL155" i="34"/>
  <c r="AK155" i="34"/>
  <c r="AJ155" i="34"/>
  <c r="AI155" i="34"/>
  <c r="AH155" i="34"/>
  <c r="AG155" i="34"/>
  <c r="AF155" i="34"/>
  <c r="AD155" i="34"/>
  <c r="AC155" i="34"/>
  <c r="AB155" i="34"/>
  <c r="Z155" i="34"/>
  <c r="Y155" i="34"/>
  <c r="X155" i="34"/>
  <c r="W155" i="34"/>
  <c r="V155" i="34"/>
  <c r="U155" i="34"/>
  <c r="T155" i="34"/>
  <c r="S155" i="34"/>
  <c r="R155" i="34"/>
  <c r="Q155" i="34"/>
  <c r="P155" i="34"/>
  <c r="O155" i="34"/>
  <c r="N155" i="34"/>
  <c r="M155" i="34"/>
  <c r="L155" i="34"/>
  <c r="K155" i="34"/>
  <c r="I155" i="34"/>
  <c r="H155" i="34"/>
  <c r="G155" i="34"/>
  <c r="AQ154" i="34"/>
  <c r="AP154" i="34"/>
  <c r="AO154" i="34"/>
  <c r="AN154" i="34"/>
  <c r="AM154" i="34"/>
  <c r="AL154" i="34"/>
  <c r="AK154" i="34"/>
  <c r="AJ154" i="34"/>
  <c r="AI154" i="34"/>
  <c r="AH154" i="34"/>
  <c r="AG154" i="34"/>
  <c r="AF154" i="34"/>
  <c r="AD154" i="34"/>
  <c r="AC154" i="34"/>
  <c r="AB154" i="34"/>
  <c r="Z154" i="34"/>
  <c r="Y154" i="34"/>
  <c r="X154" i="34"/>
  <c r="W154" i="34"/>
  <c r="V154" i="34"/>
  <c r="U154" i="34"/>
  <c r="T154" i="34"/>
  <c r="S154" i="34"/>
  <c r="R154" i="34"/>
  <c r="Q154" i="34"/>
  <c r="P154" i="34"/>
  <c r="O154" i="34"/>
  <c r="N154" i="34"/>
  <c r="M154" i="34"/>
  <c r="L154" i="34"/>
  <c r="K154" i="34"/>
  <c r="I154" i="34"/>
  <c r="H154" i="34"/>
  <c r="G154" i="34"/>
  <c r="AQ153" i="34"/>
  <c r="AP153" i="34"/>
  <c r="AO153" i="34"/>
  <c r="AN153" i="34"/>
  <c r="AM153" i="34"/>
  <c r="AL153" i="34"/>
  <c r="AK153" i="34"/>
  <c r="AJ153" i="34"/>
  <c r="AI153" i="34"/>
  <c r="AH153" i="34"/>
  <c r="AG153" i="34"/>
  <c r="AF153" i="34"/>
  <c r="AD153" i="34"/>
  <c r="AC153" i="34"/>
  <c r="AB153" i="34"/>
  <c r="Z153" i="34"/>
  <c r="Y153" i="34"/>
  <c r="X153" i="34"/>
  <c r="W153" i="34"/>
  <c r="V153" i="34"/>
  <c r="U153" i="34"/>
  <c r="T153" i="34"/>
  <c r="S153" i="34"/>
  <c r="R153" i="34"/>
  <c r="Q153" i="34"/>
  <c r="P153" i="34"/>
  <c r="O153" i="34"/>
  <c r="N153" i="34"/>
  <c r="M153" i="34"/>
  <c r="L153" i="34"/>
  <c r="K153" i="34"/>
  <c r="I153" i="34"/>
  <c r="H153" i="34"/>
  <c r="G153" i="34"/>
  <c r="AQ152" i="34"/>
  <c r="AP152" i="34"/>
  <c r="AO152" i="34"/>
  <c r="AN152" i="34"/>
  <c r="AM152" i="34"/>
  <c r="AL152" i="34"/>
  <c r="AK152" i="34"/>
  <c r="AJ152" i="34"/>
  <c r="AI152" i="34"/>
  <c r="AH152" i="34"/>
  <c r="AG152" i="34"/>
  <c r="AF152" i="34"/>
  <c r="AD152" i="34"/>
  <c r="AC152" i="34"/>
  <c r="AB152" i="34"/>
  <c r="Z152" i="34"/>
  <c r="Y152" i="34"/>
  <c r="X152" i="34"/>
  <c r="W152" i="34"/>
  <c r="V152" i="34"/>
  <c r="U152" i="34"/>
  <c r="T152" i="34"/>
  <c r="S152" i="34"/>
  <c r="R152" i="34"/>
  <c r="Q152" i="34"/>
  <c r="P152" i="34"/>
  <c r="O152" i="34"/>
  <c r="N152" i="34"/>
  <c r="M152" i="34"/>
  <c r="L152" i="34"/>
  <c r="K152" i="34"/>
  <c r="I152" i="34"/>
  <c r="H152" i="34"/>
  <c r="G152" i="34"/>
  <c r="AQ151" i="34"/>
  <c r="AP151" i="34"/>
  <c r="AO151" i="34"/>
  <c r="AN151" i="34"/>
  <c r="AM151" i="34"/>
  <c r="AL151" i="34"/>
  <c r="AK151" i="34"/>
  <c r="AJ151" i="34"/>
  <c r="AI151" i="34"/>
  <c r="AH151" i="34"/>
  <c r="AG151" i="34"/>
  <c r="AF151" i="34"/>
  <c r="AD151" i="34"/>
  <c r="AC151" i="34"/>
  <c r="AB151" i="34"/>
  <c r="Z151" i="34"/>
  <c r="Y151" i="34"/>
  <c r="X151" i="34"/>
  <c r="W151" i="34"/>
  <c r="V151" i="34"/>
  <c r="U151" i="34"/>
  <c r="T151" i="34"/>
  <c r="S151" i="34"/>
  <c r="R151" i="34"/>
  <c r="Q151" i="34"/>
  <c r="P151" i="34"/>
  <c r="O151" i="34"/>
  <c r="N151" i="34"/>
  <c r="M151" i="34"/>
  <c r="L151" i="34"/>
  <c r="K151" i="34"/>
  <c r="I151" i="34"/>
  <c r="H151" i="34"/>
  <c r="G151" i="34"/>
  <c r="AQ150" i="34"/>
  <c r="AP150" i="34"/>
  <c r="AO150" i="34"/>
  <c r="AN150" i="34"/>
  <c r="AM150" i="34"/>
  <c r="AL150" i="34"/>
  <c r="AK150" i="34"/>
  <c r="AJ150" i="34"/>
  <c r="AI150" i="34"/>
  <c r="AH150" i="34"/>
  <c r="AG150" i="34"/>
  <c r="AF150" i="34"/>
  <c r="AD150" i="34"/>
  <c r="AC150" i="34"/>
  <c r="AB150" i="34"/>
  <c r="Z150" i="34"/>
  <c r="Y150" i="34"/>
  <c r="X150" i="34"/>
  <c r="W150" i="34"/>
  <c r="V150" i="34"/>
  <c r="U150" i="34"/>
  <c r="T150" i="34"/>
  <c r="S150" i="34"/>
  <c r="R150" i="34"/>
  <c r="Q150" i="34"/>
  <c r="P150" i="34"/>
  <c r="O150" i="34"/>
  <c r="N150" i="34"/>
  <c r="M150" i="34"/>
  <c r="L150" i="34"/>
  <c r="K150" i="34"/>
  <c r="I150" i="34"/>
  <c r="H150" i="34"/>
  <c r="G150" i="34"/>
  <c r="AQ149" i="34"/>
  <c r="AP149" i="34"/>
  <c r="AO149" i="34"/>
  <c r="AN149" i="34"/>
  <c r="AM149" i="34"/>
  <c r="AL149" i="34"/>
  <c r="AK149" i="34"/>
  <c r="AJ149" i="34"/>
  <c r="AI149" i="34"/>
  <c r="AH149" i="34"/>
  <c r="AG149" i="34"/>
  <c r="AF149" i="34"/>
  <c r="AD149" i="34"/>
  <c r="AC149" i="34"/>
  <c r="AB149" i="34"/>
  <c r="Z149" i="34"/>
  <c r="Y149" i="34"/>
  <c r="X149" i="34"/>
  <c r="W149" i="34"/>
  <c r="V149" i="34"/>
  <c r="U149" i="34"/>
  <c r="T149" i="34"/>
  <c r="S149" i="34"/>
  <c r="R149" i="34"/>
  <c r="Q149" i="34"/>
  <c r="P149" i="34"/>
  <c r="O149" i="34"/>
  <c r="N149" i="34"/>
  <c r="M149" i="34"/>
  <c r="L149" i="34"/>
  <c r="K149" i="34"/>
  <c r="I149" i="34"/>
  <c r="H149" i="34"/>
  <c r="G149" i="34"/>
  <c r="AQ148" i="34"/>
  <c r="AP148" i="34"/>
  <c r="AO148" i="34"/>
  <c r="AN148" i="34"/>
  <c r="AM148" i="34"/>
  <c r="AL148" i="34"/>
  <c r="AK148" i="34"/>
  <c r="AJ148" i="34"/>
  <c r="AI148" i="34"/>
  <c r="AH148" i="34"/>
  <c r="AG148" i="34"/>
  <c r="AF148" i="34"/>
  <c r="AD148" i="34"/>
  <c r="AC148" i="34"/>
  <c r="AB148" i="34"/>
  <c r="Z148" i="34"/>
  <c r="Y148" i="34"/>
  <c r="X148" i="34"/>
  <c r="W148" i="34"/>
  <c r="V148" i="34"/>
  <c r="U148" i="34"/>
  <c r="T148" i="34"/>
  <c r="S148" i="34"/>
  <c r="R148" i="34"/>
  <c r="Q148" i="34"/>
  <c r="P148" i="34"/>
  <c r="O148" i="34"/>
  <c r="N148" i="34"/>
  <c r="M148" i="34"/>
  <c r="L148" i="34"/>
  <c r="K148" i="34"/>
  <c r="I148" i="34"/>
  <c r="H148" i="34"/>
  <c r="G148" i="34"/>
  <c r="AQ147" i="34"/>
  <c r="AP147" i="34"/>
  <c r="AO147" i="34"/>
  <c r="AN147" i="34"/>
  <c r="AM147" i="34"/>
  <c r="AL147" i="34"/>
  <c r="AK147" i="34"/>
  <c r="AJ147" i="34"/>
  <c r="AI147" i="34"/>
  <c r="AH147" i="34"/>
  <c r="AG147" i="34"/>
  <c r="AF147" i="34"/>
  <c r="AD147" i="34"/>
  <c r="AC147" i="34"/>
  <c r="AB147" i="34"/>
  <c r="Z147" i="34"/>
  <c r="Y147" i="34"/>
  <c r="X147" i="34"/>
  <c r="W147" i="34"/>
  <c r="V147" i="34"/>
  <c r="U147" i="34"/>
  <c r="T147" i="34"/>
  <c r="S147" i="34"/>
  <c r="R147" i="34"/>
  <c r="Q147" i="34"/>
  <c r="P147" i="34"/>
  <c r="O147" i="34"/>
  <c r="N147" i="34"/>
  <c r="M147" i="34"/>
  <c r="L147" i="34"/>
  <c r="K147" i="34"/>
  <c r="I147" i="34"/>
  <c r="H147" i="34"/>
  <c r="G147" i="34"/>
  <c r="AQ146" i="34"/>
  <c r="AP146" i="34"/>
  <c r="AO146" i="34"/>
  <c r="AN146" i="34"/>
  <c r="AM146" i="34"/>
  <c r="AL146" i="34"/>
  <c r="AK146" i="34"/>
  <c r="AJ146" i="34"/>
  <c r="AI146" i="34"/>
  <c r="AH146" i="34"/>
  <c r="AG146" i="34"/>
  <c r="AF146" i="34"/>
  <c r="AD146" i="34"/>
  <c r="AC146" i="34"/>
  <c r="AB146" i="34"/>
  <c r="Z146" i="34"/>
  <c r="Y146" i="34"/>
  <c r="X146" i="34"/>
  <c r="W146" i="34"/>
  <c r="V146" i="34"/>
  <c r="U146" i="34"/>
  <c r="T146" i="34"/>
  <c r="S146" i="34"/>
  <c r="R146" i="34"/>
  <c r="Q146" i="34"/>
  <c r="P146" i="34"/>
  <c r="O146" i="34"/>
  <c r="N146" i="34"/>
  <c r="M146" i="34"/>
  <c r="L146" i="34"/>
  <c r="K146" i="34"/>
  <c r="I146" i="34"/>
  <c r="H146" i="34"/>
  <c r="G146" i="34"/>
  <c r="AQ145" i="34"/>
  <c r="AP145" i="34"/>
  <c r="AO145" i="34"/>
  <c r="AN145" i="34"/>
  <c r="AM145" i="34"/>
  <c r="AL145" i="34"/>
  <c r="AK145" i="34"/>
  <c r="AJ145" i="34"/>
  <c r="AI145" i="34"/>
  <c r="AH145" i="34"/>
  <c r="AG145" i="34"/>
  <c r="AF145" i="34"/>
  <c r="AD145" i="34"/>
  <c r="AC145" i="34"/>
  <c r="AB145" i="34"/>
  <c r="Z145" i="34"/>
  <c r="Y145" i="34"/>
  <c r="X145" i="34"/>
  <c r="W145" i="34"/>
  <c r="V145" i="34"/>
  <c r="U145" i="34"/>
  <c r="T145" i="34"/>
  <c r="S145" i="34"/>
  <c r="R145" i="34"/>
  <c r="Q145" i="34"/>
  <c r="P145" i="34"/>
  <c r="O145" i="34"/>
  <c r="N145" i="34"/>
  <c r="M145" i="34"/>
  <c r="L145" i="34"/>
  <c r="K145" i="34"/>
  <c r="I145" i="34"/>
  <c r="H145" i="34"/>
  <c r="G145" i="34"/>
  <c r="AQ144" i="34"/>
  <c r="AP144" i="34"/>
  <c r="AO144" i="34"/>
  <c r="AN144" i="34"/>
  <c r="AM144" i="34"/>
  <c r="AL144" i="34"/>
  <c r="AK144" i="34"/>
  <c r="AJ144" i="34"/>
  <c r="AI144" i="34"/>
  <c r="AH144" i="34"/>
  <c r="AG144" i="34"/>
  <c r="AF144" i="34"/>
  <c r="AD144" i="34"/>
  <c r="AC144" i="34"/>
  <c r="AB144" i="34"/>
  <c r="Z144" i="34"/>
  <c r="Y144" i="34"/>
  <c r="X144" i="34"/>
  <c r="W144" i="34"/>
  <c r="V144" i="34"/>
  <c r="U144" i="34"/>
  <c r="T144" i="34"/>
  <c r="S144" i="34"/>
  <c r="R144" i="34"/>
  <c r="Q144" i="34"/>
  <c r="P144" i="34"/>
  <c r="O144" i="34"/>
  <c r="N144" i="34"/>
  <c r="M144" i="34"/>
  <c r="L144" i="34"/>
  <c r="K144" i="34"/>
  <c r="I144" i="34"/>
  <c r="H144" i="34"/>
  <c r="G144" i="34"/>
  <c r="AQ143" i="34"/>
  <c r="AP143" i="34"/>
  <c r="AO143" i="34"/>
  <c r="AN143" i="34"/>
  <c r="AM143" i="34"/>
  <c r="AL143" i="34"/>
  <c r="AK143" i="34"/>
  <c r="AJ143" i="34"/>
  <c r="AI143" i="34"/>
  <c r="AH143" i="34"/>
  <c r="AG143" i="34"/>
  <c r="AF143" i="34"/>
  <c r="AD143" i="34"/>
  <c r="AC143" i="34"/>
  <c r="AB143" i="34"/>
  <c r="Z143" i="34"/>
  <c r="Y143" i="34"/>
  <c r="X143" i="34"/>
  <c r="W143" i="34"/>
  <c r="V143" i="34"/>
  <c r="U143" i="34"/>
  <c r="T143" i="34"/>
  <c r="S143" i="34"/>
  <c r="R143" i="34"/>
  <c r="Q143" i="34"/>
  <c r="P143" i="34"/>
  <c r="O143" i="34"/>
  <c r="N143" i="34"/>
  <c r="M143" i="34"/>
  <c r="L143" i="34"/>
  <c r="K143" i="34"/>
  <c r="I143" i="34"/>
  <c r="H143" i="34"/>
  <c r="G143" i="34"/>
  <c r="AQ142" i="34"/>
  <c r="AP142" i="34"/>
  <c r="AO142" i="34"/>
  <c r="AN142" i="34"/>
  <c r="AM142" i="34"/>
  <c r="AL142" i="34"/>
  <c r="AK142" i="34"/>
  <c r="AJ142" i="34"/>
  <c r="AI142" i="34"/>
  <c r="AH142" i="34"/>
  <c r="AG142" i="34"/>
  <c r="AF142" i="34"/>
  <c r="AD142" i="34"/>
  <c r="AC142" i="34"/>
  <c r="AB142" i="34"/>
  <c r="Z142" i="34"/>
  <c r="Y142" i="34"/>
  <c r="X142" i="34"/>
  <c r="W142" i="34"/>
  <c r="V142" i="34"/>
  <c r="U142" i="34"/>
  <c r="T142" i="34"/>
  <c r="S142" i="34"/>
  <c r="R142" i="34"/>
  <c r="Q142" i="34"/>
  <c r="P142" i="34"/>
  <c r="O142" i="34"/>
  <c r="N142" i="34"/>
  <c r="M142" i="34"/>
  <c r="L142" i="34"/>
  <c r="K142" i="34"/>
  <c r="I142" i="34"/>
  <c r="H142" i="34"/>
  <c r="G142" i="34"/>
  <c r="AQ141" i="34"/>
  <c r="AP141" i="34"/>
  <c r="AO141" i="34"/>
  <c r="AN141" i="34"/>
  <c r="AM141" i="34"/>
  <c r="AL141" i="34"/>
  <c r="AK141" i="34"/>
  <c r="AJ141" i="34"/>
  <c r="AI141" i="34"/>
  <c r="AH141" i="34"/>
  <c r="AG141" i="34"/>
  <c r="AF141" i="34"/>
  <c r="AD141" i="34"/>
  <c r="AC141" i="34"/>
  <c r="AB141" i="34"/>
  <c r="Z141" i="34"/>
  <c r="Y141" i="34"/>
  <c r="X141" i="34"/>
  <c r="W141" i="34"/>
  <c r="V141" i="34"/>
  <c r="U141" i="34"/>
  <c r="T141" i="34"/>
  <c r="S141" i="34"/>
  <c r="R141" i="34"/>
  <c r="Q141" i="34"/>
  <c r="P141" i="34"/>
  <c r="O141" i="34"/>
  <c r="N141" i="34"/>
  <c r="M141" i="34"/>
  <c r="L141" i="34"/>
  <c r="K141" i="34"/>
  <c r="I141" i="34"/>
  <c r="H141" i="34"/>
  <c r="G141" i="34"/>
  <c r="AQ140" i="34"/>
  <c r="AP140" i="34"/>
  <c r="AO140" i="34"/>
  <c r="AN140" i="34"/>
  <c r="AM140" i="34"/>
  <c r="AL140" i="34"/>
  <c r="AK140" i="34"/>
  <c r="AJ140" i="34"/>
  <c r="AI140" i="34"/>
  <c r="AH140" i="34"/>
  <c r="AG140" i="34"/>
  <c r="AF140" i="34"/>
  <c r="AD140" i="34"/>
  <c r="AC140" i="34"/>
  <c r="AB140" i="34"/>
  <c r="Z140" i="34"/>
  <c r="Y140" i="34"/>
  <c r="X140" i="34"/>
  <c r="W140" i="34"/>
  <c r="V140" i="34"/>
  <c r="U140" i="34"/>
  <c r="T140" i="34"/>
  <c r="S140" i="34"/>
  <c r="R140" i="34"/>
  <c r="Q140" i="34"/>
  <c r="P140" i="34"/>
  <c r="O140" i="34"/>
  <c r="N140" i="34"/>
  <c r="M140" i="34"/>
  <c r="L140" i="34"/>
  <c r="K140" i="34"/>
  <c r="I140" i="34"/>
  <c r="H140" i="34"/>
  <c r="G140" i="34"/>
  <c r="AQ139" i="34"/>
  <c r="AP139" i="34"/>
  <c r="AO139" i="34"/>
  <c r="AN139" i="34"/>
  <c r="AM139" i="34"/>
  <c r="AL139" i="34"/>
  <c r="AK139" i="34"/>
  <c r="AJ139" i="34"/>
  <c r="AI139" i="34"/>
  <c r="AH139" i="34"/>
  <c r="AG139" i="34"/>
  <c r="AF139" i="34"/>
  <c r="AD139" i="34"/>
  <c r="AC139" i="34"/>
  <c r="AB139" i="34"/>
  <c r="Z139" i="34"/>
  <c r="Y139" i="34"/>
  <c r="X139" i="34"/>
  <c r="W139" i="34"/>
  <c r="V139" i="34"/>
  <c r="U139" i="34"/>
  <c r="T139" i="34"/>
  <c r="S139" i="34"/>
  <c r="R139" i="34"/>
  <c r="Q139" i="34"/>
  <c r="P139" i="34"/>
  <c r="O139" i="34"/>
  <c r="N139" i="34"/>
  <c r="M139" i="34"/>
  <c r="L139" i="34"/>
  <c r="K139" i="34"/>
  <c r="I139" i="34"/>
  <c r="H139" i="34"/>
  <c r="G139" i="34"/>
  <c r="AQ138" i="34"/>
  <c r="AP138" i="34"/>
  <c r="AO138" i="34"/>
  <c r="AN138" i="34"/>
  <c r="AM138" i="34"/>
  <c r="AL138" i="34"/>
  <c r="AK138" i="34"/>
  <c r="AJ138" i="34"/>
  <c r="AI138" i="34"/>
  <c r="AH138" i="34"/>
  <c r="AG138" i="34"/>
  <c r="AF138" i="34"/>
  <c r="AD138" i="34"/>
  <c r="AC138" i="34"/>
  <c r="AB138" i="34"/>
  <c r="Z138" i="34"/>
  <c r="Y138" i="34"/>
  <c r="X138" i="34"/>
  <c r="W138" i="34"/>
  <c r="V138" i="34"/>
  <c r="U138" i="34"/>
  <c r="T138" i="34"/>
  <c r="S138" i="34"/>
  <c r="R138" i="34"/>
  <c r="Q138" i="34"/>
  <c r="P138" i="34"/>
  <c r="O138" i="34"/>
  <c r="N138" i="34"/>
  <c r="M138" i="34"/>
  <c r="L138" i="34"/>
  <c r="K138" i="34"/>
  <c r="I138" i="34"/>
  <c r="H138" i="34"/>
  <c r="G138" i="34"/>
  <c r="AQ137" i="34"/>
  <c r="AP137" i="34"/>
  <c r="AO137" i="34"/>
  <c r="AN137" i="34"/>
  <c r="AM137" i="34"/>
  <c r="AL137" i="34"/>
  <c r="AK137" i="34"/>
  <c r="AJ137" i="34"/>
  <c r="AI137" i="34"/>
  <c r="AH137" i="34"/>
  <c r="AG137" i="34"/>
  <c r="AF137" i="34"/>
  <c r="AD137" i="34"/>
  <c r="AC137" i="34"/>
  <c r="AB137" i="34"/>
  <c r="Z137" i="34"/>
  <c r="Y137" i="34"/>
  <c r="X137" i="34"/>
  <c r="W137" i="34"/>
  <c r="V137" i="34"/>
  <c r="U137" i="34"/>
  <c r="T137" i="34"/>
  <c r="S137" i="34"/>
  <c r="R137" i="34"/>
  <c r="Q137" i="34"/>
  <c r="P137" i="34"/>
  <c r="O137" i="34"/>
  <c r="N137" i="34"/>
  <c r="M137" i="34"/>
  <c r="L137" i="34"/>
  <c r="K137" i="34"/>
  <c r="I137" i="34"/>
  <c r="H137" i="34"/>
  <c r="G137" i="34"/>
  <c r="AQ136" i="34"/>
  <c r="AP136" i="34"/>
  <c r="AO136" i="34"/>
  <c r="AN136" i="34"/>
  <c r="AM136" i="34"/>
  <c r="AL136" i="34"/>
  <c r="AK136" i="34"/>
  <c r="AJ136" i="34"/>
  <c r="AI136" i="34"/>
  <c r="AH136" i="34"/>
  <c r="AG136" i="34"/>
  <c r="AF136" i="34"/>
  <c r="AD136" i="34"/>
  <c r="AC136" i="34"/>
  <c r="AB136" i="34"/>
  <c r="Z136" i="34"/>
  <c r="Y136" i="34"/>
  <c r="X136" i="34"/>
  <c r="W136" i="34"/>
  <c r="V136" i="34"/>
  <c r="U136" i="34"/>
  <c r="T136" i="34"/>
  <c r="S136" i="34"/>
  <c r="R136" i="34"/>
  <c r="Q136" i="34"/>
  <c r="P136" i="34"/>
  <c r="O136" i="34"/>
  <c r="N136" i="34"/>
  <c r="M136" i="34"/>
  <c r="L136" i="34"/>
  <c r="K136" i="34"/>
  <c r="I136" i="34"/>
  <c r="H136" i="34"/>
  <c r="G136" i="34"/>
  <c r="AQ135" i="34"/>
  <c r="AP135" i="34"/>
  <c r="AO135" i="34"/>
  <c r="AN135" i="34"/>
  <c r="AM135" i="34"/>
  <c r="AL135" i="34"/>
  <c r="AK135" i="34"/>
  <c r="AJ135" i="34"/>
  <c r="AI135" i="34"/>
  <c r="AH135" i="34"/>
  <c r="AG135" i="34"/>
  <c r="AF135" i="34"/>
  <c r="AD135" i="34"/>
  <c r="AC135" i="34"/>
  <c r="AB135" i="34"/>
  <c r="Z135" i="34"/>
  <c r="Y135" i="34"/>
  <c r="X135" i="34"/>
  <c r="W135" i="34"/>
  <c r="V135" i="34"/>
  <c r="U135" i="34"/>
  <c r="T135" i="34"/>
  <c r="S135" i="34"/>
  <c r="R135" i="34"/>
  <c r="Q135" i="34"/>
  <c r="P135" i="34"/>
  <c r="O135" i="34"/>
  <c r="N135" i="34"/>
  <c r="M135" i="34"/>
  <c r="L135" i="34"/>
  <c r="K135" i="34"/>
  <c r="I135" i="34"/>
  <c r="H135" i="34"/>
  <c r="G135" i="34"/>
  <c r="AQ134" i="34"/>
  <c r="AP134" i="34"/>
  <c r="AO134" i="34"/>
  <c r="AN134" i="34"/>
  <c r="AM134" i="34"/>
  <c r="AL134" i="34"/>
  <c r="AK134" i="34"/>
  <c r="AJ134" i="34"/>
  <c r="AI134" i="34"/>
  <c r="AH134" i="34"/>
  <c r="AG134" i="34"/>
  <c r="AF134" i="34"/>
  <c r="AD134" i="34"/>
  <c r="AC134" i="34"/>
  <c r="AB134" i="34"/>
  <c r="Z134" i="34"/>
  <c r="Y134" i="34"/>
  <c r="X134" i="34"/>
  <c r="W134" i="34"/>
  <c r="V134" i="34"/>
  <c r="U134" i="34"/>
  <c r="T134" i="34"/>
  <c r="S134" i="34"/>
  <c r="R134" i="34"/>
  <c r="Q134" i="34"/>
  <c r="P134" i="34"/>
  <c r="O134" i="34"/>
  <c r="N134" i="34"/>
  <c r="M134" i="34"/>
  <c r="L134" i="34"/>
  <c r="K134" i="34"/>
  <c r="I134" i="34"/>
  <c r="H134" i="34"/>
  <c r="G134" i="34"/>
  <c r="AQ133" i="34"/>
  <c r="AP133" i="34"/>
  <c r="AO133" i="34"/>
  <c r="AN133" i="34"/>
  <c r="AM133" i="34"/>
  <c r="AL133" i="34"/>
  <c r="AK133" i="34"/>
  <c r="AJ133" i="34"/>
  <c r="AI133" i="34"/>
  <c r="AH133" i="34"/>
  <c r="AG133" i="34"/>
  <c r="AF133" i="34"/>
  <c r="AD133" i="34"/>
  <c r="AC133" i="34"/>
  <c r="AB133" i="34"/>
  <c r="Z133" i="34"/>
  <c r="Y133" i="34"/>
  <c r="X133" i="34"/>
  <c r="W133" i="34"/>
  <c r="V133" i="34"/>
  <c r="U133" i="34"/>
  <c r="T133" i="34"/>
  <c r="S133" i="34"/>
  <c r="R133" i="34"/>
  <c r="Q133" i="34"/>
  <c r="P133" i="34"/>
  <c r="O133" i="34"/>
  <c r="N133" i="34"/>
  <c r="M133" i="34"/>
  <c r="L133" i="34"/>
  <c r="K133" i="34"/>
  <c r="I133" i="34"/>
  <c r="H133" i="34"/>
  <c r="G133" i="34"/>
  <c r="AQ132" i="34"/>
  <c r="AP132" i="34"/>
  <c r="AO132" i="34"/>
  <c r="AN132" i="34"/>
  <c r="AM132" i="34"/>
  <c r="AL132" i="34"/>
  <c r="AK132" i="34"/>
  <c r="AJ132" i="34"/>
  <c r="AI132" i="34"/>
  <c r="AH132" i="34"/>
  <c r="AG132" i="34"/>
  <c r="AF132" i="34"/>
  <c r="AD132" i="34"/>
  <c r="AC132" i="34"/>
  <c r="AB132" i="34"/>
  <c r="Z132" i="34"/>
  <c r="Y132" i="34"/>
  <c r="X132" i="34"/>
  <c r="W132" i="34"/>
  <c r="V132" i="34"/>
  <c r="U132" i="34"/>
  <c r="T132" i="34"/>
  <c r="S132" i="34"/>
  <c r="R132" i="34"/>
  <c r="Q132" i="34"/>
  <c r="P132" i="34"/>
  <c r="O132" i="34"/>
  <c r="N132" i="34"/>
  <c r="M132" i="34"/>
  <c r="L132" i="34"/>
  <c r="K132" i="34"/>
  <c r="I132" i="34"/>
  <c r="H132" i="34"/>
  <c r="G132" i="34"/>
  <c r="AQ131" i="34"/>
  <c r="AP131" i="34"/>
  <c r="AO131" i="34"/>
  <c r="AN131" i="34"/>
  <c r="AM131" i="34"/>
  <c r="AL131" i="34"/>
  <c r="AK131" i="34"/>
  <c r="AJ131" i="34"/>
  <c r="AI131" i="34"/>
  <c r="AH131" i="34"/>
  <c r="AG131" i="34"/>
  <c r="AF131" i="34"/>
  <c r="AD131" i="34"/>
  <c r="AC131" i="34"/>
  <c r="AB131" i="34"/>
  <c r="Z131" i="34"/>
  <c r="Y131" i="34"/>
  <c r="X131" i="34"/>
  <c r="W131" i="34"/>
  <c r="V131" i="34"/>
  <c r="U131" i="34"/>
  <c r="T131" i="34"/>
  <c r="S131" i="34"/>
  <c r="R131" i="34"/>
  <c r="Q131" i="34"/>
  <c r="P131" i="34"/>
  <c r="O131" i="34"/>
  <c r="N131" i="34"/>
  <c r="M131" i="34"/>
  <c r="L131" i="34"/>
  <c r="K131" i="34"/>
  <c r="I131" i="34"/>
  <c r="H131" i="34"/>
  <c r="G131" i="34"/>
  <c r="AQ130" i="34"/>
  <c r="AP130" i="34"/>
  <c r="AO130" i="34"/>
  <c r="AN130" i="34"/>
  <c r="AM130" i="34"/>
  <c r="AL130" i="34"/>
  <c r="AK130" i="34"/>
  <c r="AJ130" i="34"/>
  <c r="AI130" i="34"/>
  <c r="AH130" i="34"/>
  <c r="AG130" i="34"/>
  <c r="AF130" i="34"/>
  <c r="AD130" i="34"/>
  <c r="AC130" i="34"/>
  <c r="AB130" i="34"/>
  <c r="Z130" i="34"/>
  <c r="Y130" i="34"/>
  <c r="X130" i="34"/>
  <c r="W130" i="34"/>
  <c r="V130" i="34"/>
  <c r="U130" i="34"/>
  <c r="T130" i="34"/>
  <c r="S130" i="34"/>
  <c r="R130" i="34"/>
  <c r="Q130" i="34"/>
  <c r="P130" i="34"/>
  <c r="O130" i="34"/>
  <c r="N130" i="34"/>
  <c r="M130" i="34"/>
  <c r="L130" i="34"/>
  <c r="K130" i="34"/>
  <c r="I130" i="34"/>
  <c r="H130" i="34"/>
  <c r="G130" i="34"/>
  <c r="AQ129" i="34"/>
  <c r="AP129" i="34"/>
  <c r="AO129" i="34"/>
  <c r="AN129" i="34"/>
  <c r="AM129" i="34"/>
  <c r="AL129" i="34"/>
  <c r="AK129" i="34"/>
  <c r="AJ129" i="34"/>
  <c r="AI129" i="34"/>
  <c r="AH129" i="34"/>
  <c r="AG129" i="34"/>
  <c r="AF129" i="34"/>
  <c r="AD129" i="34"/>
  <c r="AC129" i="34"/>
  <c r="AB129" i="34"/>
  <c r="Z129" i="34"/>
  <c r="Y129" i="34"/>
  <c r="X129" i="34"/>
  <c r="W129" i="34"/>
  <c r="V129" i="34"/>
  <c r="U129" i="34"/>
  <c r="T129" i="34"/>
  <c r="S129" i="34"/>
  <c r="R129" i="34"/>
  <c r="Q129" i="34"/>
  <c r="P129" i="34"/>
  <c r="O129" i="34"/>
  <c r="N129" i="34"/>
  <c r="M129" i="34"/>
  <c r="L129" i="34"/>
  <c r="K129" i="34"/>
  <c r="I129" i="34"/>
  <c r="H129" i="34"/>
  <c r="G129" i="34"/>
  <c r="AQ128" i="34"/>
  <c r="AP128" i="34"/>
  <c r="AO128" i="34"/>
  <c r="AN128" i="34"/>
  <c r="AM128" i="34"/>
  <c r="AL128" i="34"/>
  <c r="AK128" i="34"/>
  <c r="AJ128" i="34"/>
  <c r="AI128" i="34"/>
  <c r="AH128" i="34"/>
  <c r="AG128" i="34"/>
  <c r="AF128" i="34"/>
  <c r="AD128" i="34"/>
  <c r="AC128" i="34"/>
  <c r="AB128" i="34"/>
  <c r="Z128" i="34"/>
  <c r="Y128" i="34"/>
  <c r="X128" i="34"/>
  <c r="W128" i="34"/>
  <c r="V128" i="34"/>
  <c r="U128" i="34"/>
  <c r="T128" i="34"/>
  <c r="S128" i="34"/>
  <c r="R128" i="34"/>
  <c r="Q128" i="34"/>
  <c r="P128" i="34"/>
  <c r="O128" i="34"/>
  <c r="N128" i="34"/>
  <c r="M128" i="34"/>
  <c r="L128" i="34"/>
  <c r="K128" i="34"/>
  <c r="I128" i="34"/>
  <c r="H128" i="34"/>
  <c r="G128" i="34"/>
  <c r="AQ127" i="34"/>
  <c r="AP127" i="34"/>
  <c r="AO127" i="34"/>
  <c r="AN127" i="34"/>
  <c r="AM127" i="34"/>
  <c r="AL127" i="34"/>
  <c r="AK127" i="34"/>
  <c r="AJ127" i="34"/>
  <c r="AI127" i="34"/>
  <c r="AH127" i="34"/>
  <c r="AG127" i="34"/>
  <c r="AF127" i="34"/>
  <c r="AD127" i="34"/>
  <c r="AC127" i="34"/>
  <c r="AB127" i="34"/>
  <c r="Z127" i="34"/>
  <c r="Y127" i="34"/>
  <c r="X127" i="34"/>
  <c r="W127" i="34"/>
  <c r="V127" i="34"/>
  <c r="U127" i="34"/>
  <c r="T127" i="34"/>
  <c r="S127" i="34"/>
  <c r="R127" i="34"/>
  <c r="Q127" i="34"/>
  <c r="P127" i="34"/>
  <c r="O127" i="34"/>
  <c r="N127" i="34"/>
  <c r="M127" i="34"/>
  <c r="L127" i="34"/>
  <c r="K127" i="34"/>
  <c r="I127" i="34"/>
  <c r="H127" i="34"/>
  <c r="G127" i="34"/>
  <c r="AQ126" i="34"/>
  <c r="AP126" i="34"/>
  <c r="AO126" i="34"/>
  <c r="AN126" i="34"/>
  <c r="AM126" i="34"/>
  <c r="AL126" i="34"/>
  <c r="AK126" i="34"/>
  <c r="AJ126" i="34"/>
  <c r="AI126" i="34"/>
  <c r="AH126" i="34"/>
  <c r="AG126" i="34"/>
  <c r="AF126" i="34"/>
  <c r="AD126" i="34"/>
  <c r="AC126" i="34"/>
  <c r="AB126" i="34"/>
  <c r="Z126" i="34"/>
  <c r="Y126" i="34"/>
  <c r="X126" i="34"/>
  <c r="W126" i="34"/>
  <c r="V126" i="34"/>
  <c r="U126" i="34"/>
  <c r="T126" i="34"/>
  <c r="S126" i="34"/>
  <c r="R126" i="34"/>
  <c r="Q126" i="34"/>
  <c r="P126" i="34"/>
  <c r="O126" i="34"/>
  <c r="N126" i="34"/>
  <c r="M126" i="34"/>
  <c r="L126" i="34"/>
  <c r="K126" i="34"/>
  <c r="I126" i="34"/>
  <c r="H126" i="34"/>
  <c r="G126" i="34"/>
  <c r="AQ125" i="34"/>
  <c r="AP125" i="34"/>
  <c r="AO125" i="34"/>
  <c r="AN125" i="34"/>
  <c r="AM125" i="34"/>
  <c r="AL125" i="34"/>
  <c r="AK125" i="34"/>
  <c r="AJ125" i="34"/>
  <c r="AI125" i="34"/>
  <c r="AH125" i="34"/>
  <c r="AG125" i="34"/>
  <c r="AF125" i="34"/>
  <c r="AD125" i="34"/>
  <c r="AC125" i="34"/>
  <c r="AB125" i="34"/>
  <c r="Z125" i="34"/>
  <c r="Y125" i="34"/>
  <c r="X125" i="34"/>
  <c r="W125" i="34"/>
  <c r="V125" i="34"/>
  <c r="U125" i="34"/>
  <c r="T125" i="34"/>
  <c r="S125" i="34"/>
  <c r="R125" i="34"/>
  <c r="Q125" i="34"/>
  <c r="P125" i="34"/>
  <c r="O125" i="34"/>
  <c r="N125" i="34"/>
  <c r="M125" i="34"/>
  <c r="L125" i="34"/>
  <c r="K125" i="34"/>
  <c r="I125" i="34"/>
  <c r="H125" i="34"/>
  <c r="G125" i="34"/>
  <c r="AQ124" i="34"/>
  <c r="AP124" i="34"/>
  <c r="AO124" i="34"/>
  <c r="AN124" i="34"/>
  <c r="AM124" i="34"/>
  <c r="AL124" i="34"/>
  <c r="AK124" i="34"/>
  <c r="AJ124" i="34"/>
  <c r="AI124" i="34"/>
  <c r="AH124" i="34"/>
  <c r="AG124" i="34"/>
  <c r="AF124" i="34"/>
  <c r="AD124" i="34"/>
  <c r="AC124" i="34"/>
  <c r="AB124" i="34"/>
  <c r="Z124" i="34"/>
  <c r="Y124" i="34"/>
  <c r="X124" i="34"/>
  <c r="W124" i="34"/>
  <c r="V124" i="34"/>
  <c r="U124" i="34"/>
  <c r="T124" i="34"/>
  <c r="S124" i="34"/>
  <c r="R124" i="34"/>
  <c r="Q124" i="34"/>
  <c r="P124" i="34"/>
  <c r="O124" i="34"/>
  <c r="N124" i="34"/>
  <c r="M124" i="34"/>
  <c r="L124" i="34"/>
  <c r="K124" i="34"/>
  <c r="I124" i="34"/>
  <c r="H124" i="34"/>
  <c r="G124" i="34"/>
  <c r="AQ123" i="34"/>
  <c r="AP123" i="34"/>
  <c r="AO123" i="34"/>
  <c r="AN123" i="34"/>
  <c r="AM123" i="34"/>
  <c r="AL123" i="34"/>
  <c r="AK123" i="34"/>
  <c r="AJ123" i="34"/>
  <c r="AI123" i="34"/>
  <c r="AH123" i="34"/>
  <c r="AG123" i="34"/>
  <c r="AF123" i="34"/>
  <c r="AD123" i="34"/>
  <c r="AC123" i="34"/>
  <c r="AB123" i="34"/>
  <c r="Z123" i="34"/>
  <c r="Y123" i="34"/>
  <c r="X123" i="34"/>
  <c r="W123" i="34"/>
  <c r="V123" i="34"/>
  <c r="U123" i="34"/>
  <c r="T123" i="34"/>
  <c r="S123" i="34"/>
  <c r="R123" i="34"/>
  <c r="Q123" i="34"/>
  <c r="P123" i="34"/>
  <c r="O123" i="34"/>
  <c r="N123" i="34"/>
  <c r="M123" i="34"/>
  <c r="L123" i="34"/>
  <c r="K123" i="34"/>
  <c r="I123" i="34"/>
  <c r="H123" i="34"/>
  <c r="G123" i="34"/>
  <c r="AQ122" i="34"/>
  <c r="AP122" i="34"/>
  <c r="AO122" i="34"/>
  <c r="AN122" i="34"/>
  <c r="AM122" i="34"/>
  <c r="AL122" i="34"/>
  <c r="AK122" i="34"/>
  <c r="AJ122" i="34"/>
  <c r="AI122" i="34"/>
  <c r="AH122" i="34"/>
  <c r="AG122" i="34"/>
  <c r="AF122" i="34"/>
  <c r="AD122" i="34"/>
  <c r="AC122" i="34"/>
  <c r="AB122" i="34"/>
  <c r="Z122" i="34"/>
  <c r="Y122" i="34"/>
  <c r="X122" i="34"/>
  <c r="W122" i="34"/>
  <c r="V122" i="34"/>
  <c r="U122" i="34"/>
  <c r="T122" i="34"/>
  <c r="S122" i="34"/>
  <c r="R122" i="34"/>
  <c r="Q122" i="34"/>
  <c r="P122" i="34"/>
  <c r="O122" i="34"/>
  <c r="N122" i="34"/>
  <c r="M122" i="34"/>
  <c r="L122" i="34"/>
  <c r="K122" i="34"/>
  <c r="I122" i="34"/>
  <c r="H122" i="34"/>
  <c r="G122" i="34"/>
  <c r="AQ121" i="34"/>
  <c r="AP121" i="34"/>
  <c r="AO121" i="34"/>
  <c r="AN121" i="34"/>
  <c r="AM121" i="34"/>
  <c r="AL121" i="34"/>
  <c r="AK121" i="34"/>
  <c r="AJ121" i="34"/>
  <c r="AI121" i="34"/>
  <c r="AH121" i="34"/>
  <c r="AG121" i="34"/>
  <c r="AF121" i="34"/>
  <c r="AD121" i="34"/>
  <c r="AC121" i="34"/>
  <c r="AB121" i="34"/>
  <c r="Z121" i="34"/>
  <c r="Y121" i="34"/>
  <c r="X121" i="34"/>
  <c r="W121" i="34"/>
  <c r="V121" i="34"/>
  <c r="U121" i="34"/>
  <c r="T121" i="34"/>
  <c r="S121" i="34"/>
  <c r="R121" i="34"/>
  <c r="Q121" i="34"/>
  <c r="P121" i="34"/>
  <c r="O121" i="34"/>
  <c r="N121" i="34"/>
  <c r="M121" i="34"/>
  <c r="L121" i="34"/>
  <c r="K121" i="34"/>
  <c r="I121" i="34"/>
  <c r="H121" i="34"/>
  <c r="G121" i="34"/>
  <c r="AQ120" i="34"/>
  <c r="AP120" i="34"/>
  <c r="AO120" i="34"/>
  <c r="AN120" i="34"/>
  <c r="AM120" i="34"/>
  <c r="AL120" i="34"/>
  <c r="AK120" i="34"/>
  <c r="AJ120" i="34"/>
  <c r="AI120" i="34"/>
  <c r="AH120" i="34"/>
  <c r="AG120" i="34"/>
  <c r="AF120" i="34"/>
  <c r="AD120" i="34"/>
  <c r="AC120" i="34"/>
  <c r="AB120" i="34"/>
  <c r="Z120" i="34"/>
  <c r="Y120" i="34"/>
  <c r="X120" i="34"/>
  <c r="W120" i="34"/>
  <c r="V120" i="34"/>
  <c r="U120" i="34"/>
  <c r="T120" i="34"/>
  <c r="S120" i="34"/>
  <c r="R120" i="34"/>
  <c r="Q120" i="34"/>
  <c r="P120" i="34"/>
  <c r="O120" i="34"/>
  <c r="N120" i="34"/>
  <c r="M120" i="34"/>
  <c r="L120" i="34"/>
  <c r="K120" i="34"/>
  <c r="I120" i="34"/>
  <c r="H120" i="34"/>
  <c r="G120" i="34"/>
  <c r="AQ119" i="34"/>
  <c r="AP119" i="34"/>
  <c r="AO119" i="34"/>
  <c r="AN119" i="34"/>
  <c r="AM119" i="34"/>
  <c r="AL119" i="34"/>
  <c r="AK119" i="34"/>
  <c r="AJ119" i="34"/>
  <c r="AI119" i="34"/>
  <c r="AH119" i="34"/>
  <c r="AG119" i="34"/>
  <c r="AF119" i="34"/>
  <c r="AD119" i="34"/>
  <c r="AC119" i="34"/>
  <c r="AB119" i="34"/>
  <c r="Z119" i="34"/>
  <c r="Y119" i="34"/>
  <c r="X119" i="34"/>
  <c r="W119" i="34"/>
  <c r="V119" i="34"/>
  <c r="U119" i="34"/>
  <c r="T119" i="34"/>
  <c r="S119" i="34"/>
  <c r="R119" i="34"/>
  <c r="Q119" i="34"/>
  <c r="P119" i="34"/>
  <c r="O119" i="34"/>
  <c r="N119" i="34"/>
  <c r="M119" i="34"/>
  <c r="L119" i="34"/>
  <c r="K119" i="34"/>
  <c r="I119" i="34"/>
  <c r="H119" i="34"/>
  <c r="G119" i="34"/>
  <c r="AQ118" i="34"/>
  <c r="AP118" i="34"/>
  <c r="AO118" i="34"/>
  <c r="AN118" i="34"/>
  <c r="AM118" i="34"/>
  <c r="AL118" i="34"/>
  <c r="AK118" i="34"/>
  <c r="AJ118" i="34"/>
  <c r="AI118" i="34"/>
  <c r="AH118" i="34"/>
  <c r="AG118" i="34"/>
  <c r="AF118" i="34"/>
  <c r="AD118" i="34"/>
  <c r="AC118" i="34"/>
  <c r="AB118" i="34"/>
  <c r="Z118" i="34"/>
  <c r="Y118" i="34"/>
  <c r="X118" i="34"/>
  <c r="W118" i="34"/>
  <c r="V118" i="34"/>
  <c r="U118" i="34"/>
  <c r="T118" i="34"/>
  <c r="S118" i="34"/>
  <c r="R118" i="34"/>
  <c r="Q118" i="34"/>
  <c r="P118" i="34"/>
  <c r="O118" i="34"/>
  <c r="N118" i="34"/>
  <c r="M118" i="34"/>
  <c r="L118" i="34"/>
  <c r="K118" i="34"/>
  <c r="I118" i="34"/>
  <c r="H118" i="34"/>
  <c r="G118" i="34"/>
  <c r="AQ117" i="34"/>
  <c r="AP117" i="34"/>
  <c r="AO117" i="34"/>
  <c r="AN117" i="34"/>
  <c r="AM117" i="34"/>
  <c r="AL117" i="34"/>
  <c r="AK117" i="34"/>
  <c r="AJ117" i="34"/>
  <c r="AI117" i="34"/>
  <c r="AH117" i="34"/>
  <c r="AG117" i="34"/>
  <c r="AF117" i="34"/>
  <c r="AD117" i="34"/>
  <c r="AC117" i="34"/>
  <c r="AB117" i="34"/>
  <c r="Z117" i="34"/>
  <c r="Y117" i="34"/>
  <c r="X117" i="34"/>
  <c r="W117" i="34"/>
  <c r="V117" i="34"/>
  <c r="U117" i="34"/>
  <c r="T117" i="34"/>
  <c r="S117" i="34"/>
  <c r="R117" i="34"/>
  <c r="Q117" i="34"/>
  <c r="P117" i="34"/>
  <c r="O117" i="34"/>
  <c r="N117" i="34"/>
  <c r="M117" i="34"/>
  <c r="L117" i="34"/>
  <c r="K117" i="34"/>
  <c r="I117" i="34"/>
  <c r="H117" i="34"/>
  <c r="G117" i="34"/>
  <c r="AQ116" i="34"/>
  <c r="AP116" i="34"/>
  <c r="AO116" i="34"/>
  <c r="AN116" i="34"/>
  <c r="AM116" i="34"/>
  <c r="AL116" i="34"/>
  <c r="AK116" i="34"/>
  <c r="AJ116" i="34"/>
  <c r="AI116" i="34"/>
  <c r="AH116" i="34"/>
  <c r="AG116" i="34"/>
  <c r="AF116" i="34"/>
  <c r="AD116" i="34"/>
  <c r="AC116" i="34"/>
  <c r="AB116" i="34"/>
  <c r="Z116" i="34"/>
  <c r="Y116" i="34"/>
  <c r="X116" i="34"/>
  <c r="W116" i="34"/>
  <c r="V116" i="34"/>
  <c r="U116" i="34"/>
  <c r="T116" i="34"/>
  <c r="S116" i="34"/>
  <c r="R116" i="34"/>
  <c r="Q116" i="34"/>
  <c r="P116" i="34"/>
  <c r="O116" i="34"/>
  <c r="N116" i="34"/>
  <c r="M116" i="34"/>
  <c r="L116" i="34"/>
  <c r="K116" i="34"/>
  <c r="I116" i="34"/>
  <c r="H116" i="34"/>
  <c r="G116" i="34"/>
  <c r="AQ115" i="34"/>
  <c r="AP115" i="34"/>
  <c r="AO115" i="34"/>
  <c r="AN115" i="34"/>
  <c r="AM115" i="34"/>
  <c r="AL115" i="34"/>
  <c r="AK115" i="34"/>
  <c r="AJ115" i="34"/>
  <c r="AI115" i="34"/>
  <c r="AH115" i="34"/>
  <c r="AG115" i="34"/>
  <c r="AF115" i="34"/>
  <c r="AD115" i="34"/>
  <c r="AC115" i="34"/>
  <c r="AB115" i="34"/>
  <c r="Z115" i="34"/>
  <c r="Y115" i="34"/>
  <c r="X115" i="34"/>
  <c r="W115" i="34"/>
  <c r="V115" i="34"/>
  <c r="U115" i="34"/>
  <c r="T115" i="34"/>
  <c r="S115" i="34"/>
  <c r="R115" i="34"/>
  <c r="Q115" i="34"/>
  <c r="P115" i="34"/>
  <c r="O115" i="34"/>
  <c r="N115" i="34"/>
  <c r="M115" i="34"/>
  <c r="L115" i="34"/>
  <c r="K115" i="34"/>
  <c r="I115" i="34"/>
  <c r="H115" i="34"/>
  <c r="G115" i="34"/>
  <c r="AQ114" i="34"/>
  <c r="AP114" i="34"/>
  <c r="AO114" i="34"/>
  <c r="AN114" i="34"/>
  <c r="AM114" i="34"/>
  <c r="AL114" i="34"/>
  <c r="AK114" i="34"/>
  <c r="AJ114" i="34"/>
  <c r="AI114" i="34"/>
  <c r="AH114" i="34"/>
  <c r="AG114" i="34"/>
  <c r="AF114" i="34"/>
  <c r="AD114" i="34"/>
  <c r="AC114" i="34"/>
  <c r="AB114" i="34"/>
  <c r="Z114" i="34"/>
  <c r="Y114" i="34"/>
  <c r="X114" i="34"/>
  <c r="W114" i="34"/>
  <c r="V114" i="34"/>
  <c r="U114" i="34"/>
  <c r="T114" i="34"/>
  <c r="S114" i="34"/>
  <c r="R114" i="34"/>
  <c r="Q114" i="34"/>
  <c r="P114" i="34"/>
  <c r="O114" i="34"/>
  <c r="N114" i="34"/>
  <c r="M114" i="34"/>
  <c r="L114" i="34"/>
  <c r="K114" i="34"/>
  <c r="I114" i="34"/>
  <c r="H114" i="34"/>
  <c r="G114" i="34"/>
  <c r="AQ113" i="34"/>
  <c r="AP113" i="34"/>
  <c r="AO113" i="34"/>
  <c r="AN113" i="34"/>
  <c r="AM113" i="34"/>
  <c r="AL113" i="34"/>
  <c r="AK113" i="34"/>
  <c r="AJ113" i="34"/>
  <c r="AI113" i="34"/>
  <c r="AH113" i="34"/>
  <c r="AG113" i="34"/>
  <c r="AF113" i="34"/>
  <c r="AD113" i="34"/>
  <c r="AC113" i="34"/>
  <c r="AB113" i="34"/>
  <c r="Z113" i="34"/>
  <c r="Y113" i="34"/>
  <c r="X113" i="34"/>
  <c r="W113" i="34"/>
  <c r="V113" i="34"/>
  <c r="U113" i="34"/>
  <c r="T113" i="34"/>
  <c r="S113" i="34"/>
  <c r="R113" i="34"/>
  <c r="Q113" i="34"/>
  <c r="P113" i="34"/>
  <c r="O113" i="34"/>
  <c r="N113" i="34"/>
  <c r="M113" i="34"/>
  <c r="L113" i="34"/>
  <c r="K113" i="34"/>
  <c r="I113" i="34"/>
  <c r="H113" i="34"/>
  <c r="G113" i="34"/>
  <c r="AQ112" i="34"/>
  <c r="AP112" i="34"/>
  <c r="AO112" i="34"/>
  <c r="AN112" i="34"/>
  <c r="AM112" i="34"/>
  <c r="AL112" i="34"/>
  <c r="AK112" i="34"/>
  <c r="AJ112" i="34"/>
  <c r="AI112" i="34"/>
  <c r="AH112" i="34"/>
  <c r="AG112" i="34"/>
  <c r="AF112" i="34"/>
  <c r="AD112" i="34"/>
  <c r="AC112" i="34"/>
  <c r="AB112" i="34"/>
  <c r="Z112" i="34"/>
  <c r="Y112" i="34"/>
  <c r="X112" i="34"/>
  <c r="W112" i="34"/>
  <c r="V112" i="34"/>
  <c r="U112" i="34"/>
  <c r="T112" i="34"/>
  <c r="S112" i="34"/>
  <c r="R112" i="34"/>
  <c r="Q112" i="34"/>
  <c r="P112" i="34"/>
  <c r="O112" i="34"/>
  <c r="N112" i="34"/>
  <c r="M112" i="34"/>
  <c r="L112" i="34"/>
  <c r="K112" i="34"/>
  <c r="I112" i="34"/>
  <c r="H112" i="34"/>
  <c r="G112" i="34"/>
  <c r="AQ111" i="34"/>
  <c r="AP111" i="34"/>
  <c r="AO111" i="34"/>
  <c r="AN111" i="34"/>
  <c r="AM111" i="34"/>
  <c r="AL111" i="34"/>
  <c r="AK111" i="34"/>
  <c r="AJ111" i="34"/>
  <c r="AI111" i="34"/>
  <c r="AH111" i="34"/>
  <c r="AG111" i="34"/>
  <c r="AF111" i="34"/>
  <c r="AD111" i="34"/>
  <c r="AC111" i="34"/>
  <c r="AB111" i="34"/>
  <c r="Z111" i="34"/>
  <c r="Y111" i="34"/>
  <c r="X111" i="34"/>
  <c r="W111" i="34"/>
  <c r="V111" i="34"/>
  <c r="U111" i="34"/>
  <c r="T111" i="34"/>
  <c r="S111" i="34"/>
  <c r="R111" i="34"/>
  <c r="Q111" i="34"/>
  <c r="P111" i="34"/>
  <c r="O111" i="34"/>
  <c r="N111" i="34"/>
  <c r="M111" i="34"/>
  <c r="L111" i="34"/>
  <c r="K111" i="34"/>
  <c r="I111" i="34"/>
  <c r="H111" i="34"/>
  <c r="G111" i="34"/>
  <c r="AQ110" i="34"/>
  <c r="AP110" i="34"/>
  <c r="AO110" i="34"/>
  <c r="AN110" i="34"/>
  <c r="AM110" i="34"/>
  <c r="AL110" i="34"/>
  <c r="AK110" i="34"/>
  <c r="AJ110" i="34"/>
  <c r="AI110" i="34"/>
  <c r="AH110" i="34"/>
  <c r="AG110" i="34"/>
  <c r="AF110" i="34"/>
  <c r="AD110" i="34"/>
  <c r="AC110" i="34"/>
  <c r="AB110" i="34"/>
  <c r="Z110" i="34"/>
  <c r="Y110" i="34"/>
  <c r="X110" i="34"/>
  <c r="W110" i="34"/>
  <c r="V110" i="34"/>
  <c r="U110" i="34"/>
  <c r="T110" i="34"/>
  <c r="S110" i="34"/>
  <c r="R110" i="34"/>
  <c r="Q110" i="34"/>
  <c r="P110" i="34"/>
  <c r="O110" i="34"/>
  <c r="N110" i="34"/>
  <c r="M110" i="34"/>
  <c r="L110" i="34"/>
  <c r="K110" i="34"/>
  <c r="I110" i="34"/>
  <c r="H110" i="34"/>
  <c r="G110" i="34"/>
  <c r="AQ109" i="34"/>
  <c r="AP109" i="34"/>
  <c r="AO109" i="34"/>
  <c r="AN109" i="34"/>
  <c r="AM109" i="34"/>
  <c r="AL109" i="34"/>
  <c r="AK109" i="34"/>
  <c r="AJ109" i="34"/>
  <c r="AI109" i="34"/>
  <c r="AH109" i="34"/>
  <c r="AG109" i="34"/>
  <c r="AF109" i="34"/>
  <c r="AD109" i="34"/>
  <c r="AC109" i="34"/>
  <c r="AB109" i="34"/>
  <c r="Z109" i="34"/>
  <c r="Y109" i="34"/>
  <c r="X109" i="34"/>
  <c r="W109" i="34"/>
  <c r="V109" i="34"/>
  <c r="U109" i="34"/>
  <c r="T109" i="34"/>
  <c r="S109" i="34"/>
  <c r="R109" i="34"/>
  <c r="Q109" i="34"/>
  <c r="P109" i="34"/>
  <c r="O109" i="34"/>
  <c r="N109" i="34"/>
  <c r="M109" i="34"/>
  <c r="L109" i="34"/>
  <c r="K109" i="34"/>
  <c r="I109" i="34"/>
  <c r="H109" i="34"/>
  <c r="G109" i="34"/>
  <c r="AQ108" i="34"/>
  <c r="AP108" i="34"/>
  <c r="AO108" i="34"/>
  <c r="AN108" i="34"/>
  <c r="AM108" i="34"/>
  <c r="AL108" i="34"/>
  <c r="AK108" i="34"/>
  <c r="AJ108" i="34"/>
  <c r="AI108" i="34"/>
  <c r="AH108" i="34"/>
  <c r="AG108" i="34"/>
  <c r="AF108" i="34"/>
  <c r="AD108" i="34"/>
  <c r="AC108" i="34"/>
  <c r="AB108" i="34"/>
  <c r="Z108" i="34"/>
  <c r="Y108" i="34"/>
  <c r="X108" i="34"/>
  <c r="W108" i="34"/>
  <c r="V108" i="34"/>
  <c r="U108" i="34"/>
  <c r="T108" i="34"/>
  <c r="S108" i="34"/>
  <c r="R108" i="34"/>
  <c r="Q108" i="34"/>
  <c r="P108" i="34"/>
  <c r="O108" i="34"/>
  <c r="N108" i="34"/>
  <c r="M108" i="34"/>
  <c r="L108" i="34"/>
  <c r="K108" i="34"/>
  <c r="I108" i="34"/>
  <c r="H108" i="34"/>
  <c r="G108" i="34"/>
  <c r="AQ107" i="34"/>
  <c r="AP107" i="34"/>
  <c r="AO107" i="34"/>
  <c r="AN107" i="34"/>
  <c r="AM107" i="34"/>
  <c r="AL107" i="34"/>
  <c r="AK107" i="34"/>
  <c r="AJ107" i="34"/>
  <c r="AI107" i="34"/>
  <c r="AH107" i="34"/>
  <c r="AG107" i="34"/>
  <c r="AF107" i="34"/>
  <c r="AD107" i="34"/>
  <c r="AC107" i="34"/>
  <c r="AB107" i="34"/>
  <c r="Z107" i="34"/>
  <c r="Y107" i="34"/>
  <c r="X107" i="34"/>
  <c r="W107" i="34"/>
  <c r="V107" i="34"/>
  <c r="U107" i="34"/>
  <c r="T107" i="34"/>
  <c r="S107" i="34"/>
  <c r="R107" i="34"/>
  <c r="Q107" i="34"/>
  <c r="P107" i="34"/>
  <c r="O107" i="34"/>
  <c r="N107" i="34"/>
  <c r="M107" i="34"/>
  <c r="L107" i="34"/>
  <c r="K107" i="34"/>
  <c r="I107" i="34"/>
  <c r="H107" i="34"/>
  <c r="G107" i="34"/>
  <c r="AQ106" i="34"/>
  <c r="AP106" i="34"/>
  <c r="AO106" i="34"/>
  <c r="AN106" i="34"/>
  <c r="AM106" i="34"/>
  <c r="AL106" i="34"/>
  <c r="AK106" i="34"/>
  <c r="AJ106" i="34"/>
  <c r="AI106" i="34"/>
  <c r="AH106" i="34"/>
  <c r="AG106" i="34"/>
  <c r="AF106" i="34"/>
  <c r="AD106" i="34"/>
  <c r="AC106" i="34"/>
  <c r="AB106" i="34"/>
  <c r="Z106" i="34"/>
  <c r="Y106" i="34"/>
  <c r="X106" i="34"/>
  <c r="W106" i="34"/>
  <c r="V106" i="34"/>
  <c r="U106" i="34"/>
  <c r="T106" i="34"/>
  <c r="S106" i="34"/>
  <c r="R106" i="34"/>
  <c r="Q106" i="34"/>
  <c r="P106" i="34"/>
  <c r="O106" i="34"/>
  <c r="N106" i="34"/>
  <c r="M106" i="34"/>
  <c r="L106" i="34"/>
  <c r="K106" i="34"/>
  <c r="I106" i="34"/>
  <c r="H106" i="34"/>
  <c r="G106" i="34"/>
  <c r="AQ105" i="34"/>
  <c r="AP105" i="34"/>
  <c r="AO105" i="34"/>
  <c r="AN105" i="34"/>
  <c r="AM105" i="34"/>
  <c r="AL105" i="34"/>
  <c r="AK105" i="34"/>
  <c r="AJ105" i="34"/>
  <c r="AI105" i="34"/>
  <c r="AH105" i="34"/>
  <c r="AG105" i="34"/>
  <c r="AF105" i="34"/>
  <c r="AD105" i="34"/>
  <c r="AC105" i="34"/>
  <c r="AB105" i="34"/>
  <c r="Z105" i="34"/>
  <c r="Y105" i="34"/>
  <c r="X105" i="34"/>
  <c r="W105" i="34"/>
  <c r="V105" i="34"/>
  <c r="U105" i="34"/>
  <c r="T105" i="34"/>
  <c r="S105" i="34"/>
  <c r="R105" i="34"/>
  <c r="Q105" i="34"/>
  <c r="P105" i="34"/>
  <c r="O105" i="34"/>
  <c r="N105" i="34"/>
  <c r="M105" i="34"/>
  <c r="L105" i="34"/>
  <c r="K105" i="34"/>
  <c r="I105" i="34"/>
  <c r="H105" i="34"/>
  <c r="G105" i="34"/>
  <c r="AQ104" i="34"/>
  <c r="AP104" i="34"/>
  <c r="AO104" i="34"/>
  <c r="AN104" i="34"/>
  <c r="AM104" i="34"/>
  <c r="AL104" i="34"/>
  <c r="AK104" i="34"/>
  <c r="AJ104" i="34"/>
  <c r="AI104" i="34"/>
  <c r="AH104" i="34"/>
  <c r="AG104" i="34"/>
  <c r="AF104" i="34"/>
  <c r="AD104" i="34"/>
  <c r="AC104" i="34"/>
  <c r="AB104" i="34"/>
  <c r="Z104" i="34"/>
  <c r="Y104" i="34"/>
  <c r="X104" i="34"/>
  <c r="W104" i="34"/>
  <c r="V104" i="34"/>
  <c r="U104" i="34"/>
  <c r="T104" i="34"/>
  <c r="S104" i="34"/>
  <c r="R104" i="34"/>
  <c r="Q104" i="34"/>
  <c r="P104" i="34"/>
  <c r="O104" i="34"/>
  <c r="N104" i="34"/>
  <c r="M104" i="34"/>
  <c r="L104" i="34"/>
  <c r="K104" i="34"/>
  <c r="I104" i="34"/>
  <c r="H104" i="34"/>
  <c r="G104" i="34"/>
  <c r="AQ103" i="34"/>
  <c r="AP103" i="34"/>
  <c r="AO103" i="34"/>
  <c r="AN103" i="34"/>
  <c r="AM103" i="34"/>
  <c r="AL103" i="34"/>
  <c r="AK103" i="34"/>
  <c r="AJ103" i="34"/>
  <c r="AI103" i="34"/>
  <c r="AH103" i="34"/>
  <c r="AG103" i="34"/>
  <c r="AF103" i="34"/>
  <c r="AD103" i="34"/>
  <c r="AC103" i="34"/>
  <c r="AB103" i="34"/>
  <c r="Z103" i="34"/>
  <c r="Y103" i="34"/>
  <c r="X103" i="34"/>
  <c r="W103" i="34"/>
  <c r="V103" i="34"/>
  <c r="U103" i="34"/>
  <c r="T103" i="34"/>
  <c r="S103" i="34"/>
  <c r="R103" i="34"/>
  <c r="Q103" i="34"/>
  <c r="P103" i="34"/>
  <c r="O103" i="34"/>
  <c r="N103" i="34"/>
  <c r="M103" i="34"/>
  <c r="L103" i="34"/>
  <c r="K103" i="34"/>
  <c r="I103" i="34"/>
  <c r="H103" i="34"/>
  <c r="G103" i="34"/>
  <c r="AQ102" i="34"/>
  <c r="AP102" i="34"/>
  <c r="AO102" i="34"/>
  <c r="AN102" i="34"/>
  <c r="AM102" i="34"/>
  <c r="AL102" i="34"/>
  <c r="AK102" i="34"/>
  <c r="AJ102" i="34"/>
  <c r="AI102" i="34"/>
  <c r="AH102" i="34"/>
  <c r="AG102" i="34"/>
  <c r="AF102" i="34"/>
  <c r="AD102" i="34"/>
  <c r="AC102" i="34"/>
  <c r="AB102" i="34"/>
  <c r="Z102" i="34"/>
  <c r="Y102" i="34"/>
  <c r="X102" i="34"/>
  <c r="W102" i="34"/>
  <c r="V102" i="34"/>
  <c r="U102" i="34"/>
  <c r="T102" i="34"/>
  <c r="S102" i="34"/>
  <c r="R102" i="34"/>
  <c r="Q102" i="34"/>
  <c r="P102" i="34"/>
  <c r="O102" i="34"/>
  <c r="N102" i="34"/>
  <c r="M102" i="34"/>
  <c r="L102" i="34"/>
  <c r="K102" i="34"/>
  <c r="I102" i="34"/>
  <c r="H102" i="34"/>
  <c r="G102" i="34"/>
  <c r="AQ101" i="34"/>
  <c r="AP101" i="34"/>
  <c r="AO101" i="34"/>
  <c r="AN101" i="34"/>
  <c r="AM101" i="34"/>
  <c r="AL101" i="34"/>
  <c r="AK101" i="34"/>
  <c r="AJ101" i="34"/>
  <c r="AI101" i="34"/>
  <c r="AH101" i="34"/>
  <c r="AG101" i="34"/>
  <c r="AF101" i="34"/>
  <c r="AD101" i="34"/>
  <c r="AC101" i="34"/>
  <c r="AB101" i="34"/>
  <c r="Z101" i="34"/>
  <c r="Y101" i="34"/>
  <c r="X101" i="34"/>
  <c r="W101" i="34"/>
  <c r="V101" i="34"/>
  <c r="U101" i="34"/>
  <c r="T101" i="34"/>
  <c r="S101" i="34"/>
  <c r="R101" i="34"/>
  <c r="Q101" i="34"/>
  <c r="P101" i="34"/>
  <c r="O101" i="34"/>
  <c r="N101" i="34"/>
  <c r="M101" i="34"/>
  <c r="L101" i="34"/>
  <c r="K101" i="34"/>
  <c r="I101" i="34"/>
  <c r="H101" i="34"/>
  <c r="G101" i="34"/>
  <c r="AQ100" i="34"/>
  <c r="AP100" i="34"/>
  <c r="AO100" i="34"/>
  <c r="AN100" i="34"/>
  <c r="AM100" i="34"/>
  <c r="AL100" i="34"/>
  <c r="AK100" i="34"/>
  <c r="AJ100" i="34"/>
  <c r="AI100" i="34"/>
  <c r="AH100" i="34"/>
  <c r="AG100" i="34"/>
  <c r="AF100" i="34"/>
  <c r="AD100" i="34"/>
  <c r="AC100" i="34"/>
  <c r="AB100" i="34"/>
  <c r="Z100" i="34"/>
  <c r="Y100" i="34"/>
  <c r="X100" i="34"/>
  <c r="W100" i="34"/>
  <c r="V100" i="34"/>
  <c r="U100" i="34"/>
  <c r="T100" i="34"/>
  <c r="S100" i="34"/>
  <c r="R100" i="34"/>
  <c r="Q100" i="34"/>
  <c r="P100" i="34"/>
  <c r="O100" i="34"/>
  <c r="N100" i="34"/>
  <c r="M100" i="34"/>
  <c r="L100" i="34"/>
  <c r="K100" i="34"/>
  <c r="I100" i="34"/>
  <c r="H100" i="34"/>
  <c r="G100" i="34"/>
  <c r="AQ99" i="34"/>
  <c r="AP99" i="34"/>
  <c r="AO99" i="34"/>
  <c r="AN99" i="34"/>
  <c r="AM99" i="34"/>
  <c r="AL99" i="34"/>
  <c r="AK99" i="34"/>
  <c r="AJ99" i="34"/>
  <c r="AI99" i="34"/>
  <c r="AH99" i="34"/>
  <c r="AG99" i="34"/>
  <c r="AF99" i="34"/>
  <c r="AD99" i="34"/>
  <c r="AC99" i="34"/>
  <c r="AB99" i="34"/>
  <c r="Z99" i="34"/>
  <c r="Y99" i="34"/>
  <c r="X99" i="34"/>
  <c r="W99" i="34"/>
  <c r="V99" i="34"/>
  <c r="U99" i="34"/>
  <c r="T99" i="34"/>
  <c r="S99" i="34"/>
  <c r="R99" i="34"/>
  <c r="Q99" i="34"/>
  <c r="P99" i="34"/>
  <c r="O99" i="34"/>
  <c r="N99" i="34"/>
  <c r="M99" i="34"/>
  <c r="L99" i="34"/>
  <c r="K99" i="34"/>
  <c r="I99" i="34"/>
  <c r="H99" i="34"/>
  <c r="G99" i="34"/>
  <c r="AQ98" i="34"/>
  <c r="AP98" i="34"/>
  <c r="AO98" i="34"/>
  <c r="AN98" i="34"/>
  <c r="AM98" i="34"/>
  <c r="AL98" i="34"/>
  <c r="AK98" i="34"/>
  <c r="AJ98" i="34"/>
  <c r="AI98" i="34"/>
  <c r="AH98" i="34"/>
  <c r="AG98" i="34"/>
  <c r="AF98" i="34"/>
  <c r="AD98" i="34"/>
  <c r="AC98" i="34"/>
  <c r="AB98" i="34"/>
  <c r="Z98" i="34"/>
  <c r="Y98" i="34"/>
  <c r="X98" i="34"/>
  <c r="W98" i="34"/>
  <c r="V98" i="34"/>
  <c r="U98" i="34"/>
  <c r="T98" i="34"/>
  <c r="S98" i="34"/>
  <c r="R98" i="34"/>
  <c r="Q98" i="34"/>
  <c r="P98" i="34"/>
  <c r="O98" i="34"/>
  <c r="N98" i="34"/>
  <c r="M98" i="34"/>
  <c r="L98" i="34"/>
  <c r="K98" i="34"/>
  <c r="I98" i="34"/>
  <c r="H98" i="34"/>
  <c r="G98" i="34"/>
  <c r="AQ97" i="34"/>
  <c r="AP97" i="34"/>
  <c r="AO97" i="34"/>
  <c r="AN97" i="34"/>
  <c r="AM97" i="34"/>
  <c r="AL97" i="34"/>
  <c r="AK97" i="34"/>
  <c r="AJ97" i="34"/>
  <c r="AI97" i="34"/>
  <c r="AH97" i="34"/>
  <c r="AG97" i="34"/>
  <c r="AF97" i="34"/>
  <c r="AD97" i="34"/>
  <c r="AC97" i="34"/>
  <c r="AB97" i="34"/>
  <c r="Z97" i="34"/>
  <c r="Y97" i="34"/>
  <c r="X97" i="34"/>
  <c r="W97" i="34"/>
  <c r="V97" i="34"/>
  <c r="U97" i="34"/>
  <c r="T97" i="34"/>
  <c r="S97" i="34"/>
  <c r="R97" i="34"/>
  <c r="Q97" i="34"/>
  <c r="P97" i="34"/>
  <c r="O97" i="34"/>
  <c r="N97" i="34"/>
  <c r="M97" i="34"/>
  <c r="L97" i="34"/>
  <c r="K97" i="34"/>
  <c r="I97" i="34"/>
  <c r="H97" i="34"/>
  <c r="G97" i="34"/>
  <c r="AQ96" i="34"/>
  <c r="AP96" i="34"/>
  <c r="AO96" i="34"/>
  <c r="AN96" i="34"/>
  <c r="AM96" i="34"/>
  <c r="AL96" i="34"/>
  <c r="AK96" i="34"/>
  <c r="AJ96" i="34"/>
  <c r="AI96" i="34"/>
  <c r="AH96" i="34"/>
  <c r="AG96" i="34"/>
  <c r="AF96" i="34"/>
  <c r="AD96" i="34"/>
  <c r="AC96" i="34"/>
  <c r="AB96" i="34"/>
  <c r="Z96" i="34"/>
  <c r="Y96" i="34"/>
  <c r="X96" i="34"/>
  <c r="W96" i="34"/>
  <c r="V96" i="34"/>
  <c r="U96" i="34"/>
  <c r="T96" i="34"/>
  <c r="S96" i="34"/>
  <c r="R96" i="34"/>
  <c r="Q96" i="34"/>
  <c r="P96" i="34"/>
  <c r="O96" i="34"/>
  <c r="N96" i="34"/>
  <c r="M96" i="34"/>
  <c r="L96" i="34"/>
  <c r="K96" i="34"/>
  <c r="I96" i="34"/>
  <c r="H96" i="34"/>
  <c r="G96" i="34"/>
  <c r="AQ95" i="34"/>
  <c r="AP95" i="34"/>
  <c r="AO95" i="34"/>
  <c r="AN95" i="34"/>
  <c r="AM95" i="34"/>
  <c r="AL95" i="34"/>
  <c r="AK95" i="34"/>
  <c r="AJ95" i="34"/>
  <c r="AI95" i="34"/>
  <c r="AH95" i="34"/>
  <c r="AG95" i="34"/>
  <c r="AF95" i="34"/>
  <c r="AD95" i="34"/>
  <c r="AC95" i="34"/>
  <c r="AB95" i="34"/>
  <c r="Z95" i="34"/>
  <c r="Y95" i="34"/>
  <c r="X95" i="34"/>
  <c r="W95" i="34"/>
  <c r="V95" i="34"/>
  <c r="U95" i="34"/>
  <c r="T95" i="34"/>
  <c r="S95" i="34"/>
  <c r="R95" i="34"/>
  <c r="Q95" i="34"/>
  <c r="P95" i="34"/>
  <c r="O95" i="34"/>
  <c r="N95" i="34"/>
  <c r="M95" i="34"/>
  <c r="L95" i="34"/>
  <c r="K95" i="34"/>
  <c r="I95" i="34"/>
  <c r="H95" i="34"/>
  <c r="G95" i="34"/>
  <c r="AQ94" i="34"/>
  <c r="AP94" i="34"/>
  <c r="AO94" i="34"/>
  <c r="AN94" i="34"/>
  <c r="AM94" i="34"/>
  <c r="AL94" i="34"/>
  <c r="AK94" i="34"/>
  <c r="AJ94" i="34"/>
  <c r="AI94" i="34"/>
  <c r="AH94" i="34"/>
  <c r="AG94" i="34"/>
  <c r="AF94" i="34"/>
  <c r="AD94" i="34"/>
  <c r="AC94" i="34"/>
  <c r="AB94" i="34"/>
  <c r="Z94" i="34"/>
  <c r="Y94" i="34"/>
  <c r="X94" i="34"/>
  <c r="W94" i="34"/>
  <c r="V94" i="34"/>
  <c r="U94" i="34"/>
  <c r="T94" i="34"/>
  <c r="S94" i="34"/>
  <c r="R94" i="34"/>
  <c r="Q94" i="34"/>
  <c r="P94" i="34"/>
  <c r="O94" i="34"/>
  <c r="N94" i="34"/>
  <c r="M94" i="34"/>
  <c r="L94" i="34"/>
  <c r="K94" i="34"/>
  <c r="I94" i="34"/>
  <c r="H94" i="34"/>
  <c r="G94" i="34"/>
  <c r="AQ93" i="34"/>
  <c r="AP93" i="34"/>
  <c r="AO93" i="34"/>
  <c r="AN93" i="34"/>
  <c r="AM93" i="34"/>
  <c r="AL93" i="34"/>
  <c r="AK93" i="34"/>
  <c r="AJ93" i="34"/>
  <c r="AI93" i="34"/>
  <c r="AH93" i="34"/>
  <c r="AG93" i="34"/>
  <c r="AF93" i="34"/>
  <c r="AD93" i="34"/>
  <c r="AC93" i="34"/>
  <c r="AB93" i="34"/>
  <c r="Z93" i="34"/>
  <c r="Y93" i="34"/>
  <c r="X93" i="34"/>
  <c r="W93" i="34"/>
  <c r="V93" i="34"/>
  <c r="U93" i="34"/>
  <c r="T93" i="34"/>
  <c r="S93" i="34"/>
  <c r="R93" i="34"/>
  <c r="Q93" i="34"/>
  <c r="P93" i="34"/>
  <c r="O93" i="34"/>
  <c r="N93" i="34"/>
  <c r="M93" i="34"/>
  <c r="L93" i="34"/>
  <c r="K93" i="34"/>
  <c r="I93" i="34"/>
  <c r="H93" i="34"/>
  <c r="G93" i="34"/>
  <c r="AQ92" i="34"/>
  <c r="AP92" i="34"/>
  <c r="AO92" i="34"/>
  <c r="AN92" i="34"/>
  <c r="AM92" i="34"/>
  <c r="AL92" i="34"/>
  <c r="AK92" i="34"/>
  <c r="AJ92" i="34"/>
  <c r="AI92" i="34"/>
  <c r="AH92" i="34"/>
  <c r="AG92" i="34"/>
  <c r="AF92" i="34"/>
  <c r="AD92" i="34"/>
  <c r="AC92" i="34"/>
  <c r="AB92" i="34"/>
  <c r="Z92" i="34"/>
  <c r="Y92" i="34"/>
  <c r="X92" i="34"/>
  <c r="W92" i="34"/>
  <c r="V92" i="34"/>
  <c r="U92" i="34"/>
  <c r="T92" i="34"/>
  <c r="S92" i="34"/>
  <c r="R92" i="34"/>
  <c r="Q92" i="34"/>
  <c r="P92" i="34"/>
  <c r="O92" i="34"/>
  <c r="N92" i="34"/>
  <c r="M92" i="34"/>
  <c r="L92" i="34"/>
  <c r="K92" i="34"/>
  <c r="I92" i="34"/>
  <c r="H92" i="34"/>
  <c r="G92" i="34"/>
  <c r="AQ91" i="34"/>
  <c r="AP91" i="34"/>
  <c r="AO91" i="34"/>
  <c r="AN91" i="34"/>
  <c r="AM91" i="34"/>
  <c r="AL91" i="34"/>
  <c r="AK91" i="34"/>
  <c r="AJ91" i="34"/>
  <c r="AI91" i="34"/>
  <c r="AH91" i="34"/>
  <c r="AG91" i="34"/>
  <c r="AF91" i="34"/>
  <c r="AD91" i="34"/>
  <c r="AC91" i="34"/>
  <c r="AB91" i="34"/>
  <c r="Z91" i="34"/>
  <c r="Y91" i="34"/>
  <c r="X91" i="34"/>
  <c r="W91" i="34"/>
  <c r="V91" i="34"/>
  <c r="U91" i="34"/>
  <c r="T91" i="34"/>
  <c r="S91" i="34"/>
  <c r="R91" i="34"/>
  <c r="Q91" i="34"/>
  <c r="P91" i="34"/>
  <c r="O91" i="34"/>
  <c r="N91" i="34"/>
  <c r="M91" i="34"/>
  <c r="L91" i="34"/>
  <c r="K91" i="34"/>
  <c r="I91" i="34"/>
  <c r="H91" i="34"/>
  <c r="G91" i="34"/>
  <c r="AQ90" i="34"/>
  <c r="AP90" i="34"/>
  <c r="AO90" i="34"/>
  <c r="AN90" i="34"/>
  <c r="AM90" i="34"/>
  <c r="AL90" i="34"/>
  <c r="AK90" i="34"/>
  <c r="AJ90" i="34"/>
  <c r="AI90" i="34"/>
  <c r="AH90" i="34"/>
  <c r="AG90" i="34"/>
  <c r="AF90" i="34"/>
  <c r="AD90" i="34"/>
  <c r="AC90" i="34"/>
  <c r="AB90" i="34"/>
  <c r="Z90" i="34"/>
  <c r="Y90" i="34"/>
  <c r="X90" i="34"/>
  <c r="W90" i="34"/>
  <c r="V90" i="34"/>
  <c r="U90" i="34"/>
  <c r="T90" i="34"/>
  <c r="S90" i="34"/>
  <c r="R90" i="34"/>
  <c r="Q90" i="34"/>
  <c r="P90" i="34"/>
  <c r="O90" i="34"/>
  <c r="N90" i="34"/>
  <c r="M90" i="34"/>
  <c r="L90" i="34"/>
  <c r="K90" i="34"/>
  <c r="I90" i="34"/>
  <c r="H90" i="34"/>
  <c r="G90" i="34"/>
  <c r="AQ89" i="34"/>
  <c r="AP89" i="34"/>
  <c r="AO89" i="34"/>
  <c r="AN89" i="34"/>
  <c r="AM89" i="34"/>
  <c r="AL89" i="34"/>
  <c r="AK89" i="34"/>
  <c r="AJ89" i="34"/>
  <c r="AI89" i="34"/>
  <c r="AH89" i="34"/>
  <c r="AG89" i="34"/>
  <c r="AF89" i="34"/>
  <c r="AD89" i="34"/>
  <c r="AC89" i="34"/>
  <c r="AB89" i="34"/>
  <c r="Z89" i="34"/>
  <c r="Y89" i="34"/>
  <c r="X89" i="34"/>
  <c r="W89" i="34"/>
  <c r="V89" i="34"/>
  <c r="U89" i="34"/>
  <c r="T89" i="34"/>
  <c r="S89" i="34"/>
  <c r="R89" i="34"/>
  <c r="Q89" i="34"/>
  <c r="P89" i="34"/>
  <c r="O89" i="34"/>
  <c r="N89" i="34"/>
  <c r="M89" i="34"/>
  <c r="L89" i="34"/>
  <c r="K89" i="34"/>
  <c r="I89" i="34"/>
  <c r="H89" i="34"/>
  <c r="G89" i="34"/>
  <c r="AQ88" i="34"/>
  <c r="AP88" i="34"/>
  <c r="AO88" i="34"/>
  <c r="AN88" i="34"/>
  <c r="AM88" i="34"/>
  <c r="AL88" i="34"/>
  <c r="AK88" i="34"/>
  <c r="AJ88" i="34"/>
  <c r="AI88" i="34"/>
  <c r="AH88" i="34"/>
  <c r="AG88" i="34"/>
  <c r="AF88" i="34"/>
  <c r="AD88" i="34"/>
  <c r="AC88" i="34"/>
  <c r="AB88" i="34"/>
  <c r="Z88" i="34"/>
  <c r="Y88" i="34"/>
  <c r="X88" i="34"/>
  <c r="W88" i="34"/>
  <c r="V88" i="34"/>
  <c r="U88" i="34"/>
  <c r="T88" i="34"/>
  <c r="S88" i="34"/>
  <c r="R88" i="34"/>
  <c r="Q88" i="34"/>
  <c r="P88" i="34"/>
  <c r="O88" i="34"/>
  <c r="N88" i="34"/>
  <c r="M88" i="34"/>
  <c r="L88" i="34"/>
  <c r="K88" i="34"/>
  <c r="I88" i="34"/>
  <c r="H88" i="34"/>
  <c r="G88" i="34"/>
  <c r="AQ87" i="34"/>
  <c r="AP87" i="34"/>
  <c r="AO87" i="34"/>
  <c r="AN87" i="34"/>
  <c r="AM87" i="34"/>
  <c r="AL87" i="34"/>
  <c r="AK87" i="34"/>
  <c r="AJ87" i="34"/>
  <c r="AI87" i="34"/>
  <c r="AH87" i="34"/>
  <c r="AG87" i="34"/>
  <c r="AF87" i="34"/>
  <c r="AD87" i="34"/>
  <c r="AC87" i="34"/>
  <c r="AB87" i="34"/>
  <c r="Z87" i="34"/>
  <c r="Y87" i="34"/>
  <c r="X87" i="34"/>
  <c r="W87" i="34"/>
  <c r="V87" i="34"/>
  <c r="U87" i="34"/>
  <c r="T87" i="34"/>
  <c r="S87" i="34"/>
  <c r="R87" i="34"/>
  <c r="Q87" i="34"/>
  <c r="P87" i="34"/>
  <c r="O87" i="34"/>
  <c r="N87" i="34"/>
  <c r="M87" i="34"/>
  <c r="L87" i="34"/>
  <c r="K87" i="34"/>
  <c r="I87" i="34"/>
  <c r="H87" i="34"/>
  <c r="G87" i="34"/>
  <c r="AQ86" i="34"/>
  <c r="AP86" i="34"/>
  <c r="AO86" i="34"/>
  <c r="AN86" i="34"/>
  <c r="AM86" i="34"/>
  <c r="AL86" i="34"/>
  <c r="AK86" i="34"/>
  <c r="AJ86" i="34"/>
  <c r="AI86" i="34"/>
  <c r="AH86" i="34"/>
  <c r="AG86" i="34"/>
  <c r="AF86" i="34"/>
  <c r="AD86" i="34"/>
  <c r="AC86" i="34"/>
  <c r="AB86" i="34"/>
  <c r="Z86" i="34"/>
  <c r="Y86" i="34"/>
  <c r="X86" i="34"/>
  <c r="W86" i="34"/>
  <c r="V86" i="34"/>
  <c r="U86" i="34"/>
  <c r="T86" i="34"/>
  <c r="S86" i="34"/>
  <c r="R86" i="34"/>
  <c r="Q86" i="34"/>
  <c r="P86" i="34"/>
  <c r="O86" i="34"/>
  <c r="N86" i="34"/>
  <c r="M86" i="34"/>
  <c r="L86" i="34"/>
  <c r="K86" i="34"/>
  <c r="I86" i="34"/>
  <c r="H86" i="34"/>
  <c r="G86" i="34"/>
  <c r="AQ85" i="34"/>
  <c r="AP85" i="34"/>
  <c r="AO85" i="34"/>
  <c r="AN85" i="34"/>
  <c r="AM85" i="34"/>
  <c r="AL85" i="34"/>
  <c r="AK85" i="34"/>
  <c r="AJ85" i="34"/>
  <c r="AI85" i="34"/>
  <c r="AH85" i="34"/>
  <c r="AG85" i="34"/>
  <c r="AF85" i="34"/>
  <c r="AD85" i="34"/>
  <c r="AC85" i="34"/>
  <c r="AB85" i="34"/>
  <c r="Z85" i="34"/>
  <c r="Y85" i="34"/>
  <c r="X85" i="34"/>
  <c r="W85" i="34"/>
  <c r="V85" i="34"/>
  <c r="U85" i="34"/>
  <c r="T85" i="34"/>
  <c r="S85" i="34"/>
  <c r="R85" i="34"/>
  <c r="Q85" i="34"/>
  <c r="P85" i="34"/>
  <c r="O85" i="34"/>
  <c r="N85" i="34"/>
  <c r="M85" i="34"/>
  <c r="L85" i="34"/>
  <c r="K85" i="34"/>
  <c r="I85" i="34"/>
  <c r="H85" i="34"/>
  <c r="G85" i="34"/>
  <c r="AQ84" i="34"/>
  <c r="AP84" i="34"/>
  <c r="AO84" i="34"/>
  <c r="AN84" i="34"/>
  <c r="AM84" i="34"/>
  <c r="AL84" i="34"/>
  <c r="AK84" i="34"/>
  <c r="AJ84" i="34"/>
  <c r="AI84" i="34"/>
  <c r="AH84" i="34"/>
  <c r="AG84" i="34"/>
  <c r="AF84" i="34"/>
  <c r="AD84" i="34"/>
  <c r="AC84" i="34"/>
  <c r="AB84" i="34"/>
  <c r="Z84" i="34"/>
  <c r="Y84" i="34"/>
  <c r="X84" i="34"/>
  <c r="W84" i="34"/>
  <c r="V84" i="34"/>
  <c r="U84" i="34"/>
  <c r="T84" i="34"/>
  <c r="S84" i="34"/>
  <c r="R84" i="34"/>
  <c r="Q84" i="34"/>
  <c r="P84" i="34"/>
  <c r="O84" i="34"/>
  <c r="N84" i="34"/>
  <c r="M84" i="34"/>
  <c r="L84" i="34"/>
  <c r="K84" i="34"/>
  <c r="I84" i="34"/>
  <c r="H84" i="34"/>
  <c r="G84" i="34"/>
  <c r="AQ83" i="34"/>
  <c r="AP83" i="34"/>
  <c r="AO83" i="34"/>
  <c r="AN83" i="34"/>
  <c r="AM83" i="34"/>
  <c r="AL83" i="34"/>
  <c r="AK83" i="34"/>
  <c r="AJ83" i="34"/>
  <c r="AI83" i="34"/>
  <c r="AH83" i="34"/>
  <c r="AG83" i="34"/>
  <c r="AF83" i="34"/>
  <c r="AD83" i="34"/>
  <c r="AC83" i="34"/>
  <c r="AB83" i="34"/>
  <c r="Z83" i="34"/>
  <c r="Y83" i="34"/>
  <c r="X83" i="34"/>
  <c r="W83" i="34"/>
  <c r="V83" i="34"/>
  <c r="U83" i="34"/>
  <c r="T83" i="34"/>
  <c r="S83" i="34"/>
  <c r="R83" i="34"/>
  <c r="Q83" i="34"/>
  <c r="P83" i="34"/>
  <c r="O83" i="34"/>
  <c r="N83" i="34"/>
  <c r="M83" i="34"/>
  <c r="L83" i="34"/>
  <c r="K83" i="34"/>
  <c r="I83" i="34"/>
  <c r="H83" i="34"/>
  <c r="G83" i="34"/>
  <c r="AQ82" i="34"/>
  <c r="AP82" i="34"/>
  <c r="AO82" i="34"/>
  <c r="AN82" i="34"/>
  <c r="AM82" i="34"/>
  <c r="AL82" i="34"/>
  <c r="AK82" i="34"/>
  <c r="AJ82" i="34"/>
  <c r="AI82" i="34"/>
  <c r="AH82" i="34"/>
  <c r="AG82" i="34"/>
  <c r="AF82" i="34"/>
  <c r="AD82" i="34"/>
  <c r="AC82" i="34"/>
  <c r="AB82" i="34"/>
  <c r="Z82" i="34"/>
  <c r="Y82" i="34"/>
  <c r="X82" i="34"/>
  <c r="W82" i="34"/>
  <c r="V82" i="34"/>
  <c r="U82" i="34"/>
  <c r="T82" i="34"/>
  <c r="S82" i="34"/>
  <c r="R82" i="34"/>
  <c r="Q82" i="34"/>
  <c r="P82" i="34"/>
  <c r="O82" i="34"/>
  <c r="N82" i="34"/>
  <c r="M82" i="34"/>
  <c r="L82" i="34"/>
  <c r="K82" i="34"/>
  <c r="I82" i="34"/>
  <c r="H82" i="34"/>
  <c r="G82" i="34"/>
  <c r="AQ81" i="34"/>
  <c r="AP81" i="34"/>
  <c r="AO81" i="34"/>
  <c r="AN81" i="34"/>
  <c r="AM81" i="34"/>
  <c r="AL81" i="34"/>
  <c r="AK81" i="34"/>
  <c r="AJ81" i="34"/>
  <c r="AI81" i="34"/>
  <c r="AH81" i="34"/>
  <c r="AG81" i="34"/>
  <c r="AF81" i="34"/>
  <c r="AD81" i="34"/>
  <c r="AC81" i="34"/>
  <c r="AB81" i="34"/>
  <c r="Z81" i="34"/>
  <c r="Y81" i="34"/>
  <c r="X81" i="34"/>
  <c r="W81" i="34"/>
  <c r="V81" i="34"/>
  <c r="U81" i="34"/>
  <c r="T81" i="34"/>
  <c r="S81" i="34"/>
  <c r="R81" i="34"/>
  <c r="Q81" i="34"/>
  <c r="P81" i="34"/>
  <c r="O81" i="34"/>
  <c r="N81" i="34"/>
  <c r="M81" i="34"/>
  <c r="L81" i="34"/>
  <c r="K81" i="34"/>
  <c r="I81" i="34"/>
  <c r="H81" i="34"/>
  <c r="G81" i="34"/>
  <c r="AQ80" i="34"/>
  <c r="AP80" i="34"/>
  <c r="AO80" i="34"/>
  <c r="AN80" i="34"/>
  <c r="AM80" i="34"/>
  <c r="AL80" i="34"/>
  <c r="AK80" i="34"/>
  <c r="AJ80" i="34"/>
  <c r="AI80" i="34"/>
  <c r="AH80" i="34"/>
  <c r="AG80" i="34"/>
  <c r="AF80" i="34"/>
  <c r="AD80" i="34"/>
  <c r="AC80" i="34"/>
  <c r="AB80" i="34"/>
  <c r="Z80" i="34"/>
  <c r="Y80" i="34"/>
  <c r="X80" i="34"/>
  <c r="W80" i="34"/>
  <c r="V80" i="34"/>
  <c r="U80" i="34"/>
  <c r="T80" i="34"/>
  <c r="S80" i="34"/>
  <c r="R80" i="34"/>
  <c r="Q80" i="34"/>
  <c r="P80" i="34"/>
  <c r="O80" i="34"/>
  <c r="N80" i="34"/>
  <c r="M80" i="34"/>
  <c r="L80" i="34"/>
  <c r="K80" i="34"/>
  <c r="I80" i="34"/>
  <c r="H80" i="34"/>
  <c r="G80" i="34"/>
  <c r="AQ79" i="34"/>
  <c r="AP79" i="34"/>
  <c r="AO79" i="34"/>
  <c r="AN79" i="34"/>
  <c r="AM79" i="34"/>
  <c r="AL79" i="34"/>
  <c r="AK79" i="34"/>
  <c r="AJ79" i="34"/>
  <c r="AI79" i="34"/>
  <c r="AH79" i="34"/>
  <c r="AG79" i="34"/>
  <c r="AF79" i="34"/>
  <c r="AD79" i="34"/>
  <c r="AC79" i="34"/>
  <c r="AB79" i="34"/>
  <c r="Z79" i="34"/>
  <c r="Y79" i="34"/>
  <c r="X79" i="34"/>
  <c r="W79" i="34"/>
  <c r="V79" i="34"/>
  <c r="U79" i="34"/>
  <c r="T79" i="34"/>
  <c r="S79" i="34"/>
  <c r="R79" i="34"/>
  <c r="Q79" i="34"/>
  <c r="P79" i="34"/>
  <c r="O79" i="34"/>
  <c r="N79" i="34"/>
  <c r="M79" i="34"/>
  <c r="L79" i="34"/>
  <c r="K79" i="34"/>
  <c r="I79" i="34"/>
  <c r="H79" i="34"/>
  <c r="G79" i="34"/>
  <c r="AQ78" i="34"/>
  <c r="AP78" i="34"/>
  <c r="AO78" i="34"/>
  <c r="AN78" i="34"/>
  <c r="AM78" i="34"/>
  <c r="AL78" i="34"/>
  <c r="AK78" i="34"/>
  <c r="AJ78" i="34"/>
  <c r="AI78" i="34"/>
  <c r="AH78" i="34"/>
  <c r="AG78" i="34"/>
  <c r="AF78" i="34"/>
  <c r="AD78" i="34"/>
  <c r="AC78" i="34"/>
  <c r="AB78" i="34"/>
  <c r="Z78" i="34"/>
  <c r="Y78" i="34"/>
  <c r="X78" i="34"/>
  <c r="W78" i="34"/>
  <c r="V78" i="34"/>
  <c r="U78" i="34"/>
  <c r="T78" i="34"/>
  <c r="S78" i="34"/>
  <c r="R78" i="34"/>
  <c r="Q78" i="34"/>
  <c r="P78" i="34"/>
  <c r="O78" i="34"/>
  <c r="N78" i="34"/>
  <c r="M78" i="34"/>
  <c r="L78" i="34"/>
  <c r="K78" i="34"/>
  <c r="I78" i="34"/>
  <c r="H78" i="34"/>
  <c r="G78" i="34"/>
  <c r="AQ77" i="34"/>
  <c r="AP77" i="34"/>
  <c r="AO77" i="34"/>
  <c r="AN77" i="34"/>
  <c r="AM77" i="34"/>
  <c r="AL77" i="34"/>
  <c r="AK77" i="34"/>
  <c r="AJ77" i="34"/>
  <c r="AI77" i="34"/>
  <c r="AH77" i="34"/>
  <c r="AG77" i="34"/>
  <c r="AF77" i="34"/>
  <c r="AD77" i="34"/>
  <c r="AC77" i="34"/>
  <c r="AB77" i="34"/>
  <c r="Z77" i="34"/>
  <c r="Y77" i="34"/>
  <c r="X77" i="34"/>
  <c r="W77" i="34"/>
  <c r="V77" i="34"/>
  <c r="U77" i="34"/>
  <c r="T77" i="34"/>
  <c r="S77" i="34"/>
  <c r="R77" i="34"/>
  <c r="Q77" i="34"/>
  <c r="P77" i="34"/>
  <c r="O77" i="34"/>
  <c r="N77" i="34"/>
  <c r="M77" i="34"/>
  <c r="L77" i="34"/>
  <c r="K77" i="34"/>
  <c r="I77" i="34"/>
  <c r="H77" i="34"/>
  <c r="G77" i="34"/>
  <c r="AQ76" i="34"/>
  <c r="AP76" i="34"/>
  <c r="AO76" i="34"/>
  <c r="AN76" i="34"/>
  <c r="AM76" i="34"/>
  <c r="AL76" i="34"/>
  <c r="AK76" i="34"/>
  <c r="AJ76" i="34"/>
  <c r="AI76" i="34"/>
  <c r="AH76" i="34"/>
  <c r="AG76" i="34"/>
  <c r="AF76" i="34"/>
  <c r="AD76" i="34"/>
  <c r="AC76" i="34"/>
  <c r="AB76" i="34"/>
  <c r="Z76" i="34"/>
  <c r="Y76" i="34"/>
  <c r="X76" i="34"/>
  <c r="W76" i="34"/>
  <c r="V76" i="34"/>
  <c r="U76" i="34"/>
  <c r="T76" i="34"/>
  <c r="S76" i="34"/>
  <c r="R76" i="34"/>
  <c r="Q76" i="34"/>
  <c r="P76" i="34"/>
  <c r="O76" i="34"/>
  <c r="N76" i="34"/>
  <c r="M76" i="34"/>
  <c r="L76" i="34"/>
  <c r="K76" i="34"/>
  <c r="I76" i="34"/>
  <c r="H76" i="34"/>
  <c r="G76" i="34"/>
  <c r="AQ75" i="34"/>
  <c r="AP75" i="34"/>
  <c r="AO75" i="34"/>
  <c r="AN75" i="34"/>
  <c r="AM75" i="34"/>
  <c r="AL75" i="34"/>
  <c r="AK75" i="34"/>
  <c r="AJ75" i="34"/>
  <c r="AI75" i="34"/>
  <c r="AH75" i="34"/>
  <c r="AG75" i="34"/>
  <c r="AF75" i="34"/>
  <c r="AD75" i="34"/>
  <c r="AC75" i="34"/>
  <c r="AB75" i="34"/>
  <c r="Z75" i="34"/>
  <c r="Y75" i="34"/>
  <c r="X75" i="34"/>
  <c r="W75" i="34"/>
  <c r="V75" i="34"/>
  <c r="U75" i="34"/>
  <c r="T75" i="34"/>
  <c r="S75" i="34"/>
  <c r="R75" i="34"/>
  <c r="Q75" i="34"/>
  <c r="P75" i="34"/>
  <c r="O75" i="34"/>
  <c r="N75" i="34"/>
  <c r="M75" i="34"/>
  <c r="L75" i="34"/>
  <c r="K75" i="34"/>
  <c r="I75" i="34"/>
  <c r="H75" i="34"/>
  <c r="G75" i="34"/>
  <c r="AQ74" i="34"/>
  <c r="AP74" i="34"/>
  <c r="AO74" i="34"/>
  <c r="AN74" i="34"/>
  <c r="AM74" i="34"/>
  <c r="AL74" i="34"/>
  <c r="AK74" i="34"/>
  <c r="AJ74" i="34"/>
  <c r="AI74" i="34"/>
  <c r="AH74" i="34"/>
  <c r="AG74" i="34"/>
  <c r="AF74" i="34"/>
  <c r="AD74" i="34"/>
  <c r="AC74" i="34"/>
  <c r="AB74" i="34"/>
  <c r="Z74" i="34"/>
  <c r="Y74" i="34"/>
  <c r="X74" i="34"/>
  <c r="W74" i="34"/>
  <c r="V74" i="34"/>
  <c r="U74" i="34"/>
  <c r="T74" i="34"/>
  <c r="S74" i="34"/>
  <c r="R74" i="34"/>
  <c r="Q74" i="34"/>
  <c r="P74" i="34"/>
  <c r="O74" i="34"/>
  <c r="N74" i="34"/>
  <c r="M74" i="34"/>
  <c r="L74" i="34"/>
  <c r="K74" i="34"/>
  <c r="I74" i="34"/>
  <c r="H74" i="34"/>
  <c r="G74" i="34"/>
  <c r="AQ73" i="34"/>
  <c r="AP73" i="34"/>
  <c r="AO73" i="34"/>
  <c r="AN73" i="34"/>
  <c r="AM73" i="34"/>
  <c r="AL73" i="34"/>
  <c r="AK73" i="34"/>
  <c r="AJ73" i="34"/>
  <c r="AI73" i="34"/>
  <c r="AH73" i="34"/>
  <c r="AG73" i="34"/>
  <c r="AF73" i="34"/>
  <c r="AD73" i="34"/>
  <c r="AC73" i="34"/>
  <c r="AB73" i="34"/>
  <c r="Z73" i="34"/>
  <c r="Y73" i="34"/>
  <c r="X73" i="34"/>
  <c r="W73" i="34"/>
  <c r="V73" i="34"/>
  <c r="U73" i="34"/>
  <c r="T73" i="34"/>
  <c r="S73" i="34"/>
  <c r="R73" i="34"/>
  <c r="Q73" i="34"/>
  <c r="P73" i="34"/>
  <c r="O73" i="34"/>
  <c r="N73" i="34"/>
  <c r="M73" i="34"/>
  <c r="L73" i="34"/>
  <c r="K73" i="34"/>
  <c r="I73" i="34"/>
  <c r="H73" i="34"/>
  <c r="G73" i="34"/>
  <c r="AQ72" i="34"/>
  <c r="AP72" i="34"/>
  <c r="AO72" i="34"/>
  <c r="AN72" i="34"/>
  <c r="AM72" i="34"/>
  <c r="AL72" i="34"/>
  <c r="AK72" i="34"/>
  <c r="AJ72" i="34"/>
  <c r="AI72" i="34"/>
  <c r="AH72" i="34"/>
  <c r="AG72" i="34"/>
  <c r="AF72" i="34"/>
  <c r="AD72" i="34"/>
  <c r="AC72" i="34"/>
  <c r="AB72" i="34"/>
  <c r="Z72" i="34"/>
  <c r="Y72" i="34"/>
  <c r="X72" i="34"/>
  <c r="W72" i="34"/>
  <c r="V72" i="34"/>
  <c r="U72" i="34"/>
  <c r="T72" i="34"/>
  <c r="S72" i="34"/>
  <c r="R72" i="34"/>
  <c r="Q72" i="34"/>
  <c r="P72" i="34"/>
  <c r="O72" i="34"/>
  <c r="N72" i="34"/>
  <c r="M72" i="34"/>
  <c r="L72" i="34"/>
  <c r="K72" i="34"/>
  <c r="I72" i="34"/>
  <c r="H72" i="34"/>
  <c r="G72" i="34"/>
  <c r="AQ71" i="34"/>
  <c r="AP71" i="34"/>
  <c r="AO71" i="34"/>
  <c r="AN71" i="34"/>
  <c r="AM71" i="34"/>
  <c r="AL71" i="34"/>
  <c r="AK71" i="34"/>
  <c r="AJ71" i="34"/>
  <c r="AI71" i="34"/>
  <c r="AH71" i="34"/>
  <c r="AG71" i="34"/>
  <c r="AF71" i="34"/>
  <c r="AD71" i="34"/>
  <c r="AC71" i="34"/>
  <c r="AB71" i="34"/>
  <c r="Z71" i="34"/>
  <c r="Y71" i="34"/>
  <c r="X71" i="34"/>
  <c r="W71" i="34"/>
  <c r="V71" i="34"/>
  <c r="U71" i="34"/>
  <c r="T71" i="34"/>
  <c r="S71" i="34"/>
  <c r="R71" i="34"/>
  <c r="Q71" i="34"/>
  <c r="P71" i="34"/>
  <c r="O71" i="34"/>
  <c r="N71" i="34"/>
  <c r="M71" i="34"/>
  <c r="L71" i="34"/>
  <c r="K71" i="34"/>
  <c r="I71" i="34"/>
  <c r="H71" i="34"/>
  <c r="G71" i="34"/>
  <c r="AQ70" i="34"/>
  <c r="AP70" i="34"/>
  <c r="AO70" i="34"/>
  <c r="AN70" i="34"/>
  <c r="AM70" i="34"/>
  <c r="AL70" i="34"/>
  <c r="AK70" i="34"/>
  <c r="AJ70" i="34"/>
  <c r="AI70" i="34"/>
  <c r="AH70" i="34"/>
  <c r="AG70" i="34"/>
  <c r="AF70" i="34"/>
  <c r="AD70" i="34"/>
  <c r="AC70" i="34"/>
  <c r="AB70" i="34"/>
  <c r="Z70" i="34"/>
  <c r="Y70" i="34"/>
  <c r="X70" i="34"/>
  <c r="W70" i="34"/>
  <c r="V70" i="34"/>
  <c r="U70" i="34"/>
  <c r="T70" i="34"/>
  <c r="S70" i="34"/>
  <c r="R70" i="34"/>
  <c r="Q70" i="34"/>
  <c r="P70" i="34"/>
  <c r="O70" i="34"/>
  <c r="N70" i="34"/>
  <c r="M70" i="34"/>
  <c r="L70" i="34"/>
  <c r="K70" i="34"/>
  <c r="I70" i="34"/>
  <c r="H70" i="34"/>
  <c r="G70" i="34"/>
  <c r="AQ69" i="34"/>
  <c r="AP69" i="34"/>
  <c r="AO69" i="34"/>
  <c r="AN69" i="34"/>
  <c r="AM69" i="34"/>
  <c r="AL69" i="34"/>
  <c r="AK69" i="34"/>
  <c r="AJ69" i="34"/>
  <c r="AI69" i="34"/>
  <c r="AH69" i="34"/>
  <c r="AG69" i="34"/>
  <c r="AF69" i="34"/>
  <c r="AD69" i="34"/>
  <c r="AC69" i="34"/>
  <c r="AB69" i="34"/>
  <c r="Z69" i="34"/>
  <c r="Y69" i="34"/>
  <c r="X69" i="34"/>
  <c r="W69" i="34"/>
  <c r="V69" i="34"/>
  <c r="U69" i="34"/>
  <c r="T69" i="34"/>
  <c r="S69" i="34"/>
  <c r="R69" i="34"/>
  <c r="Q69" i="34"/>
  <c r="P69" i="34"/>
  <c r="O69" i="34"/>
  <c r="N69" i="34"/>
  <c r="M69" i="34"/>
  <c r="L69" i="34"/>
  <c r="K69" i="34"/>
  <c r="I69" i="34"/>
  <c r="H69" i="34"/>
  <c r="G69" i="34"/>
  <c r="AQ68" i="34"/>
  <c r="AP68" i="34"/>
  <c r="AO68" i="34"/>
  <c r="AN68" i="34"/>
  <c r="AM68" i="34"/>
  <c r="AL68" i="34"/>
  <c r="AK68" i="34"/>
  <c r="AJ68" i="34"/>
  <c r="AI68" i="34"/>
  <c r="AH68" i="34"/>
  <c r="AG68" i="34"/>
  <c r="AF68" i="34"/>
  <c r="AD68" i="34"/>
  <c r="AC68" i="34"/>
  <c r="AB68" i="34"/>
  <c r="Z68" i="34"/>
  <c r="Y68" i="34"/>
  <c r="X68" i="34"/>
  <c r="W68" i="34"/>
  <c r="V68" i="34"/>
  <c r="U68" i="34"/>
  <c r="T68" i="34"/>
  <c r="S68" i="34"/>
  <c r="R68" i="34"/>
  <c r="Q68" i="34"/>
  <c r="P68" i="34"/>
  <c r="O68" i="34"/>
  <c r="N68" i="34"/>
  <c r="M68" i="34"/>
  <c r="L68" i="34"/>
  <c r="K68" i="34"/>
  <c r="I68" i="34"/>
  <c r="H68" i="34"/>
  <c r="G68" i="34"/>
  <c r="AQ67" i="34"/>
  <c r="AP67" i="34"/>
  <c r="AO67" i="34"/>
  <c r="AN67" i="34"/>
  <c r="AM67" i="34"/>
  <c r="AL67" i="34"/>
  <c r="AK67" i="34"/>
  <c r="AJ67" i="34"/>
  <c r="AI67" i="34"/>
  <c r="AH67" i="34"/>
  <c r="AG67" i="34"/>
  <c r="AF67" i="34"/>
  <c r="AD67" i="34"/>
  <c r="AC67" i="34"/>
  <c r="AB67" i="34"/>
  <c r="Z67" i="34"/>
  <c r="Y67" i="34"/>
  <c r="X67" i="34"/>
  <c r="W67" i="34"/>
  <c r="V67" i="34"/>
  <c r="U67" i="34"/>
  <c r="T67" i="34"/>
  <c r="S67" i="34"/>
  <c r="R67" i="34"/>
  <c r="Q67" i="34"/>
  <c r="P67" i="34"/>
  <c r="O67" i="34"/>
  <c r="N67" i="34"/>
  <c r="M67" i="34"/>
  <c r="L67" i="34"/>
  <c r="K67" i="34"/>
  <c r="I67" i="34"/>
  <c r="H67" i="34"/>
  <c r="G67" i="34"/>
  <c r="AQ66" i="34"/>
  <c r="AP66" i="34"/>
  <c r="AO66" i="34"/>
  <c r="AN66" i="34"/>
  <c r="AM66" i="34"/>
  <c r="AL66" i="34"/>
  <c r="AK66" i="34"/>
  <c r="AJ66" i="34"/>
  <c r="AI66" i="34"/>
  <c r="AH66" i="34"/>
  <c r="AG66" i="34"/>
  <c r="AF66" i="34"/>
  <c r="AD66" i="34"/>
  <c r="AC66" i="34"/>
  <c r="AB66" i="34"/>
  <c r="Z66" i="34"/>
  <c r="Y66" i="34"/>
  <c r="X66" i="34"/>
  <c r="W66" i="34"/>
  <c r="V66" i="34"/>
  <c r="U66" i="34"/>
  <c r="T66" i="34"/>
  <c r="S66" i="34"/>
  <c r="R66" i="34"/>
  <c r="Q66" i="34"/>
  <c r="P66" i="34"/>
  <c r="O66" i="34"/>
  <c r="N66" i="34"/>
  <c r="M66" i="34"/>
  <c r="L66" i="34"/>
  <c r="K66" i="34"/>
  <c r="I66" i="34"/>
  <c r="H66" i="34"/>
  <c r="G66" i="34"/>
  <c r="AQ65" i="34"/>
  <c r="AP65" i="34"/>
  <c r="AO65" i="34"/>
  <c r="AN65" i="34"/>
  <c r="AM65" i="34"/>
  <c r="AL65" i="34"/>
  <c r="AK65" i="34"/>
  <c r="AJ65" i="34"/>
  <c r="AI65" i="34"/>
  <c r="AH65" i="34"/>
  <c r="AG65" i="34"/>
  <c r="AF65" i="34"/>
  <c r="AD65" i="34"/>
  <c r="AC65" i="34"/>
  <c r="AB65" i="34"/>
  <c r="Z65" i="34"/>
  <c r="Y65" i="34"/>
  <c r="X65" i="34"/>
  <c r="W65" i="34"/>
  <c r="V65" i="34"/>
  <c r="U65" i="34"/>
  <c r="T65" i="34"/>
  <c r="S65" i="34"/>
  <c r="R65" i="34"/>
  <c r="Q65" i="34"/>
  <c r="P65" i="34"/>
  <c r="O65" i="34"/>
  <c r="N65" i="34"/>
  <c r="M65" i="34"/>
  <c r="L65" i="34"/>
  <c r="K65" i="34"/>
  <c r="I65" i="34"/>
  <c r="H65" i="34"/>
  <c r="G65" i="34"/>
  <c r="AQ64" i="34"/>
  <c r="AP64" i="34"/>
  <c r="AO64" i="34"/>
  <c r="AN64" i="34"/>
  <c r="AM64" i="34"/>
  <c r="AL64" i="34"/>
  <c r="AK64" i="34"/>
  <c r="AJ64" i="34"/>
  <c r="AI64" i="34"/>
  <c r="AH64" i="34"/>
  <c r="AG64" i="34"/>
  <c r="AF64" i="34"/>
  <c r="AD64" i="34"/>
  <c r="AC64" i="34"/>
  <c r="AB64" i="34"/>
  <c r="Z64" i="34"/>
  <c r="Y64" i="34"/>
  <c r="X64" i="34"/>
  <c r="W64" i="34"/>
  <c r="V64" i="34"/>
  <c r="U64" i="34"/>
  <c r="T64" i="34"/>
  <c r="S64" i="34"/>
  <c r="R64" i="34"/>
  <c r="Q64" i="34"/>
  <c r="P64" i="34"/>
  <c r="O64" i="34"/>
  <c r="N64" i="34"/>
  <c r="M64" i="34"/>
  <c r="L64" i="34"/>
  <c r="K64" i="34"/>
  <c r="I64" i="34"/>
  <c r="H64" i="34"/>
  <c r="G64" i="34"/>
  <c r="AQ63" i="34"/>
  <c r="AP63" i="34"/>
  <c r="AO63" i="34"/>
  <c r="AN63" i="34"/>
  <c r="AM63" i="34"/>
  <c r="AL63" i="34"/>
  <c r="AK63" i="34"/>
  <c r="AJ63" i="34"/>
  <c r="AI63" i="34"/>
  <c r="AH63" i="34"/>
  <c r="AG63" i="34"/>
  <c r="AF63" i="34"/>
  <c r="AD63" i="34"/>
  <c r="AC63" i="34"/>
  <c r="AB63" i="34"/>
  <c r="Z63" i="34"/>
  <c r="Y63" i="34"/>
  <c r="X63" i="34"/>
  <c r="W63" i="34"/>
  <c r="V63" i="34"/>
  <c r="U63" i="34"/>
  <c r="T63" i="34"/>
  <c r="S63" i="34"/>
  <c r="R63" i="34"/>
  <c r="Q63" i="34"/>
  <c r="P63" i="34"/>
  <c r="O63" i="34"/>
  <c r="N63" i="34"/>
  <c r="M63" i="34"/>
  <c r="L63" i="34"/>
  <c r="K63" i="34"/>
  <c r="I63" i="34"/>
  <c r="H63" i="34"/>
  <c r="G63" i="34"/>
  <c r="AQ62" i="34"/>
  <c r="AP62" i="34"/>
  <c r="AO62" i="34"/>
  <c r="AN62" i="34"/>
  <c r="AM62" i="34"/>
  <c r="AL62" i="34"/>
  <c r="AK62" i="34"/>
  <c r="AJ62" i="34"/>
  <c r="AI62" i="34"/>
  <c r="AH62" i="34"/>
  <c r="AG62" i="34"/>
  <c r="AF62" i="34"/>
  <c r="AD62" i="34"/>
  <c r="AC62" i="34"/>
  <c r="AB62" i="34"/>
  <c r="Z62" i="34"/>
  <c r="Y62" i="34"/>
  <c r="X62" i="34"/>
  <c r="W62" i="34"/>
  <c r="V62" i="34"/>
  <c r="U62" i="34"/>
  <c r="T62" i="34"/>
  <c r="S62" i="34"/>
  <c r="R62" i="34"/>
  <c r="Q62" i="34"/>
  <c r="P62" i="34"/>
  <c r="O62" i="34"/>
  <c r="N62" i="34"/>
  <c r="M62" i="34"/>
  <c r="L62" i="34"/>
  <c r="K62" i="34"/>
  <c r="I62" i="34"/>
  <c r="H62" i="34"/>
  <c r="G62" i="34"/>
  <c r="AQ61" i="34"/>
  <c r="AP61" i="34"/>
  <c r="AO61" i="34"/>
  <c r="AN61" i="34"/>
  <c r="AM61" i="34"/>
  <c r="AL61" i="34"/>
  <c r="AK61" i="34"/>
  <c r="AJ61" i="34"/>
  <c r="AI61" i="34"/>
  <c r="AH61" i="34"/>
  <c r="AG61" i="34"/>
  <c r="AF61" i="34"/>
  <c r="AD61" i="34"/>
  <c r="AC61" i="34"/>
  <c r="AB61" i="34"/>
  <c r="Z61" i="34"/>
  <c r="Y61" i="34"/>
  <c r="X61" i="34"/>
  <c r="W61" i="34"/>
  <c r="V61" i="34"/>
  <c r="U61" i="34"/>
  <c r="T61" i="34"/>
  <c r="S61" i="34"/>
  <c r="R61" i="34"/>
  <c r="Q61" i="34"/>
  <c r="P61" i="34"/>
  <c r="O61" i="34"/>
  <c r="N61" i="34"/>
  <c r="M61" i="34"/>
  <c r="L61" i="34"/>
  <c r="K61" i="34"/>
  <c r="I61" i="34"/>
  <c r="H61" i="34"/>
  <c r="G61" i="34"/>
  <c r="AQ60" i="34"/>
  <c r="AP60" i="34"/>
  <c r="AO60" i="34"/>
  <c r="AN60" i="34"/>
  <c r="AM60" i="34"/>
  <c r="AL60" i="34"/>
  <c r="AK60" i="34"/>
  <c r="AJ60" i="34"/>
  <c r="AI60" i="34"/>
  <c r="AH60" i="34"/>
  <c r="AG60" i="34"/>
  <c r="AF60" i="34"/>
  <c r="AD60" i="34"/>
  <c r="AC60" i="34"/>
  <c r="AB60" i="34"/>
  <c r="Z60" i="34"/>
  <c r="Y60" i="34"/>
  <c r="X60" i="34"/>
  <c r="W60" i="34"/>
  <c r="V60" i="34"/>
  <c r="U60" i="34"/>
  <c r="T60" i="34"/>
  <c r="S60" i="34"/>
  <c r="R60" i="34"/>
  <c r="Q60" i="34"/>
  <c r="P60" i="34"/>
  <c r="O60" i="34"/>
  <c r="N60" i="34"/>
  <c r="M60" i="34"/>
  <c r="L60" i="34"/>
  <c r="K60" i="34"/>
  <c r="I60" i="34"/>
  <c r="H60" i="34"/>
  <c r="G60" i="34"/>
  <c r="AQ59" i="34"/>
  <c r="AP59" i="34"/>
  <c r="AO59" i="34"/>
  <c r="AN59" i="34"/>
  <c r="AM59" i="34"/>
  <c r="AL59" i="34"/>
  <c r="AK59" i="34"/>
  <c r="AJ59" i="34"/>
  <c r="AI59" i="34"/>
  <c r="AH59" i="34"/>
  <c r="AG59" i="34"/>
  <c r="AF59" i="34"/>
  <c r="AD59" i="34"/>
  <c r="AC59" i="34"/>
  <c r="AB59" i="34"/>
  <c r="Z59" i="34"/>
  <c r="Y59" i="34"/>
  <c r="X59" i="34"/>
  <c r="W59" i="34"/>
  <c r="V59" i="34"/>
  <c r="U59" i="34"/>
  <c r="T59" i="34"/>
  <c r="S59" i="34"/>
  <c r="R59" i="34"/>
  <c r="Q59" i="34"/>
  <c r="P59" i="34"/>
  <c r="O59" i="34"/>
  <c r="N59" i="34"/>
  <c r="M59" i="34"/>
  <c r="L59" i="34"/>
  <c r="K59" i="34"/>
  <c r="I59" i="34"/>
  <c r="H59" i="34"/>
  <c r="G59" i="34"/>
  <c r="AQ58" i="34"/>
  <c r="AP58" i="34"/>
  <c r="AO58" i="34"/>
  <c r="AN58" i="34"/>
  <c r="AM58" i="34"/>
  <c r="AL58" i="34"/>
  <c r="AK58" i="34"/>
  <c r="AJ58" i="34"/>
  <c r="AI58" i="34"/>
  <c r="AH58" i="34"/>
  <c r="AG58" i="34"/>
  <c r="AF58" i="34"/>
  <c r="AD58" i="34"/>
  <c r="AC58" i="34"/>
  <c r="AB58" i="34"/>
  <c r="Z58" i="34"/>
  <c r="Y58" i="34"/>
  <c r="X58" i="34"/>
  <c r="W58" i="34"/>
  <c r="V58" i="34"/>
  <c r="U58" i="34"/>
  <c r="T58" i="34"/>
  <c r="S58" i="34"/>
  <c r="R58" i="34"/>
  <c r="Q58" i="34"/>
  <c r="P58" i="34"/>
  <c r="O58" i="34"/>
  <c r="N58" i="34"/>
  <c r="M58" i="34"/>
  <c r="L58" i="34"/>
  <c r="K58" i="34"/>
  <c r="I58" i="34"/>
  <c r="H58" i="34"/>
  <c r="G58" i="34"/>
  <c r="AQ57" i="34"/>
  <c r="AP57" i="34"/>
  <c r="AO57" i="34"/>
  <c r="AN57" i="34"/>
  <c r="AM57" i="34"/>
  <c r="AL57" i="34"/>
  <c r="AK57" i="34"/>
  <c r="AJ57" i="34"/>
  <c r="AI57" i="34"/>
  <c r="AH57" i="34"/>
  <c r="AG57" i="34"/>
  <c r="AF57" i="34"/>
  <c r="AD57" i="34"/>
  <c r="AC57" i="34"/>
  <c r="AB57" i="34"/>
  <c r="Z57" i="34"/>
  <c r="Y57" i="34"/>
  <c r="X57" i="34"/>
  <c r="W57" i="34"/>
  <c r="V57" i="34"/>
  <c r="U57" i="34"/>
  <c r="T57" i="34"/>
  <c r="S57" i="34"/>
  <c r="R57" i="34"/>
  <c r="Q57" i="34"/>
  <c r="P57" i="34"/>
  <c r="O57" i="34"/>
  <c r="N57" i="34"/>
  <c r="M57" i="34"/>
  <c r="L57" i="34"/>
  <c r="K57" i="34"/>
  <c r="I57" i="34"/>
  <c r="H57" i="34"/>
  <c r="G57" i="34"/>
  <c r="AQ56" i="34"/>
  <c r="AP56" i="34"/>
  <c r="AO56" i="34"/>
  <c r="AN56" i="34"/>
  <c r="AM56" i="34"/>
  <c r="AL56" i="34"/>
  <c r="AK56" i="34"/>
  <c r="AJ56" i="34"/>
  <c r="AI56" i="34"/>
  <c r="AH56" i="34"/>
  <c r="AG56" i="34"/>
  <c r="AF56" i="34"/>
  <c r="AD56" i="34"/>
  <c r="AC56" i="34"/>
  <c r="AB56" i="34"/>
  <c r="Z56" i="34"/>
  <c r="Y56" i="34"/>
  <c r="X56" i="34"/>
  <c r="W56" i="34"/>
  <c r="V56" i="34"/>
  <c r="U56" i="34"/>
  <c r="T56" i="34"/>
  <c r="S56" i="34"/>
  <c r="R56" i="34"/>
  <c r="Q56" i="34"/>
  <c r="P56" i="34"/>
  <c r="O56" i="34"/>
  <c r="N56" i="34"/>
  <c r="M56" i="34"/>
  <c r="L56" i="34"/>
  <c r="K56" i="34"/>
  <c r="I56" i="34"/>
  <c r="H56" i="34"/>
  <c r="G56" i="34"/>
  <c r="AQ55" i="34"/>
  <c r="AP55" i="34"/>
  <c r="AO55" i="34"/>
  <c r="AN55" i="34"/>
  <c r="AM55" i="34"/>
  <c r="AL55" i="34"/>
  <c r="AK55" i="34"/>
  <c r="AJ55" i="34"/>
  <c r="AI55" i="34"/>
  <c r="AH55" i="34"/>
  <c r="AG55" i="34"/>
  <c r="AF55" i="34"/>
  <c r="AD55" i="34"/>
  <c r="AC55" i="34"/>
  <c r="AB55" i="34"/>
  <c r="Z55" i="34"/>
  <c r="Y55" i="34"/>
  <c r="X55" i="34"/>
  <c r="W55" i="34"/>
  <c r="V55" i="34"/>
  <c r="U55" i="34"/>
  <c r="T55" i="34"/>
  <c r="S55" i="34"/>
  <c r="R55" i="34"/>
  <c r="Q55" i="34"/>
  <c r="P55" i="34"/>
  <c r="O55" i="34"/>
  <c r="N55" i="34"/>
  <c r="M55" i="34"/>
  <c r="L55" i="34"/>
  <c r="K55" i="34"/>
  <c r="I55" i="34"/>
  <c r="H55" i="34"/>
  <c r="G55" i="34"/>
  <c r="AQ54" i="34"/>
  <c r="AP54" i="34"/>
  <c r="AO54" i="34"/>
  <c r="AN54" i="34"/>
  <c r="AM54" i="34"/>
  <c r="AL54" i="34"/>
  <c r="AK54" i="34"/>
  <c r="AJ54" i="34"/>
  <c r="AI54" i="34"/>
  <c r="AH54" i="34"/>
  <c r="AG54" i="34"/>
  <c r="AF54" i="34"/>
  <c r="AD54" i="34"/>
  <c r="AC54" i="34"/>
  <c r="AB54" i="34"/>
  <c r="Z54" i="34"/>
  <c r="Y54" i="34"/>
  <c r="X54" i="34"/>
  <c r="W54" i="34"/>
  <c r="V54" i="34"/>
  <c r="U54" i="34"/>
  <c r="T54" i="34"/>
  <c r="S54" i="34"/>
  <c r="R54" i="34"/>
  <c r="Q54" i="34"/>
  <c r="P54" i="34"/>
  <c r="O54" i="34"/>
  <c r="N54" i="34"/>
  <c r="M54" i="34"/>
  <c r="L54" i="34"/>
  <c r="K54" i="34"/>
  <c r="I54" i="34"/>
  <c r="H54" i="34"/>
  <c r="G54" i="34"/>
  <c r="AQ53" i="34"/>
  <c r="AP53" i="34"/>
  <c r="AO53" i="34"/>
  <c r="AN53" i="34"/>
  <c r="AM53" i="34"/>
  <c r="AL53" i="34"/>
  <c r="AK53" i="34"/>
  <c r="AJ53" i="34"/>
  <c r="AI53" i="34"/>
  <c r="AH53" i="34"/>
  <c r="AG53" i="34"/>
  <c r="AF53" i="34"/>
  <c r="AD53" i="34"/>
  <c r="AC53" i="34"/>
  <c r="AB53" i="34"/>
  <c r="Z53" i="34"/>
  <c r="Y53" i="34"/>
  <c r="X53" i="34"/>
  <c r="W53" i="34"/>
  <c r="V53" i="34"/>
  <c r="U53" i="34"/>
  <c r="T53" i="34"/>
  <c r="S53" i="34"/>
  <c r="R53" i="34"/>
  <c r="Q53" i="34"/>
  <c r="P53" i="34"/>
  <c r="O53" i="34"/>
  <c r="N53" i="34"/>
  <c r="M53" i="34"/>
  <c r="L53" i="34"/>
  <c r="K53" i="34"/>
  <c r="I53" i="34"/>
  <c r="H53" i="34"/>
  <c r="G53" i="34"/>
  <c r="AQ52" i="34"/>
  <c r="AP52" i="34"/>
  <c r="AO52" i="34"/>
  <c r="AN52" i="34"/>
  <c r="AM52" i="34"/>
  <c r="AL52" i="34"/>
  <c r="AK52" i="34"/>
  <c r="AJ52" i="34"/>
  <c r="AI52" i="34"/>
  <c r="AH52" i="34"/>
  <c r="AG52" i="34"/>
  <c r="AF52" i="34"/>
  <c r="AD52" i="34"/>
  <c r="AC52" i="34"/>
  <c r="AB52" i="34"/>
  <c r="Z52" i="34"/>
  <c r="Y52" i="34"/>
  <c r="X52" i="34"/>
  <c r="W52" i="34"/>
  <c r="V52" i="34"/>
  <c r="U52" i="34"/>
  <c r="T52" i="34"/>
  <c r="S52" i="34"/>
  <c r="R52" i="34"/>
  <c r="Q52" i="34"/>
  <c r="P52" i="34"/>
  <c r="O52" i="34"/>
  <c r="N52" i="34"/>
  <c r="M52" i="34"/>
  <c r="L52" i="34"/>
  <c r="K52" i="34"/>
  <c r="I52" i="34"/>
  <c r="H52" i="34"/>
  <c r="G52" i="34"/>
  <c r="AQ51" i="34"/>
  <c r="AP51" i="34"/>
  <c r="AO51" i="34"/>
  <c r="AN51" i="34"/>
  <c r="AM51" i="34"/>
  <c r="AL51" i="34"/>
  <c r="AK51" i="34"/>
  <c r="AJ51" i="34"/>
  <c r="AI51" i="34"/>
  <c r="AH51" i="34"/>
  <c r="AG51" i="34"/>
  <c r="AF51" i="34"/>
  <c r="AD51" i="34"/>
  <c r="AC51" i="34"/>
  <c r="AB51" i="34"/>
  <c r="Z51" i="34"/>
  <c r="Y51" i="34"/>
  <c r="X51" i="34"/>
  <c r="W51" i="34"/>
  <c r="V51" i="34"/>
  <c r="U51" i="34"/>
  <c r="T51" i="34"/>
  <c r="S51" i="34"/>
  <c r="R51" i="34"/>
  <c r="Q51" i="34"/>
  <c r="P51" i="34"/>
  <c r="O51" i="34"/>
  <c r="N51" i="34"/>
  <c r="M51" i="34"/>
  <c r="L51" i="34"/>
  <c r="K51" i="34"/>
  <c r="I51" i="34"/>
  <c r="H51" i="34"/>
  <c r="G51" i="34"/>
  <c r="AQ50" i="34"/>
  <c r="AP50" i="34"/>
  <c r="AO50" i="34"/>
  <c r="AN50" i="34"/>
  <c r="AM50" i="34"/>
  <c r="AL50" i="34"/>
  <c r="AK50" i="34"/>
  <c r="AJ50" i="34"/>
  <c r="AI50" i="34"/>
  <c r="AH50" i="34"/>
  <c r="AG50" i="34"/>
  <c r="AF50" i="34"/>
  <c r="AD50" i="34"/>
  <c r="AC50" i="34"/>
  <c r="AB50" i="34"/>
  <c r="Z50" i="34"/>
  <c r="Y50" i="34"/>
  <c r="X50" i="34"/>
  <c r="W50" i="34"/>
  <c r="V50" i="34"/>
  <c r="U50" i="34"/>
  <c r="T50" i="34"/>
  <c r="S50" i="34"/>
  <c r="R50" i="34"/>
  <c r="Q50" i="34"/>
  <c r="P50" i="34"/>
  <c r="O50" i="34"/>
  <c r="N50" i="34"/>
  <c r="M50" i="34"/>
  <c r="L50" i="34"/>
  <c r="K50" i="34"/>
  <c r="I50" i="34"/>
  <c r="H50" i="34"/>
  <c r="G50" i="34"/>
  <c r="AQ49" i="34"/>
  <c r="AP49" i="34"/>
  <c r="AO49" i="34"/>
  <c r="AN49" i="34"/>
  <c r="AM49" i="34"/>
  <c r="AL49" i="34"/>
  <c r="AK49" i="34"/>
  <c r="AJ49" i="34"/>
  <c r="AI49" i="34"/>
  <c r="AH49" i="34"/>
  <c r="AG49" i="34"/>
  <c r="AF49" i="34"/>
  <c r="AD49" i="34"/>
  <c r="AC49" i="34"/>
  <c r="AB49" i="34"/>
  <c r="Z49" i="34"/>
  <c r="Y49" i="34"/>
  <c r="X49" i="34"/>
  <c r="W49" i="34"/>
  <c r="V49" i="34"/>
  <c r="U49" i="34"/>
  <c r="T49" i="34"/>
  <c r="S49" i="34"/>
  <c r="R49" i="34"/>
  <c r="Q49" i="34"/>
  <c r="P49" i="34"/>
  <c r="O49" i="34"/>
  <c r="N49" i="34"/>
  <c r="M49" i="34"/>
  <c r="L49" i="34"/>
  <c r="K49" i="34"/>
  <c r="I49" i="34"/>
  <c r="H49" i="34"/>
  <c r="G49" i="34"/>
  <c r="AQ48" i="34"/>
  <c r="AP48" i="34"/>
  <c r="AO48" i="34"/>
  <c r="AN48" i="34"/>
  <c r="AM48" i="34"/>
  <c r="AL48" i="34"/>
  <c r="AK48" i="34"/>
  <c r="AJ48" i="34"/>
  <c r="AI48" i="34"/>
  <c r="AH48" i="34"/>
  <c r="AG48" i="34"/>
  <c r="AF48" i="34"/>
  <c r="AD48" i="34"/>
  <c r="AC48" i="34"/>
  <c r="AB48" i="34"/>
  <c r="Z48" i="34"/>
  <c r="Y48" i="34"/>
  <c r="X48" i="34"/>
  <c r="W48" i="34"/>
  <c r="V48" i="34"/>
  <c r="U48" i="34"/>
  <c r="T48" i="34"/>
  <c r="S48" i="34"/>
  <c r="R48" i="34"/>
  <c r="Q48" i="34"/>
  <c r="P48" i="34"/>
  <c r="O48" i="34"/>
  <c r="N48" i="34"/>
  <c r="M48" i="34"/>
  <c r="L48" i="34"/>
  <c r="K48" i="34"/>
  <c r="I48" i="34"/>
  <c r="H48" i="34"/>
  <c r="G48" i="34"/>
  <c r="AQ47" i="34"/>
  <c r="AP47" i="34"/>
  <c r="AO47" i="34"/>
  <c r="AN47" i="34"/>
  <c r="AM47" i="34"/>
  <c r="AL47" i="34"/>
  <c r="AK47" i="34"/>
  <c r="AJ47" i="34"/>
  <c r="AI47" i="34"/>
  <c r="AH47" i="34"/>
  <c r="AG47" i="34"/>
  <c r="AF47" i="34"/>
  <c r="AD47" i="34"/>
  <c r="AC47" i="34"/>
  <c r="AB47" i="34"/>
  <c r="Z47" i="34"/>
  <c r="Y47" i="34"/>
  <c r="X47" i="34"/>
  <c r="W47" i="34"/>
  <c r="V47" i="34"/>
  <c r="U47" i="34"/>
  <c r="T47" i="34"/>
  <c r="S47" i="34"/>
  <c r="R47" i="34"/>
  <c r="Q47" i="34"/>
  <c r="P47" i="34"/>
  <c r="O47" i="34"/>
  <c r="N47" i="34"/>
  <c r="M47" i="34"/>
  <c r="L47" i="34"/>
  <c r="K47" i="34"/>
  <c r="I47" i="34"/>
  <c r="H47" i="34"/>
  <c r="G47" i="34"/>
  <c r="AQ46" i="34"/>
  <c r="AP46" i="34"/>
  <c r="AO46" i="34"/>
  <c r="AN46" i="34"/>
  <c r="AM46" i="34"/>
  <c r="AL46" i="34"/>
  <c r="AK46" i="34"/>
  <c r="AJ46" i="34"/>
  <c r="AI46" i="34"/>
  <c r="AH46" i="34"/>
  <c r="AG46" i="34"/>
  <c r="AF46" i="34"/>
  <c r="AD46" i="34"/>
  <c r="AC46" i="34"/>
  <c r="AB46" i="34"/>
  <c r="Z46" i="34"/>
  <c r="Y46" i="34"/>
  <c r="X46" i="34"/>
  <c r="W46" i="34"/>
  <c r="V46" i="34"/>
  <c r="U46" i="34"/>
  <c r="T46" i="34"/>
  <c r="S46" i="34"/>
  <c r="R46" i="34"/>
  <c r="Q46" i="34"/>
  <c r="P46" i="34"/>
  <c r="O46" i="34"/>
  <c r="N46" i="34"/>
  <c r="M46" i="34"/>
  <c r="L46" i="34"/>
  <c r="K46" i="34"/>
  <c r="I46" i="34"/>
  <c r="H46" i="34"/>
  <c r="G46" i="34"/>
  <c r="AQ45" i="34"/>
  <c r="AP45" i="34"/>
  <c r="AO45" i="34"/>
  <c r="AN45" i="34"/>
  <c r="AM45" i="34"/>
  <c r="AL45" i="34"/>
  <c r="AK45" i="34"/>
  <c r="AJ45" i="34"/>
  <c r="AI45" i="34"/>
  <c r="AH45" i="34"/>
  <c r="AG45" i="34"/>
  <c r="AF45" i="34"/>
  <c r="AD45" i="34"/>
  <c r="AC45" i="34"/>
  <c r="AB45" i="34"/>
  <c r="Z45" i="34"/>
  <c r="Y45" i="34"/>
  <c r="X45" i="34"/>
  <c r="W45" i="34"/>
  <c r="V45" i="34"/>
  <c r="U45" i="34"/>
  <c r="T45" i="34"/>
  <c r="S45" i="34"/>
  <c r="R45" i="34"/>
  <c r="Q45" i="34"/>
  <c r="P45" i="34"/>
  <c r="O45" i="34"/>
  <c r="N45" i="34"/>
  <c r="M45" i="34"/>
  <c r="L45" i="34"/>
  <c r="K45" i="34"/>
  <c r="I45" i="34"/>
  <c r="H45" i="34"/>
  <c r="G45" i="34"/>
  <c r="AQ44" i="34"/>
  <c r="AP44" i="34"/>
  <c r="AO44" i="34"/>
  <c r="AN44" i="34"/>
  <c r="AM44" i="34"/>
  <c r="AL44" i="34"/>
  <c r="AK44" i="34"/>
  <c r="AJ44" i="34"/>
  <c r="AI44" i="34"/>
  <c r="AH44" i="34"/>
  <c r="AG44" i="34"/>
  <c r="AF44" i="34"/>
  <c r="AD44" i="34"/>
  <c r="AC44" i="34"/>
  <c r="AB44" i="34"/>
  <c r="Z44" i="34"/>
  <c r="Y44" i="34"/>
  <c r="X44" i="34"/>
  <c r="W44" i="34"/>
  <c r="V44" i="34"/>
  <c r="U44" i="34"/>
  <c r="T44" i="34"/>
  <c r="S44" i="34"/>
  <c r="R44" i="34"/>
  <c r="Q44" i="34"/>
  <c r="P44" i="34"/>
  <c r="O44" i="34"/>
  <c r="N44" i="34"/>
  <c r="M44" i="34"/>
  <c r="L44" i="34"/>
  <c r="K44" i="34"/>
  <c r="I44" i="34"/>
  <c r="H44" i="34"/>
  <c r="G44" i="34"/>
  <c r="AQ43" i="34"/>
  <c r="AP43" i="34"/>
  <c r="AO43" i="34"/>
  <c r="AN43" i="34"/>
  <c r="AM43" i="34"/>
  <c r="AL43" i="34"/>
  <c r="AK43" i="34"/>
  <c r="AJ43" i="34"/>
  <c r="AI43" i="34"/>
  <c r="AH43" i="34"/>
  <c r="AG43" i="34"/>
  <c r="AF43" i="34"/>
  <c r="AD43" i="34"/>
  <c r="AC43" i="34"/>
  <c r="AB43" i="34"/>
  <c r="Z43" i="34"/>
  <c r="Y43" i="34"/>
  <c r="X43" i="34"/>
  <c r="W43" i="34"/>
  <c r="V43" i="34"/>
  <c r="U43" i="34"/>
  <c r="T43" i="34"/>
  <c r="S43" i="34"/>
  <c r="R43" i="34"/>
  <c r="Q43" i="34"/>
  <c r="P43" i="34"/>
  <c r="O43" i="34"/>
  <c r="N43" i="34"/>
  <c r="M43" i="34"/>
  <c r="L43" i="34"/>
  <c r="K43" i="34"/>
  <c r="I43" i="34"/>
  <c r="H43" i="34"/>
  <c r="G43" i="34"/>
  <c r="AQ42" i="34"/>
  <c r="AP42" i="34"/>
  <c r="AO42" i="34"/>
  <c r="AN42" i="34"/>
  <c r="AM42" i="34"/>
  <c r="AL42" i="34"/>
  <c r="AK42" i="34"/>
  <c r="AJ42" i="34"/>
  <c r="AI42" i="34"/>
  <c r="AH42" i="34"/>
  <c r="AG42" i="34"/>
  <c r="AF42" i="34"/>
  <c r="AD42" i="34"/>
  <c r="AC42" i="34"/>
  <c r="AB42" i="34"/>
  <c r="Z42" i="34"/>
  <c r="Y42" i="34"/>
  <c r="X42" i="34"/>
  <c r="W42" i="34"/>
  <c r="V42" i="34"/>
  <c r="U42" i="34"/>
  <c r="T42" i="34"/>
  <c r="S42" i="34"/>
  <c r="R42" i="34"/>
  <c r="Q42" i="34"/>
  <c r="P42" i="34"/>
  <c r="O42" i="34"/>
  <c r="N42" i="34"/>
  <c r="M42" i="34"/>
  <c r="L42" i="34"/>
  <c r="K42" i="34"/>
  <c r="I42" i="34"/>
  <c r="H42" i="34"/>
  <c r="G42" i="34"/>
  <c r="AQ41" i="34"/>
  <c r="AP41" i="34"/>
  <c r="AO41" i="34"/>
  <c r="AN41" i="34"/>
  <c r="AM41" i="34"/>
  <c r="AL41" i="34"/>
  <c r="AK41" i="34"/>
  <c r="AJ41" i="34"/>
  <c r="AI41" i="34"/>
  <c r="AH41" i="34"/>
  <c r="AG41" i="34"/>
  <c r="AF41" i="34"/>
  <c r="AD41" i="34"/>
  <c r="AC41" i="34"/>
  <c r="AB41" i="34"/>
  <c r="Z41" i="34"/>
  <c r="Y41" i="34"/>
  <c r="X41" i="34"/>
  <c r="W41" i="34"/>
  <c r="V41" i="34"/>
  <c r="U41" i="34"/>
  <c r="T41" i="34"/>
  <c r="S41" i="34"/>
  <c r="R41" i="34"/>
  <c r="Q41" i="34"/>
  <c r="P41" i="34"/>
  <c r="O41" i="34"/>
  <c r="N41" i="34"/>
  <c r="M41" i="34"/>
  <c r="L41" i="34"/>
  <c r="K41" i="34"/>
  <c r="I41" i="34"/>
  <c r="H41" i="34"/>
  <c r="G41" i="34"/>
  <c r="AQ40" i="34"/>
  <c r="AP40" i="34"/>
  <c r="AO40" i="34"/>
  <c r="AN40" i="34"/>
  <c r="AM40" i="34"/>
  <c r="AL40" i="34"/>
  <c r="AK40" i="34"/>
  <c r="AJ40" i="34"/>
  <c r="AI40" i="34"/>
  <c r="AH40" i="34"/>
  <c r="AG40" i="34"/>
  <c r="AF40" i="34"/>
  <c r="AD40" i="34"/>
  <c r="AC40" i="34"/>
  <c r="AB40" i="34"/>
  <c r="Z40" i="34"/>
  <c r="Y40" i="34"/>
  <c r="X40" i="34"/>
  <c r="W40" i="34"/>
  <c r="V40" i="34"/>
  <c r="U40" i="34"/>
  <c r="T40" i="34"/>
  <c r="S40" i="34"/>
  <c r="R40" i="34"/>
  <c r="Q40" i="34"/>
  <c r="P40" i="34"/>
  <c r="O40" i="34"/>
  <c r="N40" i="34"/>
  <c r="M40" i="34"/>
  <c r="L40" i="34"/>
  <c r="K40" i="34"/>
  <c r="I40" i="34"/>
  <c r="H40" i="34"/>
  <c r="G40" i="34"/>
  <c r="AQ39" i="34"/>
  <c r="AP39" i="34"/>
  <c r="AO39" i="34"/>
  <c r="AN39" i="34"/>
  <c r="AM39" i="34"/>
  <c r="AL39" i="34"/>
  <c r="AK39" i="34"/>
  <c r="AJ39" i="34"/>
  <c r="AI39" i="34"/>
  <c r="AH39" i="34"/>
  <c r="AG39" i="34"/>
  <c r="AF39" i="34"/>
  <c r="AD39" i="34"/>
  <c r="AC39" i="34"/>
  <c r="AB39" i="34"/>
  <c r="Z39" i="34"/>
  <c r="Y39" i="34"/>
  <c r="X39" i="34"/>
  <c r="W39" i="34"/>
  <c r="V39" i="34"/>
  <c r="U39" i="34"/>
  <c r="T39" i="34"/>
  <c r="S39" i="34"/>
  <c r="R39" i="34"/>
  <c r="Q39" i="34"/>
  <c r="P39" i="34"/>
  <c r="O39" i="34"/>
  <c r="N39" i="34"/>
  <c r="M39" i="34"/>
  <c r="L39" i="34"/>
  <c r="K39" i="34"/>
  <c r="I39" i="34"/>
  <c r="H39" i="34"/>
  <c r="G39" i="34"/>
  <c r="AQ38" i="34"/>
  <c r="AP38" i="34"/>
  <c r="AO38" i="34"/>
  <c r="AN38" i="34"/>
  <c r="AM38" i="34"/>
  <c r="AL38" i="34"/>
  <c r="AK38" i="34"/>
  <c r="AJ38" i="34"/>
  <c r="AI38" i="34"/>
  <c r="AH38" i="34"/>
  <c r="AG38" i="34"/>
  <c r="AF38" i="34"/>
  <c r="AD38" i="34"/>
  <c r="AC38" i="34"/>
  <c r="AB38" i="34"/>
  <c r="Z38" i="34"/>
  <c r="Y38" i="34"/>
  <c r="X38" i="34"/>
  <c r="W38" i="34"/>
  <c r="V38" i="34"/>
  <c r="U38" i="34"/>
  <c r="T38" i="34"/>
  <c r="S38" i="34"/>
  <c r="R38" i="34"/>
  <c r="Q38" i="34"/>
  <c r="P38" i="34"/>
  <c r="O38" i="34"/>
  <c r="N38" i="34"/>
  <c r="M38" i="34"/>
  <c r="L38" i="34"/>
  <c r="K38" i="34"/>
  <c r="I38" i="34"/>
  <c r="H38" i="34"/>
  <c r="G38" i="34"/>
  <c r="AQ37" i="34"/>
  <c r="AP37" i="34"/>
  <c r="AO37" i="34"/>
  <c r="AN37" i="34"/>
  <c r="AM37" i="34"/>
  <c r="AL37" i="34"/>
  <c r="AK37" i="34"/>
  <c r="AJ37" i="34"/>
  <c r="AI37" i="34"/>
  <c r="AH37" i="34"/>
  <c r="AG37" i="34"/>
  <c r="AF37" i="34"/>
  <c r="AD37" i="34"/>
  <c r="AC37" i="34"/>
  <c r="AB37" i="34"/>
  <c r="Z37" i="34"/>
  <c r="Y37" i="34"/>
  <c r="X37" i="34"/>
  <c r="W37" i="34"/>
  <c r="V37" i="34"/>
  <c r="U37" i="34"/>
  <c r="T37" i="34"/>
  <c r="S37" i="34"/>
  <c r="R37" i="34"/>
  <c r="Q37" i="34"/>
  <c r="P37" i="34"/>
  <c r="O37" i="34"/>
  <c r="N37" i="34"/>
  <c r="M37" i="34"/>
  <c r="L37" i="34"/>
  <c r="K37" i="34"/>
  <c r="I37" i="34"/>
  <c r="H37" i="34"/>
  <c r="G37" i="34"/>
  <c r="AQ36" i="34"/>
  <c r="AP36" i="34"/>
  <c r="AO36" i="34"/>
  <c r="AN36" i="34"/>
  <c r="AM36" i="34"/>
  <c r="AL36" i="34"/>
  <c r="AK36" i="34"/>
  <c r="AJ36" i="34"/>
  <c r="AI36" i="34"/>
  <c r="AH36" i="34"/>
  <c r="AG36" i="34"/>
  <c r="AF36" i="34"/>
  <c r="AD36" i="34"/>
  <c r="AC36" i="34"/>
  <c r="AB36" i="34"/>
  <c r="Z36" i="34"/>
  <c r="Y36" i="34"/>
  <c r="X36" i="34"/>
  <c r="W36" i="34"/>
  <c r="V36" i="34"/>
  <c r="U36" i="34"/>
  <c r="T36" i="34"/>
  <c r="S36" i="34"/>
  <c r="R36" i="34"/>
  <c r="Q36" i="34"/>
  <c r="P36" i="34"/>
  <c r="O36" i="34"/>
  <c r="N36" i="34"/>
  <c r="M36" i="34"/>
  <c r="L36" i="34"/>
  <c r="K36" i="34"/>
  <c r="I36" i="34"/>
  <c r="H36" i="34"/>
  <c r="G36" i="34"/>
  <c r="AQ35" i="34"/>
  <c r="AP35" i="34"/>
  <c r="AO35" i="34"/>
  <c r="AN35" i="34"/>
  <c r="AM35" i="34"/>
  <c r="AL35" i="34"/>
  <c r="AK35" i="34"/>
  <c r="AJ35" i="34"/>
  <c r="AI35" i="34"/>
  <c r="AH35" i="34"/>
  <c r="AG35" i="34"/>
  <c r="AF35" i="34"/>
  <c r="AD35" i="34"/>
  <c r="AC35" i="34"/>
  <c r="AB35" i="34"/>
  <c r="Z35" i="34"/>
  <c r="Y35" i="34"/>
  <c r="X35" i="34"/>
  <c r="W35" i="34"/>
  <c r="V35" i="34"/>
  <c r="U35" i="34"/>
  <c r="T35" i="34"/>
  <c r="S35" i="34"/>
  <c r="R35" i="34"/>
  <c r="Q35" i="34"/>
  <c r="P35" i="34"/>
  <c r="O35" i="34"/>
  <c r="N35" i="34"/>
  <c r="M35" i="34"/>
  <c r="L35" i="34"/>
  <c r="K35" i="34"/>
  <c r="I35" i="34"/>
  <c r="H35" i="34"/>
  <c r="G35" i="34"/>
  <c r="AQ34" i="34"/>
  <c r="AP34" i="34"/>
  <c r="AO34" i="34"/>
  <c r="AN34" i="34"/>
  <c r="AM34" i="34"/>
  <c r="AL34" i="34"/>
  <c r="AK34" i="34"/>
  <c r="AJ34" i="34"/>
  <c r="AI34" i="34"/>
  <c r="AH34" i="34"/>
  <c r="AG34" i="34"/>
  <c r="AF34" i="34"/>
  <c r="AD34" i="34"/>
  <c r="AC34" i="34"/>
  <c r="AB34" i="34"/>
  <c r="Z34" i="34"/>
  <c r="Y34" i="34"/>
  <c r="X34" i="34"/>
  <c r="W34" i="34"/>
  <c r="V34" i="34"/>
  <c r="U34" i="34"/>
  <c r="T34" i="34"/>
  <c r="S34" i="34"/>
  <c r="R34" i="34"/>
  <c r="Q34" i="34"/>
  <c r="P34" i="34"/>
  <c r="O34" i="34"/>
  <c r="N34" i="34"/>
  <c r="M34" i="34"/>
  <c r="L34" i="34"/>
  <c r="K34" i="34"/>
  <c r="I34" i="34"/>
  <c r="H34" i="34"/>
  <c r="G34" i="34"/>
  <c r="AQ33" i="34"/>
  <c r="AP33" i="34"/>
  <c r="AO33" i="34"/>
  <c r="AN33" i="34"/>
  <c r="AM33" i="34"/>
  <c r="AL33" i="34"/>
  <c r="AK33" i="34"/>
  <c r="AJ33" i="34"/>
  <c r="AI33" i="34"/>
  <c r="AH33" i="34"/>
  <c r="AG33" i="34"/>
  <c r="AF33" i="34"/>
  <c r="AD33" i="34"/>
  <c r="AC33" i="34"/>
  <c r="AB33" i="34"/>
  <c r="Z33" i="34"/>
  <c r="Y33" i="34"/>
  <c r="X33" i="34"/>
  <c r="W33" i="34"/>
  <c r="V33" i="34"/>
  <c r="U33" i="34"/>
  <c r="T33" i="34"/>
  <c r="S33" i="34"/>
  <c r="R33" i="34"/>
  <c r="Q33" i="34"/>
  <c r="P33" i="34"/>
  <c r="O33" i="34"/>
  <c r="N33" i="34"/>
  <c r="M33" i="34"/>
  <c r="L33" i="34"/>
  <c r="K33" i="34"/>
  <c r="I33" i="34"/>
  <c r="H33" i="34"/>
  <c r="G33" i="34"/>
  <c r="AQ32" i="34"/>
  <c r="AP32" i="34"/>
  <c r="AO32" i="34"/>
  <c r="AN32" i="34"/>
  <c r="AM32" i="34"/>
  <c r="AL32" i="34"/>
  <c r="AK32" i="34"/>
  <c r="AJ32" i="34"/>
  <c r="AI32" i="34"/>
  <c r="AH32" i="34"/>
  <c r="AG32" i="34"/>
  <c r="AF32" i="34"/>
  <c r="AD32" i="34"/>
  <c r="AC32" i="34"/>
  <c r="AB32" i="34"/>
  <c r="Z32" i="34"/>
  <c r="Y32" i="34"/>
  <c r="X32" i="34"/>
  <c r="W32" i="34"/>
  <c r="V32" i="34"/>
  <c r="U32" i="34"/>
  <c r="T32" i="34"/>
  <c r="S32" i="34"/>
  <c r="R32" i="34"/>
  <c r="Q32" i="34"/>
  <c r="P32" i="34"/>
  <c r="O32" i="34"/>
  <c r="N32" i="34"/>
  <c r="M32" i="34"/>
  <c r="L32" i="34"/>
  <c r="K32" i="34"/>
  <c r="I32" i="34"/>
  <c r="H32" i="34"/>
  <c r="G32" i="34"/>
  <c r="AQ31" i="34"/>
  <c r="AP31" i="34"/>
  <c r="AO31" i="34"/>
  <c r="AN31" i="34"/>
  <c r="AM31" i="34"/>
  <c r="AL31" i="34"/>
  <c r="AK31" i="34"/>
  <c r="AJ31" i="34"/>
  <c r="AI31" i="34"/>
  <c r="AH31" i="34"/>
  <c r="AG31" i="34"/>
  <c r="AF31" i="34"/>
  <c r="AD31" i="34"/>
  <c r="AC31" i="34"/>
  <c r="AB31" i="34"/>
  <c r="Z31" i="34"/>
  <c r="Y31" i="34"/>
  <c r="X31" i="34"/>
  <c r="W31" i="34"/>
  <c r="V31" i="34"/>
  <c r="U31" i="34"/>
  <c r="T31" i="34"/>
  <c r="S31" i="34"/>
  <c r="R31" i="34"/>
  <c r="Q31" i="34"/>
  <c r="P31" i="34"/>
  <c r="O31" i="34"/>
  <c r="N31" i="34"/>
  <c r="M31" i="34"/>
  <c r="L31" i="34"/>
  <c r="K31" i="34"/>
  <c r="I31" i="34"/>
  <c r="H31" i="34"/>
  <c r="G31" i="34"/>
  <c r="AQ30" i="34"/>
  <c r="AP30" i="34"/>
  <c r="AO30" i="34"/>
  <c r="AN30" i="34"/>
  <c r="AM30" i="34"/>
  <c r="AL30" i="34"/>
  <c r="AK30" i="34"/>
  <c r="AJ30" i="34"/>
  <c r="AI30" i="34"/>
  <c r="AH30" i="34"/>
  <c r="AG30" i="34"/>
  <c r="AF30" i="34"/>
  <c r="AD30" i="34"/>
  <c r="AC30" i="34"/>
  <c r="AB30" i="34"/>
  <c r="Z30" i="34"/>
  <c r="Y30" i="34"/>
  <c r="X30" i="34"/>
  <c r="W30" i="34"/>
  <c r="V30" i="34"/>
  <c r="U30" i="34"/>
  <c r="T30" i="34"/>
  <c r="S30" i="34"/>
  <c r="R30" i="34"/>
  <c r="Q30" i="34"/>
  <c r="P30" i="34"/>
  <c r="O30" i="34"/>
  <c r="N30" i="34"/>
  <c r="M30" i="34"/>
  <c r="L30" i="34"/>
  <c r="K30" i="34"/>
  <c r="I30" i="34"/>
  <c r="H30" i="34"/>
  <c r="G30" i="34"/>
  <c r="AQ29" i="34"/>
  <c r="AP29" i="34"/>
  <c r="AO29" i="34"/>
  <c r="AN29" i="34"/>
  <c r="AM29" i="34"/>
  <c r="AL29" i="34"/>
  <c r="AK29" i="34"/>
  <c r="AJ29" i="34"/>
  <c r="AI29" i="34"/>
  <c r="AH29" i="34"/>
  <c r="AG29" i="34"/>
  <c r="AF29" i="34"/>
  <c r="AD29" i="34"/>
  <c r="AC29" i="34"/>
  <c r="AB29" i="34"/>
  <c r="Z29" i="34"/>
  <c r="Y29" i="34"/>
  <c r="X29" i="34"/>
  <c r="W29" i="34"/>
  <c r="V29" i="34"/>
  <c r="U29" i="34"/>
  <c r="T29" i="34"/>
  <c r="S29" i="34"/>
  <c r="R29" i="34"/>
  <c r="Q29" i="34"/>
  <c r="P29" i="34"/>
  <c r="O29" i="34"/>
  <c r="N29" i="34"/>
  <c r="M29" i="34"/>
  <c r="L29" i="34"/>
  <c r="K29" i="34"/>
  <c r="I29" i="34"/>
  <c r="H29" i="34"/>
  <c r="G29" i="34"/>
  <c r="AQ28" i="34"/>
  <c r="AP28" i="34"/>
  <c r="AO28" i="34"/>
  <c r="AN28" i="34"/>
  <c r="AM28" i="34"/>
  <c r="AL28" i="34"/>
  <c r="AK28" i="34"/>
  <c r="AJ28" i="34"/>
  <c r="AI28" i="34"/>
  <c r="AH28" i="34"/>
  <c r="AG28" i="34"/>
  <c r="AF28" i="34"/>
  <c r="AD28" i="34"/>
  <c r="AC28" i="34"/>
  <c r="AB28" i="34"/>
  <c r="Z28" i="34"/>
  <c r="Y28" i="34"/>
  <c r="X28" i="34"/>
  <c r="W28" i="34"/>
  <c r="V28" i="34"/>
  <c r="U28" i="34"/>
  <c r="T28" i="34"/>
  <c r="S28" i="34"/>
  <c r="R28" i="34"/>
  <c r="Q28" i="34"/>
  <c r="P28" i="34"/>
  <c r="O28" i="34"/>
  <c r="N28" i="34"/>
  <c r="M28" i="34"/>
  <c r="L28" i="34"/>
  <c r="K28" i="34"/>
  <c r="I28" i="34"/>
  <c r="H28" i="34"/>
  <c r="G28" i="34"/>
  <c r="AQ27" i="34"/>
  <c r="AP27" i="34"/>
  <c r="AO27" i="34"/>
  <c r="AN27" i="34"/>
  <c r="AM27" i="34"/>
  <c r="AL27" i="34"/>
  <c r="AK27" i="34"/>
  <c r="AJ27" i="34"/>
  <c r="AI27" i="34"/>
  <c r="AH27" i="34"/>
  <c r="AG27" i="34"/>
  <c r="AF27" i="34"/>
  <c r="AD27" i="34"/>
  <c r="AC27" i="34"/>
  <c r="AB27" i="34"/>
  <c r="Z27" i="34"/>
  <c r="Y27" i="34"/>
  <c r="X27" i="34"/>
  <c r="W27" i="34"/>
  <c r="V27" i="34"/>
  <c r="U27" i="34"/>
  <c r="T27" i="34"/>
  <c r="S27" i="34"/>
  <c r="R27" i="34"/>
  <c r="Q27" i="34"/>
  <c r="P27" i="34"/>
  <c r="O27" i="34"/>
  <c r="N27" i="34"/>
  <c r="M27" i="34"/>
  <c r="L27" i="34"/>
  <c r="K27" i="34"/>
  <c r="I27" i="34"/>
  <c r="H27" i="34"/>
  <c r="G27" i="34"/>
  <c r="AQ26" i="34"/>
  <c r="AP26" i="34"/>
  <c r="AO26" i="34"/>
  <c r="AN26" i="34"/>
  <c r="AM26" i="34"/>
  <c r="AL26" i="34"/>
  <c r="AK26" i="34"/>
  <c r="AJ26" i="34"/>
  <c r="AI26" i="34"/>
  <c r="AH26" i="34"/>
  <c r="AG26" i="34"/>
  <c r="AF26" i="34"/>
  <c r="AD26" i="34"/>
  <c r="AC26" i="34"/>
  <c r="AB26" i="34"/>
  <c r="Z26" i="34"/>
  <c r="Y26" i="34"/>
  <c r="X26" i="34"/>
  <c r="W26" i="34"/>
  <c r="V26" i="34"/>
  <c r="U26" i="34"/>
  <c r="T26" i="34"/>
  <c r="S26" i="34"/>
  <c r="R26" i="34"/>
  <c r="Q26" i="34"/>
  <c r="P26" i="34"/>
  <c r="O26" i="34"/>
  <c r="N26" i="34"/>
  <c r="M26" i="34"/>
  <c r="L26" i="34"/>
  <c r="K26" i="34"/>
  <c r="I26" i="34"/>
  <c r="H26" i="34"/>
  <c r="G26" i="34"/>
  <c r="AQ25" i="34"/>
  <c r="AP25" i="34"/>
  <c r="AO25" i="34"/>
  <c r="AN25" i="34"/>
  <c r="AM25" i="34"/>
  <c r="AL25" i="34"/>
  <c r="AK25" i="34"/>
  <c r="AJ25" i="34"/>
  <c r="AI25" i="34"/>
  <c r="AH25" i="34"/>
  <c r="AG25" i="34"/>
  <c r="AF25" i="34"/>
  <c r="AD25" i="34"/>
  <c r="AC25" i="34"/>
  <c r="AB25" i="34"/>
  <c r="Z25" i="34"/>
  <c r="Y25" i="34"/>
  <c r="X25" i="34"/>
  <c r="W25" i="34"/>
  <c r="V25" i="34"/>
  <c r="U25" i="34"/>
  <c r="T25" i="34"/>
  <c r="S25" i="34"/>
  <c r="R25" i="34"/>
  <c r="Q25" i="34"/>
  <c r="P25" i="34"/>
  <c r="O25" i="34"/>
  <c r="N25" i="34"/>
  <c r="M25" i="34"/>
  <c r="L25" i="34"/>
  <c r="K25" i="34"/>
  <c r="I25" i="34"/>
  <c r="H25" i="34"/>
  <c r="G25" i="34"/>
  <c r="AQ24" i="34"/>
  <c r="AP24" i="34"/>
  <c r="AO24" i="34"/>
  <c r="AN24" i="34"/>
  <c r="AM24" i="34"/>
  <c r="AL24" i="34"/>
  <c r="AK24" i="34"/>
  <c r="AJ24" i="34"/>
  <c r="AI24" i="34"/>
  <c r="AH24" i="34"/>
  <c r="AG24" i="34"/>
  <c r="AF24" i="34"/>
  <c r="AD24" i="34"/>
  <c r="AC24" i="34"/>
  <c r="AB24" i="34"/>
  <c r="Z24" i="34"/>
  <c r="Y24" i="34"/>
  <c r="X24" i="34"/>
  <c r="W24" i="34"/>
  <c r="V24" i="34"/>
  <c r="U24" i="34"/>
  <c r="T24" i="34"/>
  <c r="S24" i="34"/>
  <c r="R24" i="34"/>
  <c r="Q24" i="34"/>
  <c r="P24" i="34"/>
  <c r="O24" i="34"/>
  <c r="N24" i="34"/>
  <c r="M24" i="34"/>
  <c r="L24" i="34"/>
  <c r="K24" i="34"/>
  <c r="I24" i="34"/>
  <c r="H24" i="34"/>
  <c r="G24" i="34"/>
  <c r="AQ23" i="34"/>
  <c r="AP23" i="34"/>
  <c r="AO23" i="34"/>
  <c r="AN23" i="34"/>
  <c r="AM23" i="34"/>
  <c r="AL23" i="34"/>
  <c r="AK23" i="34"/>
  <c r="AJ23" i="34"/>
  <c r="AI23" i="34"/>
  <c r="AH23" i="34"/>
  <c r="AG23" i="34"/>
  <c r="AF23" i="34"/>
  <c r="AD23" i="34"/>
  <c r="AC23" i="34"/>
  <c r="AB23" i="34"/>
  <c r="Z23" i="34"/>
  <c r="Y23" i="34"/>
  <c r="X23" i="34"/>
  <c r="W23" i="34"/>
  <c r="V23" i="34"/>
  <c r="U23" i="34"/>
  <c r="T23" i="34"/>
  <c r="S23" i="34"/>
  <c r="R23" i="34"/>
  <c r="Q23" i="34"/>
  <c r="P23" i="34"/>
  <c r="O23" i="34"/>
  <c r="N23" i="34"/>
  <c r="M23" i="34"/>
  <c r="L23" i="34"/>
  <c r="K23" i="34"/>
  <c r="I23" i="34"/>
  <c r="H23" i="34"/>
  <c r="G23" i="34"/>
  <c r="AQ22" i="34"/>
  <c r="AP22" i="34"/>
  <c r="AO22" i="34"/>
  <c r="AN22" i="34"/>
  <c r="AM22" i="34"/>
  <c r="AL22" i="34"/>
  <c r="AK22" i="34"/>
  <c r="AJ22" i="34"/>
  <c r="AI22" i="34"/>
  <c r="AH22" i="34"/>
  <c r="AG22" i="34"/>
  <c r="AF22" i="34"/>
  <c r="AD22" i="34"/>
  <c r="AC22" i="34"/>
  <c r="AB22" i="34"/>
  <c r="Z22" i="34"/>
  <c r="Y22" i="34"/>
  <c r="X22" i="34"/>
  <c r="W22" i="34"/>
  <c r="V22" i="34"/>
  <c r="U22" i="34"/>
  <c r="T22" i="34"/>
  <c r="S22" i="34"/>
  <c r="R22" i="34"/>
  <c r="Q22" i="34"/>
  <c r="P22" i="34"/>
  <c r="O22" i="34"/>
  <c r="N22" i="34"/>
  <c r="M22" i="34"/>
  <c r="L22" i="34"/>
  <c r="K22" i="34"/>
  <c r="I22" i="34"/>
  <c r="H22" i="34"/>
  <c r="G22" i="34"/>
  <c r="AQ21" i="34"/>
  <c r="AP21" i="34"/>
  <c r="AO21" i="34"/>
  <c r="AN21" i="34"/>
  <c r="AM21" i="34"/>
  <c r="AL21" i="34"/>
  <c r="AK21" i="34"/>
  <c r="AJ21" i="34"/>
  <c r="AI21" i="34"/>
  <c r="AH21" i="34"/>
  <c r="AG21" i="34"/>
  <c r="AF21" i="34"/>
  <c r="AD21" i="34"/>
  <c r="AC21" i="34"/>
  <c r="AB21" i="34"/>
  <c r="Z21" i="34"/>
  <c r="Y21" i="34"/>
  <c r="X21" i="34"/>
  <c r="W21" i="34"/>
  <c r="V21" i="34"/>
  <c r="U21" i="34"/>
  <c r="T21" i="34"/>
  <c r="S21" i="34"/>
  <c r="R21" i="34"/>
  <c r="Q21" i="34"/>
  <c r="P21" i="34"/>
  <c r="O21" i="34"/>
  <c r="N21" i="34"/>
  <c r="M21" i="34"/>
  <c r="L21" i="34"/>
  <c r="K21" i="34"/>
  <c r="I21" i="34"/>
  <c r="H21" i="34"/>
  <c r="G21" i="34"/>
  <c r="AQ20" i="34"/>
  <c r="AP20" i="34"/>
  <c r="AO20" i="34"/>
  <c r="AN20" i="34"/>
  <c r="AM20" i="34"/>
  <c r="AL20" i="34"/>
  <c r="AK20" i="34"/>
  <c r="AJ20" i="34"/>
  <c r="AI20" i="34"/>
  <c r="AH20" i="34"/>
  <c r="AG20" i="34"/>
  <c r="AF20" i="34"/>
  <c r="AD20" i="34"/>
  <c r="AC20" i="34"/>
  <c r="AB20" i="34"/>
  <c r="Z20" i="34"/>
  <c r="Y20" i="34"/>
  <c r="X20" i="34"/>
  <c r="W20" i="34"/>
  <c r="V20" i="34"/>
  <c r="U20" i="34"/>
  <c r="T20" i="34"/>
  <c r="S20" i="34"/>
  <c r="R20" i="34"/>
  <c r="Q20" i="34"/>
  <c r="P20" i="34"/>
  <c r="O20" i="34"/>
  <c r="N20" i="34"/>
  <c r="M20" i="34"/>
  <c r="L20" i="34"/>
  <c r="K20" i="34"/>
  <c r="I20" i="34"/>
  <c r="H20" i="34"/>
  <c r="G20" i="34"/>
  <c r="AQ19" i="34"/>
  <c r="AP19" i="34"/>
  <c r="AO19" i="34"/>
  <c r="AN19" i="34"/>
  <c r="AM19" i="34"/>
  <c r="AL19" i="34"/>
  <c r="AK19" i="34"/>
  <c r="AJ19" i="34"/>
  <c r="AI19" i="34"/>
  <c r="AH19" i="34"/>
  <c r="AG19" i="34"/>
  <c r="AF19" i="34"/>
  <c r="AD19" i="34"/>
  <c r="AC19" i="34"/>
  <c r="AB19" i="34"/>
  <c r="Z19" i="34"/>
  <c r="Y19" i="34"/>
  <c r="X19" i="34"/>
  <c r="W19" i="34"/>
  <c r="V19" i="34"/>
  <c r="U19" i="34"/>
  <c r="T19" i="34"/>
  <c r="S19" i="34"/>
  <c r="R19" i="34"/>
  <c r="Q19" i="34"/>
  <c r="P19" i="34"/>
  <c r="O19" i="34"/>
  <c r="N19" i="34"/>
  <c r="M19" i="34"/>
  <c r="L19" i="34"/>
  <c r="K19" i="34"/>
  <c r="I19" i="34"/>
  <c r="H19" i="34"/>
  <c r="G19" i="34"/>
  <c r="AQ18" i="34"/>
  <c r="AP18" i="34"/>
  <c r="AO18" i="34"/>
  <c r="AN18" i="34"/>
  <c r="AM18" i="34"/>
  <c r="AL18" i="34"/>
  <c r="AK18" i="34"/>
  <c r="AJ18" i="34"/>
  <c r="AI18" i="34"/>
  <c r="AH18" i="34"/>
  <c r="AG18" i="34"/>
  <c r="AF18" i="34"/>
  <c r="AD18" i="34"/>
  <c r="AC18" i="34"/>
  <c r="AB18" i="34"/>
  <c r="Z18" i="34"/>
  <c r="Y18" i="34"/>
  <c r="X18" i="34"/>
  <c r="W18" i="34"/>
  <c r="V18" i="34"/>
  <c r="U18" i="34"/>
  <c r="T18" i="34"/>
  <c r="S18" i="34"/>
  <c r="R18" i="34"/>
  <c r="Q18" i="34"/>
  <c r="P18" i="34"/>
  <c r="O18" i="34"/>
  <c r="N18" i="34"/>
  <c r="M18" i="34"/>
  <c r="L18" i="34"/>
  <c r="K18" i="34"/>
  <c r="I18" i="34"/>
  <c r="H18" i="34"/>
  <c r="G18" i="34"/>
  <c r="AQ17" i="34"/>
  <c r="AP17" i="34"/>
  <c r="AO17" i="34"/>
  <c r="AN17" i="34"/>
  <c r="AM17" i="34"/>
  <c r="AL17" i="34"/>
  <c r="AK17" i="34"/>
  <c r="AJ17" i="34"/>
  <c r="AI17" i="34"/>
  <c r="AH17" i="34"/>
  <c r="AG17" i="34"/>
  <c r="AF17" i="34"/>
  <c r="AD17" i="34"/>
  <c r="AC17" i="34"/>
  <c r="AB17" i="34"/>
  <c r="Z17" i="34"/>
  <c r="Y17" i="34"/>
  <c r="X17" i="34"/>
  <c r="W17" i="34"/>
  <c r="V17" i="34"/>
  <c r="U17" i="34"/>
  <c r="T17" i="34"/>
  <c r="S17" i="34"/>
  <c r="R17" i="34"/>
  <c r="Q17" i="34"/>
  <c r="P17" i="34"/>
  <c r="O17" i="34"/>
  <c r="N17" i="34"/>
  <c r="M17" i="34"/>
  <c r="L17" i="34"/>
  <c r="K17" i="34"/>
  <c r="I17" i="34"/>
  <c r="H17" i="34"/>
  <c r="G17" i="34"/>
  <c r="AQ16" i="34"/>
  <c r="AP16" i="34"/>
  <c r="AO16" i="34"/>
  <c r="AN16" i="34"/>
  <c r="AM16" i="34"/>
  <c r="AL16" i="34"/>
  <c r="AK16" i="34"/>
  <c r="AJ16" i="34"/>
  <c r="AI16" i="34"/>
  <c r="AH16" i="34"/>
  <c r="AG16" i="34"/>
  <c r="AF16" i="34"/>
  <c r="AD16" i="34"/>
  <c r="AC16" i="34"/>
  <c r="AB16" i="34"/>
  <c r="Z16" i="34"/>
  <c r="Y16" i="34"/>
  <c r="X16" i="34"/>
  <c r="W16" i="34"/>
  <c r="V16" i="34"/>
  <c r="U16" i="34"/>
  <c r="T16" i="34"/>
  <c r="S16" i="34"/>
  <c r="R16" i="34"/>
  <c r="Q16" i="34"/>
  <c r="P16" i="34"/>
  <c r="O16" i="34"/>
  <c r="N16" i="34"/>
  <c r="M16" i="34"/>
  <c r="L16" i="34"/>
  <c r="K16" i="34"/>
  <c r="I16" i="34"/>
  <c r="H16" i="34"/>
  <c r="G16" i="34"/>
  <c r="AQ15" i="34"/>
  <c r="AP15" i="34"/>
  <c r="AO15" i="34"/>
  <c r="AN15" i="34"/>
  <c r="AM15" i="34"/>
  <c r="AL15" i="34"/>
  <c r="AK15" i="34"/>
  <c r="AJ15" i="34"/>
  <c r="AI15" i="34"/>
  <c r="AH15" i="34"/>
  <c r="AG15" i="34"/>
  <c r="AF15" i="34"/>
  <c r="AD15" i="34"/>
  <c r="AC15" i="34"/>
  <c r="AB15" i="34"/>
  <c r="Z15" i="34"/>
  <c r="Y15" i="34"/>
  <c r="X15" i="34"/>
  <c r="W15" i="34"/>
  <c r="V15" i="34"/>
  <c r="U15" i="34"/>
  <c r="T15" i="34"/>
  <c r="S15" i="34"/>
  <c r="R15" i="34"/>
  <c r="Q15" i="34"/>
  <c r="P15" i="34"/>
  <c r="O15" i="34"/>
  <c r="N15" i="34"/>
  <c r="M15" i="34"/>
  <c r="L15" i="34"/>
  <c r="K15" i="34"/>
  <c r="I15" i="34"/>
  <c r="H15" i="34"/>
  <c r="G15" i="34"/>
  <c r="AQ14" i="34"/>
  <c r="AP14" i="34"/>
  <c r="AO14" i="34"/>
  <c r="AN14" i="34"/>
  <c r="AM14" i="34"/>
  <c r="AL14" i="34"/>
  <c r="AK14" i="34"/>
  <c r="AJ14" i="34"/>
  <c r="AI14" i="34"/>
  <c r="AH14" i="34"/>
  <c r="AG14" i="34"/>
  <c r="AF14" i="34"/>
  <c r="AD14" i="34"/>
  <c r="AC14" i="34"/>
  <c r="AB14" i="34"/>
  <c r="Z14" i="34"/>
  <c r="Y14" i="34"/>
  <c r="X14" i="34"/>
  <c r="W14" i="34"/>
  <c r="V14" i="34"/>
  <c r="U14" i="34"/>
  <c r="T14" i="34"/>
  <c r="S14" i="34"/>
  <c r="R14" i="34"/>
  <c r="Q14" i="34"/>
  <c r="P14" i="34"/>
  <c r="O14" i="34"/>
  <c r="N14" i="34"/>
  <c r="M14" i="34"/>
  <c r="L14" i="34"/>
  <c r="K14" i="34"/>
  <c r="I14" i="34"/>
  <c r="H14" i="34"/>
  <c r="G14" i="34"/>
  <c r="AQ13" i="34"/>
  <c r="AP13" i="34"/>
  <c r="AO13" i="34"/>
  <c r="AN13" i="34"/>
  <c r="AM13" i="34"/>
  <c r="AL13" i="34"/>
  <c r="AK13" i="34"/>
  <c r="AJ13" i="34"/>
  <c r="AI13" i="34"/>
  <c r="AH13" i="34"/>
  <c r="AG13" i="34"/>
  <c r="AF13" i="34"/>
  <c r="AD13" i="34"/>
  <c r="AC13" i="34"/>
  <c r="AB13" i="34"/>
  <c r="Z13" i="34"/>
  <c r="Y13" i="34"/>
  <c r="X13" i="34"/>
  <c r="W13" i="34"/>
  <c r="V13" i="34"/>
  <c r="U13" i="34"/>
  <c r="T13" i="34"/>
  <c r="S13" i="34"/>
  <c r="R13" i="34"/>
  <c r="Q13" i="34"/>
  <c r="P13" i="34"/>
  <c r="O13" i="34"/>
  <c r="N13" i="34"/>
  <c r="M13" i="34"/>
  <c r="L13" i="34"/>
  <c r="K13" i="34"/>
  <c r="I13" i="34"/>
  <c r="H13" i="34"/>
  <c r="G13" i="34"/>
  <c r="AQ12" i="34"/>
  <c r="AP12" i="34"/>
  <c r="AO12" i="34"/>
  <c r="AN12" i="34"/>
  <c r="AM12" i="34"/>
  <c r="AL12" i="34"/>
  <c r="AK12" i="34"/>
  <c r="AJ12" i="34"/>
  <c r="AI12" i="34"/>
  <c r="AH12" i="34"/>
  <c r="AG12" i="34"/>
  <c r="AF12" i="34"/>
  <c r="AD12" i="34"/>
  <c r="AC12" i="34"/>
  <c r="AB12" i="34"/>
  <c r="Z12" i="34"/>
  <c r="Y12" i="34"/>
  <c r="X12" i="34"/>
  <c r="W12" i="34"/>
  <c r="V12" i="34"/>
  <c r="U12" i="34"/>
  <c r="T12" i="34"/>
  <c r="S12" i="34"/>
  <c r="R12" i="34"/>
  <c r="Q12" i="34"/>
  <c r="P12" i="34"/>
  <c r="O12" i="34"/>
  <c r="N12" i="34"/>
  <c r="M12" i="34"/>
  <c r="L12" i="34"/>
  <c r="K12" i="34"/>
  <c r="I12" i="34"/>
  <c r="H12" i="34"/>
  <c r="G12" i="34"/>
  <c r="AQ11" i="34"/>
  <c r="AP11" i="34"/>
  <c r="AO11" i="34"/>
  <c r="AN11" i="34"/>
  <c r="AM11" i="34"/>
  <c r="AL11" i="34"/>
  <c r="AK11" i="34"/>
  <c r="AJ11" i="34"/>
  <c r="AI11" i="34"/>
  <c r="AH11" i="34"/>
  <c r="AG11" i="34"/>
  <c r="AF11" i="34"/>
  <c r="AD11" i="34"/>
  <c r="AC11" i="34"/>
  <c r="AB11" i="34"/>
  <c r="Z11" i="34"/>
  <c r="Y11" i="34"/>
  <c r="X11" i="34"/>
  <c r="W11" i="34"/>
  <c r="V11" i="34"/>
  <c r="U11" i="34"/>
  <c r="T11" i="34"/>
  <c r="S11" i="34"/>
  <c r="R11" i="34"/>
  <c r="Q11" i="34"/>
  <c r="P11" i="34"/>
  <c r="O11" i="34"/>
  <c r="N11" i="34"/>
  <c r="M11" i="34"/>
  <c r="L11" i="34"/>
  <c r="K11" i="34"/>
  <c r="I11" i="34"/>
  <c r="H11" i="34"/>
  <c r="G11" i="34"/>
  <c r="AQ10" i="34"/>
  <c r="AP10" i="34"/>
  <c r="AO10" i="34"/>
  <c r="AN10" i="34"/>
  <c r="AM10" i="34"/>
  <c r="AL10" i="34"/>
  <c r="AK10" i="34"/>
  <c r="AJ10" i="34"/>
  <c r="AI10" i="34"/>
  <c r="AH10" i="34"/>
  <c r="AG10" i="34"/>
  <c r="AF10" i="34"/>
  <c r="AD10" i="34"/>
  <c r="AC10" i="34"/>
  <c r="AB10" i="34"/>
  <c r="Z10" i="34"/>
  <c r="Y10" i="34"/>
  <c r="X10" i="34"/>
  <c r="W10" i="34"/>
  <c r="V10" i="34"/>
  <c r="U10" i="34"/>
  <c r="T10" i="34"/>
  <c r="S10" i="34"/>
  <c r="R10" i="34"/>
  <c r="Q10" i="34"/>
  <c r="P10" i="34"/>
  <c r="O10" i="34"/>
  <c r="N10" i="34"/>
  <c r="M10" i="34"/>
  <c r="L10" i="34"/>
  <c r="K10" i="34"/>
  <c r="I10" i="34"/>
  <c r="H10" i="34"/>
  <c r="G10" i="34"/>
  <c r="AQ9" i="34"/>
  <c r="AP9" i="34"/>
  <c r="AO9" i="34"/>
  <c r="AN9" i="34"/>
  <c r="AM9" i="34"/>
  <c r="AL9" i="34"/>
  <c r="AK9" i="34"/>
  <c r="AJ9" i="34"/>
  <c r="AI9" i="34"/>
  <c r="AH9" i="34"/>
  <c r="AG9" i="34"/>
  <c r="AF9" i="34"/>
  <c r="AD9" i="34"/>
  <c r="AC9" i="34"/>
  <c r="AB9" i="34"/>
  <c r="Z9" i="34"/>
  <c r="Y9" i="34"/>
  <c r="X9" i="34"/>
  <c r="W9" i="34"/>
  <c r="V9" i="34"/>
  <c r="U9" i="34"/>
  <c r="T9" i="34"/>
  <c r="S9" i="34"/>
  <c r="R9" i="34"/>
  <c r="Q9" i="34"/>
  <c r="P9" i="34"/>
  <c r="O9" i="34"/>
  <c r="N9" i="34"/>
  <c r="M9" i="34"/>
  <c r="L9" i="34"/>
  <c r="K9" i="34"/>
  <c r="I9" i="34"/>
  <c r="H9" i="34"/>
  <c r="G9" i="34"/>
  <c r="AQ8" i="34"/>
  <c r="AP8" i="34"/>
  <c r="AO8" i="34"/>
  <c r="AN8" i="34"/>
  <c r="AM8" i="34"/>
  <c r="AL8" i="34"/>
  <c r="AK8" i="34"/>
  <c r="AJ8" i="34"/>
  <c r="AI8" i="34"/>
  <c r="AH8" i="34"/>
  <c r="AG8" i="34"/>
  <c r="AF8" i="34"/>
  <c r="AD8" i="34"/>
  <c r="AC8" i="34"/>
  <c r="AB8" i="34"/>
  <c r="Z8" i="34"/>
  <c r="Y8" i="34"/>
  <c r="X8" i="34"/>
  <c r="W8" i="34"/>
  <c r="V8" i="34"/>
  <c r="U8" i="34"/>
  <c r="T8" i="34"/>
  <c r="S8" i="34"/>
  <c r="R8" i="34"/>
  <c r="Q8" i="34"/>
  <c r="P8" i="34"/>
  <c r="O8" i="34"/>
  <c r="N8" i="34"/>
  <c r="M8" i="34"/>
  <c r="L8" i="34"/>
  <c r="K8" i="34"/>
  <c r="I8" i="34"/>
  <c r="H8" i="34"/>
  <c r="G8" i="34"/>
  <c r="AQ7" i="34"/>
  <c r="AP7" i="34"/>
  <c r="AO7" i="34"/>
  <c r="AN7" i="34"/>
  <c r="AM7" i="34"/>
  <c r="AL7" i="34"/>
  <c r="AK7" i="34"/>
  <c r="AJ7" i="34"/>
  <c r="AI7" i="34"/>
  <c r="AH7" i="34"/>
  <c r="AG7" i="34"/>
  <c r="AF7" i="34"/>
  <c r="AD7" i="34"/>
  <c r="AC7" i="34"/>
  <c r="AB7" i="34"/>
  <c r="Z7" i="34"/>
  <c r="Y7" i="34"/>
  <c r="X7" i="34"/>
  <c r="W7" i="34"/>
  <c r="V7" i="34"/>
  <c r="U7" i="34"/>
  <c r="T7" i="34"/>
  <c r="S7" i="34"/>
  <c r="R7" i="34"/>
  <c r="Q7" i="34"/>
  <c r="P7" i="34"/>
  <c r="O7" i="34"/>
  <c r="N7" i="34"/>
  <c r="M7" i="34"/>
  <c r="L7" i="34"/>
  <c r="K7" i="34"/>
  <c r="I7" i="34"/>
  <c r="H7" i="34"/>
  <c r="G7" i="34"/>
  <c r="AQ6" i="34"/>
  <c r="AP6" i="34"/>
  <c r="AO6" i="34"/>
  <c r="AN6" i="34"/>
  <c r="AM6" i="34"/>
  <c r="AL6" i="34"/>
  <c r="AK6" i="34"/>
  <c r="AJ6" i="34"/>
  <c r="AI6" i="34"/>
  <c r="AH6" i="34"/>
  <c r="AG6" i="34"/>
  <c r="AF6" i="34"/>
  <c r="AD6" i="34"/>
  <c r="AC6" i="34"/>
  <c r="AB6" i="34"/>
  <c r="Z6" i="34"/>
  <c r="Y6" i="34"/>
  <c r="X6" i="34"/>
  <c r="W6" i="34"/>
  <c r="V6" i="34"/>
  <c r="U6" i="34"/>
  <c r="T6" i="34"/>
  <c r="S6" i="34"/>
  <c r="R6" i="34"/>
  <c r="Q6" i="34"/>
  <c r="P6" i="34"/>
  <c r="O6" i="34"/>
  <c r="N6" i="34"/>
  <c r="M6" i="34"/>
  <c r="L6" i="34"/>
  <c r="K6" i="34"/>
  <c r="I6" i="34"/>
  <c r="H6" i="34"/>
  <c r="G6" i="34"/>
  <c r="AQ5" i="34"/>
  <c r="AP5" i="34"/>
  <c r="AO5" i="34"/>
  <c r="AN5" i="34"/>
  <c r="AM5" i="34"/>
  <c r="AL5" i="34"/>
  <c r="AK5" i="34"/>
  <c r="AJ5" i="34"/>
  <c r="AI5" i="34"/>
  <c r="AH5" i="34"/>
  <c r="AG5" i="34"/>
  <c r="AF5" i="34"/>
  <c r="AD5" i="34"/>
  <c r="AC5" i="34"/>
  <c r="AB5" i="34"/>
  <c r="Z5" i="34"/>
  <c r="Y5" i="34"/>
  <c r="X5" i="34"/>
  <c r="W5" i="34"/>
  <c r="V5" i="34"/>
  <c r="U5" i="34"/>
  <c r="T5" i="34"/>
  <c r="S5" i="34"/>
  <c r="R5" i="34"/>
  <c r="Q5" i="34"/>
  <c r="P5" i="34"/>
  <c r="O5" i="34"/>
  <c r="N5" i="34"/>
  <c r="M5" i="34"/>
  <c r="L5" i="34"/>
  <c r="K5" i="34"/>
  <c r="I5" i="34"/>
  <c r="H5" i="34"/>
  <c r="G5" i="34"/>
  <c r="AQ4" i="34"/>
  <c r="AP4" i="34"/>
  <c r="AO4" i="34"/>
  <c r="AN4" i="34"/>
  <c r="AM4" i="34"/>
  <c r="AL4" i="34"/>
  <c r="AK4" i="34"/>
  <c r="AJ4" i="34"/>
  <c r="AI4" i="34"/>
  <c r="AH4" i="34"/>
  <c r="AG4" i="34"/>
  <c r="AF4" i="34"/>
  <c r="AD4" i="34"/>
  <c r="AC4" i="34"/>
  <c r="AB4" i="34"/>
  <c r="Z4" i="34"/>
  <c r="Y4" i="34"/>
  <c r="X4" i="34"/>
  <c r="W4" i="34"/>
  <c r="V4" i="34"/>
  <c r="U4" i="34"/>
  <c r="T4" i="34"/>
  <c r="S4" i="34"/>
  <c r="R4" i="34"/>
  <c r="Q4" i="34"/>
  <c r="P4" i="34"/>
  <c r="O4" i="34"/>
  <c r="N4" i="34"/>
  <c r="M4" i="34"/>
  <c r="L4" i="34"/>
  <c r="K4" i="34"/>
  <c r="I4" i="34"/>
  <c r="H4" i="34"/>
  <c r="G4" i="34"/>
  <c r="AQ3" i="34"/>
  <c r="AP3" i="34"/>
  <c r="AO3" i="34"/>
  <c r="AN3" i="34"/>
  <c r="AM3" i="34"/>
  <c r="AL3" i="34"/>
  <c r="AK3" i="34"/>
  <c r="AJ3" i="34"/>
  <c r="AI3" i="34"/>
  <c r="AH3" i="34"/>
  <c r="AG3" i="34"/>
  <c r="AF3" i="34"/>
  <c r="AD3" i="34"/>
  <c r="AC3" i="34"/>
  <c r="Z3" i="34"/>
  <c r="Y3" i="34"/>
  <c r="X3" i="34"/>
  <c r="W3" i="34"/>
  <c r="V3" i="34"/>
  <c r="U3" i="34"/>
  <c r="T3" i="34"/>
  <c r="S3" i="34"/>
  <c r="R3" i="34"/>
  <c r="Q3" i="34"/>
  <c r="P3" i="34"/>
  <c r="O3" i="34"/>
  <c r="N3" i="34"/>
  <c r="M3" i="34"/>
  <c r="L3" i="34"/>
  <c r="K3" i="34"/>
  <c r="I3" i="34"/>
  <c r="H3" i="34"/>
  <c r="G3" i="34"/>
  <c r="G2" i="34"/>
  <c r="I2" i="34"/>
  <c r="K2" i="34"/>
  <c r="L2" i="34"/>
  <c r="M2" i="34"/>
  <c r="N2" i="34"/>
  <c r="O2" i="34"/>
  <c r="P2" i="34"/>
  <c r="R2" i="34"/>
  <c r="S2" i="34"/>
  <c r="T2" i="34"/>
  <c r="U2" i="34"/>
  <c r="V2" i="34"/>
  <c r="W2" i="34"/>
  <c r="X2" i="34"/>
  <c r="Y2" i="34"/>
  <c r="Z2" i="34"/>
  <c r="AC2" i="34"/>
  <c r="AD2" i="34"/>
  <c r="AF2" i="34"/>
  <c r="AG2" i="34"/>
  <c r="AH2" i="34"/>
  <c r="AI2" i="34"/>
  <c r="AJ2" i="34"/>
  <c r="AK2" i="34"/>
  <c r="AL2" i="34"/>
  <c r="AM2" i="34"/>
  <c r="AN2" i="34"/>
  <c r="AO2" i="34"/>
  <c r="AP2" i="34"/>
  <c r="AQ2" i="34"/>
  <c r="B13" i="34" l="1"/>
  <c r="B25" i="34"/>
  <c r="B33" i="34"/>
  <c r="B41" i="34"/>
  <c r="B45" i="34"/>
  <c r="B65" i="34"/>
  <c r="B93" i="34"/>
  <c r="B113" i="34"/>
  <c r="B133" i="34"/>
  <c r="B141" i="34"/>
  <c r="B145" i="34"/>
  <c r="B153" i="34"/>
  <c r="B169" i="34"/>
  <c r="B181" i="34"/>
  <c r="B189" i="34"/>
  <c r="B201" i="34"/>
  <c r="B213" i="34"/>
  <c r="B249" i="34"/>
  <c r="B253" i="34"/>
  <c r="B257" i="34"/>
  <c r="B261" i="34"/>
  <c r="B265" i="34"/>
  <c r="B269" i="34"/>
  <c r="B285" i="34"/>
  <c r="B293" i="34"/>
  <c r="B301" i="34"/>
  <c r="B305" i="34"/>
  <c r="B321" i="34"/>
  <c r="B325" i="34"/>
  <c r="B333" i="34"/>
  <c r="B337" i="34"/>
  <c r="B341" i="34"/>
  <c r="B369" i="34"/>
  <c r="B373" i="34"/>
  <c r="B377" i="34"/>
  <c r="B381" i="34"/>
  <c r="B385" i="34"/>
  <c r="B397" i="34"/>
  <c r="B409" i="34"/>
  <c r="B413" i="34"/>
  <c r="B421" i="34"/>
  <c r="B425" i="34"/>
  <c r="B429" i="34"/>
  <c r="B445" i="34"/>
  <c r="B453" i="34"/>
  <c r="B457" i="34"/>
  <c r="B465" i="34"/>
  <c r="B469" i="34"/>
  <c r="B501" i="34"/>
  <c r="B509" i="34"/>
  <c r="B517" i="34"/>
  <c r="B5" i="34"/>
  <c r="B9" i="34"/>
  <c r="B21" i="34"/>
  <c r="B29" i="34"/>
  <c r="B37" i="34"/>
  <c r="B53" i="34"/>
  <c r="B69" i="34"/>
  <c r="B73" i="34"/>
  <c r="B81" i="34"/>
  <c r="B89" i="34"/>
  <c r="B125" i="34"/>
  <c r="B149" i="34"/>
  <c r="B185" i="34"/>
  <c r="B193" i="34"/>
  <c r="B205" i="34"/>
  <c r="B217" i="34"/>
  <c r="B221" i="34"/>
  <c r="B233" i="34"/>
  <c r="B237" i="34"/>
  <c r="B245" i="34"/>
  <c r="B273" i="34"/>
  <c r="B281" i="34"/>
  <c r="B309" i="34"/>
  <c r="B313" i="34"/>
  <c r="B329" i="34"/>
  <c r="B353" i="34"/>
  <c r="B357" i="34"/>
  <c r="B361" i="34"/>
  <c r="B401" i="34"/>
  <c r="B441" i="34"/>
  <c r="B449" i="34"/>
  <c r="B477" i="34"/>
  <c r="B481" i="34"/>
  <c r="B493" i="34"/>
  <c r="B17" i="34"/>
  <c r="B49" i="34"/>
  <c r="B57" i="34"/>
  <c r="B61" i="34"/>
  <c r="B77" i="34"/>
  <c r="B85" i="34"/>
  <c r="B97" i="34"/>
  <c r="B101" i="34"/>
  <c r="B105" i="34"/>
  <c r="B109" i="34"/>
  <c r="B117" i="34"/>
  <c r="B121" i="34"/>
  <c r="B129" i="34"/>
  <c r="B137" i="34"/>
  <c r="B157" i="34"/>
  <c r="B161" i="34"/>
  <c r="B165" i="34"/>
  <c r="B173" i="34"/>
  <c r="B177" i="34"/>
  <c r="B197" i="34"/>
  <c r="B209" i="34"/>
  <c r="B225" i="34"/>
  <c r="B229" i="34"/>
  <c r="B241" i="34"/>
  <c r="B277" i="34"/>
  <c r="B289" i="34"/>
  <c r="B297" i="34"/>
  <c r="B317" i="34"/>
  <c r="B345" i="34"/>
  <c r="B349" i="34"/>
  <c r="B365" i="34"/>
  <c r="B389" i="34"/>
  <c r="B393" i="34"/>
  <c r="B405" i="34"/>
  <c r="B417" i="34"/>
  <c r="B433" i="34"/>
  <c r="B437" i="34"/>
  <c r="B461" i="34"/>
  <c r="B473" i="34"/>
  <c r="B485" i="34"/>
  <c r="B497" i="34"/>
  <c r="B505" i="34"/>
  <c r="B513" i="34"/>
  <c r="B20" i="34"/>
  <c r="B24" i="34"/>
  <c r="B28" i="34"/>
  <c r="B36" i="34"/>
  <c r="B40" i="34"/>
  <c r="B44" i="34"/>
  <c r="B48" i="34"/>
  <c r="B56" i="34"/>
  <c r="B60" i="34"/>
  <c r="B92" i="34"/>
  <c r="B104" i="34"/>
  <c r="B116" i="34"/>
  <c r="B120" i="34"/>
  <c r="B132" i="34"/>
  <c r="B136" i="34"/>
  <c r="B140" i="34"/>
  <c r="B148" i="34"/>
  <c r="B156" i="34"/>
  <c r="B160" i="34"/>
  <c r="B168" i="34"/>
  <c r="B172" i="34"/>
  <c r="B180" i="34"/>
  <c r="B184" i="34"/>
  <c r="B188" i="34"/>
  <c r="B204" i="34"/>
  <c r="B208" i="34"/>
  <c r="B232" i="34"/>
  <c r="B236" i="34"/>
  <c r="B252" i="34"/>
  <c r="B260" i="34"/>
  <c r="B276" i="34"/>
  <c r="B280" i="34"/>
  <c r="B284" i="34"/>
  <c r="B292" i="34"/>
  <c r="B296" i="34"/>
  <c r="B300" i="34"/>
  <c r="B304" i="34"/>
  <c r="B308" i="34"/>
  <c r="B312" i="34"/>
  <c r="B316" i="34"/>
  <c r="B332" i="34"/>
  <c r="B336" i="34"/>
  <c r="B340" i="34"/>
  <c r="B344" i="34"/>
  <c r="B364" i="34"/>
  <c r="B368" i="34"/>
  <c r="B372" i="34"/>
  <c r="B380" i="34"/>
  <c r="B384" i="34"/>
  <c r="B396" i="34"/>
  <c r="B400" i="34"/>
  <c r="B404" i="34"/>
  <c r="B412" i="34"/>
  <c r="B416" i="34"/>
  <c r="B420" i="34"/>
  <c r="B424" i="34"/>
  <c r="B432" i="34"/>
  <c r="B452" i="34"/>
  <c r="B460" i="34"/>
  <c r="B472" i="34"/>
  <c r="B484" i="34"/>
  <c r="B492" i="34"/>
  <c r="B496" i="34"/>
  <c r="B508" i="34"/>
  <c r="B2" i="34"/>
  <c r="B7" i="34"/>
  <c r="B23" i="34"/>
  <c r="B27" i="34"/>
  <c r="B51" i="34"/>
  <c r="B55" i="34"/>
  <c r="B59" i="34"/>
  <c r="B63" i="34"/>
  <c r="B67" i="34"/>
  <c r="B71" i="34"/>
  <c r="B75" i="34"/>
  <c r="B79" i="34"/>
  <c r="B83" i="34"/>
  <c r="B87" i="34"/>
  <c r="B91" i="34"/>
  <c r="B95" i="34"/>
  <c r="B99" i="34"/>
  <c r="B103" i="34"/>
  <c r="B107" i="34"/>
  <c r="B111" i="34"/>
  <c r="B115" i="34"/>
  <c r="B119" i="34"/>
  <c r="B123" i="34"/>
  <c r="B127" i="34"/>
  <c r="B131" i="34"/>
  <c r="B135" i="34"/>
  <c r="B139" i="34"/>
  <c r="B143" i="34"/>
  <c r="B147" i="34"/>
  <c r="B151" i="34"/>
  <c r="B159" i="34"/>
  <c r="B163" i="34"/>
  <c r="B167" i="34"/>
  <c r="B171" i="34"/>
  <c r="B175" i="34"/>
  <c r="B179" i="34"/>
  <c r="B183" i="34"/>
  <c r="B187" i="34"/>
  <c r="B191" i="34"/>
  <c r="B195" i="34"/>
  <c r="B199" i="34"/>
  <c r="B203" i="34"/>
  <c r="B207" i="34"/>
  <c r="B211" i="34"/>
  <c r="B215" i="34"/>
  <c r="B219" i="34"/>
  <c r="B223" i="34"/>
  <c r="B227" i="34"/>
  <c r="B231" i="34"/>
  <c r="B235" i="34"/>
  <c r="B239" i="34"/>
  <c r="B243" i="34"/>
  <c r="B247" i="34"/>
  <c r="B251" i="34"/>
  <c r="B255" i="34"/>
  <c r="B259" i="34"/>
  <c r="B263" i="34"/>
  <c r="B267" i="34"/>
  <c r="B271" i="34"/>
  <c r="B275" i="34"/>
  <c r="B279" i="34"/>
  <c r="B283" i="34"/>
  <c r="B287" i="34"/>
  <c r="B291" i="34"/>
  <c r="B295" i="34"/>
  <c r="B299" i="34"/>
  <c r="B303" i="34"/>
  <c r="B307" i="34"/>
  <c r="B311" i="34"/>
  <c r="B315" i="34"/>
  <c r="B319" i="34"/>
  <c r="B323" i="34"/>
  <c r="B327" i="34"/>
  <c r="B331" i="34"/>
  <c r="B335" i="34"/>
  <c r="B339" i="34"/>
  <c r="B343" i="34"/>
  <c r="B347" i="34"/>
  <c r="B351" i="34"/>
  <c r="B355" i="34"/>
  <c r="B359" i="34"/>
  <c r="B363" i="34"/>
  <c r="B367" i="34"/>
  <c r="B371" i="34"/>
  <c r="B375" i="34"/>
  <c r="B379" i="34"/>
  <c r="B383" i="34"/>
  <c r="B387" i="34"/>
  <c r="B391" i="34"/>
  <c r="B395" i="34"/>
  <c r="B399" i="34"/>
  <c r="B403" i="34"/>
  <c r="B407" i="34"/>
  <c r="B411" i="34"/>
  <c r="B415" i="34"/>
  <c r="B419" i="34"/>
  <c r="B423" i="34"/>
  <c r="B427" i="34"/>
  <c r="B431" i="34"/>
  <c r="B435" i="34"/>
  <c r="B439" i="34"/>
  <c r="B443" i="34"/>
  <c r="B447" i="34"/>
  <c r="B451" i="34"/>
  <c r="B455" i="34"/>
  <c r="B459" i="34"/>
  <c r="B463" i="34"/>
  <c r="B467" i="34"/>
  <c r="B471" i="34"/>
  <c r="B475" i="34"/>
  <c r="B479" i="34"/>
  <c r="B483" i="34"/>
  <c r="B487" i="34"/>
  <c r="B491" i="34"/>
  <c r="B495" i="34"/>
  <c r="B499" i="34"/>
  <c r="B503" i="34"/>
  <c r="B507" i="34"/>
  <c r="B515" i="34"/>
  <c r="B4" i="34"/>
  <c r="B8" i="34"/>
  <c r="B12" i="34"/>
  <c r="B16" i="34"/>
  <c r="B32" i="34"/>
  <c r="B52" i="34"/>
  <c r="B64" i="34"/>
  <c r="B68" i="34"/>
  <c r="B72" i="34"/>
  <c r="B76" i="34"/>
  <c r="B80" i="34"/>
  <c r="B84" i="34"/>
  <c r="B88" i="34"/>
  <c r="B96" i="34"/>
  <c r="B100" i="34"/>
  <c r="B108" i="34"/>
  <c r="B112" i="34"/>
  <c r="B124" i="34"/>
  <c r="B128" i="34"/>
  <c r="B144" i="34"/>
  <c r="B152" i="34"/>
  <c r="B164" i="34"/>
  <c r="B176" i="34"/>
  <c r="B192" i="34"/>
  <c r="B196" i="34"/>
  <c r="B200" i="34"/>
  <c r="B212" i="34"/>
  <c r="B216" i="34"/>
  <c r="B220" i="34"/>
  <c r="B224" i="34"/>
  <c r="B228" i="34"/>
  <c r="B240" i="34"/>
  <c r="B244" i="34"/>
  <c r="B248" i="34"/>
  <c r="B256" i="34"/>
  <c r="B264" i="34"/>
  <c r="B268" i="34"/>
  <c r="B272" i="34"/>
  <c r="B288" i="34"/>
  <c r="B320" i="34"/>
  <c r="B324" i="34"/>
  <c r="B328" i="34"/>
  <c r="B348" i="34"/>
  <c r="B352" i="34"/>
  <c r="B356" i="34"/>
  <c r="B360" i="34"/>
  <c r="B376" i="34"/>
  <c r="B388" i="34"/>
  <c r="B392" i="34"/>
  <c r="B408" i="34"/>
  <c r="B428" i="34"/>
  <c r="B436" i="34"/>
  <c r="B440" i="34"/>
  <c r="B444" i="34"/>
  <c r="B448" i="34"/>
  <c r="B456" i="34"/>
  <c r="B464" i="34"/>
  <c r="B468" i="34"/>
  <c r="B476" i="34"/>
  <c r="B480" i="34"/>
  <c r="B488" i="34"/>
  <c r="B500" i="34"/>
  <c r="B504" i="34"/>
  <c r="B512" i="34"/>
  <c r="B11" i="34"/>
  <c r="B15" i="34"/>
  <c r="B19" i="34"/>
  <c r="B31" i="34"/>
  <c r="B35" i="34"/>
  <c r="B39" i="34"/>
  <c r="B43" i="34"/>
  <c r="B47" i="34"/>
  <c r="B3" i="34"/>
  <c r="B6" i="34"/>
  <c r="B10" i="34"/>
  <c r="B14" i="34"/>
  <c r="B18" i="34"/>
  <c r="B22" i="34"/>
  <c r="B26" i="34"/>
  <c r="B30" i="34"/>
  <c r="B34" i="34"/>
  <c r="B38" i="34"/>
  <c r="B42" i="34"/>
  <c r="B46" i="34"/>
  <c r="B50" i="34"/>
  <c r="B54" i="34"/>
  <c r="B58" i="34"/>
  <c r="B62" i="34"/>
  <c r="B66" i="34"/>
  <c r="B70" i="34"/>
  <c r="B74" i="34"/>
  <c r="B78" i="34"/>
  <c r="B82" i="34"/>
  <c r="B86" i="34"/>
  <c r="B90" i="34"/>
  <c r="B94" i="34"/>
  <c r="B98" i="34"/>
  <c r="B102" i="34"/>
  <c r="B106" i="34"/>
  <c r="B110" i="34"/>
  <c r="B114" i="34"/>
  <c r="B118" i="34"/>
  <c r="B122" i="34"/>
  <c r="B126" i="34"/>
  <c r="B130" i="34"/>
  <c r="B134" i="34"/>
  <c r="B138" i="34"/>
  <c r="B142" i="34"/>
  <c r="B146" i="34"/>
  <c r="B150" i="34"/>
  <c r="B154" i="34"/>
  <c r="B158" i="34"/>
  <c r="B162" i="34"/>
  <c r="B166" i="34"/>
  <c r="B170" i="34"/>
  <c r="B174" i="34"/>
  <c r="B178" i="34"/>
  <c r="B182" i="34"/>
  <c r="B186" i="34"/>
  <c r="B190" i="34"/>
  <c r="B194" i="34"/>
  <c r="B198" i="34"/>
  <c r="B202" i="34"/>
  <c r="B206" i="34"/>
  <c r="B210" i="34"/>
  <c r="B214" i="34"/>
  <c r="B218" i="34"/>
  <c r="B222" i="34"/>
  <c r="B226" i="34"/>
  <c r="B230" i="34"/>
  <c r="B234" i="34"/>
  <c r="B238" i="34"/>
  <c r="B242" i="34"/>
  <c r="B246" i="34"/>
  <c r="B250" i="34"/>
  <c r="B254" i="34"/>
  <c r="B258" i="34"/>
  <c r="B262" i="34"/>
  <c r="B266" i="34"/>
  <c r="B270" i="34"/>
  <c r="B274" i="34"/>
  <c r="B278" i="34"/>
  <c r="B282" i="34"/>
  <c r="B286" i="34"/>
  <c r="B290" i="34"/>
  <c r="B294" i="34"/>
  <c r="B298" i="34"/>
  <c r="B302" i="34"/>
  <c r="B306" i="34"/>
  <c r="B310" i="34"/>
  <c r="B314" i="34"/>
  <c r="B318" i="34"/>
  <c r="B322" i="34"/>
  <c r="B326" i="34"/>
  <c r="B330" i="34"/>
  <c r="B334" i="34"/>
  <c r="B338" i="34"/>
  <c r="B342" i="34"/>
  <c r="B346" i="34"/>
  <c r="B350" i="34"/>
  <c r="B354" i="34"/>
  <c r="B358" i="34"/>
  <c r="B362" i="34"/>
  <c r="B366" i="34"/>
  <c r="B370" i="34"/>
  <c r="B374" i="34"/>
  <c r="B378" i="34"/>
  <c r="B382" i="34"/>
  <c r="B386" i="34"/>
  <c r="B390" i="34"/>
  <c r="B394" i="34"/>
  <c r="B398" i="34"/>
  <c r="B402" i="34"/>
  <c r="B406" i="34"/>
  <c r="B410" i="34"/>
  <c r="B414" i="34"/>
  <c r="B418" i="34"/>
  <c r="B422" i="34"/>
  <c r="B426" i="34"/>
  <c r="B430" i="34"/>
  <c r="B434" i="34"/>
  <c r="B438" i="34"/>
  <c r="B442" i="34"/>
  <c r="B446" i="34"/>
  <c r="B450" i="34"/>
  <c r="B454" i="34"/>
  <c r="B458" i="34"/>
  <c r="B462" i="34"/>
  <c r="B466" i="34"/>
  <c r="B470" i="34"/>
  <c r="B474" i="34"/>
  <c r="B478" i="34"/>
  <c r="B482" i="34"/>
  <c r="B486" i="34"/>
  <c r="B490" i="34"/>
  <c r="B494" i="34"/>
  <c r="B502" i="34"/>
  <c r="B506" i="34"/>
  <c r="B510" i="34"/>
  <c r="D3" i="18"/>
  <c r="D4" i="18"/>
  <c r="D5" i="18"/>
  <c r="D6" i="18"/>
  <c r="D7" i="18"/>
  <c r="D8" i="18"/>
  <c r="D9" i="18"/>
  <c r="D10" i="18"/>
  <c r="D11" i="18"/>
  <c r="D12" i="18"/>
  <c r="D13" i="18"/>
  <c r="D14" i="18"/>
  <c r="D15" i="18"/>
  <c r="D16" i="18"/>
  <c r="D17" i="18"/>
  <c r="D18" i="18"/>
  <c r="D19" i="18"/>
  <c r="D20" i="18"/>
  <c r="D21" i="18"/>
  <c r="D22" i="18"/>
  <c r="D23" i="18"/>
  <c r="D24" i="18"/>
  <c r="D25" i="18"/>
  <c r="D26" i="18"/>
  <c r="D27" i="18"/>
  <c r="D28" i="18"/>
  <c r="D29" i="18"/>
  <c r="D30" i="18"/>
  <c r="D31" i="18"/>
  <c r="D32" i="18"/>
  <c r="D33" i="18"/>
  <c r="D34" i="18"/>
  <c r="D35" i="18"/>
  <c r="D36" i="18"/>
  <c r="D37" i="18"/>
  <c r="D38" i="18"/>
  <c r="D39" i="18"/>
  <c r="D40" i="18"/>
  <c r="D41" i="18"/>
  <c r="D42" i="18"/>
  <c r="D43" i="18"/>
  <c r="D44" i="18"/>
  <c r="D45" i="18"/>
  <c r="D46" i="18"/>
  <c r="D47" i="18"/>
  <c r="D48" i="18"/>
  <c r="D49" i="18"/>
  <c r="D50" i="18"/>
  <c r="D51" i="18"/>
  <c r="D52" i="18"/>
  <c r="D53" i="18"/>
  <c r="D54" i="18"/>
  <c r="D55" i="18"/>
  <c r="D56" i="18"/>
  <c r="D57" i="18"/>
  <c r="D58" i="18"/>
  <c r="D59" i="18"/>
  <c r="D60" i="18"/>
  <c r="D61" i="18"/>
  <c r="D62" i="18"/>
  <c r="D63" i="18"/>
  <c r="D64" i="18"/>
  <c r="D65" i="18"/>
  <c r="D66" i="18"/>
  <c r="D67" i="18"/>
  <c r="D68" i="18"/>
  <c r="D93" i="18"/>
  <c r="D70" i="18"/>
  <c r="D94" i="18"/>
  <c r="D95" i="18"/>
  <c r="D69" i="18"/>
  <c r="D71" i="18"/>
  <c r="D78" i="18"/>
  <c r="D76" i="18"/>
  <c r="D77" i="18"/>
  <c r="D96" i="18"/>
  <c r="D79" i="18"/>
  <c r="D80" i="18"/>
  <c r="D73" i="18"/>
  <c r="D82" i="18"/>
  <c r="D83" i="18"/>
  <c r="D81" i="18"/>
  <c r="D85" i="18"/>
  <c r="D84" i="18"/>
  <c r="D87" i="18"/>
  <c r="D88" i="18"/>
  <c r="D86" i="18"/>
  <c r="D108" i="18"/>
  <c r="D91" i="18"/>
  <c r="D92" i="18"/>
  <c r="D98" i="18"/>
  <c r="D89" i="18"/>
  <c r="D74" i="18"/>
  <c r="D90" i="18"/>
  <c r="D97" i="18"/>
  <c r="D103" i="18"/>
  <c r="D99" i="18"/>
  <c r="D100" i="18"/>
  <c r="D101" i="18"/>
  <c r="D72" i="18"/>
  <c r="D75" i="18"/>
  <c r="D104" i="18"/>
  <c r="D105" i="18"/>
  <c r="D106" i="18"/>
  <c r="D107" i="18"/>
  <c r="D102" i="18"/>
  <c r="D109" i="18"/>
  <c r="D110" i="18"/>
  <c r="D2" i="18"/>
  <c r="B52" i="10" l="1"/>
  <c r="L18" i="2"/>
  <c r="M4" i="2" s="1"/>
  <c r="O17" i="13"/>
  <c r="O18" i="13"/>
  <c r="O19" i="13"/>
  <c r="O20" i="13"/>
  <c r="O21" i="13"/>
  <c r="O22" i="13"/>
  <c r="O23" i="13"/>
  <c r="O24" i="13"/>
  <c r="O25" i="13"/>
  <c r="N17" i="13"/>
  <c r="N18" i="13"/>
  <c r="N19" i="13"/>
  <c r="N20" i="13"/>
  <c r="N21" i="13"/>
  <c r="N22" i="13"/>
  <c r="N23" i="13"/>
  <c r="N24" i="13"/>
  <c r="N25" i="13"/>
  <c r="N16" i="13"/>
  <c r="K7" i="13" l="1"/>
  <c r="K4" i="13"/>
  <c r="I9" i="13"/>
  <c r="I5" i="13"/>
  <c r="I8" i="13"/>
  <c r="I6" i="13"/>
  <c r="I4" i="13"/>
  <c r="I7" i="13"/>
  <c r="K6" i="13"/>
  <c r="K9" i="13"/>
  <c r="K8" i="13"/>
  <c r="K5" i="13"/>
  <c r="C8" i="13"/>
  <c r="C5" i="13"/>
  <c r="C9" i="13"/>
  <c r="C6" i="13"/>
  <c r="C4" i="13"/>
  <c r="C7" i="13"/>
  <c r="G8" i="13"/>
  <c r="G5" i="13"/>
  <c r="G9" i="13"/>
  <c r="G6" i="13"/>
  <c r="G4" i="13"/>
  <c r="G7" i="13"/>
  <c r="E6" i="13"/>
  <c r="E4" i="13"/>
  <c r="E7" i="13"/>
  <c r="E8" i="13"/>
  <c r="E5" i="13"/>
  <c r="E9" i="13"/>
  <c r="M6" i="13" l="1"/>
  <c r="M9" i="13"/>
  <c r="M5" i="13"/>
  <c r="M8" i="13"/>
  <c r="M7" i="13"/>
  <c r="M4" i="13"/>
  <c r="K10" i="13"/>
  <c r="L3" i="13" s="1"/>
  <c r="I10" i="13"/>
  <c r="J3" i="13" l="1"/>
  <c r="A517" i="34"/>
  <c r="A312" i="34"/>
  <c r="A304" i="34"/>
  <c r="A301" i="34"/>
  <c r="A283" i="34"/>
  <c r="A261" i="34"/>
  <c r="A245" i="34"/>
  <c r="A233" i="34"/>
  <c r="A231" i="34"/>
  <c r="A224" i="34"/>
  <c r="A221" i="34"/>
  <c r="A220" i="34"/>
  <c r="A167" i="34"/>
  <c r="A162" i="34"/>
  <c r="A138" i="34"/>
  <c r="A126" i="34"/>
  <c r="A124" i="34"/>
  <c r="A116" i="34"/>
  <c r="A108" i="34"/>
  <c r="A100" i="34"/>
  <c r="A99" i="34"/>
  <c r="A79" i="34"/>
  <c r="A30" i="34"/>
  <c r="A17" i="34"/>
  <c r="A6" i="34"/>
  <c r="A515" i="34"/>
  <c r="A513" i="34"/>
  <c r="A512" i="34"/>
  <c r="A510" i="34"/>
  <c r="A508" i="34"/>
  <c r="A507" i="34"/>
  <c r="A505" i="34"/>
  <c r="A502" i="34"/>
  <c r="A501" i="34"/>
  <c r="A496" i="34"/>
  <c r="A494" i="34"/>
  <c r="A492" i="34"/>
  <c r="A490" i="34"/>
  <c r="A488" i="34"/>
  <c r="A486" i="34"/>
  <c r="A484" i="34"/>
  <c r="A483" i="34"/>
  <c r="A481" i="34"/>
  <c r="A480" i="34"/>
  <c r="A477" i="34"/>
  <c r="A474" i="34"/>
  <c r="A472" i="34"/>
  <c r="A470" i="34"/>
  <c r="A468" i="34"/>
  <c r="A466" i="34"/>
  <c r="A465" i="34"/>
  <c r="A453" i="34"/>
  <c r="A451" i="34"/>
  <c r="A449" i="34"/>
  <c r="A448" i="34"/>
  <c r="A446" i="34"/>
  <c r="A444" i="34"/>
  <c r="A442" i="34"/>
  <c r="A440" i="34"/>
  <c r="A438" i="34"/>
  <c r="A436" i="34"/>
  <c r="A434" i="34"/>
  <c r="A432" i="34"/>
  <c r="A430" i="34"/>
  <c r="A428" i="34"/>
  <c r="A427" i="34"/>
  <c r="A424" i="34"/>
  <c r="A422" i="34"/>
  <c r="A420" i="34"/>
  <c r="A418" i="34"/>
  <c r="A416" i="34"/>
  <c r="A413" i="34"/>
  <c r="A411" i="34"/>
  <c r="A409" i="34"/>
  <c r="A407" i="34"/>
  <c r="A406" i="34"/>
  <c r="A404" i="34"/>
  <c r="A400" i="34"/>
  <c r="A398" i="34"/>
  <c r="A396" i="34"/>
  <c r="A393" i="34"/>
  <c r="A392" i="34"/>
  <c r="A390" i="34"/>
  <c r="A389" i="34"/>
  <c r="A386" i="34"/>
  <c r="A383" i="34"/>
  <c r="A382" i="34"/>
  <c r="A379" i="34"/>
  <c r="A378" i="34"/>
  <c r="A375" i="34"/>
  <c r="A372" i="34"/>
  <c r="A371" i="34"/>
  <c r="A368" i="34"/>
  <c r="A367" i="34"/>
  <c r="A364" i="34"/>
  <c r="A363" i="34"/>
  <c r="A361" i="34"/>
  <c r="A358" i="34"/>
  <c r="A357" i="34"/>
  <c r="A356" i="34"/>
  <c r="A354" i="34"/>
  <c r="A353" i="34"/>
  <c r="A350" i="34"/>
  <c r="A349" i="34"/>
  <c r="A347" i="34"/>
  <c r="A346" i="34"/>
  <c r="A344" i="34"/>
  <c r="A343" i="34"/>
  <c r="A342" i="34"/>
  <c r="A340" i="34"/>
  <c r="A339" i="34"/>
  <c r="A337" i="34"/>
  <c r="A334" i="34"/>
  <c r="A333" i="34"/>
  <c r="A331" i="34"/>
  <c r="A330" i="34"/>
  <c r="A329" i="34"/>
  <c r="A327" i="34"/>
  <c r="A326" i="34"/>
  <c r="A325" i="34"/>
  <c r="A324" i="34"/>
  <c r="A323" i="34"/>
  <c r="A322" i="34"/>
  <c r="A321" i="34"/>
  <c r="A320" i="34"/>
  <c r="A319" i="34"/>
  <c r="A318" i="34"/>
  <c r="A317" i="34"/>
  <c r="A316" i="34"/>
  <c r="A315" i="34"/>
  <c r="A314" i="34"/>
  <c r="A313" i="34"/>
  <c r="A311" i="34"/>
  <c r="A310" i="34"/>
  <c r="A309" i="34"/>
  <c r="A308" i="34"/>
  <c r="A307" i="34"/>
  <c r="A306" i="34"/>
  <c r="A305" i="34"/>
  <c r="A303" i="34"/>
  <c r="A302" i="34"/>
  <c r="A300" i="34"/>
  <c r="A299" i="34"/>
  <c r="A298" i="34"/>
  <c r="A297" i="34"/>
  <c r="A296" i="34"/>
  <c r="A295" i="34"/>
  <c r="A294" i="34"/>
  <c r="A293" i="34"/>
  <c r="A292" i="34"/>
  <c r="A291" i="34"/>
  <c r="A290" i="34"/>
  <c r="A289" i="34"/>
  <c r="A288" i="34"/>
  <c r="A287" i="34"/>
  <c r="A286" i="34"/>
  <c r="A285" i="34"/>
  <c r="A284" i="34"/>
  <c r="A282" i="34"/>
  <c r="A281" i="34"/>
  <c r="A280" i="34"/>
  <c r="A279" i="34"/>
  <c r="A278" i="34"/>
  <c r="A277" i="34"/>
  <c r="A276" i="34"/>
  <c r="A275" i="34"/>
  <c r="A274" i="34"/>
  <c r="A273" i="34"/>
  <c r="A272" i="34"/>
  <c r="A271" i="34"/>
  <c r="A270" i="34"/>
  <c r="A269" i="34"/>
  <c r="A268" i="34"/>
  <c r="A267" i="34"/>
  <c r="A266" i="34"/>
  <c r="A265" i="34"/>
  <c r="A264" i="34"/>
  <c r="A263" i="34"/>
  <c r="A262" i="34"/>
  <c r="A260" i="34"/>
  <c r="A259" i="34"/>
  <c r="A258" i="34"/>
  <c r="A257" i="34"/>
  <c r="A256" i="34"/>
  <c r="A255" i="34"/>
  <c r="A254" i="34"/>
  <c r="A253" i="34"/>
  <c r="A252" i="34"/>
  <c r="A251" i="34"/>
  <c r="A250" i="34"/>
  <c r="A249" i="34"/>
  <c r="A248" i="34"/>
  <c r="A247" i="34"/>
  <c r="A246" i="34"/>
  <c r="A244" i="34"/>
  <c r="A243" i="34"/>
  <c r="A242" i="34"/>
  <c r="A241" i="34"/>
  <c r="A240" i="34"/>
  <c r="A239" i="34"/>
  <c r="A238" i="34"/>
  <c r="A237" i="34"/>
  <c r="A236" i="34"/>
  <c r="A235" i="34"/>
  <c r="A234" i="34"/>
  <c r="A232" i="34"/>
  <c r="A230" i="34"/>
  <c r="A229" i="34"/>
  <c r="A228" i="34"/>
  <c r="A227" i="34"/>
  <c r="A226" i="34"/>
  <c r="A225" i="34"/>
  <c r="A223" i="34"/>
  <c r="A222" i="34"/>
  <c r="A219" i="34"/>
  <c r="A218" i="34"/>
  <c r="A217" i="34"/>
  <c r="A216" i="34"/>
  <c r="A215" i="34"/>
  <c r="A214" i="34"/>
  <c r="A213" i="34"/>
  <c r="A212" i="34"/>
  <c r="A211" i="34"/>
  <c r="A210" i="34"/>
  <c r="A209" i="34"/>
  <c r="A208" i="34"/>
  <c r="A207" i="34"/>
  <c r="A206" i="34"/>
  <c r="A205" i="34"/>
  <c r="A204" i="34"/>
  <c r="A203" i="34"/>
  <c r="A202" i="34"/>
  <c r="A201" i="34"/>
  <c r="A200" i="34"/>
  <c r="A199" i="34"/>
  <c r="A198" i="34"/>
  <c r="A197" i="34"/>
  <c r="A196" i="34"/>
  <c r="A195" i="34"/>
  <c r="A194" i="34"/>
  <c r="A193" i="34"/>
  <c r="A192" i="34"/>
  <c r="A191" i="34"/>
  <c r="A190" i="34"/>
  <c r="A189" i="34"/>
  <c r="A188" i="34"/>
  <c r="A187" i="34"/>
  <c r="A186" i="34"/>
  <c r="A185" i="34"/>
  <c r="A184" i="34"/>
  <c r="A183" i="34"/>
  <c r="A182" i="34"/>
  <c r="A181" i="34"/>
  <c r="A180" i="34"/>
  <c r="A179" i="34"/>
  <c r="A178" i="34"/>
  <c r="A177" i="34"/>
  <c r="A176" i="34"/>
  <c r="A175" i="34"/>
  <c r="A174" i="34"/>
  <c r="A173" i="34"/>
  <c r="A172" i="34"/>
  <c r="A171" i="34"/>
  <c r="A170" i="34"/>
  <c r="A169" i="34"/>
  <c r="A168" i="34"/>
  <c r="A166" i="34"/>
  <c r="A165" i="34"/>
  <c r="A164" i="34"/>
  <c r="A163" i="34"/>
  <c r="A161" i="34"/>
  <c r="A160" i="34"/>
  <c r="A159" i="34"/>
  <c r="A158" i="34"/>
  <c r="A157" i="34"/>
  <c r="A156" i="34"/>
  <c r="A154" i="34"/>
  <c r="A153" i="34"/>
  <c r="A152" i="34"/>
  <c r="A151" i="34"/>
  <c r="A150" i="34"/>
  <c r="A149" i="34"/>
  <c r="A148" i="34"/>
  <c r="A147" i="34"/>
  <c r="A146" i="34"/>
  <c r="A145" i="34"/>
  <c r="A144" i="34"/>
  <c r="A143" i="34"/>
  <c r="A142" i="34"/>
  <c r="A141" i="34"/>
  <c r="A140" i="34"/>
  <c r="A139" i="34"/>
  <c r="A137" i="34"/>
  <c r="A136" i="34"/>
  <c r="A135" i="34"/>
  <c r="A134" i="34"/>
  <c r="A133" i="34"/>
  <c r="A132" i="34"/>
  <c r="A131" i="34"/>
  <c r="A130" i="34"/>
  <c r="A129" i="34"/>
  <c r="A128" i="34"/>
  <c r="A127" i="34"/>
  <c r="A125" i="34"/>
  <c r="A123" i="34"/>
  <c r="A122" i="34"/>
  <c r="A121" i="34"/>
  <c r="A120" i="34"/>
  <c r="A119" i="34"/>
  <c r="A118" i="34"/>
  <c r="A117" i="34"/>
  <c r="A115" i="34"/>
  <c r="A114" i="34"/>
  <c r="A113" i="34"/>
  <c r="A112" i="34"/>
  <c r="A111" i="34"/>
  <c r="A110" i="34"/>
  <c r="A109" i="34"/>
  <c r="A107" i="34"/>
  <c r="A106" i="34"/>
  <c r="A105" i="34"/>
  <c r="A104" i="34"/>
  <c r="A103" i="34"/>
  <c r="A102" i="34"/>
  <c r="A101" i="34"/>
  <c r="A98" i="34"/>
  <c r="A97" i="34"/>
  <c r="A96" i="34"/>
  <c r="A95" i="34"/>
  <c r="A94" i="34"/>
  <c r="A93" i="34"/>
  <c r="A92" i="34"/>
  <c r="A91" i="34"/>
  <c r="A90" i="34"/>
  <c r="A89" i="34"/>
  <c r="A88" i="34"/>
  <c r="A87" i="34"/>
  <c r="A86" i="34"/>
  <c r="A85" i="34"/>
  <c r="A84" i="34"/>
  <c r="A83" i="34"/>
  <c r="A82" i="34"/>
  <c r="A81" i="34"/>
  <c r="A80" i="34"/>
  <c r="A78" i="34"/>
  <c r="A77" i="34"/>
  <c r="A76" i="34"/>
  <c r="A75" i="34"/>
  <c r="A74" i="34"/>
  <c r="A73" i="34"/>
  <c r="A72" i="34"/>
  <c r="A71" i="34"/>
  <c r="A70" i="34"/>
  <c r="A69" i="34"/>
  <c r="A68" i="34"/>
  <c r="A67" i="34"/>
  <c r="A66" i="34"/>
  <c r="A65" i="34"/>
  <c r="A64" i="34"/>
  <c r="A63" i="34"/>
  <c r="A62" i="34"/>
  <c r="A61" i="34"/>
  <c r="A60" i="34"/>
  <c r="A59" i="34"/>
  <c r="A58" i="34"/>
  <c r="A57" i="34"/>
  <c r="A56" i="34"/>
  <c r="A55" i="34"/>
  <c r="A54" i="34"/>
  <c r="A53" i="34"/>
  <c r="A52" i="34"/>
  <c r="A51" i="34"/>
  <c r="A50" i="34"/>
  <c r="A49" i="34"/>
  <c r="A48" i="34"/>
  <c r="A47" i="34"/>
  <c r="A46" i="34"/>
  <c r="A45" i="34"/>
  <c r="A44" i="34"/>
  <c r="A43" i="34"/>
  <c r="A42" i="34"/>
  <c r="A41" i="34"/>
  <c r="A40" i="34"/>
  <c r="A39" i="34"/>
  <c r="A38" i="34"/>
  <c r="A37" i="34"/>
  <c r="A36" i="34"/>
  <c r="A35" i="34"/>
  <c r="A34" i="34"/>
  <c r="A33" i="34"/>
  <c r="A32" i="34"/>
  <c r="A31" i="34"/>
  <c r="A29" i="34"/>
  <c r="A28" i="34"/>
  <c r="A27" i="34"/>
  <c r="A26" i="34"/>
  <c r="A25" i="34"/>
  <c r="A24" i="34"/>
  <c r="A23" i="34"/>
  <c r="A22" i="34"/>
  <c r="A21" i="34"/>
  <c r="A20" i="34"/>
  <c r="A19" i="34"/>
  <c r="A18" i="34"/>
  <c r="A16" i="34"/>
  <c r="A15" i="34"/>
  <c r="A14" i="34"/>
  <c r="A13" i="34"/>
  <c r="A12" i="34"/>
  <c r="A11" i="34"/>
  <c r="A10" i="34"/>
  <c r="A9" i="34"/>
  <c r="A8" i="34"/>
  <c r="A7" i="34"/>
  <c r="A5" i="34"/>
  <c r="A4" i="34"/>
  <c r="A3" i="34"/>
  <c r="D9" i="4" l="1"/>
  <c r="D4" i="4"/>
  <c r="D8" i="4"/>
  <c r="D12" i="4"/>
  <c r="D16" i="4"/>
  <c r="D20" i="4"/>
  <c r="D24" i="4"/>
  <c r="D28" i="4"/>
  <c r="D32" i="4"/>
  <c r="J4" i="4"/>
  <c r="J3" i="4"/>
  <c r="D10" i="4"/>
  <c r="D18" i="4"/>
  <c r="D22" i="4"/>
  <c r="D30" i="4"/>
  <c r="J6" i="4"/>
  <c r="D7" i="4"/>
  <c r="D15" i="4"/>
  <c r="D23" i="4"/>
  <c r="D31" i="4"/>
  <c r="D5" i="4"/>
  <c r="D13" i="4"/>
  <c r="D17" i="4"/>
  <c r="D21" i="4"/>
  <c r="D25" i="4"/>
  <c r="D29" i="4"/>
  <c r="D3" i="4"/>
  <c r="E3" i="4" s="1"/>
  <c r="E4" i="4" s="1"/>
  <c r="J5" i="4"/>
  <c r="D6" i="4"/>
  <c r="D14" i="4"/>
  <c r="D26" i="4"/>
  <c r="D11" i="4"/>
  <c r="D19" i="4"/>
  <c r="D27" i="4"/>
  <c r="J7" i="4"/>
  <c r="B57" i="10"/>
  <c r="J13" i="10"/>
  <c r="J9" i="10"/>
  <c r="J5" i="10"/>
  <c r="H12" i="10"/>
  <c r="H8" i="10"/>
  <c r="H4" i="10"/>
  <c r="F11" i="10"/>
  <c r="F7" i="10"/>
  <c r="D14" i="10"/>
  <c r="D10" i="10"/>
  <c r="D5" i="10"/>
  <c r="F13" i="10"/>
  <c r="F5" i="10"/>
  <c r="D8" i="10"/>
  <c r="J10" i="10"/>
  <c r="H13" i="10"/>
  <c r="H5" i="10"/>
  <c r="F8" i="10"/>
  <c r="D11" i="10"/>
  <c r="D6" i="10"/>
  <c r="J12" i="10"/>
  <c r="J8" i="10"/>
  <c r="J4" i="10"/>
  <c r="H11" i="10"/>
  <c r="H7" i="10"/>
  <c r="F14" i="10"/>
  <c r="F10" i="10"/>
  <c r="F6" i="10"/>
  <c r="D13" i="10"/>
  <c r="D9" i="10"/>
  <c r="D4" i="10"/>
  <c r="J11" i="10"/>
  <c r="J7" i="10"/>
  <c r="H14" i="10"/>
  <c r="H10" i="10"/>
  <c r="H6" i="10"/>
  <c r="F9" i="10"/>
  <c r="D12" i="10"/>
  <c r="B4" i="10"/>
  <c r="J14" i="10"/>
  <c r="J6" i="10"/>
  <c r="H9" i="10"/>
  <c r="F12" i="10"/>
  <c r="F4" i="10"/>
  <c r="D7" i="10"/>
  <c r="B11" i="10"/>
  <c r="B7" i="10"/>
  <c r="B14" i="10"/>
  <c r="B10" i="10"/>
  <c r="B6" i="10"/>
  <c r="B9" i="10"/>
  <c r="B5" i="10"/>
  <c r="B12" i="10"/>
  <c r="B8" i="10"/>
  <c r="B13" i="10"/>
  <c r="A2" i="34"/>
  <c r="A426" i="34"/>
  <c r="A476" i="34"/>
  <c r="A503" i="34"/>
  <c r="A500" i="34"/>
  <c r="A506" i="34"/>
  <c r="A348" i="34"/>
  <c r="A351" i="34"/>
  <c r="A359" i="34"/>
  <c r="A365" i="34"/>
  <c r="A369" i="34"/>
  <c r="A373" i="34"/>
  <c r="A376" i="34"/>
  <c r="A380" i="34"/>
  <c r="A384" i="34"/>
  <c r="A387" i="34"/>
  <c r="A394" i="34"/>
  <c r="A405" i="34"/>
  <c r="A454" i="34"/>
  <c r="A458" i="34"/>
  <c r="A462" i="34"/>
  <c r="A478" i="34"/>
  <c r="A482" i="34"/>
  <c r="A403" i="34"/>
  <c r="A328" i="34"/>
  <c r="A336" i="34"/>
  <c r="A345" i="34"/>
  <c r="A352" i="34"/>
  <c r="A360" i="34"/>
  <c r="A362" i="34"/>
  <c r="A366" i="34"/>
  <c r="A370" i="34"/>
  <c r="A374" i="34"/>
  <c r="A377" i="34"/>
  <c r="A381" i="34"/>
  <c r="A385" i="34"/>
  <c r="A388" i="34"/>
  <c r="A391" i="34"/>
  <c r="A395" i="34"/>
  <c r="A399" i="34"/>
  <c r="A402" i="34"/>
  <c r="A410" i="34"/>
  <c r="A414" i="34"/>
  <c r="A417" i="34"/>
  <c r="A421" i="34"/>
  <c r="A429" i="34"/>
  <c r="A433" i="34"/>
  <c r="A437" i="34"/>
  <c r="A441" i="34"/>
  <c r="A445" i="34"/>
  <c r="A452" i="34"/>
  <c r="A455" i="34"/>
  <c r="A459" i="34"/>
  <c r="A463" i="34"/>
  <c r="A467" i="34"/>
  <c r="A471" i="34"/>
  <c r="A475" i="34"/>
  <c r="A479" i="34"/>
  <c r="A487" i="34"/>
  <c r="A491" i="34"/>
  <c r="A495" i="34"/>
  <c r="A499" i="34"/>
  <c r="A509" i="34"/>
  <c r="A425" i="34"/>
  <c r="A456" i="34"/>
  <c r="A460" i="34"/>
  <c r="A464" i="34"/>
  <c r="A332" i="34"/>
  <c r="A335" i="34"/>
  <c r="A338" i="34"/>
  <c r="P8" i="9" s="1"/>
  <c r="A341" i="34"/>
  <c r="A397" i="34"/>
  <c r="A401" i="34"/>
  <c r="A408" i="34"/>
  <c r="A412" i="34"/>
  <c r="A415" i="34"/>
  <c r="A419" i="34"/>
  <c r="A423" i="34"/>
  <c r="A431" i="34"/>
  <c r="A435" i="34"/>
  <c r="A439" i="34"/>
  <c r="A443" i="34"/>
  <c r="A447" i="34"/>
  <c r="A450" i="34"/>
  <c r="A457" i="34"/>
  <c r="A461" i="34"/>
  <c r="A469" i="34"/>
  <c r="A473" i="34"/>
  <c r="A485" i="34"/>
  <c r="A493" i="34"/>
  <c r="A497" i="34"/>
  <c r="A504" i="34"/>
  <c r="A355" i="34"/>
  <c r="J5" i="30"/>
  <c r="F5" i="30"/>
  <c r="B5" i="30"/>
  <c r="H5" i="30"/>
  <c r="F4" i="30"/>
  <c r="B4" i="30"/>
  <c r="J4" i="30"/>
  <c r="D5" i="30"/>
  <c r="D4" i="30"/>
  <c r="H4" i="30"/>
  <c r="F11" i="3"/>
  <c r="G10" i="13"/>
  <c r="E10" i="13"/>
  <c r="F3" i="13" s="1"/>
  <c r="O26" i="13"/>
  <c r="J7" i="2" l="1"/>
  <c r="H8" i="9"/>
  <c r="P5" i="9"/>
  <c r="N7" i="9"/>
  <c r="C36" i="10"/>
  <c r="D34" i="10"/>
  <c r="D32" i="10"/>
  <c r="E30" i="10"/>
  <c r="B28" i="10"/>
  <c r="F28" i="10"/>
  <c r="D36" i="10"/>
  <c r="F32" i="10"/>
  <c r="E28" i="10"/>
  <c r="F36" i="10"/>
  <c r="B36" i="10"/>
  <c r="C34" i="10"/>
  <c r="C32" i="10"/>
  <c r="D30" i="10"/>
  <c r="C28" i="10"/>
  <c r="E34" i="10"/>
  <c r="B30" i="10"/>
  <c r="E36" i="10"/>
  <c r="F34" i="10"/>
  <c r="B34" i="10"/>
  <c r="B32" i="10"/>
  <c r="C30" i="10"/>
  <c r="D28" i="10"/>
  <c r="E32" i="10"/>
  <c r="F30" i="10"/>
  <c r="D7" i="2"/>
  <c r="L12" i="10"/>
  <c r="L5" i="30"/>
  <c r="L4" i="30"/>
  <c r="D20" i="10"/>
  <c r="H6" i="9"/>
  <c r="F22" i="10"/>
  <c r="H12" i="2"/>
  <c r="J5" i="9"/>
  <c r="D18" i="2"/>
  <c r="E4" i="2" s="1"/>
  <c r="B21" i="10"/>
  <c r="R5" i="9"/>
  <c r="D14" i="2"/>
  <c r="D5" i="2"/>
  <c r="T8" i="9"/>
  <c r="B7" i="9"/>
  <c r="H15" i="2"/>
  <c r="R8" i="9"/>
  <c r="J6" i="9"/>
  <c r="D7" i="9"/>
  <c r="J7" i="13"/>
  <c r="J9" i="13"/>
  <c r="J5" i="13"/>
  <c r="J6" i="13"/>
  <c r="J4" i="13"/>
  <c r="J8" i="13"/>
  <c r="J10" i="13"/>
  <c r="H3" i="13"/>
  <c r="L4" i="13"/>
  <c r="L7" i="13"/>
  <c r="L10" i="13"/>
  <c r="L5" i="13"/>
  <c r="L9" i="13"/>
  <c r="L8" i="13"/>
  <c r="L6" i="13"/>
  <c r="C25" i="3"/>
  <c r="D25" i="3"/>
  <c r="E23" i="3"/>
  <c r="C21" i="3"/>
  <c r="D21" i="3"/>
  <c r="E19" i="3"/>
  <c r="C17" i="3"/>
  <c r="D17" i="3"/>
  <c r="J5" i="3"/>
  <c r="B5" i="3"/>
  <c r="J6" i="3"/>
  <c r="H8" i="3"/>
  <c r="F7" i="3"/>
  <c r="D9" i="3"/>
  <c r="D4" i="3"/>
  <c r="B6" i="3"/>
  <c r="I21" i="3"/>
  <c r="G19" i="3"/>
  <c r="B19" i="3"/>
  <c r="F17" i="3"/>
  <c r="J7" i="3"/>
  <c r="H7" i="3"/>
  <c r="F9" i="3"/>
  <c r="F4" i="3"/>
  <c r="D6" i="3"/>
  <c r="B8" i="3"/>
  <c r="I23" i="3"/>
  <c r="G25" i="3"/>
  <c r="B25" i="3"/>
  <c r="F23" i="3"/>
  <c r="G21" i="3"/>
  <c r="B21" i="3"/>
  <c r="F19" i="3"/>
  <c r="G17" i="3"/>
  <c r="B17" i="3"/>
  <c r="H5" i="3"/>
  <c r="J9" i="3"/>
  <c r="J4" i="3"/>
  <c r="H6" i="3"/>
  <c r="F8" i="3"/>
  <c r="D7" i="3"/>
  <c r="B9" i="3"/>
  <c r="B4" i="3"/>
  <c r="I19" i="3"/>
  <c r="E25" i="3"/>
  <c r="C23" i="3"/>
  <c r="D23" i="3"/>
  <c r="E21" i="3"/>
  <c r="C19" i="3"/>
  <c r="D19" i="3"/>
  <c r="E17" i="3"/>
  <c r="F5" i="3"/>
  <c r="J8" i="3"/>
  <c r="H9" i="3"/>
  <c r="H4" i="3"/>
  <c r="F6" i="3"/>
  <c r="D8" i="3"/>
  <c r="B7" i="3"/>
  <c r="I25" i="3"/>
  <c r="I17" i="3"/>
  <c r="F25" i="3"/>
  <c r="G23" i="3"/>
  <c r="B23" i="3"/>
  <c r="F21" i="3"/>
  <c r="D5" i="3"/>
  <c r="B8" i="9"/>
  <c r="D6" i="9"/>
  <c r="H5" i="9"/>
  <c r="H14" i="2"/>
  <c r="D11" i="2"/>
  <c r="F21" i="10"/>
  <c r="B14" i="2"/>
  <c r="T6" i="9"/>
  <c r="B6" i="2"/>
  <c r="D8" i="9"/>
  <c r="H7" i="9"/>
  <c r="D13" i="2"/>
  <c r="F5" i="9"/>
  <c r="L6" i="9"/>
  <c r="F20" i="10"/>
  <c r="B7" i="2"/>
  <c r="N8" i="9"/>
  <c r="D5" i="9"/>
  <c r="B15" i="2"/>
  <c r="F7" i="2"/>
  <c r="R6" i="9"/>
  <c r="B12" i="2"/>
  <c r="F11" i="2"/>
  <c r="J11" i="3"/>
  <c r="K3" i="3" s="1"/>
  <c r="D9" i="2"/>
  <c r="F13" i="2"/>
  <c r="J11" i="2"/>
  <c r="B20" i="10"/>
  <c r="D12" i="2"/>
  <c r="P6" i="9"/>
  <c r="T7" i="9"/>
  <c r="D11" i="3"/>
  <c r="F8" i="9"/>
  <c r="V8" i="9" s="1"/>
  <c r="B11" i="3"/>
  <c r="L7" i="9"/>
  <c r="J9" i="2"/>
  <c r="H13" i="2"/>
  <c r="N6" i="9"/>
  <c r="H8" i="2"/>
  <c r="B5" i="2"/>
  <c r="B10" i="2"/>
  <c r="J18" i="2"/>
  <c r="K4" i="2" s="1"/>
  <c r="H10" i="2"/>
  <c r="F9" i="2"/>
  <c r="F16" i="2"/>
  <c r="N5" i="9"/>
  <c r="F7" i="9"/>
  <c r="J6" i="2"/>
  <c r="J8" i="9"/>
  <c r="J13" i="2"/>
  <c r="L5" i="9"/>
  <c r="J8" i="2"/>
  <c r="H5" i="2"/>
  <c r="F19" i="10"/>
  <c r="J12" i="2"/>
  <c r="B53" i="10"/>
  <c r="B55" i="10"/>
  <c r="B54" i="10"/>
  <c r="B56" i="10"/>
  <c r="L4" i="10"/>
  <c r="X6" i="9"/>
  <c r="F18" i="2"/>
  <c r="G4" i="2" s="1"/>
  <c r="H7" i="2"/>
  <c r="F8" i="2"/>
  <c r="B6" i="9"/>
  <c r="F23" i="10"/>
  <c r="H11" i="2"/>
  <c r="D23" i="10"/>
  <c r="F10" i="2"/>
  <c r="B13" i="2"/>
  <c r="L13" i="2" s="1"/>
  <c r="J7" i="9"/>
  <c r="B23" i="10"/>
  <c r="D8" i="2"/>
  <c r="J10" i="2"/>
  <c r="B16" i="2"/>
  <c r="B9" i="2"/>
  <c r="T5" i="9"/>
  <c r="J5" i="2"/>
  <c r="F14" i="2"/>
  <c r="F15" i="2"/>
  <c r="F6" i="9"/>
  <c r="J10" i="3"/>
  <c r="B11" i="2"/>
  <c r="L11" i="2" s="1"/>
  <c r="J14" i="2"/>
  <c r="D16" i="2"/>
  <c r="R7" i="9"/>
  <c r="R9" i="9" s="1"/>
  <c r="S4" i="9" s="1"/>
  <c r="D10" i="2"/>
  <c r="H18" i="2"/>
  <c r="I4" i="2" s="1"/>
  <c r="L8" i="9"/>
  <c r="X8" i="9" s="1"/>
  <c r="H11" i="3"/>
  <c r="I3" i="3" s="1"/>
  <c r="F6" i="2"/>
  <c r="J16" i="2"/>
  <c r="H16" i="2"/>
  <c r="D22" i="10"/>
  <c r="D21" i="10"/>
  <c r="B8" i="2"/>
  <c r="L8" i="2" s="1"/>
  <c r="B22" i="10"/>
  <c r="H9" i="2"/>
  <c r="H6" i="2"/>
  <c r="B5" i="9"/>
  <c r="V5" i="9" s="1"/>
  <c r="F12" i="2"/>
  <c r="B19" i="10"/>
  <c r="L19" i="10" s="1"/>
  <c r="D6" i="2"/>
  <c r="H10" i="3"/>
  <c r="D19" i="10"/>
  <c r="J15" i="2"/>
  <c r="F5" i="2"/>
  <c r="P7" i="9"/>
  <c r="X7" i="9" s="1"/>
  <c r="D15" i="2"/>
  <c r="B18" i="2"/>
  <c r="C4" i="2" s="1"/>
  <c r="B10" i="3"/>
  <c r="C4" i="3" s="1"/>
  <c r="H6" i="30"/>
  <c r="I6" i="30" s="1"/>
  <c r="N9" i="9"/>
  <c r="O4" i="9" s="1"/>
  <c r="J6" i="30"/>
  <c r="K6" i="30" s="1"/>
  <c r="D10" i="3"/>
  <c r="T9" i="9"/>
  <c r="U4" i="9" s="1"/>
  <c r="H10" i="13"/>
  <c r="H8" i="13"/>
  <c r="H9" i="13"/>
  <c r="H7" i="13"/>
  <c r="H5" i="13"/>
  <c r="H4" i="13"/>
  <c r="H6" i="13"/>
  <c r="F5" i="13"/>
  <c r="F6" i="13"/>
  <c r="F10" i="13"/>
  <c r="F7" i="13"/>
  <c r="F8" i="13"/>
  <c r="F9" i="13"/>
  <c r="F4" i="13"/>
  <c r="F6" i="30"/>
  <c r="G6" i="30" s="1"/>
  <c r="D6" i="30"/>
  <c r="E6" i="30" s="1"/>
  <c r="B6" i="30"/>
  <c r="C6" i="30" s="1"/>
  <c r="F11" i="5"/>
  <c r="D38" i="10" l="1"/>
  <c r="C38" i="10"/>
  <c r="F38" i="10"/>
  <c r="B38" i="10"/>
  <c r="E38" i="10"/>
  <c r="L20" i="10"/>
  <c r="L21" i="10"/>
  <c r="L22" i="10"/>
  <c r="L23" i="10"/>
  <c r="G5" i="5"/>
  <c r="X5" i="9"/>
  <c r="J8" i="4"/>
  <c r="I2" i="4" s="1"/>
  <c r="L4" i="3"/>
  <c r="B27" i="3"/>
  <c r="L5" i="3"/>
  <c r="J17" i="2"/>
  <c r="L5" i="2"/>
  <c r="L7" i="2"/>
  <c r="L16" i="2"/>
  <c r="L15" i="2"/>
  <c r="L14" i="2"/>
  <c r="L12" i="2"/>
  <c r="L9" i="2"/>
  <c r="L10" i="2"/>
  <c r="L6" i="2"/>
  <c r="I5" i="3"/>
  <c r="I4" i="3"/>
  <c r="E4" i="3"/>
  <c r="L9" i="3"/>
  <c r="L6" i="3"/>
  <c r="L7" i="3"/>
  <c r="H17" i="3"/>
  <c r="B18" i="3" s="1"/>
  <c r="H25" i="3"/>
  <c r="L11" i="3"/>
  <c r="H21" i="3"/>
  <c r="H22" i="3" s="1"/>
  <c r="L8" i="3"/>
  <c r="H23" i="3"/>
  <c r="H19" i="3"/>
  <c r="C10" i="3"/>
  <c r="F27" i="3"/>
  <c r="A24" i="3"/>
  <c r="C27" i="3"/>
  <c r="D27" i="3"/>
  <c r="G27" i="3"/>
  <c r="E27" i="3"/>
  <c r="V7" i="9"/>
  <c r="V6" i="9"/>
  <c r="P9" i="9"/>
  <c r="Q4" i="9" s="1"/>
  <c r="F10" i="3"/>
  <c r="H17" i="2"/>
  <c r="A26" i="3"/>
  <c r="C5" i="3"/>
  <c r="K4" i="30"/>
  <c r="E5" i="3"/>
  <c r="K5" i="30"/>
  <c r="I5" i="30"/>
  <c r="I4" i="30"/>
  <c r="G4" i="30"/>
  <c r="G5" i="30"/>
  <c r="C4" i="30"/>
  <c r="C5" i="30"/>
  <c r="E4" i="30"/>
  <c r="E5" i="30"/>
  <c r="L6" i="30"/>
  <c r="G10" i="5"/>
  <c r="G6" i="5"/>
  <c r="G11" i="5"/>
  <c r="G8" i="5"/>
  <c r="G4" i="5"/>
  <c r="G7" i="5"/>
  <c r="G9" i="5"/>
  <c r="R5" i="5"/>
  <c r="P5" i="5"/>
  <c r="P4" i="5"/>
  <c r="P6" i="5" l="1"/>
  <c r="P7" i="5" s="1"/>
  <c r="Q7" i="5" s="1"/>
  <c r="E26" i="3"/>
  <c r="A20" i="3"/>
  <c r="H24" i="3"/>
  <c r="D24" i="3"/>
  <c r="H26" i="3"/>
  <c r="C24" i="3"/>
  <c r="B24" i="3"/>
  <c r="G5" i="3"/>
  <c r="G4" i="3"/>
  <c r="K4" i="3"/>
  <c r="H18" i="3"/>
  <c r="F24" i="3"/>
  <c r="G24" i="3"/>
  <c r="H20" i="3"/>
  <c r="B26" i="3"/>
  <c r="D26" i="3"/>
  <c r="F26" i="3"/>
  <c r="C26" i="3"/>
  <c r="E24" i="3"/>
  <c r="G26" i="3"/>
  <c r="B20" i="3"/>
  <c r="L10" i="3"/>
  <c r="A18" i="3"/>
  <c r="K5" i="3"/>
  <c r="M5" i="30"/>
  <c r="M3" i="30"/>
  <c r="M4" i="30"/>
  <c r="M6" i="30"/>
  <c r="C32" i="5"/>
  <c r="E18" i="3"/>
  <c r="M5" i="3" l="1"/>
  <c r="M4" i="3"/>
  <c r="Q6" i="5"/>
  <c r="Q5" i="5"/>
  <c r="Q4" i="5"/>
  <c r="F18" i="3"/>
  <c r="C20" i="3"/>
  <c r="C18" i="3"/>
  <c r="G18" i="3"/>
  <c r="D18" i="3"/>
  <c r="A22" i="3" l="1"/>
  <c r="I27" i="3"/>
  <c r="H27" i="3" s="1"/>
  <c r="H28" i="3" s="1"/>
  <c r="D22" i="3"/>
  <c r="B22" i="3"/>
  <c r="F20" i="3"/>
  <c r="G20" i="3"/>
  <c r="G22" i="3"/>
  <c r="F22" i="3"/>
  <c r="E22" i="3"/>
  <c r="C22" i="3"/>
  <c r="D20" i="3"/>
  <c r="E20" i="3"/>
  <c r="B28" i="3" l="1"/>
  <c r="A28" i="3"/>
  <c r="C28" i="3"/>
  <c r="F28" i="3"/>
  <c r="E28" i="3"/>
  <c r="D28" i="3"/>
  <c r="G28" i="3"/>
  <c r="H9" i="9"/>
  <c r="I4" i="9" s="1"/>
  <c r="F9" i="9"/>
  <c r="G4" i="9" s="1"/>
  <c r="L9" i="9"/>
  <c r="M4" i="9" s="1"/>
  <c r="J9" i="9"/>
  <c r="K4" i="9" s="1"/>
  <c r="D12" i="9"/>
  <c r="B12" i="9"/>
  <c r="D9" i="9"/>
  <c r="B9" i="9"/>
  <c r="D16" i="9"/>
  <c r="B16" i="9"/>
  <c r="D15" i="9"/>
  <c r="B15" i="9"/>
  <c r="D14" i="9"/>
  <c r="B14" i="9"/>
  <c r="D13" i="9"/>
  <c r="B13" i="9"/>
  <c r="V9" i="9" l="1"/>
  <c r="W4" i="9" s="1"/>
  <c r="C12" i="9" s="1"/>
  <c r="X9" i="9"/>
  <c r="Y4" i="9" s="1"/>
  <c r="E12" i="9" s="1"/>
  <c r="E9" i="9"/>
  <c r="E4" i="9"/>
  <c r="C6" i="9"/>
  <c r="C4" i="9"/>
  <c r="O5" i="9"/>
  <c r="O8" i="9"/>
  <c r="O6" i="9"/>
  <c r="O7" i="9"/>
  <c r="O9" i="9"/>
  <c r="Q8" i="9"/>
  <c r="Q6" i="9"/>
  <c r="Q7" i="9"/>
  <c r="Q9" i="9"/>
  <c r="Q5" i="9"/>
  <c r="S5" i="9"/>
  <c r="S8" i="9"/>
  <c r="S6" i="9"/>
  <c r="S7" i="9"/>
  <c r="S9" i="9"/>
  <c r="U8" i="9"/>
  <c r="U6" i="9"/>
  <c r="U7" i="9"/>
  <c r="U9" i="9"/>
  <c r="U5" i="9"/>
  <c r="G7" i="9"/>
  <c r="G8" i="9"/>
  <c r="G9" i="9"/>
  <c r="G6" i="9"/>
  <c r="G5" i="9"/>
  <c r="K9" i="9"/>
  <c r="K6" i="9"/>
  <c r="K5" i="9"/>
  <c r="K7" i="9"/>
  <c r="K8" i="9"/>
  <c r="M6" i="9"/>
  <c r="M5" i="9"/>
  <c r="M7" i="9"/>
  <c r="M8" i="9"/>
  <c r="M9" i="9"/>
  <c r="I8" i="9"/>
  <c r="I9" i="9"/>
  <c r="I6" i="9"/>
  <c r="I5" i="9"/>
  <c r="I7" i="9"/>
  <c r="C5" i="9"/>
  <c r="E6" i="9"/>
  <c r="C7" i="9"/>
  <c r="E5" i="9"/>
  <c r="G14" i="9"/>
  <c r="G15" i="9"/>
  <c r="F16" i="9"/>
  <c r="F14" i="9"/>
  <c r="F15" i="9"/>
  <c r="F13" i="9"/>
  <c r="G13" i="9"/>
  <c r="G16" i="9"/>
  <c r="E7" i="9"/>
  <c r="C9" i="9"/>
  <c r="C8" i="9"/>
  <c r="E8" i="9"/>
  <c r="W7" i="9" l="1"/>
  <c r="C15" i="9" s="1"/>
  <c r="Y5" i="9"/>
  <c r="E13" i="9" s="1"/>
  <c r="W8" i="9"/>
  <c r="C16" i="9" s="1"/>
  <c r="W5" i="9"/>
  <c r="C13" i="9" s="1"/>
  <c r="W6" i="9"/>
  <c r="C14" i="9" s="1"/>
  <c r="Y9" i="9"/>
  <c r="E17" i="9" s="1"/>
  <c r="D17" i="9"/>
  <c r="Y7" i="9"/>
  <c r="E15" i="9" s="1"/>
  <c r="W9" i="9"/>
  <c r="C17" i="9" s="1"/>
  <c r="B17" i="9"/>
  <c r="Y8" i="9"/>
  <c r="E16" i="9" s="1"/>
  <c r="Y6" i="9"/>
  <c r="E14" i="9" s="1"/>
  <c r="E5" i="4" l="1"/>
  <c r="E6" i="4" s="1"/>
  <c r="E7" i="4" s="1"/>
  <c r="E8" i="4" s="1"/>
  <c r="E9" i="4" s="1"/>
  <c r="E10" i="4" s="1"/>
  <c r="E11" i="4" s="1"/>
  <c r="E12" i="4" s="1"/>
  <c r="E13" i="4" s="1"/>
  <c r="E14" i="4" s="1"/>
  <c r="E15" i="4" s="1"/>
  <c r="E16" i="4" s="1"/>
  <c r="E17" i="4" s="1"/>
  <c r="E18" i="4" s="1"/>
  <c r="E19" i="4" s="1"/>
  <c r="E20" i="4" s="1"/>
  <c r="E21" i="4" s="1"/>
  <c r="E22" i="4" s="1"/>
  <c r="E23" i="4" s="1"/>
  <c r="E24" i="4" s="1"/>
  <c r="E25" i="4" s="1"/>
  <c r="E26" i="4" s="1"/>
  <c r="E27" i="4" s="1"/>
  <c r="E28" i="4" s="1"/>
  <c r="E29" i="4" s="1"/>
  <c r="E30" i="4" s="1"/>
  <c r="E31" i="4" s="1"/>
  <c r="E32" i="4" s="1"/>
  <c r="E33" i="4" s="1"/>
  <c r="E34" i="4" s="1"/>
  <c r="E35" i="4" s="1"/>
  <c r="E36" i="4" s="1"/>
  <c r="E37" i="4" s="1"/>
  <c r="E38" i="4" s="1"/>
  <c r="E39" i="4" s="1"/>
  <c r="E40" i="4" s="1"/>
  <c r="E41" i="4" s="1"/>
  <c r="E42" i="4" s="1"/>
  <c r="E43" i="4" s="1"/>
  <c r="E44" i="4" s="1"/>
  <c r="E45" i="4" s="1"/>
  <c r="E46" i="4" s="1"/>
  <c r="E47" i="4" s="1"/>
  <c r="E48" i="4" s="1"/>
  <c r="E49" i="4" s="1"/>
  <c r="E50" i="4" s="1"/>
  <c r="E51" i="4" s="1"/>
  <c r="E52" i="4" s="1"/>
  <c r="E53" i="4" s="1"/>
  <c r="E54" i="4" s="1"/>
  <c r="E55" i="4" s="1"/>
  <c r="E56" i="4" s="1"/>
  <c r="G3" i="3" l="1"/>
  <c r="E3" i="3"/>
  <c r="F17" i="2" l="1"/>
  <c r="D17" i="2"/>
  <c r="F24" i="10"/>
  <c r="D24" i="10"/>
  <c r="F15" i="10"/>
  <c r="D15" i="10"/>
  <c r="G18" i="10" l="1"/>
  <c r="G22" i="10"/>
  <c r="G20" i="10"/>
  <c r="G19" i="10"/>
  <c r="G23" i="10"/>
  <c r="G21" i="10"/>
  <c r="E18" i="10"/>
  <c r="E20" i="10"/>
  <c r="E23" i="10"/>
  <c r="E21" i="10"/>
  <c r="E19" i="10"/>
  <c r="E22" i="10"/>
  <c r="G13" i="10"/>
  <c r="G4" i="10"/>
  <c r="G7" i="10"/>
  <c r="G15" i="10"/>
  <c r="G12" i="10"/>
  <c r="E15" i="10"/>
  <c r="E12" i="10"/>
  <c r="I14" i="2"/>
  <c r="I12" i="2"/>
  <c r="I11" i="2"/>
  <c r="I8" i="2"/>
  <c r="I7" i="2"/>
  <c r="I15" i="2"/>
  <c r="I16" i="2"/>
  <c r="I10" i="2"/>
  <c r="I13" i="2"/>
  <c r="I9" i="2"/>
  <c r="I6" i="2"/>
  <c r="I5" i="2"/>
  <c r="I17" i="2"/>
  <c r="G17" i="2"/>
  <c r="K14" i="2"/>
  <c r="K12" i="2"/>
  <c r="K11" i="2"/>
  <c r="K8" i="2"/>
  <c r="K7" i="2"/>
  <c r="K15" i="2"/>
  <c r="K16" i="2"/>
  <c r="K10" i="2"/>
  <c r="K13" i="2"/>
  <c r="K9" i="2"/>
  <c r="K6" i="2"/>
  <c r="K5" i="2"/>
  <c r="K17" i="2"/>
  <c r="E10" i="3"/>
  <c r="I9" i="3"/>
  <c r="I6" i="3"/>
  <c r="I8" i="3"/>
  <c r="I7" i="3"/>
  <c r="I10" i="3"/>
  <c r="K8" i="3"/>
  <c r="K6" i="3"/>
  <c r="K9" i="3"/>
  <c r="K7" i="3"/>
  <c r="K10" i="3"/>
  <c r="E7" i="10"/>
  <c r="E3" i="10"/>
  <c r="G10" i="10"/>
  <c r="G3" i="10"/>
  <c r="E13" i="10"/>
  <c r="E6" i="10"/>
  <c r="E4" i="10"/>
  <c r="E5" i="10"/>
  <c r="E10" i="10"/>
  <c r="G11" i="10"/>
  <c r="E9" i="10"/>
  <c r="G8" i="10"/>
  <c r="E14" i="10"/>
  <c r="E8" i="10"/>
  <c r="G5" i="10"/>
  <c r="G9" i="10"/>
  <c r="G14" i="10"/>
  <c r="G6" i="10"/>
  <c r="G12" i="2"/>
  <c r="E8" i="3"/>
  <c r="G6" i="2"/>
  <c r="G7" i="2"/>
  <c r="G10" i="2"/>
  <c r="G16" i="2"/>
  <c r="G14" i="2"/>
  <c r="G15" i="2"/>
  <c r="G8" i="2"/>
  <c r="E7" i="3"/>
  <c r="G13" i="2"/>
  <c r="G5" i="2"/>
  <c r="G9" i="2"/>
  <c r="G11" i="2"/>
  <c r="E9" i="3"/>
  <c r="E6" i="3"/>
  <c r="E7" i="2"/>
  <c r="E11" i="2"/>
  <c r="E14" i="2"/>
  <c r="E9" i="2"/>
  <c r="E8" i="2"/>
  <c r="E13" i="2"/>
  <c r="E17" i="2"/>
  <c r="E10" i="2"/>
  <c r="E15" i="2"/>
  <c r="E12" i="2"/>
  <c r="E6" i="2"/>
  <c r="E16" i="2"/>
  <c r="E5" i="2"/>
  <c r="G8" i="3"/>
  <c r="G10" i="3"/>
  <c r="G7" i="3"/>
  <c r="G9" i="3"/>
  <c r="G6" i="3"/>
  <c r="E11" i="10"/>
  <c r="B24" i="10" l="1"/>
  <c r="N4" i="5"/>
  <c r="N5" i="5"/>
  <c r="D11" i="5"/>
  <c r="E4" i="5" s="1"/>
  <c r="J4" i="5" l="1"/>
  <c r="T4" i="5" s="1"/>
  <c r="H11" i="5"/>
  <c r="R4" i="5"/>
  <c r="C18" i="10"/>
  <c r="C19" i="10"/>
  <c r="H21" i="10"/>
  <c r="J21" i="10"/>
  <c r="E11" i="5"/>
  <c r="E5" i="5"/>
  <c r="E9" i="5"/>
  <c r="E6" i="5"/>
  <c r="E10" i="5"/>
  <c r="E7" i="5"/>
  <c r="E8" i="5"/>
  <c r="T5" i="5"/>
  <c r="B32" i="5"/>
  <c r="L24" i="10"/>
  <c r="C21" i="10"/>
  <c r="G24" i="10"/>
  <c r="E24" i="10"/>
  <c r="N6" i="5"/>
  <c r="N7" i="5" s="1"/>
  <c r="C24" i="10"/>
  <c r="C22" i="10"/>
  <c r="C23" i="10"/>
  <c r="C20" i="10"/>
  <c r="R6" i="5" l="1"/>
  <c r="R7" i="5" s="1"/>
  <c r="D32" i="5"/>
  <c r="I4" i="5"/>
  <c r="I11" i="5"/>
  <c r="I7" i="5"/>
  <c r="I6" i="5"/>
  <c r="I10" i="5"/>
  <c r="I9" i="5"/>
  <c r="I8" i="5"/>
  <c r="I5" i="5"/>
  <c r="J23" i="10"/>
  <c r="H23" i="10"/>
  <c r="J19" i="10"/>
  <c r="H19" i="10"/>
  <c r="J20" i="10"/>
  <c r="H20" i="10"/>
  <c r="J22" i="10"/>
  <c r="H22" i="10"/>
  <c r="M22" i="10"/>
  <c r="M18" i="10"/>
  <c r="M20" i="10"/>
  <c r="M24" i="10"/>
  <c r="M23" i="10"/>
  <c r="O6" i="5"/>
  <c r="J11" i="5"/>
  <c r="M19" i="10"/>
  <c r="M21" i="10"/>
  <c r="O4" i="5"/>
  <c r="O7" i="5"/>
  <c r="O5" i="5"/>
  <c r="U3" i="5" l="1"/>
  <c r="T6" i="5"/>
  <c r="K11" i="5"/>
  <c r="K3" i="5"/>
  <c r="S4" i="5"/>
  <c r="E32" i="5" s="1"/>
  <c r="S5" i="5"/>
  <c r="S7" i="5"/>
  <c r="S6" i="5"/>
  <c r="H24" i="10"/>
  <c r="I21" i="10" s="1"/>
  <c r="J24" i="10"/>
  <c r="K21" i="10" s="1"/>
  <c r="K7" i="5"/>
  <c r="T7" i="5"/>
  <c r="G25" i="5" s="1"/>
  <c r="K9" i="5"/>
  <c r="U5" i="5"/>
  <c r="K8" i="5"/>
  <c r="K4" i="5"/>
  <c r="U6" i="5"/>
  <c r="U4" i="5"/>
  <c r="K10" i="5"/>
  <c r="K6" i="5"/>
  <c r="K5" i="5"/>
  <c r="B15" i="10"/>
  <c r="K19" i="10" l="1"/>
  <c r="K22" i="10"/>
  <c r="K20" i="10"/>
  <c r="K23" i="10"/>
  <c r="I19" i="10"/>
  <c r="I23" i="10"/>
  <c r="I22" i="10"/>
  <c r="I20" i="10"/>
  <c r="C13" i="10"/>
  <c r="C14" i="10"/>
  <c r="C12" i="10"/>
  <c r="K24" i="10"/>
  <c r="K18" i="10"/>
  <c r="I18" i="10"/>
  <c r="I24" i="10"/>
  <c r="C10" i="10"/>
  <c r="C3" i="10"/>
  <c r="U7" i="5"/>
  <c r="C8" i="10"/>
  <c r="C9" i="10"/>
  <c r="C7" i="10"/>
  <c r="C4" i="10"/>
  <c r="C6" i="10"/>
  <c r="C5" i="10"/>
  <c r="C15" i="10"/>
  <c r="C11" i="10"/>
  <c r="M3" i="3"/>
  <c r="C3" i="3"/>
  <c r="C9" i="3" l="1"/>
  <c r="C7" i="3"/>
  <c r="C8" i="3"/>
  <c r="C6" i="3"/>
  <c r="B17" i="2"/>
  <c r="L17" i="2" s="1"/>
  <c r="C15" i="2" l="1"/>
  <c r="C12" i="2"/>
  <c r="C16" i="2"/>
  <c r="C17" i="2"/>
  <c r="C8" i="2"/>
  <c r="C11" i="2"/>
  <c r="C10" i="2"/>
  <c r="C6" i="2"/>
  <c r="C9" i="2"/>
  <c r="C14" i="2"/>
  <c r="C7" i="2"/>
  <c r="C5" i="2"/>
  <c r="C13" i="2"/>
  <c r="G31" i="5" l="1"/>
  <c r="G30" i="5"/>
  <c r="C10" i="13"/>
  <c r="D3" i="13" s="1"/>
  <c r="G32" i="5" l="1"/>
  <c r="G26" i="5" s="1"/>
  <c r="D7" i="13"/>
  <c r="D8" i="13"/>
  <c r="D9" i="13"/>
  <c r="D10" i="13"/>
  <c r="D4" i="13"/>
  <c r="D5" i="13"/>
  <c r="D6" i="13"/>
  <c r="M10" i="13" l="1"/>
  <c r="O27" i="13" l="1"/>
  <c r="N3" i="13"/>
  <c r="N15" i="13"/>
  <c r="N10" i="13"/>
  <c r="N8" i="13"/>
  <c r="N7" i="13"/>
  <c r="N5" i="13"/>
  <c r="N9" i="13"/>
  <c r="N4" i="13"/>
  <c r="G27" i="5" s="1"/>
  <c r="N6" i="13"/>
  <c r="P16" i="13" l="1"/>
  <c r="P19" i="13"/>
  <c r="P20" i="13"/>
  <c r="P21" i="13"/>
  <c r="P22" i="13"/>
  <c r="P23" i="13"/>
  <c r="P18" i="13"/>
  <c r="P27" i="13"/>
  <c r="P24" i="13"/>
  <c r="P17" i="13"/>
  <c r="P25" i="13"/>
  <c r="P26" i="13"/>
  <c r="C53" i="10"/>
  <c r="C54" i="10"/>
  <c r="C55" i="10"/>
  <c r="C56" i="10"/>
  <c r="C57" i="10"/>
  <c r="C52" i="10"/>
  <c r="L11" i="17" l="1"/>
  <c r="L10" i="17"/>
  <c r="M7" i="3" l="1"/>
  <c r="L5" i="10" l="1"/>
  <c r="L6" i="10"/>
  <c r="L14" i="10"/>
  <c r="L10" i="10"/>
  <c r="L11" i="10"/>
  <c r="L7" i="10"/>
  <c r="L13" i="10"/>
  <c r="L8" i="10"/>
  <c r="L9" i="10"/>
  <c r="H15" i="10"/>
  <c r="I12" i="10" s="1"/>
  <c r="J15" i="10"/>
  <c r="M8" i="3"/>
  <c r="M10" i="3"/>
  <c r="M6" i="3"/>
  <c r="M9" i="3"/>
  <c r="K3" i="10" l="1"/>
  <c r="K12" i="10"/>
  <c r="I13" i="10"/>
  <c r="L15" i="10"/>
  <c r="M12" i="10" s="1"/>
  <c r="K8" i="10"/>
  <c r="K13" i="10"/>
  <c r="I3" i="10"/>
  <c r="I5" i="10"/>
  <c r="I9" i="10"/>
  <c r="K11" i="10"/>
  <c r="I8" i="10"/>
  <c r="K14" i="10"/>
  <c r="K7" i="10"/>
  <c r="K10" i="10"/>
  <c r="K4" i="10"/>
  <c r="K15" i="10" s="1"/>
  <c r="I6" i="10"/>
  <c r="K9" i="10"/>
  <c r="K5" i="10"/>
  <c r="I7" i="10"/>
  <c r="K6" i="10"/>
  <c r="I11" i="10"/>
  <c r="I4" i="10"/>
  <c r="I14" i="10"/>
  <c r="I10" i="10"/>
  <c r="I15" i="10" l="1"/>
  <c r="M3" i="10"/>
  <c r="M15" i="10"/>
  <c r="M14" i="10"/>
  <c r="M5" i="10"/>
  <c r="M8" i="10"/>
  <c r="M4" i="10"/>
  <c r="M11" i="10"/>
  <c r="M7" i="10"/>
  <c r="M9" i="10"/>
  <c r="M10" i="10"/>
  <c r="M6" i="10"/>
  <c r="M13" i="10"/>
  <c r="M15" i="2" l="1"/>
  <c r="M16" i="2" l="1"/>
  <c r="M8" i="2"/>
  <c r="M13" i="2"/>
  <c r="M10" i="2"/>
  <c r="M17" i="2"/>
  <c r="M9" i="2"/>
  <c r="M6" i="2"/>
  <c r="M12" i="2"/>
  <c r="M5" i="2"/>
  <c r="M14" i="2"/>
  <c r="M11" i="2"/>
  <c r="M7" i="2"/>
  <c r="G32" i="10"/>
  <c r="G36" i="10"/>
  <c r="G34" i="10"/>
  <c r="G28" i="10"/>
  <c r="G30" i="10"/>
  <c r="A29" i="10" l="1"/>
  <c r="G29" i="10"/>
  <c r="D29" i="10"/>
  <c r="F29" i="10"/>
  <c r="B29" i="10"/>
  <c r="C29" i="10"/>
  <c r="E29" i="10"/>
  <c r="G31" i="10"/>
  <c r="C31" i="10"/>
  <c r="F31" i="10"/>
  <c r="E31" i="10"/>
  <c r="D31" i="10"/>
  <c r="B31" i="10"/>
  <c r="G38" i="10"/>
  <c r="F39" i="10" s="1"/>
  <c r="G33" i="10"/>
  <c r="D33" i="10"/>
  <c r="F33" i="10"/>
  <c r="E33" i="10"/>
  <c r="G35" i="10"/>
  <c r="B35" i="10"/>
  <c r="E35" i="10"/>
  <c r="C35" i="10"/>
  <c r="D35" i="10"/>
  <c r="F35" i="10"/>
  <c r="D37" i="10"/>
  <c r="E37" i="10"/>
  <c r="A35" i="10"/>
  <c r="A33" i="10"/>
  <c r="A31" i="10"/>
  <c r="A37" i="10"/>
  <c r="C37" i="10"/>
  <c r="G37" i="10"/>
  <c r="F37" i="10"/>
  <c r="B37" i="10"/>
  <c r="D39" i="10" l="1"/>
  <c r="G39" i="10"/>
  <c r="C39" i="10"/>
  <c r="E39" i="10"/>
  <c r="B39" i="10"/>
  <c r="A39" i="10"/>
</calcChain>
</file>

<file path=xl/comments1.xml><?xml version="1.0" encoding="utf-8"?>
<comments xmlns="http://schemas.openxmlformats.org/spreadsheetml/2006/main">
  <authors>
    <author>Eric</author>
  </authors>
  <commentList>
    <comment ref="N8" authorId="0" shapeId="0">
      <text>
        <r>
          <rPr>
            <b/>
            <sz val="9"/>
            <color indexed="81"/>
            <rFont val="Tahoma"/>
            <family val="2"/>
          </rPr>
          <t>Eric:</t>
        </r>
        <r>
          <rPr>
            <sz val="9"/>
            <color indexed="81"/>
            <rFont val="Tahoma"/>
            <family val="2"/>
          </rPr>
          <t xml:space="preserve">
Ajout cf dde AirRA par CR le 27/01</t>
        </r>
      </text>
    </comment>
    <comment ref="H31" authorId="0" shapeId="0">
      <text>
        <r>
          <rPr>
            <b/>
            <sz val="9"/>
            <color indexed="81"/>
            <rFont val="Tahoma"/>
            <family val="2"/>
          </rPr>
          <t>Eric:</t>
        </r>
        <r>
          <rPr>
            <sz val="9"/>
            <color indexed="81"/>
            <rFont val="Tahoma"/>
            <family val="2"/>
          </rPr>
          <t xml:space="preserve">
JDU confirme si valeur maintenue</t>
        </r>
      </text>
    </comment>
  </commentList>
</comments>
</file>

<file path=xl/comments2.xml><?xml version="1.0" encoding="utf-8"?>
<comments xmlns="http://schemas.openxmlformats.org/spreadsheetml/2006/main">
  <authors>
    <author>Daniel</author>
  </authors>
  <commentList>
    <comment ref="G80" authorId="0" shapeId="0">
      <text>
        <r>
          <rPr>
            <b/>
            <sz val="12"/>
            <color indexed="81"/>
            <rFont val="Tahoma"/>
            <family val="2"/>
          </rPr>
          <t>Daniel:</t>
        </r>
        <r>
          <rPr>
            <sz val="12"/>
            <color indexed="81"/>
            <rFont val="Tahoma"/>
            <family val="2"/>
          </rPr>
          <t xml:space="preserve">
1 : 18 à 24
2 : 25 à 34
3 : 35 à 49
4 : 50 à 64
5 : 65 et plus
6 : Pas de réponse</t>
        </r>
      </text>
    </comment>
  </commentList>
</comments>
</file>

<file path=xl/comments3.xml><?xml version="1.0" encoding="utf-8"?>
<comments xmlns="http://schemas.openxmlformats.org/spreadsheetml/2006/main">
  <authors>
    <author>Daniel</author>
    <author/>
    <author>Moi</author>
  </authors>
  <commentList>
    <comment ref="F2" authorId="0" shapeId="0">
      <text>
        <r>
          <rPr>
            <b/>
            <sz val="9"/>
            <color indexed="81"/>
            <rFont val="Tahoma"/>
            <family val="2"/>
          </rPr>
          <t>Daniel:</t>
        </r>
        <r>
          <rPr>
            <sz val="9"/>
            <color indexed="81"/>
            <rFont val="Tahoma"/>
            <family val="2"/>
          </rPr>
          <t xml:space="preserve">
Initialement V643</t>
        </r>
      </text>
    </comment>
    <comment ref="F3" authorId="0" shapeId="0">
      <text>
        <r>
          <rPr>
            <b/>
            <sz val="9"/>
            <color indexed="81"/>
            <rFont val="Tahoma"/>
            <family val="2"/>
          </rPr>
          <t>Daniel:</t>
        </r>
        <r>
          <rPr>
            <sz val="9"/>
            <color indexed="81"/>
            <rFont val="Tahoma"/>
            <family val="2"/>
          </rPr>
          <t xml:space="preserve">
Initialement V645</t>
        </r>
      </text>
    </comment>
    <comment ref="F5" authorId="0" shapeId="0">
      <text>
        <r>
          <rPr>
            <b/>
            <sz val="9"/>
            <color indexed="81"/>
            <rFont val="Tahoma"/>
            <family val="2"/>
          </rPr>
          <t>Daniel:</t>
        </r>
        <r>
          <rPr>
            <sz val="9"/>
            <color indexed="81"/>
            <rFont val="Tahoma"/>
            <family val="2"/>
          </rPr>
          <t xml:space="preserve">
Initialement V648
</t>
        </r>
      </text>
    </comment>
    <comment ref="AH9" authorId="1" shapeId="0">
      <text>
        <r>
          <rPr>
            <sz val="11"/>
            <color rgb="FF000000"/>
            <rFont val="Calibri"/>
            <family val="2"/>
            <charset val="1"/>
          </rPr>
          <t xml:space="preserve">Charlotte PELLEGRINI:
</t>
        </r>
        <r>
          <rPr>
            <sz val="9"/>
            <color rgb="FF000000"/>
            <rFont val="Tahoma"/>
            <family val="2"/>
            <charset val="1"/>
          </rPr>
          <t>ancienne adresse grignette38500@yahoo.fr</t>
        </r>
      </text>
    </comment>
    <comment ref="F10" authorId="0" shapeId="0">
      <text>
        <r>
          <rPr>
            <b/>
            <sz val="9"/>
            <color indexed="81"/>
            <rFont val="Tahoma"/>
            <family val="2"/>
          </rPr>
          <t>Daniel:</t>
        </r>
        <r>
          <rPr>
            <sz val="9"/>
            <color indexed="81"/>
            <rFont val="Tahoma"/>
            <family val="2"/>
          </rPr>
          <t xml:space="preserve">
Initialement V677</t>
        </r>
      </text>
    </comment>
    <comment ref="F11" authorId="0" shapeId="0">
      <text>
        <r>
          <rPr>
            <b/>
            <sz val="9"/>
            <color indexed="81"/>
            <rFont val="Tahoma"/>
            <family val="2"/>
          </rPr>
          <t>Daniel:</t>
        </r>
        <r>
          <rPr>
            <sz val="9"/>
            <color indexed="81"/>
            <rFont val="Tahoma"/>
            <family val="2"/>
          </rPr>
          <t xml:space="preserve">
Initialement V679</t>
        </r>
      </text>
    </comment>
    <comment ref="F12" authorId="0" shapeId="0">
      <text>
        <r>
          <rPr>
            <b/>
            <sz val="9"/>
            <color indexed="81"/>
            <rFont val="Tahoma"/>
            <family val="2"/>
          </rPr>
          <t>Daniel:</t>
        </r>
        <r>
          <rPr>
            <sz val="9"/>
            <color indexed="81"/>
            <rFont val="Tahoma"/>
            <family val="2"/>
          </rPr>
          <t xml:space="preserve">
Initialement V682</t>
        </r>
      </text>
    </comment>
    <comment ref="F503" authorId="2" shapeId="0">
      <text>
        <r>
          <rPr>
            <b/>
            <sz val="9"/>
            <color indexed="81"/>
            <rFont val="Tahoma"/>
            <family val="2"/>
          </rPr>
          <t>Moi:</t>
        </r>
        <r>
          <rPr>
            <sz val="9"/>
            <color indexed="81"/>
            <rFont val="Tahoma"/>
            <family val="2"/>
          </rPr>
          <t xml:space="preserve">
relance 17/11</t>
        </r>
      </text>
    </comment>
    <comment ref="F526" authorId="2" shapeId="0">
      <text>
        <r>
          <rPr>
            <b/>
            <sz val="9"/>
            <color indexed="81"/>
            <rFont val="Tahoma"/>
            <family val="2"/>
          </rPr>
          <t>Moi:FZO
revoir les calculs avec Daniel</t>
        </r>
        <r>
          <rPr>
            <sz val="9"/>
            <color indexed="81"/>
            <rFont val="Tahoma"/>
            <family val="2"/>
          </rPr>
          <t xml:space="preserve">
</t>
        </r>
      </text>
    </comment>
    <comment ref="F540" authorId="2" shapeId="0">
      <text>
        <r>
          <rPr>
            <b/>
            <sz val="9"/>
            <color indexed="81"/>
            <rFont val="Tahoma"/>
            <family val="2"/>
          </rPr>
          <t>Moi:</t>
        </r>
        <r>
          <rPr>
            <sz val="9"/>
            <color indexed="81"/>
            <rFont val="Tahoma"/>
            <family val="2"/>
          </rPr>
          <t xml:space="preserve">
Charte d'engagement ps à jr</t>
        </r>
      </text>
    </comment>
    <comment ref="F548" authorId="2" shapeId="0">
      <text>
        <r>
          <rPr>
            <b/>
            <sz val="9"/>
            <color indexed="81"/>
            <rFont val="Tahoma"/>
            <family val="2"/>
          </rPr>
          <t>Moi:</t>
        </r>
        <r>
          <rPr>
            <sz val="9"/>
            <color indexed="81"/>
            <rFont val="Tahoma"/>
            <family val="2"/>
          </rPr>
          <t xml:space="preserve">
Certicat RGE pas à jr</t>
        </r>
      </text>
    </comment>
    <comment ref="E551" authorId="2" shapeId="0">
      <text>
        <r>
          <rPr>
            <b/>
            <sz val="9"/>
            <color indexed="81"/>
            <rFont val="Tahoma"/>
            <family val="2"/>
          </rPr>
          <t>Moi:</t>
        </r>
        <r>
          <rPr>
            <sz val="9"/>
            <color indexed="81"/>
            <rFont val="Tahoma"/>
            <family val="2"/>
          </rPr>
          <t xml:space="preserve">
relance message vocal + mail le 05/01/23</t>
        </r>
      </text>
    </comment>
    <comment ref="E553" authorId="2" shapeId="0">
      <text>
        <r>
          <rPr>
            <b/>
            <sz val="9"/>
            <color indexed="81"/>
            <rFont val="Tahoma"/>
            <family val="2"/>
          </rPr>
          <t>Moi:</t>
        </r>
        <r>
          <rPr>
            <sz val="9"/>
            <color indexed="81"/>
            <rFont val="Tahoma"/>
            <family val="2"/>
          </rPr>
          <t xml:space="preserve">
Eu au tél 05/01/23, le model est nouveau , raison pr laquelle elle n pas encore sur le site de fv7</t>
        </r>
      </text>
    </comment>
    <comment ref="E554" authorId="2" shapeId="0">
      <text>
        <r>
          <rPr>
            <b/>
            <sz val="9"/>
            <color indexed="81"/>
            <rFont val="Tahoma"/>
            <family val="2"/>
          </rPr>
          <t>Moi:</t>
        </r>
        <r>
          <rPr>
            <sz val="9"/>
            <color indexed="81"/>
            <rFont val="Tahoma"/>
            <family val="2"/>
          </rPr>
          <t xml:space="preserve">
relance tel ok + mail le 05/01/23</t>
        </r>
      </text>
    </comment>
    <comment ref="E566" authorId="2" shapeId="0">
      <text>
        <r>
          <rPr>
            <b/>
            <sz val="9"/>
            <color indexed="81"/>
            <rFont val="Tahoma"/>
            <family val="2"/>
          </rPr>
          <t>Moi:</t>
        </r>
        <r>
          <rPr>
            <sz val="9"/>
            <color indexed="81"/>
            <rFont val="Tahoma"/>
            <family val="2"/>
          </rPr>
          <t xml:space="preserve">
Revoir les calculs TTC</t>
        </r>
      </text>
    </comment>
    <comment ref="E569" authorId="2" shapeId="0">
      <text>
        <r>
          <rPr>
            <b/>
            <sz val="9"/>
            <color indexed="81"/>
            <rFont val="Tahoma"/>
            <family val="2"/>
          </rPr>
          <t>Moi:</t>
        </r>
        <r>
          <rPr>
            <sz val="9"/>
            <color indexed="81"/>
            <rFont val="Tahoma"/>
            <family val="2"/>
          </rPr>
          <t xml:space="preserve">
Voir les calcults ttc avec D</t>
        </r>
      </text>
    </comment>
    <comment ref="E570" authorId="2" shapeId="0">
      <text>
        <r>
          <rPr>
            <b/>
            <sz val="9"/>
            <color indexed="81"/>
            <rFont val="Tahoma"/>
            <family val="2"/>
          </rPr>
          <t>Moi:</t>
        </r>
        <r>
          <rPr>
            <sz val="9"/>
            <color indexed="81"/>
            <rFont val="Tahoma"/>
            <family val="2"/>
          </rPr>
          <t xml:space="preserve">
probleme de labellisat°
échange avec l'artisan 14/02</t>
        </r>
      </text>
    </comment>
  </commentList>
</comments>
</file>

<file path=xl/comments4.xml><?xml version="1.0" encoding="utf-8"?>
<comments xmlns="http://schemas.openxmlformats.org/spreadsheetml/2006/main">
  <authors>
    <author>Daniel</author>
  </authors>
  <commentList>
    <comment ref="A15" authorId="0" shapeId="0">
      <text>
        <r>
          <rPr>
            <b/>
            <sz val="9"/>
            <color indexed="81"/>
            <rFont val="Tahoma"/>
            <charset val="1"/>
          </rPr>
          <t>Daniel:</t>
        </r>
        <r>
          <rPr>
            <sz val="9"/>
            <color indexed="81"/>
            <rFont val="Tahoma"/>
            <charset val="1"/>
          </rPr>
          <t xml:space="preserve">
Vérifier Année</t>
        </r>
      </text>
    </comment>
  </commentList>
</comments>
</file>

<file path=xl/sharedStrings.xml><?xml version="1.0" encoding="utf-8"?>
<sst xmlns="http://schemas.openxmlformats.org/spreadsheetml/2006/main" count="37368" uniqueCount="4128">
  <si>
    <t>Questionnaire.N° dossier</t>
  </si>
  <si>
    <t>Questionnaire.Sit pro demandeur</t>
  </si>
  <si>
    <t>Questionnaire.Sit pro conjoint</t>
  </si>
  <si>
    <t>Revenus.Revenus</t>
  </si>
  <si>
    <t>Nature logement.N° Nature logement</t>
  </si>
  <si>
    <t>Période construction.Période de construction</t>
  </si>
  <si>
    <t>Questionnaire.Travaux iso depuis 2005</t>
  </si>
  <si>
    <t>Classe énerg logement.Classe énergétique logement</t>
  </si>
  <si>
    <t>Occupation logement.Occupation logement</t>
  </si>
  <si>
    <t>Ancien appareil.Type Ancien appareil</t>
  </si>
  <si>
    <t>Usage ancien materiel.Usage ancien matériel</t>
  </si>
  <si>
    <t>Questionnaire.Période utilisation</t>
  </si>
  <si>
    <t>Freq util période chauffe ancien matériel.Freq utilisation période chauffe</t>
  </si>
  <si>
    <t>Année installation.Année installation</t>
  </si>
  <si>
    <t>Questionnaire.Approvisionnement</t>
  </si>
  <si>
    <t>Questionnaire.Appro autre</t>
  </si>
  <si>
    <t>Questionnaire.Origine bois</t>
  </si>
  <si>
    <t>Questionnaire.Stockage bois</t>
  </si>
  <si>
    <t>Questionnaire.Ramonage installation</t>
  </si>
  <si>
    <t>Questionnaire.Type combustible nouveau materiel</t>
  </si>
  <si>
    <t>Type combustible.Type combustible</t>
  </si>
  <si>
    <t>Questionnaire.Type combustible autre</t>
  </si>
  <si>
    <t>Durée séchage bois.Durée séchage bois</t>
  </si>
  <si>
    <t>Type de bois.Type de bois</t>
  </si>
  <si>
    <t>Fréquence ramonage.Fréquence ramonage</t>
  </si>
  <si>
    <t>Questionnaire.Fréquence ramonage autre</t>
  </si>
  <si>
    <t>Nouveau matériel.Nouveau matériel</t>
  </si>
  <si>
    <t>Usage nouveau matériel.Usage nouveau matériel</t>
  </si>
  <si>
    <t>Freq util période chauffe nouveau matériel.Fréquence utilisation période de chauffe nouveau matériel</t>
  </si>
  <si>
    <t>Questionnaire.Motivation changement appareil</t>
  </si>
  <si>
    <t>Questionnaire.Connaissance aide</t>
  </si>
  <si>
    <t>Questionnaire.Connaissance aide site internet</t>
  </si>
  <si>
    <t>Questionnaire.Connaissance aide autre</t>
  </si>
  <si>
    <t>20 000 à 30 000 €</t>
  </si>
  <si>
    <t>1949-1975</t>
  </si>
  <si>
    <t>1; 2; 4</t>
  </si>
  <si>
    <t>Pas de réponse</t>
  </si>
  <si>
    <t>Propriétaire occupant</t>
  </si>
  <si>
    <t>Foyer ouvert</t>
  </si>
  <si>
    <t>Chauffage de base</t>
  </si>
  <si>
    <t>4</t>
  </si>
  <si>
    <t>Tous les jours</t>
  </si>
  <si>
    <t>Avant 1990</t>
  </si>
  <si>
    <t>2</t>
  </si>
  <si>
    <t/>
  </si>
  <si>
    <t>5</t>
  </si>
  <si>
    <t>3</t>
  </si>
  <si>
    <t>1</t>
  </si>
  <si>
    <t>Bois bûche</t>
  </si>
  <si>
    <t>1 à 2 ans</t>
  </si>
  <si>
    <t>Feuillus</t>
  </si>
  <si>
    <t>1 fois tous les 2 ans</t>
  </si>
  <si>
    <t>Insert cheminée</t>
  </si>
  <si>
    <t>30 000 à 40 000 €</t>
  </si>
  <si>
    <t>1975-1990</t>
  </si>
  <si>
    <t>C</t>
  </si>
  <si>
    <t>3 à 4 jours/semaine</t>
  </si>
  <si>
    <t>1; 2; 5</t>
  </si>
  <si>
    <t>Insert / foyer fermé</t>
  </si>
  <si>
    <t>1; 2; 4; 5</t>
  </si>
  <si>
    <t>1990-1995</t>
  </si>
  <si>
    <t>6</t>
  </si>
  <si>
    <t>&gt; 2 ans</t>
  </si>
  <si>
    <t>2; 5</t>
  </si>
  <si>
    <t>50 000 à 60 000 €</t>
  </si>
  <si>
    <t>Avant 1949</t>
  </si>
  <si>
    <t>1 à 2 jours/semaine</t>
  </si>
  <si>
    <t>Ne sait pas</t>
  </si>
  <si>
    <t>Radio</t>
  </si>
  <si>
    <t>40 000 à 50 000 €</t>
  </si>
  <si>
    <t>E</t>
  </si>
  <si>
    <t>2; 4</t>
  </si>
  <si>
    <t>1 fois par an</t>
  </si>
  <si>
    <t>2; 4; 5</t>
  </si>
  <si>
    <t>11</t>
  </si>
  <si>
    <t>80 000 à 90 000 €</t>
  </si>
  <si>
    <t>3; 4; 6</t>
  </si>
  <si>
    <t>4; 5</t>
  </si>
  <si>
    <t>1; 2</t>
  </si>
  <si>
    <t>Moins de 20 000 €</t>
  </si>
  <si>
    <t>1990-2005</t>
  </si>
  <si>
    <t>1; 4</t>
  </si>
  <si>
    <t>Après 2002</t>
  </si>
  <si>
    <t>4; 5; 6</t>
  </si>
  <si>
    <t>Les deux</t>
  </si>
  <si>
    <t>1; 4; 5</t>
  </si>
  <si>
    <t>2; 3; 4; 6</t>
  </si>
  <si>
    <t>1996-2002</t>
  </si>
  <si>
    <t>2; 6</t>
  </si>
  <si>
    <t>7</t>
  </si>
  <si>
    <t>2; 3</t>
  </si>
  <si>
    <t>2 fois par an</t>
  </si>
  <si>
    <t>1; 2; 3; 4</t>
  </si>
  <si>
    <t>Occupant à titre gratuit</t>
  </si>
  <si>
    <t>60 000 à 70 000 €</t>
  </si>
  <si>
    <t>Poêle</t>
  </si>
  <si>
    <t>3; 4; 5; 6</t>
  </si>
  <si>
    <t>70 000 à 80 000 €</t>
  </si>
  <si>
    <t>1 à 3 jours/mois</t>
  </si>
  <si>
    <t>Plaisir/agrément</t>
  </si>
  <si>
    <t>Plus de 100 000 €</t>
  </si>
  <si>
    <t>1; 3; 4</t>
  </si>
  <si>
    <t>Moins de 15 fois par an</t>
  </si>
  <si>
    <t>D</t>
  </si>
  <si>
    <t>1; 2; 3; 4; 5; 6</t>
  </si>
  <si>
    <t>&lt; 1 an</t>
  </si>
  <si>
    <t>2; 4; 6</t>
  </si>
  <si>
    <t>F</t>
  </si>
  <si>
    <t>Cuisinière</t>
  </si>
  <si>
    <t>1; 5</t>
  </si>
  <si>
    <t>1; 3</t>
  </si>
  <si>
    <t>5; 11</t>
  </si>
  <si>
    <t>3; 5</t>
  </si>
  <si>
    <t>1; 2; 3; 4; 6</t>
  </si>
  <si>
    <t>1; 2; 4; 5; 6</t>
  </si>
  <si>
    <t>3; 6</t>
  </si>
  <si>
    <t>Après 2005</t>
  </si>
  <si>
    <t>10</t>
  </si>
  <si>
    <t>Propriétaire bailleur</t>
  </si>
  <si>
    <t>12</t>
  </si>
  <si>
    <t>1; 4; 5; 6</t>
  </si>
  <si>
    <t>Locataire</t>
  </si>
  <si>
    <t>B</t>
  </si>
  <si>
    <t>Jamais</t>
  </si>
  <si>
    <t>3; 4</t>
  </si>
  <si>
    <t>5; 6</t>
  </si>
  <si>
    <t>8</t>
  </si>
  <si>
    <t>1; 2; 6</t>
  </si>
  <si>
    <t>1; 2; 4; 6</t>
  </si>
  <si>
    <t>Autre, à préciser</t>
  </si>
  <si>
    <t>poêle de masse</t>
  </si>
  <si>
    <t>1; 6</t>
  </si>
  <si>
    <t>Chaudière</t>
  </si>
  <si>
    <t>Bois de récupération, à préciser</t>
  </si>
  <si>
    <t>Chauffage d'appoint</t>
  </si>
  <si>
    <t>4; 6</t>
  </si>
  <si>
    <t>1; 4; 6</t>
  </si>
  <si>
    <t>1; 2; 3</t>
  </si>
  <si>
    <t>Résineux</t>
  </si>
  <si>
    <t>2; 3; 6</t>
  </si>
  <si>
    <t>1; 2; 3; 5</t>
  </si>
  <si>
    <t>1; 2; 3; 6</t>
  </si>
  <si>
    <t>3 à 4 jours / semaine</t>
  </si>
  <si>
    <t>3; 4; 5</t>
  </si>
  <si>
    <t>5; 12</t>
  </si>
  <si>
    <t>2; 3; 4</t>
  </si>
  <si>
    <t>2; 4; 5; 6</t>
  </si>
  <si>
    <t>2; 5; 6</t>
  </si>
  <si>
    <t>2; 3; 4; 5</t>
  </si>
  <si>
    <t>1; 2; 3; 4; 5</t>
  </si>
  <si>
    <t>2; 3; 5</t>
  </si>
  <si>
    <t>Autre</t>
  </si>
  <si>
    <t>2; 8</t>
  </si>
  <si>
    <t>1; 3; 4; 5</t>
  </si>
  <si>
    <t>ANAH</t>
  </si>
  <si>
    <t>G</t>
  </si>
  <si>
    <t>2; 11</t>
  </si>
  <si>
    <t>Granulés/pellets</t>
  </si>
  <si>
    <t>1; 3; 5</t>
  </si>
  <si>
    <t>Pôele hydro</t>
  </si>
  <si>
    <t>4; 7</t>
  </si>
  <si>
    <t>améliorer la qualité de l'air de mon logement</t>
  </si>
  <si>
    <t>économiser de l'énergie</t>
  </si>
  <si>
    <t>gagner en confort/chaleur</t>
  </si>
  <si>
    <t>améliorer la qualité de l'air extérieur (environnement/santé)</t>
  </si>
  <si>
    <t>« Bouche à oreille »</t>
  </si>
  <si>
    <t>ALEC ou AGEDEN</t>
  </si>
  <si>
    <t>Autre (préciser)</t>
  </si>
  <si>
    <t>G.A.M (La métro)</t>
  </si>
  <si>
    <t>Installateur</t>
  </si>
  <si>
    <t>Le Grésivaudan</t>
  </si>
  <si>
    <t>Le Voironnais</t>
  </si>
  <si>
    <t>Mairie</t>
  </si>
  <si>
    <t>Notaire/Besoin de mise en conformité</t>
  </si>
  <si>
    <t>Presse locale</t>
  </si>
  <si>
    <t>Site Internet (préciser)</t>
  </si>
  <si>
    <t>-</t>
  </si>
  <si>
    <t>nom</t>
  </si>
  <si>
    <t>prenom</t>
  </si>
  <si>
    <t>type</t>
  </si>
  <si>
    <t>combustible</t>
  </si>
  <si>
    <t>modele</t>
  </si>
  <si>
    <t>poussieres</t>
  </si>
  <si>
    <t>puissance</t>
  </si>
  <si>
    <t>rendement</t>
  </si>
  <si>
    <t>CO</t>
  </si>
  <si>
    <t>ok pour communication</t>
  </si>
  <si>
    <t>DC</t>
  </si>
  <si>
    <t>oui</t>
  </si>
  <si>
    <t>buche</t>
  </si>
  <si>
    <t>PALAZZETTI</t>
  </si>
  <si>
    <t>non</t>
  </si>
  <si>
    <t>Pierre</t>
  </si>
  <si>
    <t>ARBIN</t>
  </si>
  <si>
    <t>SAINT-JEAN-DE-BOURNAY</t>
  </si>
  <si>
    <t>aucoindufeu38@gmail.com</t>
  </si>
  <si>
    <t>CONTURA</t>
  </si>
  <si>
    <t>PONTCHARRA</t>
  </si>
  <si>
    <t>ORANIER</t>
  </si>
  <si>
    <t>BARBAS</t>
  </si>
  <si>
    <t>SAINT-EGREVE</t>
  </si>
  <si>
    <t>jcduo@orange.fr</t>
  </si>
  <si>
    <t>WANDERS</t>
  </si>
  <si>
    <t>Michel</t>
  </si>
  <si>
    <t>BARRAUX</t>
  </si>
  <si>
    <t>HARGASSNER</t>
  </si>
  <si>
    <t>RAMON'ALPES</t>
  </si>
  <si>
    <t>CROLLES</t>
  </si>
  <si>
    <t>RIKA</t>
  </si>
  <si>
    <t>GRENOBLE</t>
  </si>
  <si>
    <t>SV</t>
  </si>
  <si>
    <t>FAVIER</t>
  </si>
  <si>
    <t>INVICTA</t>
  </si>
  <si>
    <t>FRONTENEX</t>
  </si>
  <si>
    <t>NC</t>
  </si>
  <si>
    <t>SGE-ENERGIE</t>
  </si>
  <si>
    <t>PALADRU</t>
  </si>
  <si>
    <t>EDILKAMIN</t>
  </si>
  <si>
    <t>SUPRA</t>
  </si>
  <si>
    <t>JOTUL</t>
  </si>
  <si>
    <t>GAZ SERVICES/ECO LOGIS</t>
  </si>
  <si>
    <t>MCZ</t>
  </si>
  <si>
    <t>ENERLOGIS</t>
  </si>
  <si>
    <t>BARBERAZ</t>
  </si>
  <si>
    <t>enerlogis@orange.fr</t>
  </si>
  <si>
    <t>VOIRON</t>
  </si>
  <si>
    <t>bois-soleil-chauffage@orange.fr</t>
  </si>
  <si>
    <t>TENCIN</t>
  </si>
  <si>
    <t>pascal.brn@gmail.com</t>
  </si>
  <si>
    <t>INOVALP</t>
  </si>
  <si>
    <t>DOMENE</t>
  </si>
  <si>
    <t>GONCELIN</t>
  </si>
  <si>
    <t>VOREPPE</t>
  </si>
  <si>
    <t>ALO</t>
  </si>
  <si>
    <t>cheminees.jay@orange.fr</t>
  </si>
  <si>
    <t>DOVRE</t>
  </si>
  <si>
    <t>BIO&amp;NERGIE</t>
  </si>
  <si>
    <t>ZPCV</t>
  </si>
  <si>
    <t>REVEL</t>
  </si>
  <si>
    <t>BOURGOIN-JALLIEU</t>
  </si>
  <si>
    <t>CHAPAREILLAN</t>
  </si>
  <si>
    <t>THEYS</t>
  </si>
  <si>
    <t>STUV</t>
  </si>
  <si>
    <t>EXTRAFLAME</t>
  </si>
  <si>
    <t>GODIN</t>
  </si>
  <si>
    <t>grenoble@hase-boutique.fr</t>
  </si>
  <si>
    <t>HASE</t>
  </si>
  <si>
    <t>Moon</t>
  </si>
  <si>
    <t>tecnicservices@yahoo.fr</t>
  </si>
  <si>
    <t>LANCEY</t>
  </si>
  <si>
    <t>SAINT-ALBAN-DE-ROCHE</t>
  </si>
  <si>
    <t>godin-grenoble@orange.fr</t>
  </si>
  <si>
    <t>CRETS-EN-BELLEDONNE</t>
  </si>
  <si>
    <t>pascal.simon@atre-loisirs.fr</t>
  </si>
  <si>
    <t>CASTORAMA</t>
  </si>
  <si>
    <t>Chinon</t>
  </si>
  <si>
    <t>ILD</t>
  </si>
  <si>
    <t xml:space="preserve"> </t>
  </si>
  <si>
    <t>ADURO</t>
  </si>
  <si>
    <t>SAINT-LAURENT-DU-PONT</t>
  </si>
  <si>
    <t>expertise.ramonage.paquet@gmail.com</t>
  </si>
  <si>
    <t>?</t>
  </si>
  <si>
    <t>SARIAN</t>
  </si>
  <si>
    <t>ALP'CONFORT</t>
  </si>
  <si>
    <t>ATRA</t>
  </si>
  <si>
    <t>TULLINS</t>
  </si>
  <si>
    <t>contact@ecvoiron.fr</t>
  </si>
  <si>
    <t>granulé</t>
  </si>
  <si>
    <t>JACQU'CHEMINEES</t>
  </si>
  <si>
    <t>jlc.services@orange.fr</t>
  </si>
  <si>
    <t>TURBO FONTE</t>
  </si>
  <si>
    <t>COUBLEVIE</t>
  </si>
  <si>
    <t>OLIGER</t>
  </si>
  <si>
    <t>contact@fer-et-feu.fr</t>
  </si>
  <si>
    <t>sarlpab@orange.fr</t>
  </si>
  <si>
    <t>C24</t>
  </si>
  <si>
    <t>BELLEY</t>
  </si>
  <si>
    <t>SCAN</t>
  </si>
  <si>
    <t>contact@nordiflam.com</t>
  </si>
  <si>
    <t>JOLLY MEC</t>
  </si>
  <si>
    <t>ROMOTOP</t>
  </si>
  <si>
    <t>contactprojet@orange.fr</t>
  </si>
  <si>
    <t>Étiquettes de lignes</t>
  </si>
  <si>
    <t>(vide)</t>
  </si>
  <si>
    <t>Total général</t>
  </si>
  <si>
    <t>EPCI</t>
  </si>
  <si>
    <t>pas de réponse</t>
  </si>
  <si>
    <t>HOBEN</t>
  </si>
  <si>
    <t>Chauffage d'apoint</t>
  </si>
  <si>
    <t>G0564</t>
  </si>
  <si>
    <t>1 à 2 jours / semaine</t>
  </si>
  <si>
    <t>PARTIE 1 - VOTRE SITUATION, VOTRE LOGEMENT</t>
  </si>
  <si>
    <t>Situation professionnelle demandeur</t>
  </si>
  <si>
    <t>Situation professionnelle conjoint</t>
  </si>
  <si>
    <t>Age</t>
  </si>
  <si>
    <t>Revenus</t>
  </si>
  <si>
    <t>Nature du logement</t>
  </si>
  <si>
    <t>Période de construction</t>
  </si>
  <si>
    <t>Travaux d'isolation depuis 2005</t>
  </si>
  <si>
    <t>Classe énergétique du logement</t>
  </si>
  <si>
    <t>Occupation du logement</t>
  </si>
  <si>
    <t>Agriculteur exploitant</t>
  </si>
  <si>
    <t>18 à 24 ans</t>
  </si>
  <si>
    <t>Maison avec jardin</t>
  </si>
  <si>
    <t>Toiture</t>
  </si>
  <si>
    <t>A</t>
  </si>
  <si>
    <t>Artisan, commerçant, chef d'entreprise</t>
  </si>
  <si>
    <t>25 à 34 ans</t>
  </si>
  <si>
    <t>Maison sans jardin</t>
  </si>
  <si>
    <t>Façade</t>
  </si>
  <si>
    <t>Employé</t>
  </si>
  <si>
    <t>35 à 49 ans</t>
  </si>
  <si>
    <t>Appartement</t>
  </si>
  <si>
    <t>Plancher bas</t>
  </si>
  <si>
    <t>Ouvrier</t>
  </si>
  <si>
    <t>50 à 64 ans</t>
  </si>
  <si>
    <t>Remplacement menuiseries</t>
  </si>
  <si>
    <t>Cadre</t>
  </si>
  <si>
    <t>65 ans et plus</t>
  </si>
  <si>
    <t>Aucun</t>
  </si>
  <si>
    <t>Profession intermédiaire</t>
  </si>
  <si>
    <t>Retraité</t>
  </si>
  <si>
    <t>Autre, sans activité</t>
  </si>
  <si>
    <t>PARTIE 2 - VOTRE ANCIEN MATERIEL ET SON USAGE</t>
  </si>
  <si>
    <t>Matériel remplacé</t>
  </si>
  <si>
    <t>Type d'usage de l'ancien matériel</t>
  </si>
  <si>
    <t>Fréquence d'utilisation</t>
  </si>
  <si>
    <t>Période d'utilisation</t>
  </si>
  <si>
    <t>Année d'installation</t>
  </si>
  <si>
    <t>Type de combustible</t>
  </si>
  <si>
    <t>Unité</t>
  </si>
  <si>
    <t>Approvisionnement</t>
  </si>
  <si>
    <t>Origine du bois</t>
  </si>
  <si>
    <t>Stockage du bois</t>
  </si>
  <si>
    <t>Durée de séchage du bois</t>
  </si>
  <si>
    <t>Essences de bois</t>
  </si>
  <si>
    <t>Ramonage fait par</t>
  </si>
  <si>
    <t>Fréquence ramonage</t>
  </si>
  <si>
    <t>Le matin</t>
  </si>
  <si>
    <t>Stère</t>
  </si>
  <si>
    <t>Personnel / gratuit</t>
  </si>
  <si>
    <t>Marque « Rhône-Alpes bois bûches » (RA2B)</t>
  </si>
  <si>
    <t>A l'intérieur</t>
  </si>
  <si>
    <t>Par vous-même</t>
  </si>
  <si>
    <t>En soirée</t>
  </si>
  <si>
    <t>Granulés / pellets</t>
  </si>
  <si>
    <t>Kg</t>
  </si>
  <si>
    <t>Producteur indépendant</t>
  </si>
  <si>
    <t>Rhône-Alpes hors RA2B</t>
  </si>
  <si>
    <t>Sous abris</t>
  </si>
  <si>
    <t>1 – 2 ans</t>
  </si>
  <si>
    <t>Par un professionnel</t>
  </si>
  <si>
    <t>Plaisir / agrément (- de 15 fois/an)</t>
  </si>
  <si>
    <t>En intersaison</t>
  </si>
  <si>
    <t>Bois de récupération (précisez ci-dessous)</t>
  </si>
  <si>
    <t>m3</t>
  </si>
  <si>
    <t>Point de vente non spécialisé</t>
  </si>
  <si>
    <t>France hors Rhône-Alpes</t>
  </si>
  <si>
    <t>Sans abris</t>
  </si>
  <si>
    <t>1 à 3 jours / mois</t>
  </si>
  <si>
    <t>La journée</t>
  </si>
  <si>
    <t>&gt; 2002</t>
  </si>
  <si>
    <t>Autre (préciser ci-dessous)</t>
  </si>
  <si>
    <t>Autre (précisez)</t>
  </si>
  <si>
    <t>Hors France</t>
  </si>
  <si>
    <t>La nuit</t>
  </si>
  <si>
    <t>Lorsqu'il fait très froid</t>
  </si>
  <si>
    <t>PARTIE 3 -VOTRE NOUVEAU MATERIEL ET VOS MOTIVATIONS</t>
  </si>
  <si>
    <t>Nouveau matériel</t>
  </si>
  <si>
    <t>Type d'usage du nouveau matériel</t>
  </si>
  <si>
    <t>Motivations principales pour changemer d'appareil ?</t>
  </si>
  <si>
    <t>Comment avez-vous connu cette aide ?</t>
  </si>
  <si>
    <t>Améliorer la qualité de l'air de mon logement</t>
  </si>
  <si>
    <t>Économiser du bois/de l'énergie</t>
  </si>
  <si>
    <t>Poêle de masse</t>
  </si>
  <si>
    <t>Plaisir / agrément (moins de 15 feux par an)</t>
  </si>
  <si>
    <t>Économiser de l'argent</t>
  </si>
  <si>
    <t>Gagner en confort/chaleur</t>
  </si>
  <si>
    <t>Poêle hydro</t>
  </si>
  <si>
    <t>Améliorer la qualité de l'air extérieur (santé/environnement)</t>
  </si>
  <si>
    <t>bûche</t>
  </si>
  <si>
    <t>autre</t>
  </si>
  <si>
    <t>personnel / gratuit</t>
  </si>
  <si>
    <t>Année</t>
  </si>
  <si>
    <t>Evora</t>
  </si>
  <si>
    <t>WATT&amp;HOME</t>
  </si>
  <si>
    <t>SARL ALP'CONFORT</t>
  </si>
  <si>
    <t>ECHIROLLES</t>
  </si>
  <si>
    <t>Oui</t>
  </si>
  <si>
    <t>ILD 13</t>
  </si>
  <si>
    <t>CHARREL</t>
  </si>
  <si>
    <t>FREEPOINT</t>
  </si>
  <si>
    <t>Voreppe</t>
  </si>
  <si>
    <t>Bourgoin-Jallieu</t>
  </si>
  <si>
    <t>CADEL</t>
  </si>
  <si>
    <t>VAULNAVEYS-LE-HAUT</t>
  </si>
  <si>
    <t>EYBENS</t>
  </si>
  <si>
    <t>alby-eco@sfr.fr</t>
  </si>
  <si>
    <t>FAURE</t>
  </si>
  <si>
    <t>NORDPEIS</t>
  </si>
  <si>
    <t>BRISACH</t>
  </si>
  <si>
    <t>infos38@atre-loisirs.fr</t>
  </si>
  <si>
    <t>SALES</t>
  </si>
  <si>
    <t>VIF</t>
  </si>
  <si>
    <t>MANGIONE</t>
  </si>
  <si>
    <t>TULIKIVI</t>
  </si>
  <si>
    <t>SILLINGY</t>
  </si>
  <si>
    <t>Havana</t>
  </si>
  <si>
    <t>SOLENCO</t>
  </si>
  <si>
    <t>F166</t>
  </si>
  <si>
    <t>MORETTO</t>
  </si>
  <si>
    <t>contact@cpc38.com</t>
  </si>
  <si>
    <t>VOGLANS</t>
  </si>
  <si>
    <t>PIAZZETTA</t>
  </si>
  <si>
    <t>Eclipse</t>
  </si>
  <si>
    <t>SAINT-MURY-MONTEYMOND</t>
  </si>
  <si>
    <t>CABESTAN</t>
  </si>
  <si>
    <t>OKOFEN</t>
  </si>
  <si>
    <t>Lima</t>
  </si>
  <si>
    <t>M. LIBER</t>
  </si>
  <si>
    <t>LORFLAM</t>
  </si>
  <si>
    <t>VESTA</t>
  </si>
  <si>
    <t>SAINT-MARTIN-D'URIAGE</t>
  </si>
  <si>
    <t>CHOLONGE</t>
  </si>
  <si>
    <t>AMY</t>
  </si>
  <si>
    <t>VALENCE</t>
  </si>
  <si>
    <t>Rue du Moulin</t>
  </si>
  <si>
    <t>Arthur</t>
  </si>
  <si>
    <t>Anna</t>
  </si>
  <si>
    <t>BRIGNOUD</t>
  </si>
  <si>
    <t>patrickduranton@passionflamme.fr</t>
  </si>
  <si>
    <t>HARK</t>
  </si>
  <si>
    <t>PANADERO</t>
  </si>
  <si>
    <t>KLOVER</t>
  </si>
  <si>
    <t>04 76 37 03 50</t>
  </si>
  <si>
    <t>ALBERTVILLE</t>
  </si>
  <si>
    <t>Managa</t>
  </si>
  <si>
    <t>TECHNI&amp;NATURE</t>
  </si>
  <si>
    <t>N</t>
  </si>
  <si>
    <t>TOTAL</t>
  </si>
  <si>
    <t>Evolution</t>
  </si>
  <si>
    <t>Commune</t>
  </si>
  <si>
    <t>CA du Pays Voironnais</t>
  </si>
  <si>
    <t>Moirans</t>
  </si>
  <si>
    <t>Saint-Aupre</t>
  </si>
  <si>
    <t>Tullins</t>
  </si>
  <si>
    <t>Voiron</t>
  </si>
  <si>
    <t>Saint-Alban-de-Roche</t>
  </si>
  <si>
    <t>Estrablin</t>
  </si>
  <si>
    <t>Saint-Pierre-de-Chartreuse</t>
  </si>
  <si>
    <t>Renage</t>
  </si>
  <si>
    <t>Chatte</t>
  </si>
  <si>
    <t>Gresse-en-Vercors</t>
  </si>
  <si>
    <t>Les Adrets</t>
  </si>
  <si>
    <t>CC Le Grésivaudan</t>
  </si>
  <si>
    <t>Allevard</t>
  </si>
  <si>
    <t>Barraux</t>
  </si>
  <si>
    <t>Bernin</t>
  </si>
  <si>
    <t>Biviers</t>
  </si>
  <si>
    <t>La Buissière</t>
  </si>
  <si>
    <t>Le Champ-près-Froges</t>
  </si>
  <si>
    <t>Chapareillan</t>
  </si>
  <si>
    <t>La Chapelle-du-Bard</t>
  </si>
  <si>
    <t>Le Cheylas</t>
  </si>
  <si>
    <t>La Combe-de-Lancey</t>
  </si>
  <si>
    <t>Crolles</t>
  </si>
  <si>
    <t>La Ferrière</t>
  </si>
  <si>
    <t>La Flachère</t>
  </si>
  <si>
    <t>Froges</t>
  </si>
  <si>
    <t>Goncelin</t>
  </si>
  <si>
    <t>Hurtières</t>
  </si>
  <si>
    <t>Laval</t>
  </si>
  <si>
    <t>Lumbin</t>
  </si>
  <si>
    <t>Montbonnot-Saint-Martin</t>
  </si>
  <si>
    <t>Le Moutaret</t>
  </si>
  <si>
    <t>La Pierre</t>
  </si>
  <si>
    <t>Pinsot</t>
  </si>
  <si>
    <t>Pontcharra</t>
  </si>
  <si>
    <t>Revel</t>
  </si>
  <si>
    <t>Sainte-Agnès</t>
  </si>
  <si>
    <t>Saint-Bernard</t>
  </si>
  <si>
    <t>Saint-Hilaire</t>
  </si>
  <si>
    <t>Saint-Ismier</t>
  </si>
  <si>
    <t>Saint-Jean-le-Vieux</t>
  </si>
  <si>
    <t>Sainte-Marie-d'Alloix</t>
  </si>
  <si>
    <t>Sainte-Marie-du-Mont</t>
  </si>
  <si>
    <t>Saint-Martin-d'Uriage</t>
  </si>
  <si>
    <t>Saint-Maximin</t>
  </si>
  <si>
    <t>Saint-Mury-Monteymond</t>
  </si>
  <si>
    <t>Saint-Nazaire-les-Eymes</t>
  </si>
  <si>
    <t>Saint-Pancrasse</t>
  </si>
  <si>
    <t>Crêts en Belledonne</t>
  </si>
  <si>
    <t>Saint-Vincent-de-Mercuze</t>
  </si>
  <si>
    <t>Tencin</t>
  </si>
  <si>
    <t>La Terrasse</t>
  </si>
  <si>
    <t>Theys</t>
  </si>
  <si>
    <t>Le Touvet</t>
  </si>
  <si>
    <t>Le Versoud</t>
  </si>
  <si>
    <t>Villard-Bonnot</t>
  </si>
  <si>
    <t>Chamrousse</t>
  </si>
  <si>
    <t>Grenoble-Alpes-Métropole</t>
  </si>
  <si>
    <t>Domène</t>
  </si>
  <si>
    <t>Eybens</t>
  </si>
  <si>
    <t>Grenoble</t>
  </si>
  <si>
    <t>Le Gua</t>
  </si>
  <si>
    <t>Saint-Martin-d'Hères</t>
  </si>
  <si>
    <t>Vif</t>
  </si>
  <si>
    <t>localisation</t>
  </si>
  <si>
    <t>nb de projet</t>
  </si>
  <si>
    <t>autres (chaudières, cuisinières)</t>
  </si>
  <si>
    <t>Horodateur</t>
  </si>
  <si>
    <t>Le lieu de l'atelier</t>
  </si>
  <si>
    <t>Connaissiez-vous l'Espace Info Energie (AGEDEN) avant de participer à cette animation ?</t>
  </si>
  <si>
    <t>L'atelier portait sur les poêles :</t>
  </si>
  <si>
    <t>Globalement, êtes-vous satisfait de l'atelier ?</t>
  </si>
  <si>
    <t>Quelle partie vous a le plus intéressé dans cette atelier ?</t>
  </si>
  <si>
    <t>La présentation était :</t>
  </si>
  <si>
    <t>Remarques et suggestions d'amélioration</t>
  </si>
  <si>
    <t>Vos nom et prénom (optionnel)</t>
  </si>
  <si>
    <t>Non</t>
  </si>
  <si>
    <t>la théorie sur le rendement de combustion</t>
  </si>
  <si>
    <t>adaptée à mon niveau</t>
  </si>
  <si>
    <t>BORG Alexis</t>
  </si>
  <si>
    <t>crolles</t>
  </si>
  <si>
    <t>la théorie sur le rendement de combustion, le choix d'un combustible de qualité, l'utilisation du poêle</t>
  </si>
  <si>
    <t>colin collet jean-luc</t>
  </si>
  <si>
    <t>la problématique de la qualité de l'air, la théorie sur le rendement de combustion</t>
  </si>
  <si>
    <t>pas facile de contenir les interventions +/- pertinentes du public,, mais vous vous en êtes bien sorti</t>
  </si>
  <si>
    <t>Jean-Michel Châlons (pour famille Molenaar)</t>
  </si>
  <si>
    <t>la problématique de la qualité de l'air, le choix d'un combustible de qualité</t>
  </si>
  <si>
    <t>Je suggère de faire la formation avant l'achat du poêle pour connaître les avantages d'un poêle efficace.</t>
  </si>
  <si>
    <t>Hugues Nolin</t>
  </si>
  <si>
    <t>à granulé</t>
  </si>
  <si>
    <t>la problématique de la qualité de l'air, la théorie sur le rendement de combustion, le choix d'un combustible de qualité, l'utilisation du poêle, l'entretien du poêle et du conduit</t>
  </si>
  <si>
    <t>Avarello Giovanni</t>
  </si>
  <si>
    <t>le choix d'un combustible de qualité, l'utilisation du poêle, l'entretien du poêle et du conduit</t>
  </si>
  <si>
    <t>rey jose</t>
  </si>
  <si>
    <t>la problématique de la qualité de l'air, l'utilisation du poêle</t>
  </si>
  <si>
    <t>C'était intéressant et assez interactif avec les personnes présentes qui ont pu poser des questions et partager leur expérience.</t>
  </si>
  <si>
    <t>Valence Bernadette</t>
  </si>
  <si>
    <t>angeretti pierre</t>
  </si>
  <si>
    <t>Faire ce type de présentation à un pus large public. Si on a bénéficié d'une prime c'est qu'on est équipé d'un poêle et donc qu'on et déjà convaincu du côté écologique... La partie qualité de l'air (et une présentation des solutions existantes...) devrait s'adresser à un public plus large !</t>
  </si>
  <si>
    <t>Defosseux Serge</t>
  </si>
  <si>
    <t>magnin marcel</t>
  </si>
  <si>
    <t>CCG Le Grésivaudan Crolles</t>
  </si>
  <si>
    <t>Aide à la déclaration aux impôts SVP</t>
  </si>
  <si>
    <t>FAVERGEON Jean-Paul</t>
  </si>
  <si>
    <t>la problématique de la qualité de l'air, le choix d'un combustible de qualité, l'utilisation du poêle</t>
  </si>
  <si>
    <t>grospart maryse</t>
  </si>
  <si>
    <t>l'utilisation du poêle</t>
  </si>
  <si>
    <t>eveque gilbert</t>
  </si>
  <si>
    <t>Aromatario Laurent</t>
  </si>
  <si>
    <t>Nous communiquer les meilleurs vendeurs de bois de chauffage de la region...</t>
  </si>
  <si>
    <t>Vuillemin bernard</t>
  </si>
  <si>
    <t>Prévoir de la documentation pour tout le monde</t>
  </si>
  <si>
    <t>C'était correct facile d'accès et suffisamment spacieux</t>
  </si>
  <si>
    <t>Vidal André</t>
  </si>
  <si>
    <t>la problématique de la qualité de l'air</t>
  </si>
  <si>
    <t>Florence Faure</t>
  </si>
  <si>
    <t>L'atelier était très ludique et bien documenté</t>
  </si>
  <si>
    <t>CHARMET Jean-Pierre</t>
  </si>
  <si>
    <t>Très bien, très instructif et à promouvoir au maximum</t>
  </si>
  <si>
    <t>MAYEUX Véronique</t>
  </si>
  <si>
    <t>Le Grésivaudan Crolles</t>
  </si>
  <si>
    <t>favier michel</t>
  </si>
  <si>
    <t>Nombre de La présentation était :</t>
  </si>
  <si>
    <t>ACTIVITES</t>
  </si>
  <si>
    <t>COMMUNE</t>
  </si>
  <si>
    <t>ENTREPRISES</t>
  </si>
  <si>
    <t>Arbin</t>
  </si>
  <si>
    <t>ATRE ET LOISIRS</t>
  </si>
  <si>
    <t>04 79 84 25 35</t>
  </si>
  <si>
    <t>FLAMME ISEROISE</t>
  </si>
  <si>
    <t>04 74 43 04 11</t>
  </si>
  <si>
    <t>04 38 92 02 20</t>
  </si>
  <si>
    <t>ENERGIES TRIEVES</t>
  </si>
  <si>
    <t>La Ravoire</t>
  </si>
  <si>
    <t>CHEMINEES CASTAN</t>
  </si>
  <si>
    <t>Saint-Egrève</t>
  </si>
  <si>
    <t>SARL DUO CHEMINEES</t>
  </si>
  <si>
    <t>04 38 02 90 38</t>
  </si>
  <si>
    <t>04 38 02 19 01</t>
  </si>
  <si>
    <t>MONIN STEPHANE PLOMBERIE</t>
  </si>
  <si>
    <t>Saint-Pierre-d'Albigny</t>
  </si>
  <si>
    <t>CHEMINEES DES 2 SAVOIE</t>
  </si>
  <si>
    <t>ARC HABITAT</t>
  </si>
  <si>
    <t>CHEMINEES SVCD</t>
  </si>
  <si>
    <t>ESPACE CONFORT VOIRONNAIS</t>
  </si>
  <si>
    <t>04 76 06 99 38</t>
  </si>
  <si>
    <t>RAMONAGE SERVICES</t>
  </si>
  <si>
    <t>Le Haut-Breda</t>
  </si>
  <si>
    <t>Plateau-Des-Petites-Roches</t>
  </si>
  <si>
    <t>p.clavel@alp-confort.fr</t>
  </si>
  <si>
    <t>commercial-godin@orange.fr</t>
  </si>
  <si>
    <t>SEGUIN</t>
  </si>
  <si>
    <t>contact.echirolles@alp-confort.fr</t>
  </si>
  <si>
    <t>H5</t>
  </si>
  <si>
    <t>RUY-MONTCEAU</t>
  </si>
  <si>
    <t>accueil@sbidaud.fr</t>
  </si>
  <si>
    <t>H1</t>
  </si>
  <si>
    <t>04 76 07 14 61</t>
  </si>
  <si>
    <t>PF921S</t>
  </si>
  <si>
    <t>CORNAS</t>
  </si>
  <si>
    <t>C2D</t>
  </si>
  <si>
    <t>Travaux déjà réalisés</t>
  </si>
  <si>
    <t>SORO</t>
  </si>
  <si>
    <t>SAINT-MARTIN-D'HERES</t>
  </si>
  <si>
    <t>M.POMIN</t>
  </si>
  <si>
    <t>SAINT-PRIEST</t>
  </si>
  <si>
    <t>VALENCIENNES</t>
  </si>
  <si>
    <t>Magma</t>
  </si>
  <si>
    <t>DIDIER</t>
  </si>
  <si>
    <t>MAGMA</t>
  </si>
  <si>
    <t>CHAMBERY</t>
  </si>
  <si>
    <t>PICCIONE</t>
  </si>
  <si>
    <t>LOISIEUX</t>
  </si>
  <si>
    <t>ALBY-ECO</t>
  </si>
  <si>
    <t>BARGEL</t>
  </si>
  <si>
    <t>maj</t>
  </si>
  <si>
    <t>maj / non_maj</t>
  </si>
  <si>
    <t>non maj</t>
  </si>
  <si>
    <t>(Plusieurs éléments)</t>
  </si>
  <si>
    <t>poêle / insert bûche</t>
  </si>
  <si>
    <t>poêle / insert granulé</t>
  </si>
  <si>
    <t>CHALEUR BOIS</t>
  </si>
  <si>
    <t>SARL ENERLOGIS</t>
  </si>
  <si>
    <t>09 51 09 63 43</t>
  </si>
  <si>
    <t>Savoie</t>
  </si>
  <si>
    <t>Thierry ARROU</t>
  </si>
  <si>
    <t>Deschamps Inge</t>
  </si>
  <si>
    <t>Giret Jean-Marie</t>
  </si>
  <si>
    <t>C'était bien et utile</t>
  </si>
  <si>
    <t>colles</t>
  </si>
  <si>
    <t>pas assez technique</t>
  </si>
  <si>
    <t>jacques marquis</t>
  </si>
  <si>
    <t>le choix d'un combustible de qualité</t>
  </si>
  <si>
    <t>Manque de pratique</t>
  </si>
  <si>
    <t>Lacheau Patrick</t>
  </si>
  <si>
    <t>Cattin roger</t>
  </si>
  <si>
    <t>bien</t>
  </si>
  <si>
    <t>trop technique</t>
  </si>
  <si>
    <t>Un peu trop long faire plus concis favoriser les échanges de pratiques</t>
  </si>
  <si>
    <t>Lericque Christine</t>
  </si>
  <si>
    <t>Crolles c'était une grande salle, bien.</t>
  </si>
  <si>
    <t>Je trouve dommage que les participants ne puissent pas repartir avec un dossier reprenant les différents points abordés par l'intervenant.</t>
  </si>
  <si>
    <t>HOFFSTETTER Georges</t>
  </si>
  <si>
    <t>Etre un peu plus synthétique, reformuler plus fréquemment les essentiels (niveau du public hétérogène), mieux maîtriser le temps: timing non tenu, qui ne m'a pas permis d'assister à l'ensemble de la présentation</t>
  </si>
  <si>
    <t>Bruno Ghesquier</t>
  </si>
  <si>
    <t>faire des "piqures" de rappel</t>
  </si>
  <si>
    <t>LE COUSTUMER Jacques</t>
  </si>
  <si>
    <t>tissot jean-pierre</t>
  </si>
  <si>
    <t>Avertir de la durée (théorique) de la réunion. La notre a duré 2h (qui sont passées très vite). Il serait bien de parler de la manière d'isoler l'habitation et de programmer les poeles avec plus de finesse afin d'économiser encore plus de combustible.</t>
  </si>
  <si>
    <t>REIS Philippe</t>
  </si>
  <si>
    <t>Chevallier jacques</t>
  </si>
  <si>
    <t>Alcaraz Richard</t>
  </si>
  <si>
    <t>Cette précédente réponse car je suis technicien et m’intéresse à cette partie. De plus avec des soucis d'engagement et de responsabilités de la part de LAUDEVCO .</t>
  </si>
  <si>
    <t>MICHEL Claude</t>
  </si>
  <si>
    <t>La problématique de qualité de l'air et l'utilisation du poêle (notamment démarrage par le haut) m'ont également beaucoup intéressé. Depuis cette réunion, je pratique systématiquement le démarrage par le haut de mon poêle.</t>
  </si>
  <si>
    <t>Philippe BENSA</t>
  </si>
  <si>
    <t>Muffato Frédéric</t>
  </si>
  <si>
    <t>la problematique de la qualité de l'air</t>
  </si>
  <si>
    <t>da silva branco suzanne</t>
  </si>
  <si>
    <t>territoires</t>
  </si>
  <si>
    <t>Isère (sauf GAM, CCG et CAPV)</t>
  </si>
  <si>
    <t>autre département sauf Savoie (Ain, Drôme, Hautes-Alpes…)</t>
  </si>
  <si>
    <t>1 fois tous les 3 ans</t>
  </si>
  <si>
    <t>9</t>
  </si>
  <si>
    <t>facebook</t>
  </si>
  <si>
    <t>NORDIFLAM73</t>
  </si>
  <si>
    <t>04 79 75 09 79</t>
  </si>
  <si>
    <t>EBL</t>
  </si>
  <si>
    <t>04 76 05 94 44</t>
  </si>
  <si>
    <t>SILA</t>
  </si>
  <si>
    <t>voiron@techni-nature.com</t>
  </si>
  <si>
    <t>SKIA DESIGN</t>
  </si>
  <si>
    <t>TECHNI NATURE</t>
  </si>
  <si>
    <t>CHARNWOOD</t>
  </si>
  <si>
    <t>EURL FRALOR</t>
  </si>
  <si>
    <t>SARL PAB</t>
  </si>
  <si>
    <t>CHEMINEES JAY</t>
  </si>
  <si>
    <t>Rue Jean Moulin</t>
  </si>
  <si>
    <t>NORDIFLAM 73</t>
  </si>
  <si>
    <t>CREATIVE POSE</t>
  </si>
  <si>
    <t>ESTRABLIN</t>
  </si>
  <si>
    <t>AMServices</t>
  </si>
  <si>
    <t>GIERES</t>
  </si>
  <si>
    <t>adv@atre-loisirs.fr</t>
  </si>
  <si>
    <t xml:space="preserve">  </t>
  </si>
  <si>
    <t>LE CHEYLAS</t>
  </si>
  <si>
    <t>ROCAL</t>
  </si>
  <si>
    <t>0.09</t>
  </si>
  <si>
    <t>SAINT-BALDOPH</t>
  </si>
  <si>
    <t>ALP'ISORENOV</t>
  </si>
  <si>
    <t>contact@alpisorenov.fr</t>
  </si>
  <si>
    <t>SAINT-LOUIS</t>
  </si>
  <si>
    <t>vf.enr74@gmail.com</t>
  </si>
  <si>
    <t>ClouXtra</t>
  </si>
  <si>
    <t>I620</t>
  </si>
  <si>
    <t>MOCELLIN</t>
  </si>
  <si>
    <t>CHEMINEES DE CHAZELLES</t>
  </si>
  <si>
    <t>ME</t>
  </si>
  <si>
    <t>06 22 53 64 55</t>
  </si>
  <si>
    <t>POISAT</t>
  </si>
  <si>
    <t>Impasse du Mollard</t>
  </si>
  <si>
    <t>Soft 80</t>
  </si>
  <si>
    <t>Ovalis</t>
  </si>
  <si>
    <t>THERMI CONFORT</t>
  </si>
  <si>
    <t>LA NORDICA</t>
  </si>
  <si>
    <t>chemineescastan.commercial@gmail.com</t>
  </si>
  <si>
    <t>1; 5; 6</t>
  </si>
  <si>
    <t>Boite aux lettres</t>
  </si>
  <si>
    <t>CCLG</t>
  </si>
  <si>
    <t>Total bûche</t>
  </si>
  <si>
    <t>Total granulé</t>
  </si>
  <si>
    <t>Total investissement</t>
  </si>
  <si>
    <t>Panier moyen</t>
  </si>
  <si>
    <t>CA global G appareil indépendant</t>
  </si>
  <si>
    <t>CA prof G appareil indépendant</t>
  </si>
  <si>
    <t>Nombre</t>
  </si>
  <si>
    <t>Communes</t>
  </si>
  <si>
    <t>ALLIANCE CIVALLERO GIAIME PLOMBERIE RENOVATI</t>
  </si>
  <si>
    <t>AMBIANCE ET FLAMME</t>
  </si>
  <si>
    <t>La Chappelle du Bard</t>
  </si>
  <si>
    <t>BIO CLIMATIC</t>
  </si>
  <si>
    <t>Vaulnaveys</t>
  </si>
  <si>
    <t>C.R.A.C.</t>
  </si>
  <si>
    <t>Le Pont de Beauvoison</t>
  </si>
  <si>
    <t>CARRE FRANCOIS</t>
  </si>
  <si>
    <t>Varces</t>
  </si>
  <si>
    <t>CHEMINEE PHILIPPE ROUILLE</t>
  </si>
  <si>
    <t>CHEMINEES THIERRY PATOUX</t>
  </si>
  <si>
    <t>ECO SYSTÈME CONSTRUCTION</t>
  </si>
  <si>
    <t>Challes-Les-Eaux</t>
  </si>
  <si>
    <t>ETS GABERT</t>
  </si>
  <si>
    <t>Les Avenière</t>
  </si>
  <si>
    <t>EURL NESSFRANCE</t>
  </si>
  <si>
    <t>EURL PAT'RAMONAGE</t>
  </si>
  <si>
    <t>EURL SARIAN</t>
  </si>
  <si>
    <t>Saint-Bonnet-de-Mure</t>
  </si>
  <si>
    <t>F.E.M SYNERGIE</t>
  </si>
  <si>
    <t>FLAMME DE CHARTREUSE</t>
  </si>
  <si>
    <t>FLAMME GRESIVAUDAN CONCEPT</t>
  </si>
  <si>
    <t>HASE LA BOUTIQUE IGNIS DESIGN</t>
  </si>
  <si>
    <t>La Tour du Pin</t>
  </si>
  <si>
    <t>HAYDEE SARL</t>
  </si>
  <si>
    <t>Chatuzange Le Goubet</t>
  </si>
  <si>
    <t>HC TRADITION</t>
  </si>
  <si>
    <t>Villefranche sur Saone</t>
  </si>
  <si>
    <t>ISO CHAUFF'CONFORT</t>
  </si>
  <si>
    <t>LA GLACE ET LE FEU</t>
  </si>
  <si>
    <t>LAFORGE PLOMBERIE</t>
  </si>
  <si>
    <t>LAMBERT MADISUN</t>
  </si>
  <si>
    <t>LS RAMONAGE SERVICE</t>
  </si>
  <si>
    <t>Saint Laurent du Pont</t>
  </si>
  <si>
    <t>La Bathie</t>
  </si>
  <si>
    <t>Fabricant/Installateur</t>
  </si>
  <si>
    <t>Saint-Louis</t>
  </si>
  <si>
    <t>POELESGRANULES.FR - BIO BELLEDONNE GRANULES</t>
  </si>
  <si>
    <t>Domessin</t>
  </si>
  <si>
    <t>SARL ALAIN TODESCHINI</t>
  </si>
  <si>
    <t>SARL ANDREOLETY/PINEL</t>
  </si>
  <si>
    <t>SARL ATRE DECORATION</t>
  </si>
  <si>
    <t>SARL GLENAT PÈRE &amp; FILS</t>
  </si>
  <si>
    <t>Saint André le Gaz</t>
  </si>
  <si>
    <t>SARL R PLOMBERIE CHAUFFAGE</t>
  </si>
  <si>
    <t>SARL RAMON'ALPES</t>
  </si>
  <si>
    <t>Saint-Baldoph</t>
  </si>
  <si>
    <t>SARL TECNIC'SERVICES</t>
  </si>
  <si>
    <t>SAS CHARAT</t>
  </si>
  <si>
    <t>SERPOLET BIDAUD SAS</t>
  </si>
  <si>
    <t>Voglans</t>
  </si>
  <si>
    <t>STEYO ENERGIE</t>
  </si>
  <si>
    <t>VOIRON POELES A BOIS ET GRANULES</t>
  </si>
  <si>
    <t>Echirolles</t>
  </si>
  <si>
    <t>ALP'ISO RENOV</t>
  </si>
  <si>
    <t>Territoires</t>
  </si>
  <si>
    <t>Nombre de ENTREPRISES</t>
  </si>
  <si>
    <t>MORVAN</t>
  </si>
  <si>
    <t>ATRE DECORATION</t>
  </si>
  <si>
    <t>HAMAIN Jérémie</t>
  </si>
  <si>
    <t>Rue Victor Hugo</t>
  </si>
  <si>
    <t>TROUBA</t>
  </si>
  <si>
    <t>PIERRE</t>
  </si>
  <si>
    <t>HOBEN H7</t>
  </si>
  <si>
    <t>TOTEM FIRE</t>
  </si>
  <si>
    <t>SIMON Pascal</t>
  </si>
  <si>
    <t>CHEMINEE DES 2 SAVOIE</t>
  </si>
  <si>
    <t>Chemin des Chataigniers</t>
  </si>
  <si>
    <t>SKANDERBORG</t>
  </si>
  <si>
    <t>CRAC Chemisage Rhone Alpes Conduits</t>
  </si>
  <si>
    <t xml:space="preserve"> LS RAMONAGE SERVICES</t>
  </si>
  <si>
    <t>Chemin des Eymins</t>
  </si>
  <si>
    <t>Rue Hector Berlioz</t>
  </si>
  <si>
    <t>HOBEN H9</t>
  </si>
  <si>
    <t>Chemin du Mollard</t>
  </si>
  <si>
    <t>Burgos</t>
  </si>
  <si>
    <t>THERMOROSSI</t>
  </si>
  <si>
    <t>Route de Grenoble</t>
  </si>
  <si>
    <t>voglans@poelesgranules.fr</t>
  </si>
  <si>
    <t>ARTENSE</t>
  </si>
  <si>
    <t>Chemin de l'Etang</t>
  </si>
  <si>
    <t>06 89 36 86 14</t>
  </si>
  <si>
    <t>Rue du Stade</t>
  </si>
  <si>
    <t>BOMPAS SARL</t>
  </si>
  <si>
    <t>SARL COTE FLAMME</t>
  </si>
  <si>
    <t>ATRE ET LOISIRS SARL</t>
  </si>
  <si>
    <t>SARL PAT'RAMONAGE</t>
  </si>
  <si>
    <t>ALBY ECO</t>
  </si>
  <si>
    <t>ALPES MAZZILLI SERVICES</t>
  </si>
  <si>
    <t>AMBIANCE &amp; CHALEUR 26-07</t>
  </si>
  <si>
    <t>AMBIANCE ET FLAMME CHAZELLES CHEMINEES</t>
  </si>
  <si>
    <t>ANDREOLETY ET PINEL</t>
  </si>
  <si>
    <t>ART DE LA CHEMINEE</t>
  </si>
  <si>
    <t>AVIZ ENERGIE</t>
  </si>
  <si>
    <t>AZIMUT SOLAIRE</t>
  </si>
  <si>
    <t>BELLEDONNE PLOMBERIE SOLAIRE THERMIQUE</t>
  </si>
  <si>
    <t>ART PIERRE ET FEU CONCEPT</t>
  </si>
  <si>
    <t>ATOUT POELE SAVOIE</t>
  </si>
  <si>
    <t>BOIS SOLEIL CHAUFFAGE SARL</t>
  </si>
  <si>
    <t>CAPS ENERGIES</t>
  </si>
  <si>
    <t>ENTREPRISE CHARAT</t>
  </si>
  <si>
    <t>CHARTREUSE PLOMBERIE CHAUFFAGE</t>
  </si>
  <si>
    <t>CHAUDE AMBIANCE</t>
  </si>
  <si>
    <t>SARL CHEMINEES BERTOLA</t>
  </si>
  <si>
    <t>ERIC ENERGY</t>
  </si>
  <si>
    <t>DRUMETTAZ CLARAFOND</t>
  </si>
  <si>
    <t>CONFORT CHALEUR</t>
  </si>
  <si>
    <t>DAMIANI NICOLAS</t>
  </si>
  <si>
    <t>COULEUR FLAM</t>
  </si>
  <si>
    <t>ETABLISSEMENTS GABERT</t>
  </si>
  <si>
    <t>DZ FRANCE</t>
  </si>
  <si>
    <t>FRALOR POELES ET CUISINIERES PASSION</t>
  </si>
  <si>
    <t>GERENTE PAQUET HERVE</t>
  </si>
  <si>
    <t>HABITAT ET BIEN ETRE</t>
  </si>
  <si>
    <t>HABITAT HORIZON</t>
  </si>
  <si>
    <t>SASU IGNIS DESIGN HASE LA BOUTIQUE</t>
  </si>
  <si>
    <t>LEROY MERLIN</t>
  </si>
  <si>
    <t>LES CHEMINEES DU GRAND SERRE</t>
  </si>
  <si>
    <t>NAQUIN ET FILS</t>
  </si>
  <si>
    <t>MONCENIS CHAUFFAGE SANITAIRE</t>
  </si>
  <si>
    <t>O'THERMIE</t>
  </si>
  <si>
    <t>PÔLE CHEMINEES</t>
  </si>
  <si>
    <t>OLIGER FRANCE SAS</t>
  </si>
  <si>
    <t>RAMONAGE TUBAGE PROS</t>
  </si>
  <si>
    <t>SARL PREMILLIEU</t>
  </si>
  <si>
    <t>SARL PASSION FLAMME</t>
  </si>
  <si>
    <t>SOCIETE DES NOUVELLES TECHNIQUES DE CHAUFFAGE</t>
  </si>
  <si>
    <t>SOL R ELEC</t>
  </si>
  <si>
    <t>SOLUTION DE CHAUFFAGE</t>
  </si>
  <si>
    <t>TECNIC SERVICES</t>
  </si>
  <si>
    <t>SAINT-JEAN-D'AVELANNE</t>
  </si>
  <si>
    <t>SAINT PIERRE DE CHARTREUSE</t>
  </si>
  <si>
    <t>Chemin des Vignes</t>
  </si>
  <si>
    <t>NOBIS</t>
  </si>
  <si>
    <t>SILINDA</t>
  </si>
  <si>
    <t>SOFT 80</t>
  </si>
  <si>
    <t>RFR</t>
  </si>
  <si>
    <t>Valeur formulaire</t>
  </si>
  <si>
    <t>%</t>
  </si>
  <si>
    <t>Journal Municipal</t>
  </si>
  <si>
    <t>CHALLES-LES-EAUX</t>
  </si>
  <si>
    <t>Rue du Coteau</t>
  </si>
  <si>
    <t>CHEMINEES - CONCEPTION</t>
  </si>
  <si>
    <t>COUDOUX</t>
  </si>
  <si>
    <t>GAP</t>
  </si>
  <si>
    <t>Route du Chatelard</t>
  </si>
  <si>
    <t>demande de versement</t>
  </si>
  <si>
    <t>KALORICE</t>
  </si>
  <si>
    <t>SCIONZIER</t>
  </si>
  <si>
    <t>MENERGIE</t>
  </si>
  <si>
    <t>07 81 96 47 02</t>
  </si>
  <si>
    <t>Flexi 9 Steel</t>
  </si>
  <si>
    <t>TERREO</t>
  </si>
  <si>
    <t>PLAN</t>
  </si>
  <si>
    <t>MONTMELIAN</t>
  </si>
  <si>
    <t>F500 ECO</t>
  </si>
  <si>
    <t>DENIA</t>
  </si>
  <si>
    <t>EDMI</t>
  </si>
  <si>
    <t>SAS CHARLES MICKAEL</t>
  </si>
  <si>
    <t>SAINT MURY MONTEYMOND</t>
  </si>
  <si>
    <t>Rue Marcel Pagnol</t>
  </si>
  <si>
    <t>Lena Plus</t>
  </si>
  <si>
    <t>EGO AIR UP</t>
  </si>
  <si>
    <t>Ovalis T</t>
  </si>
  <si>
    <t>Aura 80</t>
  </si>
  <si>
    <t>Rue de la Fontaine</t>
  </si>
  <si>
    <t>Scan 85</t>
  </si>
  <si>
    <t>Sanitaire Plomberie Chauffage 74</t>
  </si>
  <si>
    <t>SAINT JORIOZ</t>
  </si>
  <si>
    <t>CHEMINEES CATTARINA</t>
  </si>
  <si>
    <t>Route de la Montagne</t>
  </si>
  <si>
    <t>LE MELEZE</t>
  </si>
  <si>
    <t>Oblo</t>
  </si>
  <si>
    <t>PHILIPPE</t>
  </si>
  <si>
    <t>Rue de la Tour</t>
  </si>
  <si>
    <t>jeanpierrezelus@poelesgranules.fr</t>
  </si>
  <si>
    <t>LOOP AIR 8 M1</t>
  </si>
  <si>
    <t>Manque photo (ok)</t>
  </si>
  <si>
    <t>EG</t>
  </si>
  <si>
    <t>SHELL 3 UP</t>
  </si>
  <si>
    <t>POP8</t>
  </si>
  <si>
    <t>STUV 30</t>
  </si>
  <si>
    <t>SAS L'ATRE DAUPHINOIS</t>
  </si>
  <si>
    <t>GUILLAUD SAUMUR</t>
  </si>
  <si>
    <t>contact@latredauphinois.fr</t>
  </si>
  <si>
    <t>servicepose.grenoble2@leroymerlin.fr</t>
  </si>
  <si>
    <t>04 12 04 25 25</t>
  </si>
  <si>
    <t>Cheminées Boisaubert</t>
  </si>
  <si>
    <t>Nombre de Usage ancien materiel.Usage ancien matériel</t>
  </si>
  <si>
    <t>Nombre de maj / non_maj</t>
  </si>
  <si>
    <t>Nombre de Questionnaire.N° dossier</t>
  </si>
  <si>
    <t>TCD Revenus</t>
  </si>
  <si>
    <t>TCD Public</t>
  </si>
  <si>
    <t>TCD Age</t>
  </si>
  <si>
    <t>TCD Motivations</t>
  </si>
  <si>
    <t>TCD Mode de connaissance</t>
  </si>
  <si>
    <t>TCD Type nouveau appareil</t>
  </si>
  <si>
    <t>Panier moyen non majoré</t>
  </si>
  <si>
    <t>Panier moyen majoré</t>
  </si>
  <si>
    <t>dossiers validés stade devis</t>
  </si>
  <si>
    <t>Montant moyen devis</t>
  </si>
  <si>
    <t>Insert buche / granulé</t>
  </si>
  <si>
    <t>poele buche / granulé</t>
  </si>
  <si>
    <t>TCD Panier devis moyen buche / granulé</t>
  </si>
  <si>
    <t>Panier moyen devis hors chaudière</t>
  </si>
  <si>
    <t>TCD Panier Moyen Majoré / Non majoré</t>
  </si>
  <si>
    <t>TCD Panier devis moyen hors chaudière</t>
  </si>
  <si>
    <t>Prime majoré</t>
  </si>
  <si>
    <t>Prime non majoré</t>
  </si>
  <si>
    <t>TCD Insallateur par année</t>
  </si>
  <si>
    <t>TOTAL 10 installateurs</t>
  </si>
  <si>
    <t>TOTAL global</t>
  </si>
  <si>
    <t>Frontenex</t>
  </si>
  <si>
    <t>Meyrie</t>
  </si>
  <si>
    <t>AVIZ'ENERGIE</t>
  </si>
  <si>
    <t>Le Bourget du Lac</t>
  </si>
  <si>
    <t>Le Sappey en Chartreuse</t>
  </si>
  <si>
    <t>ENT QUILLET</t>
  </si>
  <si>
    <t>Drumettaz-Clarafond</t>
  </si>
  <si>
    <t>Corbas</t>
  </si>
  <si>
    <t>EURL PUR'TECH</t>
  </si>
  <si>
    <t>Saint Pierre d'Entremont</t>
  </si>
  <si>
    <t>FELLER CHAUFFAGE</t>
  </si>
  <si>
    <t>FREVILLE ENTREPRISE</t>
  </si>
  <si>
    <t>Charancieu</t>
  </si>
  <si>
    <t>J3L AGECEMENTS CHEMINEE POELE PHILIPPE</t>
  </si>
  <si>
    <t>St Etienne de St Geoirs</t>
  </si>
  <si>
    <t>L'ATRE DAUPHINOIS</t>
  </si>
  <si>
    <t>Bourg de Péage</t>
  </si>
  <si>
    <t>Saint-Jean-de-Bournay</t>
  </si>
  <si>
    <t>Albertville</t>
  </si>
  <si>
    <t>SARL BOMPAS Cheminée et Pierre</t>
  </si>
  <si>
    <t>Champier</t>
  </si>
  <si>
    <t>SARL ENERGIES</t>
  </si>
  <si>
    <t>Scionzier</t>
  </si>
  <si>
    <t>SARL KALORICE</t>
  </si>
  <si>
    <t>Saint-Jorioz</t>
  </si>
  <si>
    <t>SARL SANITAIRE PLOMBERIE CHAUFFAGE</t>
  </si>
  <si>
    <t>SARL SERVEO</t>
  </si>
  <si>
    <t>Séchilienne</t>
  </si>
  <si>
    <t>SAS FABIEN GUGLIELMI</t>
  </si>
  <si>
    <t>Plan</t>
  </si>
  <si>
    <t>TERREO ENERGIE</t>
  </si>
  <si>
    <t>Die</t>
  </si>
  <si>
    <t>TM ENTREPRISE EI</t>
  </si>
  <si>
    <t>Fontanil-Cornillon</t>
  </si>
  <si>
    <t>VOUT et FILS</t>
  </si>
  <si>
    <t>Année facturation AGEDEN (dossier validé stade demande initial)
Rempli par Daniel</t>
  </si>
  <si>
    <t>Facturation AGEDEN 2022</t>
  </si>
  <si>
    <t>Bûche</t>
  </si>
  <si>
    <t>LA-TERRASSE</t>
  </si>
  <si>
    <t>MAX  BLANK</t>
  </si>
  <si>
    <t>LE-CHEYLAS</t>
  </si>
  <si>
    <t>SAINT-PIERRE-D'ALBIGNY</t>
  </si>
  <si>
    <t>LE-TOUVET</t>
  </si>
  <si>
    <t>CHEMINÉES GODIN</t>
  </si>
  <si>
    <t>DIK GEURTS par FONTE FLAMME</t>
  </si>
  <si>
    <t>SAINT-NIZIER-DU-MOUCHEROTTE</t>
  </si>
  <si>
    <t>LA-RAVOIRE</t>
  </si>
  <si>
    <t>Chemin des vignes</t>
  </si>
  <si>
    <t>VARCES-ALLIERES-ET-RISSET</t>
  </si>
  <si>
    <t>AXIS - ARTENSE</t>
  </si>
  <si>
    <t>Allée des Gentianes</t>
  </si>
  <si>
    <t>LA-BATHIE</t>
  </si>
  <si>
    <t>CAILLOUX-SUR-FONTAINES</t>
  </si>
  <si>
    <t>Rue du coteau</t>
  </si>
  <si>
    <t>Chemin des Sources</t>
  </si>
  <si>
    <t>LE-TOUR-DU-PIN</t>
  </si>
  <si>
    <t>LE-GUA</t>
  </si>
  <si>
    <t>Le Mont</t>
  </si>
  <si>
    <t>SAINT-MAURICE-DE-LIGNON</t>
  </si>
  <si>
    <t>SAINT-JEOIRE-PRIEURE</t>
  </si>
  <si>
    <t>LA-CHAPELLE-DU-BARD</t>
  </si>
  <si>
    <t>LE-PONT-DE-BEAUVOISIN</t>
  </si>
  <si>
    <t>CHEMINEES PHILIPPE</t>
  </si>
  <si>
    <t>VILLEFRANCHE-SUR-SAONE</t>
  </si>
  <si>
    <t>LA-ROCHETTE</t>
  </si>
  <si>
    <t>MORETTI FIRE</t>
  </si>
  <si>
    <t>MESNIL-LETTRE</t>
  </si>
  <si>
    <t>SAINT-BONNET-DE-MURE</t>
  </si>
  <si>
    <t>Chambéry</t>
  </si>
  <si>
    <t>SAINT-PIERRE-DE-CHARTREUSE</t>
  </si>
  <si>
    <t>LA-CHAPELLE-DE-LA-TOUR</t>
  </si>
  <si>
    <t>LE-BOURGET-DU-LAC</t>
  </si>
  <si>
    <t>IWONA PELLET</t>
  </si>
  <si>
    <t>SAINT-JORIOZ</t>
  </si>
  <si>
    <t>BOURG-DE-PEAGE</t>
  </si>
  <si>
    <t>SAINT-ANDRE-LE-GAZ</t>
  </si>
  <si>
    <t>Photo plan large</t>
  </si>
  <si>
    <t>SABLONS</t>
  </si>
  <si>
    <t>09 72 17 98 56</t>
  </si>
  <si>
    <t>Rue Alfred de Vigny</t>
  </si>
  <si>
    <t>ECODESIGN</t>
  </si>
  <si>
    <t>JACQUET</t>
  </si>
  <si>
    <t>425GM</t>
  </si>
  <si>
    <t>06 98 19 30 37</t>
  </si>
  <si>
    <t>MIRO 4</t>
  </si>
  <si>
    <t>Chemin des combes</t>
  </si>
  <si>
    <t>CHARANCIEU</t>
  </si>
  <si>
    <t>contact@philippeisere.fr</t>
  </si>
  <si>
    <t>04 76 66 33 86</t>
  </si>
  <si>
    <t>702-2V</t>
  </si>
  <si>
    <t>Attestation de destruction</t>
  </si>
  <si>
    <t>ARNAS</t>
  </si>
  <si>
    <t>Grand Bois</t>
  </si>
  <si>
    <t>ST-ALBAN-ROCHE</t>
  </si>
  <si>
    <t>Harold MOCCELIN</t>
  </si>
  <si>
    <t>ST-EGREVE</t>
  </si>
  <si>
    <t>Photo en plan large</t>
  </si>
  <si>
    <t>HUGUENIN Guillaume</t>
  </si>
  <si>
    <t>EGO COMFORT AIR 10 M2</t>
  </si>
  <si>
    <t>manque photo</t>
  </si>
  <si>
    <t>PORTE-DE-SAVOIE</t>
  </si>
  <si>
    <t>0.07072</t>
  </si>
  <si>
    <t>JOKKA</t>
  </si>
  <si>
    <t>GABORIT Sabin</t>
  </si>
  <si>
    <t>ZELUS Jean-Pierre</t>
  </si>
  <si>
    <t>RHEA FLAM</t>
  </si>
  <si>
    <t>EDESSA</t>
  </si>
  <si>
    <t>LA-BATIE-MONTGASCON</t>
  </si>
  <si>
    <t>MABLY 5 KW</t>
  </si>
  <si>
    <t>Chemin de la Tour</t>
  </si>
  <si>
    <t>BRUNNER</t>
  </si>
  <si>
    <t>MICHEL Patrick</t>
  </si>
  <si>
    <t>Manque RIB</t>
  </si>
  <si>
    <t>06 64 56 69 78</t>
  </si>
  <si>
    <t>M. DIDIER</t>
  </si>
  <si>
    <t>AMG</t>
  </si>
  <si>
    <t>MESA, LAHAN, NARA, ILAM SARI, VARNA</t>
  </si>
  <si>
    <t>M ENERGIE</t>
  </si>
  <si>
    <t>06 77 98 83 88</t>
  </si>
  <si>
    <t>GLENAT</t>
  </si>
  <si>
    <t>CAUCOURT</t>
  </si>
  <si>
    <t>M. CASTAN</t>
  </si>
  <si>
    <t>M. BRUNO</t>
  </si>
  <si>
    <t>H6 Eclipse</t>
  </si>
  <si>
    <t>RUSTIQUE</t>
  </si>
  <si>
    <t>LIMA C16</t>
  </si>
  <si>
    <t>POÊLES ET CHAUDIERES SAVOIE MONT-BLANC</t>
  </si>
  <si>
    <t>JAZZ 7 kW</t>
  </si>
  <si>
    <t>RIB</t>
  </si>
  <si>
    <t>Photo</t>
  </si>
  <si>
    <t>Jøtul F 305</t>
  </si>
  <si>
    <t>LS</t>
  </si>
  <si>
    <t>TCD Panier devis moyen poele / insert / chaudière</t>
  </si>
  <si>
    <t>TCD Lieu Propriétaire global</t>
  </si>
  <si>
    <t>ratio pro G / prof total depuis 2016</t>
  </si>
  <si>
    <t>LESCHERAINES</t>
  </si>
  <si>
    <t>ST-ETIENNE-DE-ST-GEOIRS</t>
  </si>
  <si>
    <t>Nbre installation concernée</t>
  </si>
  <si>
    <t>Entreprise / Commune</t>
  </si>
  <si>
    <t>ALPP PLOMBERIE CHAUFFAGE</t>
  </si>
  <si>
    <t>AUDEYER PINEDE ENERGIE (AP ENERGIE)</t>
  </si>
  <si>
    <t>BOIS SOLEIL CHAUFFAGE (BSC)</t>
  </si>
  <si>
    <t>Réaumont</t>
  </si>
  <si>
    <t>CCM CHAUFFAGE CONSEILS MAINTENANCE</t>
  </si>
  <si>
    <t>Saint-Blaise-du-Buis</t>
  </si>
  <si>
    <t>EUROCONFORT</t>
  </si>
  <si>
    <t>Saint-Laurent-du-Pont</t>
  </si>
  <si>
    <t>GITEM (CARRE François)</t>
  </si>
  <si>
    <t>Villeneuve d'Asq</t>
  </si>
  <si>
    <t>KBANE</t>
  </si>
  <si>
    <t>SARL ATRE DECORATION  (GODIN)</t>
  </si>
  <si>
    <t>La Bâtie-Montgascon</t>
  </si>
  <si>
    <t>Saint-Martin d'Hères</t>
  </si>
  <si>
    <t>XB ENERGIES</t>
  </si>
  <si>
    <t>Saint-Priest</t>
  </si>
  <si>
    <t>AASGARD SAINT PRIEST</t>
  </si>
  <si>
    <t>Chatillon sur Chalaronne</t>
  </si>
  <si>
    <t>BATI ECO PLUS</t>
  </si>
  <si>
    <t>Sablons</t>
  </si>
  <si>
    <t>CHEMINEES BOISAUBERT</t>
  </si>
  <si>
    <t>Lescheraines</t>
  </si>
  <si>
    <t>NRG SERVICES 73</t>
  </si>
  <si>
    <t>SARL (V2Z)</t>
  </si>
  <si>
    <t>Torchefelon</t>
  </si>
  <si>
    <t>SARL JD2C</t>
  </si>
  <si>
    <t>Ruy Montceau</t>
  </si>
  <si>
    <t>Questionnaire.Territoire</t>
  </si>
  <si>
    <t>Age.Age</t>
  </si>
  <si>
    <t>Questionnaire.Nb pers ménage</t>
  </si>
  <si>
    <t>Questionnaire.Surf chauff logement</t>
  </si>
  <si>
    <t>Questionnaire.Qtté bois consommée</t>
  </si>
  <si>
    <t>Questionnaire.Qtté bois unité</t>
  </si>
  <si>
    <t>Questionnaire.Type combustible nouveau matériel autre</t>
  </si>
  <si>
    <t>Questionnaire.Motivation autre</t>
  </si>
  <si>
    <t>stères</t>
  </si>
  <si>
    <t>2 à 3</t>
  </si>
  <si>
    <t>stère</t>
  </si>
  <si>
    <t>15</t>
  </si>
  <si>
    <t>Sécurité</t>
  </si>
  <si>
    <t>20</t>
  </si>
  <si>
    <t>16</t>
  </si>
  <si>
    <t>4,5</t>
  </si>
  <si>
    <t>7 à 8</t>
  </si>
  <si>
    <t>25</t>
  </si>
  <si>
    <t>18</t>
  </si>
  <si>
    <t>0,8</t>
  </si>
  <si>
    <t>3,5</t>
  </si>
  <si>
    <t>14</t>
  </si>
  <si>
    <t>0</t>
  </si>
  <si>
    <t>tonne</t>
  </si>
  <si>
    <t>stere</t>
  </si>
  <si>
    <t>13</t>
  </si>
  <si>
    <t>9,6</t>
  </si>
  <si>
    <t>2/3</t>
  </si>
  <si>
    <t>4,8</t>
  </si>
  <si>
    <t>3/4</t>
  </si>
  <si>
    <t>5/6</t>
  </si>
  <si>
    <t>4/5</t>
  </si>
  <si>
    <t>0,7</t>
  </si>
  <si>
    <t>kg</t>
  </si>
  <si>
    <t>tonnes</t>
  </si>
  <si>
    <t>2,4</t>
  </si>
  <si>
    <t>0,5</t>
  </si>
  <si>
    <t>2,1</t>
  </si>
  <si>
    <t>30</t>
  </si>
  <si>
    <t>50cm</t>
  </si>
  <si>
    <t>STERE</t>
  </si>
  <si>
    <t>STERES</t>
  </si>
  <si>
    <t>7,5</t>
  </si>
  <si>
    <t>Stères</t>
  </si>
  <si>
    <t>sécurité</t>
  </si>
  <si>
    <t>facilité d'utilisation</t>
  </si>
  <si>
    <t>M3</t>
  </si>
  <si>
    <t>SECURITE</t>
  </si>
  <si>
    <t>APPAREIL EXISTANT INUTILISABLE</t>
  </si>
  <si>
    <t>Inconnu</t>
  </si>
  <si>
    <t>2-3</t>
  </si>
  <si>
    <t>Métro</t>
  </si>
  <si>
    <t>INCONNU</t>
  </si>
  <si>
    <t>NE SAIT PAS</t>
  </si>
  <si>
    <t>Réfusé</t>
  </si>
  <si>
    <t>GAM</t>
  </si>
  <si>
    <t>CAPV</t>
  </si>
  <si>
    <t>Champs concernés</t>
  </si>
  <si>
    <t>Valeurs</t>
  </si>
  <si>
    <t>Correspondances</t>
  </si>
  <si>
    <t>Artisan,commerçant,chef d'entreprise</t>
  </si>
  <si>
    <t>Autre,sans activité</t>
  </si>
  <si>
    <t>moins de 20 000 €</t>
  </si>
  <si>
    <t>plus de 100 000 €</t>
  </si>
  <si>
    <t>&lt;1an</t>
  </si>
  <si>
    <t>1-2 ans</t>
  </si>
  <si>
    <t>Poele</t>
  </si>
  <si>
    <t>avant 1949</t>
  </si>
  <si>
    <t>1946-1975</t>
  </si>
  <si>
    <t>après 2005</t>
  </si>
  <si>
    <t>PO</t>
  </si>
  <si>
    <t>PB</t>
  </si>
  <si>
    <t>Chaufage d'appoint</t>
  </si>
  <si>
    <t>Plaisir / agrément</t>
  </si>
  <si>
    <t>Granulés</t>
  </si>
  <si>
    <t>Bois de récup</t>
  </si>
  <si>
    <t>Autre (détails dans colonne "Type combustible autre")</t>
  </si>
  <si>
    <t>autre (colonne Questionnaire.Fréquence ramonage autre)</t>
  </si>
  <si>
    <t>insert cheminée</t>
  </si>
  <si>
    <t>poele</t>
  </si>
  <si>
    <t>poele de masse</t>
  </si>
  <si>
    <t>cuisinière</t>
  </si>
  <si>
    <t>poele hydraulique</t>
  </si>
  <si>
    <t>chaudière</t>
  </si>
  <si>
    <t>&lt; 1990</t>
  </si>
  <si>
    <t>1990-1996</t>
  </si>
  <si>
    <t>Remplacement  menuiseries</t>
  </si>
  <si>
    <t>moins souvent</t>
  </si>
  <si>
    <t>le matin</t>
  </si>
  <si>
    <t>en soirée</t>
  </si>
  <si>
    <t>en intersaison</t>
  </si>
  <si>
    <t>la journée</t>
  </si>
  <si>
    <t>la nuit</t>
  </si>
  <si>
    <t>lorsqu'il fait très froid</t>
  </si>
  <si>
    <t>autre (colonne Questionnaire.Appro autre)</t>
  </si>
  <si>
    <t>RA2B</t>
  </si>
  <si>
    <t>Sous Abris</t>
  </si>
  <si>
    <t>Sans Abris</t>
  </si>
  <si>
    <t>résineux</t>
  </si>
  <si>
    <t>feuillus</t>
  </si>
  <si>
    <t>les 2</t>
  </si>
  <si>
    <t>vous-même</t>
  </si>
  <si>
    <t>un professionnel</t>
  </si>
  <si>
    <t>granulés</t>
  </si>
  <si>
    <t>Amélorer la qualité de l'air de mon logement</t>
  </si>
  <si>
    <t>Economiser de l'argent</t>
  </si>
  <si>
    <t>Gagner en confort / chaleur</t>
  </si>
  <si>
    <t>Amélorer la qualité de l'air extérieur (santé / environnement)</t>
  </si>
  <si>
    <t>Autres (colonne Questionnaire.Motivation autre)</t>
  </si>
  <si>
    <t>Professionnel / Installateur</t>
  </si>
  <si>
    <t>Bouche à oreille</t>
  </si>
  <si>
    <t>Notaire / Besoin de mise en conformité</t>
  </si>
  <si>
    <t>Site internet (colonne Questionnaire.Connaissance aide site internet)</t>
  </si>
  <si>
    <t>Pub internet</t>
  </si>
  <si>
    <t>Salons foire réunion d'infos</t>
  </si>
  <si>
    <t>Autre (colonne Questionnaire.Connaissance aide autre)</t>
  </si>
  <si>
    <t>ALEC /AGEDEN</t>
  </si>
  <si>
    <t>Le voironnais</t>
  </si>
  <si>
    <t>3 Autres</t>
  </si>
  <si>
    <t>TCD Usage (Non utilisé)</t>
  </si>
  <si>
    <t>Ancien usage</t>
  </si>
  <si>
    <t>Nouvel usage</t>
  </si>
  <si>
    <t>Pèriode du bilan</t>
  </si>
  <si>
    <t>autres</t>
  </si>
  <si>
    <t>Total</t>
  </si>
  <si>
    <t>TCD Dossier majoré (pour vérif si besoin)</t>
  </si>
  <si>
    <t>VRB0001</t>
  </si>
  <si>
    <t>VRB0002</t>
  </si>
  <si>
    <t>VRB0003</t>
  </si>
  <si>
    <t>VRB0004</t>
  </si>
  <si>
    <t>VRB0005</t>
  </si>
  <si>
    <t>VRB0006</t>
  </si>
  <si>
    <t>Cuisiner au bois</t>
  </si>
  <si>
    <t>VRB0007</t>
  </si>
  <si>
    <t>VRB0012</t>
  </si>
  <si>
    <t>VRB0013</t>
  </si>
  <si>
    <t>VRB0014</t>
  </si>
  <si>
    <t>VRB0015</t>
  </si>
  <si>
    <t>VRB0016</t>
  </si>
  <si>
    <t>VRB0017</t>
  </si>
  <si>
    <t>Difficulté a manipuler les buches</t>
  </si>
  <si>
    <t>VRB0018</t>
  </si>
  <si>
    <t>VRB0019</t>
  </si>
  <si>
    <t>VRB0020</t>
  </si>
  <si>
    <t>5; 7</t>
  </si>
  <si>
    <t>VRB0021</t>
  </si>
  <si>
    <t>VRB0022</t>
  </si>
  <si>
    <t>VRB0023</t>
  </si>
  <si>
    <t>VRB0024</t>
  </si>
  <si>
    <t>1; 7</t>
  </si>
  <si>
    <t>VRB0025</t>
  </si>
  <si>
    <t>ne sais pas</t>
  </si>
  <si>
    <t>1; 2; 7</t>
  </si>
  <si>
    <t>VRB0026</t>
  </si>
  <si>
    <t>VRB0027</t>
  </si>
  <si>
    <t>ause trachéo</t>
  </si>
  <si>
    <t>VRB0028</t>
  </si>
  <si>
    <t>VRB0029</t>
  </si>
  <si>
    <t>VRB0030</t>
  </si>
  <si>
    <t>VRB0031</t>
  </si>
  <si>
    <t>VRB0032</t>
  </si>
  <si>
    <t>VRB0033</t>
  </si>
  <si>
    <t>VRB0034</t>
  </si>
  <si>
    <t>VRB0035</t>
  </si>
  <si>
    <t>VRB0036</t>
  </si>
  <si>
    <t>VRB0037</t>
  </si>
  <si>
    <t>VRB0038</t>
  </si>
  <si>
    <t>VRB0039</t>
  </si>
  <si>
    <t>VRB0040</t>
  </si>
  <si>
    <t>VRB0041</t>
  </si>
  <si>
    <t>1; 5; 7</t>
  </si>
  <si>
    <t>VRB0042</t>
  </si>
  <si>
    <t>VRB0043</t>
  </si>
  <si>
    <t>VRB0044</t>
  </si>
  <si>
    <t>Tonnes</t>
  </si>
  <si>
    <t>VRB0045</t>
  </si>
  <si>
    <t>VRB0046</t>
  </si>
  <si>
    <t>VRB0047</t>
  </si>
  <si>
    <t>VRB0048</t>
  </si>
  <si>
    <t>VRB0049</t>
  </si>
  <si>
    <t>VRB0050</t>
  </si>
  <si>
    <t>VRB0051</t>
  </si>
  <si>
    <t>VRB0052</t>
  </si>
  <si>
    <t>VRB0053</t>
  </si>
  <si>
    <t>VRB0054</t>
  </si>
  <si>
    <t>VRB0055</t>
  </si>
  <si>
    <t>VRB0056</t>
  </si>
  <si>
    <t>VRB0057</t>
  </si>
  <si>
    <t>VRB0058</t>
  </si>
  <si>
    <t>Palette</t>
  </si>
  <si>
    <t>VRB0059</t>
  </si>
  <si>
    <t>VRB0061</t>
  </si>
  <si>
    <t>Appareil securisé</t>
  </si>
  <si>
    <t>5; 9</t>
  </si>
  <si>
    <t>VRB0062</t>
  </si>
  <si>
    <t>VRB0063</t>
  </si>
  <si>
    <t>VRB0064</t>
  </si>
  <si>
    <t>VRB0065</t>
  </si>
  <si>
    <t>VRB0066</t>
  </si>
  <si>
    <t>VRB0067</t>
  </si>
  <si>
    <t>VRB0068</t>
  </si>
  <si>
    <t>VRB0069</t>
  </si>
  <si>
    <t>VRB0070</t>
  </si>
  <si>
    <t>VRB0071</t>
  </si>
  <si>
    <t>VRB0072</t>
  </si>
  <si>
    <t>VRB0073</t>
  </si>
  <si>
    <t>VRB0075</t>
  </si>
  <si>
    <t>VRB0076</t>
  </si>
  <si>
    <t>facilité le quotidien</t>
  </si>
  <si>
    <t>2; 7</t>
  </si>
  <si>
    <t>VRB0077</t>
  </si>
  <si>
    <t>VRB0078</t>
  </si>
  <si>
    <t>VRB0079</t>
  </si>
  <si>
    <t>VRB0080</t>
  </si>
  <si>
    <t>VRB0081</t>
  </si>
  <si>
    <t>VRB0082</t>
  </si>
  <si>
    <t>VRB0083</t>
  </si>
  <si>
    <t>VRB0084</t>
  </si>
  <si>
    <t>VRB0085</t>
  </si>
  <si>
    <t>VRB0086</t>
  </si>
  <si>
    <t>VRB0087</t>
  </si>
  <si>
    <t>400</t>
  </si>
  <si>
    <t>VRB0088</t>
  </si>
  <si>
    <t>VRB0089</t>
  </si>
  <si>
    <t>VRB0090</t>
  </si>
  <si>
    <t>VRB0091</t>
  </si>
  <si>
    <t>agriculteur</t>
  </si>
  <si>
    <t>VRB0092</t>
  </si>
  <si>
    <t>VRB0093</t>
  </si>
  <si>
    <t>VRB0094</t>
  </si>
  <si>
    <t>VRB0095</t>
  </si>
  <si>
    <t>VRB0096</t>
  </si>
  <si>
    <t>VRB0097</t>
  </si>
  <si>
    <t>VRB0098</t>
  </si>
  <si>
    <t>VRB0099</t>
  </si>
  <si>
    <t>VRB0100</t>
  </si>
  <si>
    <t>VRB0101</t>
  </si>
  <si>
    <t>VRB0102</t>
  </si>
  <si>
    <t>VRB0103</t>
  </si>
  <si>
    <t>3,2</t>
  </si>
  <si>
    <t>VRB0104</t>
  </si>
  <si>
    <t>VRB0106</t>
  </si>
  <si>
    <t>VRB0107</t>
  </si>
  <si>
    <t>VRB0108</t>
  </si>
  <si>
    <t>VRB0109</t>
  </si>
  <si>
    <t>VRB0110</t>
  </si>
  <si>
    <t>VRB0111</t>
  </si>
  <si>
    <t>VRB0112</t>
  </si>
  <si>
    <t>VRB0113</t>
  </si>
  <si>
    <t>VRB0114</t>
  </si>
  <si>
    <t>VRB0115</t>
  </si>
  <si>
    <t>VRB0116</t>
  </si>
  <si>
    <t>VRB0117</t>
  </si>
  <si>
    <t>VRB0118</t>
  </si>
  <si>
    <t>sécuriré</t>
  </si>
  <si>
    <t>VRB0119</t>
  </si>
  <si>
    <t>VRB0120</t>
  </si>
  <si>
    <t>VRB0121</t>
  </si>
  <si>
    <t>VRB0122</t>
  </si>
  <si>
    <t>1; 5; 7; 11</t>
  </si>
  <si>
    <t>VRB0123</t>
  </si>
  <si>
    <t>VRB0124</t>
  </si>
  <si>
    <t>2; 5; 7</t>
  </si>
  <si>
    <t>VRB0125</t>
  </si>
  <si>
    <t>7; 11</t>
  </si>
  <si>
    <t>VRB0126</t>
  </si>
  <si>
    <t>VRB0127</t>
  </si>
  <si>
    <t>VRB0128</t>
  </si>
  <si>
    <t>VRB0129</t>
  </si>
  <si>
    <t>VRB0130</t>
  </si>
  <si>
    <t>VRB0131</t>
  </si>
  <si>
    <t>VRB0132</t>
  </si>
  <si>
    <t>VRB0133</t>
  </si>
  <si>
    <t>VRB0134</t>
  </si>
  <si>
    <t>VRB0135</t>
  </si>
  <si>
    <t>VRB0136</t>
  </si>
  <si>
    <t>VRB0137</t>
  </si>
  <si>
    <t>VRB0138</t>
  </si>
  <si>
    <t>VRB0139</t>
  </si>
  <si>
    <t>VRB0140</t>
  </si>
  <si>
    <t>VRB0141</t>
  </si>
  <si>
    <t>VRB0142</t>
  </si>
  <si>
    <t>VRB0143</t>
  </si>
  <si>
    <t>VRB0144</t>
  </si>
  <si>
    <t>VRB0145</t>
  </si>
  <si>
    <t>VRB0146</t>
  </si>
  <si>
    <t>VRB0147</t>
  </si>
  <si>
    <t>VRB0148</t>
  </si>
  <si>
    <t>VRB0149</t>
  </si>
  <si>
    <t>VRB0150</t>
  </si>
  <si>
    <t>VRB0151</t>
  </si>
  <si>
    <t>VRB0152</t>
  </si>
  <si>
    <t>VRB0153</t>
  </si>
  <si>
    <t>VRB0154</t>
  </si>
  <si>
    <t>VRB0155</t>
  </si>
  <si>
    <t>VRB0156</t>
  </si>
  <si>
    <t>VRB0157</t>
  </si>
  <si>
    <t>VRB0158</t>
  </si>
  <si>
    <t>VRB0159</t>
  </si>
  <si>
    <t>VRB0160</t>
  </si>
  <si>
    <t>VRB0161</t>
  </si>
  <si>
    <t>VRB0162</t>
  </si>
  <si>
    <t>VRB0163</t>
  </si>
  <si>
    <t>VRB0164</t>
  </si>
  <si>
    <t>VRB0165</t>
  </si>
  <si>
    <t>VRB0166</t>
  </si>
  <si>
    <t>Point de vente spécialisé</t>
  </si>
  <si>
    <t>Bûches densifiés</t>
  </si>
  <si>
    <t>VRB0167</t>
  </si>
  <si>
    <t>VRB0168</t>
  </si>
  <si>
    <t>10,5</t>
  </si>
  <si>
    <t>1 fois par an par ancien propriétaire</t>
  </si>
  <si>
    <t>VRB0169</t>
  </si>
  <si>
    <t>VRB0170</t>
  </si>
  <si>
    <t>VRB0171</t>
  </si>
  <si>
    <t>VRB0172</t>
  </si>
  <si>
    <t>VRB0173</t>
  </si>
  <si>
    <t>VRB0174</t>
  </si>
  <si>
    <t>VRB0175</t>
  </si>
  <si>
    <t>VRB0176</t>
  </si>
  <si>
    <t>VRB0177</t>
  </si>
  <si>
    <t>VRB0178</t>
  </si>
  <si>
    <t>VRB0179</t>
  </si>
  <si>
    <t>faciliter l'usage</t>
  </si>
  <si>
    <t>VRB0181</t>
  </si>
  <si>
    <t>VRB0182</t>
  </si>
  <si>
    <t>VRB0183</t>
  </si>
  <si>
    <t>VRB0184</t>
  </si>
  <si>
    <t>VRB0185</t>
  </si>
  <si>
    <t>VRB0186</t>
  </si>
  <si>
    <t>VRB0187</t>
  </si>
  <si>
    <t>VRB0188</t>
  </si>
  <si>
    <t>VRB0189</t>
  </si>
  <si>
    <t>VRB0190</t>
  </si>
  <si>
    <t>VRB0191</t>
  </si>
  <si>
    <t>VRB0192</t>
  </si>
  <si>
    <t>VRB0193</t>
  </si>
  <si>
    <t>VRB0194</t>
  </si>
  <si>
    <t>VRB0195</t>
  </si>
  <si>
    <t>VRB0196</t>
  </si>
  <si>
    <t>VRB0197</t>
  </si>
  <si>
    <t>VRB0198</t>
  </si>
  <si>
    <t>VRB0199</t>
  </si>
  <si>
    <t>VRB0200</t>
  </si>
  <si>
    <t>VRB0201</t>
  </si>
  <si>
    <t>VRB0202</t>
  </si>
  <si>
    <t>VRB0203</t>
  </si>
  <si>
    <t>VRB0204</t>
  </si>
  <si>
    <t>VRB0205</t>
  </si>
  <si>
    <t>VRB0206</t>
  </si>
  <si>
    <t>VRB0207</t>
  </si>
  <si>
    <t>VRB0208</t>
  </si>
  <si>
    <t>recherches personnelles</t>
  </si>
  <si>
    <t>VRB0209</t>
  </si>
  <si>
    <t>VRB0210</t>
  </si>
  <si>
    <t>VRB0211</t>
  </si>
  <si>
    <t>VRB0212</t>
  </si>
  <si>
    <t>VRB0213</t>
  </si>
  <si>
    <t>VRB0214</t>
  </si>
  <si>
    <t>VRB0216</t>
  </si>
  <si>
    <t>VRB0217</t>
  </si>
  <si>
    <t>VRB0218</t>
  </si>
  <si>
    <t>VRB0219</t>
  </si>
  <si>
    <t>VRB0220</t>
  </si>
  <si>
    <t>pas fait depuis 12 ans</t>
  </si>
  <si>
    <t>VRB0221</t>
  </si>
  <si>
    <t>VRB0222</t>
  </si>
  <si>
    <t>+ charbon</t>
  </si>
  <si>
    <t>VRB0223</t>
  </si>
  <si>
    <t>VRB0224</t>
  </si>
  <si>
    <t>VRB0226</t>
  </si>
  <si>
    <t>VRB0227</t>
  </si>
  <si>
    <t>m²</t>
  </si>
  <si>
    <t>achat de coupe de bois</t>
  </si>
  <si>
    <t>VRB0228</t>
  </si>
  <si>
    <t>Diminution de manipulation de bûches</t>
  </si>
  <si>
    <t>VRB0229</t>
  </si>
  <si>
    <t>VRB0230</t>
  </si>
  <si>
    <t>VRB0232</t>
  </si>
  <si>
    <t>VRB0233</t>
  </si>
  <si>
    <t>remplacer un appareil trop vieux</t>
  </si>
  <si>
    <t>VRB0234</t>
  </si>
  <si>
    <t>VRB0235</t>
  </si>
  <si>
    <t>gagner en performance et rendement</t>
  </si>
  <si>
    <t>VRB0236</t>
  </si>
  <si>
    <t>VRB0237</t>
  </si>
  <si>
    <t>VRB0238</t>
  </si>
  <si>
    <t>VRB0239</t>
  </si>
  <si>
    <t>VRB0240</t>
  </si>
  <si>
    <t>nouveau propriétaire aout 2021</t>
  </si>
  <si>
    <t>VRB0241</t>
  </si>
  <si>
    <t>et charbon</t>
  </si>
  <si>
    <t>VRB0242</t>
  </si>
  <si>
    <t>fagots</t>
  </si>
  <si>
    <t>etre moins dependant du chauffage electrique</t>
  </si>
  <si>
    <t>VRB0243</t>
  </si>
  <si>
    <t>VRB0244</t>
  </si>
  <si>
    <t>VRB0245</t>
  </si>
  <si>
    <t>VRB0246</t>
  </si>
  <si>
    <t>VRB0247</t>
  </si>
  <si>
    <t>VRB0248</t>
  </si>
  <si>
    <t>VRB0249</t>
  </si>
  <si>
    <t>VRB0250</t>
  </si>
  <si>
    <t>VRB0251</t>
  </si>
  <si>
    <t>VRB0252</t>
  </si>
  <si>
    <t>VRB0253</t>
  </si>
  <si>
    <t>VRB0255</t>
  </si>
  <si>
    <t>VRB0256</t>
  </si>
  <si>
    <t>VRB0257</t>
  </si>
  <si>
    <t>VRB0258</t>
  </si>
  <si>
    <t>VRB0259</t>
  </si>
  <si>
    <t>8,8</t>
  </si>
  <si>
    <t>VRB0260</t>
  </si>
  <si>
    <t>VRB0261</t>
  </si>
  <si>
    <t>50CM</t>
  </si>
  <si>
    <t>VRB0262</t>
  </si>
  <si>
    <t>VRB0263</t>
  </si>
  <si>
    <t>VRB0265</t>
  </si>
  <si>
    <t>VRB0266</t>
  </si>
  <si>
    <t>VRB0267</t>
  </si>
  <si>
    <t>MISE EN CONFORMITE</t>
  </si>
  <si>
    <t>VRB0268</t>
  </si>
  <si>
    <t>5; 7; 12</t>
  </si>
  <si>
    <t>MA PRIME RENOV</t>
  </si>
  <si>
    <t>VRB0269</t>
  </si>
  <si>
    <t>7; 8</t>
  </si>
  <si>
    <t>VRB0270</t>
  </si>
  <si>
    <t>VRB0271</t>
  </si>
  <si>
    <t>INTERNET</t>
  </si>
  <si>
    <t>VRB0272</t>
  </si>
  <si>
    <t>VRB0273</t>
  </si>
  <si>
    <t>VRB0274</t>
  </si>
  <si>
    <t>8,25</t>
  </si>
  <si>
    <t>VRB0275</t>
  </si>
  <si>
    <t>VRB0276</t>
  </si>
  <si>
    <t>VRB0277</t>
  </si>
  <si>
    <t>VRB0278</t>
  </si>
  <si>
    <t>VRB0279</t>
  </si>
  <si>
    <t>VRB0280</t>
  </si>
  <si>
    <t>VRB0281</t>
  </si>
  <si>
    <t>VRB0282</t>
  </si>
  <si>
    <t>VRB0283</t>
  </si>
  <si>
    <t>VRB0284</t>
  </si>
  <si>
    <t>VRB0285</t>
  </si>
  <si>
    <t>VRB0286</t>
  </si>
  <si>
    <t>VRB0287</t>
  </si>
  <si>
    <t>VRB0288</t>
  </si>
  <si>
    <t>PRACTICITE</t>
  </si>
  <si>
    <t>URBANIS</t>
  </si>
  <si>
    <t>VRB0289</t>
  </si>
  <si>
    <t>VRB0290</t>
  </si>
  <si>
    <t>VRB0291</t>
  </si>
  <si>
    <t>5; 7; 11</t>
  </si>
  <si>
    <t>VRB0292</t>
  </si>
  <si>
    <t>VRB0293</t>
  </si>
  <si>
    <t>VRB0294</t>
  </si>
  <si>
    <t>VRB0295</t>
  </si>
  <si>
    <t>VRB0296</t>
  </si>
  <si>
    <t>BAISSER LE BILAN CARBONE</t>
  </si>
  <si>
    <t>VRB0297</t>
  </si>
  <si>
    <t>VRB0298</t>
  </si>
  <si>
    <t>VRB0299</t>
  </si>
  <si>
    <t>TONNES</t>
  </si>
  <si>
    <t>VRB0300</t>
  </si>
  <si>
    <t>VRB0301</t>
  </si>
  <si>
    <t>VRB0302</t>
  </si>
  <si>
    <t>VRB0303</t>
  </si>
  <si>
    <t>VRB0304</t>
  </si>
  <si>
    <t>VRB0305</t>
  </si>
  <si>
    <t>VRB0306</t>
  </si>
  <si>
    <t>VRB0307</t>
  </si>
  <si>
    <t>VRB0308</t>
  </si>
  <si>
    <t>VRB0309</t>
  </si>
  <si>
    <t>VRB0310</t>
  </si>
  <si>
    <t>VRB0311</t>
  </si>
  <si>
    <t>VRB0312</t>
  </si>
  <si>
    <t>VRB0313</t>
  </si>
  <si>
    <t>VRB0314</t>
  </si>
  <si>
    <t>VRB0315</t>
  </si>
  <si>
    <t>VRB0316</t>
  </si>
  <si>
    <t>VRB0317</t>
  </si>
  <si>
    <t>VRB0318</t>
  </si>
  <si>
    <t>VRB0319</t>
  </si>
  <si>
    <t>VRB0320</t>
  </si>
  <si>
    <t>VRB0321</t>
  </si>
  <si>
    <t>VRB0322</t>
  </si>
  <si>
    <t>VRB0323</t>
  </si>
  <si>
    <t>VRB0326</t>
  </si>
  <si>
    <t>VRB0328</t>
  </si>
  <si>
    <t>VRB0330</t>
  </si>
  <si>
    <t>VRB0331</t>
  </si>
  <si>
    <t>VRB0332</t>
  </si>
  <si>
    <t>TONES</t>
  </si>
  <si>
    <t>VRB0333</t>
  </si>
  <si>
    <t>2 à 6</t>
  </si>
  <si>
    <t>VRB0335</t>
  </si>
  <si>
    <t>VRB0336</t>
  </si>
  <si>
    <t>VRB0337</t>
  </si>
  <si>
    <t>VRB0338</t>
  </si>
  <si>
    <t>VRB0339</t>
  </si>
  <si>
    <t>VRB0340</t>
  </si>
  <si>
    <t>nouveau proprietaire</t>
  </si>
  <si>
    <t>VRB0341</t>
  </si>
  <si>
    <t>VRB0342</t>
  </si>
  <si>
    <t>VRB0343</t>
  </si>
  <si>
    <t>VRB0344</t>
  </si>
  <si>
    <t>VRB0345</t>
  </si>
  <si>
    <t>VRB0346</t>
  </si>
  <si>
    <t>Mon ancien poêlede 40 ans n'est plus aux normes exigées</t>
  </si>
  <si>
    <t>VRB0348</t>
  </si>
  <si>
    <t>VRB0350</t>
  </si>
  <si>
    <t>VRB0351</t>
  </si>
  <si>
    <t>VRB0352</t>
  </si>
  <si>
    <t>Diminuez ma conso de fioul de mon chauffage principal</t>
  </si>
  <si>
    <t>VRB0354</t>
  </si>
  <si>
    <t>VRB0355</t>
  </si>
  <si>
    <t>VRB0357</t>
  </si>
  <si>
    <t>VRB0358</t>
  </si>
  <si>
    <t>5 a 6</t>
  </si>
  <si>
    <t>VRB0359</t>
  </si>
  <si>
    <t>Inconu</t>
  </si>
  <si>
    <t>remplacement d'unchauffage obsolète et unitilisable</t>
  </si>
  <si>
    <t>VRB0360</t>
  </si>
  <si>
    <t>VRB0362</t>
  </si>
  <si>
    <t>Infosenergie38</t>
  </si>
  <si>
    <t>VRB0363</t>
  </si>
  <si>
    <t>coupe arbres jardin</t>
  </si>
  <si>
    <t>Améliorer la sécurité</t>
  </si>
  <si>
    <t>VRB0364</t>
  </si>
  <si>
    <t>VRB0365</t>
  </si>
  <si>
    <t>Pays voironnais + recherche personnel</t>
  </si>
  <si>
    <t>VRB0366</t>
  </si>
  <si>
    <t>VRB0369</t>
  </si>
  <si>
    <t>VRB0370</t>
  </si>
  <si>
    <t>VRB0371</t>
  </si>
  <si>
    <t>VRB0372</t>
  </si>
  <si>
    <t>8 a 9</t>
  </si>
  <si>
    <t>VRB0374</t>
  </si>
  <si>
    <t>VRB0375</t>
  </si>
  <si>
    <t>VRB0376</t>
  </si>
  <si>
    <t>VRB0377</t>
  </si>
  <si>
    <t>VRB0378</t>
  </si>
  <si>
    <t>VRB0379</t>
  </si>
  <si>
    <t>Non connue emènagement récent</t>
  </si>
  <si>
    <t>non connue</t>
  </si>
  <si>
    <t>Urnanis</t>
  </si>
  <si>
    <t>VRB0380</t>
  </si>
  <si>
    <t>Adapter la puissance de chauffe à l'espace chauffé</t>
  </si>
  <si>
    <t>VRB0381</t>
  </si>
  <si>
    <t>VRB0383</t>
  </si>
  <si>
    <t>VRB0384</t>
  </si>
  <si>
    <t>cm</t>
  </si>
  <si>
    <t>VRB0385</t>
  </si>
  <si>
    <t>VRB0386</t>
  </si>
  <si>
    <t>M2</t>
  </si>
  <si>
    <t>VRB0388</t>
  </si>
  <si>
    <t>~6</t>
  </si>
  <si>
    <t>VRB0390</t>
  </si>
  <si>
    <t>CM</t>
  </si>
  <si>
    <t>VRB0391</t>
  </si>
  <si>
    <t>VRB0392</t>
  </si>
  <si>
    <t>Bois du jardin</t>
  </si>
  <si>
    <t>Gain financier</t>
  </si>
  <si>
    <t>VRB0393</t>
  </si>
  <si>
    <t>6 a 7</t>
  </si>
  <si>
    <t>VRB0394</t>
  </si>
  <si>
    <t>Moins de manutention</t>
  </si>
  <si>
    <t>VRB0395</t>
  </si>
  <si>
    <t>VRB0396</t>
  </si>
  <si>
    <t>VRB0397</t>
  </si>
  <si>
    <t>VRB0398</t>
  </si>
  <si>
    <t>planches palettes pour le démarrage</t>
  </si>
  <si>
    <t>VRB0399</t>
  </si>
  <si>
    <t>1,6</t>
  </si>
  <si>
    <t>VRB0400</t>
  </si>
  <si>
    <t>VRB0401</t>
  </si>
  <si>
    <t>1,40</t>
  </si>
  <si>
    <t>VRB0402</t>
  </si>
  <si>
    <t>VRB0403</t>
  </si>
  <si>
    <t>VRB0405</t>
  </si>
  <si>
    <t>VRB0406</t>
  </si>
  <si>
    <t>VRB0407</t>
  </si>
  <si>
    <t>VRB0408</t>
  </si>
  <si>
    <t>VRB0409</t>
  </si>
  <si>
    <t>VRB0410</t>
  </si>
  <si>
    <t>VRB0411</t>
  </si>
  <si>
    <t>VRB0412</t>
  </si>
  <si>
    <t>VRB0413</t>
  </si>
  <si>
    <t>1/3</t>
  </si>
  <si>
    <t>VRB0414</t>
  </si>
  <si>
    <t>VRB0415</t>
  </si>
  <si>
    <t>VRB0417</t>
  </si>
  <si>
    <t>entreprise spécialisée</t>
  </si>
  <si>
    <t>VRB0418</t>
  </si>
  <si>
    <t>2; 7; 8</t>
  </si>
  <si>
    <t>VRB0419</t>
  </si>
  <si>
    <t>VRB0420</t>
  </si>
  <si>
    <t>VRB0422</t>
  </si>
  <si>
    <t>Avoir un appareil securisé</t>
  </si>
  <si>
    <t>VRB0423</t>
  </si>
  <si>
    <t>VRB0424</t>
  </si>
  <si>
    <t>VRB0425</t>
  </si>
  <si>
    <t>VRB0426</t>
  </si>
  <si>
    <t>Coupe d'arbres</t>
  </si>
  <si>
    <t>VRB0427</t>
  </si>
  <si>
    <t>VRB0428</t>
  </si>
  <si>
    <t>VRB0429</t>
  </si>
  <si>
    <t>VRB0430</t>
  </si>
  <si>
    <t>9 à 11</t>
  </si>
  <si>
    <t>VRB0431</t>
  </si>
  <si>
    <t>VRB0432</t>
  </si>
  <si>
    <t>VRB0434</t>
  </si>
  <si>
    <t>VRB0436</t>
  </si>
  <si>
    <t>Non utilisé actuellement car trop compliqué</t>
  </si>
  <si>
    <t>VRB0437</t>
  </si>
  <si>
    <t>VRB0438</t>
  </si>
  <si>
    <t>20 à 25</t>
  </si>
  <si>
    <t>VRB0439</t>
  </si>
  <si>
    <t>VRB0440</t>
  </si>
  <si>
    <t>VRB0441</t>
  </si>
  <si>
    <t>5 - 7</t>
  </si>
  <si>
    <t>VRB0442</t>
  </si>
  <si>
    <t>VRB0443</t>
  </si>
  <si>
    <t>VRB0444</t>
  </si>
  <si>
    <t>Diminuer ma facture d'electricité</t>
  </si>
  <si>
    <t>VRB0445</t>
  </si>
  <si>
    <t>+ buches ramonage</t>
  </si>
  <si>
    <t>VRB0446</t>
  </si>
  <si>
    <t>VRB0447</t>
  </si>
  <si>
    <t>VRB0449</t>
  </si>
  <si>
    <t>VRB0450</t>
  </si>
  <si>
    <t>VRB0451</t>
  </si>
  <si>
    <t>VRB0452</t>
  </si>
  <si>
    <t>VRB0453</t>
  </si>
  <si>
    <t>VRB0454</t>
  </si>
  <si>
    <t>VRB0455</t>
  </si>
  <si>
    <t>VRB0456</t>
  </si>
  <si>
    <t>VRB0457</t>
  </si>
  <si>
    <t>Nous venos d'acquerir la maison qui n'était plus habité</t>
  </si>
  <si>
    <t>square habitat</t>
  </si>
  <si>
    <t>VRB0458</t>
  </si>
  <si>
    <t>VRB0459</t>
  </si>
  <si>
    <t>Appareil hors service , non réparable</t>
  </si>
  <si>
    <t>VRB0461</t>
  </si>
  <si>
    <t>VRB0462</t>
  </si>
  <si>
    <t>VRB0463</t>
  </si>
  <si>
    <t>VRB0464</t>
  </si>
  <si>
    <t>VRB0465</t>
  </si>
  <si>
    <t>VRB0466</t>
  </si>
  <si>
    <t>coupe jardin récuperation</t>
  </si>
  <si>
    <t>VRB0467</t>
  </si>
  <si>
    <t>VRB0468</t>
  </si>
  <si>
    <t>VRB0469</t>
  </si>
  <si>
    <t>5-7</t>
  </si>
  <si>
    <t>VRB0470</t>
  </si>
  <si>
    <t>Urbanis</t>
  </si>
  <si>
    <t>VRB0471</t>
  </si>
  <si>
    <t>Non utilisé</t>
  </si>
  <si>
    <t>6; 7</t>
  </si>
  <si>
    <t>VRB0472</t>
  </si>
  <si>
    <t>5 à 6</t>
  </si>
  <si>
    <t>VRB0473</t>
  </si>
  <si>
    <t>VRB0474</t>
  </si>
  <si>
    <t>VRB0475</t>
  </si>
  <si>
    <t>VRB0476</t>
  </si>
  <si>
    <t>VRB0477</t>
  </si>
  <si>
    <t>VRB0478</t>
  </si>
  <si>
    <t>5 à 3</t>
  </si>
  <si>
    <t>VRB0479</t>
  </si>
  <si>
    <t>Allumage automatique à distance ce qui n'est plas le cas avec un poele avec bûches bois</t>
  </si>
  <si>
    <t>VRB0480</t>
  </si>
  <si>
    <t>VRB0481</t>
  </si>
  <si>
    <t>ou 2 fois par an</t>
  </si>
  <si>
    <t>VRB0482</t>
  </si>
  <si>
    <t>Nouvel achat</t>
  </si>
  <si>
    <t>VRB0483</t>
  </si>
  <si>
    <t>VRB0485</t>
  </si>
  <si>
    <t>VRB0486</t>
  </si>
  <si>
    <t>VRB0487</t>
  </si>
  <si>
    <t>VRB0488</t>
  </si>
  <si>
    <t>VRB0490</t>
  </si>
  <si>
    <t>VRB0491</t>
  </si>
  <si>
    <t>VRB0492</t>
  </si>
  <si>
    <t>VRB0493</t>
  </si>
  <si>
    <t>VRB0494</t>
  </si>
  <si>
    <t>VRB0495</t>
  </si>
  <si>
    <t>Diminuer la conso de gaz et bois</t>
  </si>
  <si>
    <t>VRB0496</t>
  </si>
  <si>
    <t>2; 5; 7; 11</t>
  </si>
  <si>
    <t>VRB0497</t>
  </si>
  <si>
    <t>VRB0498</t>
  </si>
  <si>
    <t>VRB0499</t>
  </si>
  <si>
    <t>0,75</t>
  </si>
  <si>
    <t>VRB0500</t>
  </si>
  <si>
    <t>VRB0501</t>
  </si>
  <si>
    <t>VRB0502</t>
  </si>
  <si>
    <t>Branchage jardin</t>
  </si>
  <si>
    <t>VRB0503</t>
  </si>
  <si>
    <t>VRB0504</t>
  </si>
  <si>
    <t>VRB0505</t>
  </si>
  <si>
    <t>VRB0506</t>
  </si>
  <si>
    <t>Mise en conformité</t>
  </si>
  <si>
    <t>VRB0507</t>
  </si>
  <si>
    <t>VRB0508</t>
  </si>
  <si>
    <t>VRB0509</t>
  </si>
  <si>
    <t>VRB0510</t>
  </si>
  <si>
    <t>VRB0511</t>
  </si>
  <si>
    <t>VRB0512</t>
  </si>
  <si>
    <t>VRB0513</t>
  </si>
  <si>
    <t>VRB0514</t>
  </si>
  <si>
    <t>Fait l'année dernière</t>
  </si>
  <si>
    <t>pr ne pas utilisé la chaudière fioul</t>
  </si>
  <si>
    <t>VRB0515</t>
  </si>
  <si>
    <t>VRB0516</t>
  </si>
  <si>
    <t>VRB0517</t>
  </si>
  <si>
    <t>VRB0518</t>
  </si>
  <si>
    <t>Diminuer l'utilisation de chaudère fioul</t>
  </si>
  <si>
    <t>VRB0519</t>
  </si>
  <si>
    <t>VRB0520</t>
  </si>
  <si>
    <t>VRB0521</t>
  </si>
  <si>
    <t>VRB0522</t>
  </si>
  <si>
    <t>VRB0523</t>
  </si>
  <si>
    <t>POELE MIXTE</t>
  </si>
  <si>
    <t>VRB0524</t>
  </si>
  <si>
    <t>VRB0525</t>
  </si>
  <si>
    <t>VRB0526</t>
  </si>
  <si>
    <t>VRB0527</t>
  </si>
  <si>
    <t>VRB0528</t>
  </si>
  <si>
    <t>VRB0529</t>
  </si>
  <si>
    <t>peu utilisépour des raisons de secu et pollution</t>
  </si>
  <si>
    <t>VRB0530</t>
  </si>
  <si>
    <t>VRB0531</t>
  </si>
  <si>
    <t>VRB0532</t>
  </si>
  <si>
    <t>VRB0533</t>
  </si>
  <si>
    <t>VRB0534</t>
  </si>
  <si>
    <t>VRB0535</t>
  </si>
  <si>
    <t>VRB0536</t>
  </si>
  <si>
    <t>VRB0537</t>
  </si>
  <si>
    <t>3 Fois par defaut</t>
  </si>
  <si>
    <t>VRB0538</t>
  </si>
  <si>
    <t>CESF Département de l'Isère</t>
  </si>
  <si>
    <t>VRB0539</t>
  </si>
  <si>
    <t>VRB0541</t>
  </si>
  <si>
    <t>VRB0542</t>
  </si>
  <si>
    <t>Eviter de consommer du gaz</t>
  </si>
  <si>
    <t>VRB0543</t>
  </si>
  <si>
    <t>VRB0545</t>
  </si>
  <si>
    <t>VRB0546</t>
  </si>
  <si>
    <t>VRB0547</t>
  </si>
  <si>
    <t>VRB0548</t>
  </si>
  <si>
    <t>VRB0549</t>
  </si>
  <si>
    <t>VRB0550</t>
  </si>
  <si>
    <t>VRB0551</t>
  </si>
  <si>
    <t>VRB0552</t>
  </si>
  <si>
    <t>VRB0553</t>
  </si>
  <si>
    <t>VRB0554</t>
  </si>
  <si>
    <t>Bois personnel</t>
  </si>
  <si>
    <t>VRB0555</t>
  </si>
  <si>
    <t>VRB0556</t>
  </si>
  <si>
    <t>VRB0557</t>
  </si>
  <si>
    <t>VRB0558</t>
  </si>
  <si>
    <t>VRB0559</t>
  </si>
  <si>
    <t>environ 900</t>
  </si>
  <si>
    <t>VRB0560</t>
  </si>
  <si>
    <t>VRB0561</t>
  </si>
  <si>
    <t>VRB0562</t>
  </si>
  <si>
    <t>VRB0563</t>
  </si>
  <si>
    <t>VRB0564</t>
  </si>
  <si>
    <t>Menuisier</t>
  </si>
  <si>
    <t>vetusté de mon appareil</t>
  </si>
  <si>
    <t>Adresse RIB (relance mail le 21/02/20)-nouvelle relance le 19/06/20 - dernière relance le 16/11/20</t>
  </si>
  <si>
    <t>Dossiers imcomplet malgré plusieurs relance</t>
  </si>
  <si>
    <t>Rue du Charron</t>
  </si>
  <si>
    <t>MASSIEU</t>
  </si>
  <si>
    <t>06 61 73 88 80</t>
  </si>
  <si>
    <t>karima.ait.ouaret@cegetel.net</t>
  </si>
  <si>
    <t>SAS CARRE</t>
  </si>
  <si>
    <t>LE PONT DE BEAUVOISIN</t>
  </si>
  <si>
    <t>CARRE François</t>
  </si>
  <si>
    <t>f.carre@carre-f.com</t>
  </si>
  <si>
    <t xml:space="preserve">oui  </t>
  </si>
  <si>
    <t>foyer ouvert</t>
  </si>
  <si>
    <t>poêle</t>
  </si>
  <si>
    <t>ANNA 12 PRO 3</t>
  </si>
  <si>
    <t>FV7</t>
  </si>
  <si>
    <t>Adresse RIB (relance mail le 21/02/20-RIB recu en 06/20 toujours sans adresse-message tel le 03/07/20)- dernière relance 16/11/20-ok le 30/11/20</t>
  </si>
  <si>
    <t>Bascule vers V</t>
  </si>
  <si>
    <t xml:space="preserve">Impasse des Jonquilles </t>
  </si>
  <si>
    <t>06 20 22 63 76</t>
  </si>
  <si>
    <t>jdimartino@sfr.fr</t>
  </si>
  <si>
    <t>FRALOR POELES ET CUISINERES PASSION</t>
  </si>
  <si>
    <t>LIBER Jean-Christophe</t>
  </si>
  <si>
    <t>HALO UP!</t>
  </si>
  <si>
    <t>Appareil non FV (Changement d'appareil 30/06)</t>
  </si>
  <si>
    <t>Lotissement le Bois du Four</t>
  </si>
  <si>
    <t>MOIRANS</t>
  </si>
  <si>
    <t>14patricia12@gmail.com</t>
  </si>
  <si>
    <t>SAINT EGREVE</t>
  </si>
  <si>
    <t>DIDIER Jean-Christophe</t>
  </si>
  <si>
    <t>MORETTI</t>
  </si>
  <si>
    <t>SLOT GLASS A10</t>
  </si>
  <si>
    <t>registre</t>
  </si>
  <si>
    <t>REGION 2020</t>
  </si>
  <si>
    <t>Manque lettre de sollicitation+avis d'imposition+justificatif de residence+devis+rib+photo+questionnaire - dernière relance 16/11/20</t>
  </si>
  <si>
    <t>Le Grand Chemin</t>
  </si>
  <si>
    <t>VOUREY</t>
  </si>
  <si>
    <t>nicolejeanluc21@hotmail.fr</t>
  </si>
  <si>
    <t>Manque RIB bonne adresse+photo plan large (ok le 02/07)+poële non FV7*(demande équivalence le 08/06 - Changement model poêle le 15/06)</t>
  </si>
  <si>
    <t>Route du Gros Bois</t>
  </si>
  <si>
    <t>LA BUISSE</t>
  </si>
  <si>
    <t>florentlangloi@gmail.com</t>
  </si>
  <si>
    <t>SARL FLAMME ISEROISE</t>
  </si>
  <si>
    <t>BOURGOIN JALLIEU</t>
  </si>
  <si>
    <t>flammeiseroise38300@orange.fr</t>
  </si>
  <si>
    <t>&lt;1996</t>
  </si>
  <si>
    <t>BOX 70</t>
  </si>
  <si>
    <t>Manque Photo(ok) + Appareil non FV(ok)+Installateur non signataire(ok)</t>
  </si>
  <si>
    <t>Route de Saint-Pierre</t>
  </si>
  <si>
    <t>VILLAGES DU LAC DE PALADRU</t>
  </si>
  <si>
    <t>laure.dallaglio@gmail.com</t>
  </si>
  <si>
    <t>OLIGER France</t>
  </si>
  <si>
    <t>SAINT LOUIS</t>
  </si>
  <si>
    <t>FREMONT Vincent</t>
  </si>
  <si>
    <t>Alphastar FALS-BO</t>
  </si>
  <si>
    <t>Manque Avis d'imposition (ok le 02/07)</t>
  </si>
  <si>
    <t>171G</t>
  </si>
  <si>
    <t>RIVES</t>
  </si>
  <si>
    <t>lilianejounenc@free.fr</t>
  </si>
  <si>
    <t>SAINT ALBAN DE ROCHE</t>
  </si>
  <si>
    <t>TORRES Kevin</t>
  </si>
  <si>
    <t>VRB0008</t>
  </si>
  <si>
    <t>Manque Questionnaire(ok)+Lettre de sollicitation(ok)+Avis d'imposition(ok)+Taxe foncière(ok)+RIB(ok) (relance le 01/09/20)</t>
  </si>
  <si>
    <t>Route de la Garangère</t>
  </si>
  <si>
    <t>CHIRENS</t>
  </si>
  <si>
    <t>dintronosandrine@gmail.com</t>
  </si>
  <si>
    <t>FAURE Jacques</t>
  </si>
  <si>
    <t>jacques.faure24@wanadoo.fr</t>
  </si>
  <si>
    <t>&lt;2002</t>
  </si>
  <si>
    <t>FONTE FLAMME</t>
  </si>
  <si>
    <t>CURL 8</t>
  </si>
  <si>
    <t>Demande équivalence (08/06)- Réponse négative du fabricant le 10/07</t>
  </si>
  <si>
    <t>Appareil non FV7*</t>
  </si>
  <si>
    <t>Route des Rivoires</t>
  </si>
  <si>
    <t>cs.blachot@hotmail.fr</t>
  </si>
  <si>
    <t>MONTE AMS</t>
  </si>
  <si>
    <t>Manque RIB Bonne Adresse (ok le 10/06)</t>
  </si>
  <si>
    <t>Manque attestation fin de travaux+CERFA+photo</t>
  </si>
  <si>
    <t>Lotissement le Pin</t>
  </si>
  <si>
    <t>LA MURETTE</t>
  </si>
  <si>
    <t>philippe.despalungue@laposte.net</t>
  </si>
  <si>
    <t>PIERRE Emmanuel</t>
  </si>
  <si>
    <t>Manque devis (ok 09/06)</t>
  </si>
  <si>
    <t>Impasse du Mas de Chantaret</t>
  </si>
  <si>
    <t>BILIEU</t>
  </si>
  <si>
    <t>assorin.jean-luc@hotmail.fr</t>
  </si>
  <si>
    <t>XP54-BOX</t>
  </si>
  <si>
    <t>Manque Devis + RIB bonne adresse (ok le 30/06)</t>
  </si>
  <si>
    <t>Mention acquittée (ok le 18/01/21)</t>
  </si>
  <si>
    <t>Route du Fays</t>
  </si>
  <si>
    <t>REAUMONT</t>
  </si>
  <si>
    <t>florence.baptist@free.fr</t>
  </si>
  <si>
    <t>MOREY Thomas</t>
  </si>
  <si>
    <t>thomas.morey@wattethome.com</t>
  </si>
  <si>
    <t>ECOFIRE JULIE 9 PRO 2</t>
  </si>
  <si>
    <t>Appareil non FV (ok le 15/07)</t>
  </si>
  <si>
    <t>Route de Ture</t>
  </si>
  <si>
    <t>SAINT AUPRE</t>
  </si>
  <si>
    <t>thomas.langouet@gmail.com</t>
  </si>
  <si>
    <t>DURANTON Patrick</t>
  </si>
  <si>
    <t>&lt;1990</t>
  </si>
  <si>
    <t>A9V ZENITH</t>
  </si>
  <si>
    <t>Manque Avis d'imposition (ok)</t>
  </si>
  <si>
    <t>Route du Plan</t>
  </si>
  <si>
    <t>CHARNECLES</t>
  </si>
  <si>
    <t>milaina@live.fr</t>
  </si>
  <si>
    <t>GILLET Pascal</t>
  </si>
  <si>
    <t>bois-soleil.chauffage@orange.fr</t>
  </si>
  <si>
    <t>ILD13</t>
  </si>
  <si>
    <t>Montée du Cellier</t>
  </si>
  <si>
    <t>nicolebertrand38@gmail.com</t>
  </si>
  <si>
    <t>Classique Fusion - 11</t>
  </si>
  <si>
    <t>Route René Impériale</t>
  </si>
  <si>
    <t>stevens.bart@orange.fr</t>
  </si>
  <si>
    <t>ADEME 2020</t>
  </si>
  <si>
    <t>Manque n° de téléphone(ok) + Avis d'imposition (ok)</t>
  </si>
  <si>
    <t>Route de la Croix Blanche</t>
  </si>
  <si>
    <t>SAINT NICOLAS DE MACHERIN</t>
  </si>
  <si>
    <t>04 76 55 32 40</t>
  </si>
  <si>
    <t>&lt;2000</t>
  </si>
  <si>
    <t>ECO FIRE BIANCA 12</t>
  </si>
  <si>
    <t>Manque la mention acquitté+attestation de destruction(ok)</t>
  </si>
  <si>
    <t>Route de Merlas</t>
  </si>
  <si>
    <t>SAINT BUEIL</t>
  </si>
  <si>
    <t>06 85 74 09 62</t>
  </si>
  <si>
    <t>f.i.n.e.t@wanadoo.fr</t>
  </si>
  <si>
    <t>A10 COMPACT GLASS</t>
  </si>
  <si>
    <t>Manque derniere page taxe foncière (ok)</t>
  </si>
  <si>
    <t>Route du Sabot</t>
  </si>
  <si>
    <t>04 76 07 01 37</t>
  </si>
  <si>
    <t>christian.stevant@sfr.fr</t>
  </si>
  <si>
    <t>Manque Avis d'impot (ok) + Taxe fonciere (ok) + Devis (ok)+ RIB(ok) + photo (ok)</t>
  </si>
  <si>
    <t>Route des Pierres Blanches</t>
  </si>
  <si>
    <t>06 18 53 36 82</t>
  </si>
  <si>
    <t>gilles.allagnat@wanadoo.fr</t>
  </si>
  <si>
    <t>HASE LA BOUTIQUE</t>
  </si>
  <si>
    <t>GRATIER Pascal</t>
  </si>
  <si>
    <t>Manque date et signature sur la demande (ok)</t>
  </si>
  <si>
    <t>06 81 70 54 22</t>
  </si>
  <si>
    <t>familleroux2009@gmail.com</t>
  </si>
  <si>
    <t>DICK GEURTS par FONTE FLAMME</t>
  </si>
  <si>
    <t>IVAR 8</t>
  </si>
  <si>
    <t>Route des Chevalier de l'An Mil</t>
  </si>
  <si>
    <t>MONTFERRAT</t>
  </si>
  <si>
    <t>ELDORA</t>
  </si>
  <si>
    <t>Rue Des Amandiers</t>
  </si>
  <si>
    <t>arnaud.recoupe@gmail.com</t>
  </si>
  <si>
    <t>SAINT ANDRE LE GAZ</t>
  </si>
  <si>
    <t>AILLOUD Jérôme</t>
  </si>
  <si>
    <t>Route du Ri d'Olon</t>
  </si>
  <si>
    <t>famillepatr@gmail.com</t>
  </si>
  <si>
    <t>VOIRON POELE A BOIS ET GRANULES</t>
  </si>
  <si>
    <t>CHARREL Stephane</t>
  </si>
  <si>
    <t>CORSO</t>
  </si>
  <si>
    <t>Route du Grand Vivier</t>
  </si>
  <si>
    <t>famille.apeloig@gmail.com</t>
  </si>
  <si>
    <t>Avis d'imposition+dernière page taxe fonciere</t>
  </si>
  <si>
    <t>Route de St jean</t>
  </si>
  <si>
    <t>georges.krawiec@orange.fr</t>
  </si>
  <si>
    <t>SIMON Frédéric</t>
  </si>
  <si>
    <t>EVA S</t>
  </si>
  <si>
    <t>Lettre de sollicitation(ok)+RIB(ok)+Photo(ok)</t>
  </si>
  <si>
    <t>Manque photo(ok)+attestation fin de travaux+date facture message tel le 11/09(ok)</t>
  </si>
  <si>
    <t>Route des Allé</t>
  </si>
  <si>
    <t>LE PIN</t>
  </si>
  <si>
    <t>06 99 95 62 07</t>
  </si>
  <si>
    <t>fincoelodie38@gmail.com</t>
  </si>
  <si>
    <t>ECOFIRE LIA 8KW</t>
  </si>
  <si>
    <t>Lettre de sollicitation(ok)+derniere page taxe fonciere(ok)+photo plan large(ok)+rib(ok)</t>
  </si>
  <si>
    <t>Rue Louis Neel</t>
  </si>
  <si>
    <t>albert.et.mariejo@hotmail.fr</t>
  </si>
  <si>
    <t>CHALLES LES EAUX</t>
  </si>
  <si>
    <t>TERMATECH</t>
  </si>
  <si>
    <t>TT80</t>
  </si>
  <si>
    <t>Lotissement de la Grande Sure</t>
  </si>
  <si>
    <t>hubert.moriceau@gmail.com</t>
  </si>
  <si>
    <t>C800STYLE</t>
  </si>
  <si>
    <t>photo de l'appareil en fonctionnement et/ou photo du tubage(ok)</t>
  </si>
  <si>
    <t>Avenue André Malraux</t>
  </si>
  <si>
    <t>rollandjean-paul@orange.fr</t>
  </si>
  <si>
    <t>Pellet AIR 11</t>
  </si>
  <si>
    <t xml:space="preserve">Manque derniere page taxe foncière </t>
  </si>
  <si>
    <t>Manque attestation de destruction (ok le 12/11/21)</t>
  </si>
  <si>
    <t>Chemin Château Vieux</t>
  </si>
  <si>
    <t>ca.collomb@orange.fr</t>
  </si>
  <si>
    <t>CHEMINEE JAY</t>
  </si>
  <si>
    <t>MABLY</t>
  </si>
  <si>
    <t>pb RIB</t>
  </si>
  <si>
    <t>Route de Perrier</t>
  </si>
  <si>
    <t>ISSOIRE</t>
  </si>
  <si>
    <t>brotel.jean-louis@neuf.fr</t>
  </si>
  <si>
    <t>Rue de la Charouze le Haut</t>
  </si>
  <si>
    <t>JOTUM</t>
  </si>
  <si>
    <t>C 24</t>
  </si>
  <si>
    <t>Adresse RIB (ok)+installateur non signataire(ok)</t>
  </si>
  <si>
    <t>Chemin de la Plaine de Fures</t>
  </si>
  <si>
    <t>caluam@sfr.fr</t>
  </si>
  <si>
    <t>GLENAT PÈRE ET FILS</t>
  </si>
  <si>
    <t>sarl.glenat@wanadoo.fr</t>
  </si>
  <si>
    <t>AXIS</t>
  </si>
  <si>
    <t>PO1000SF</t>
  </si>
  <si>
    <t>jean-paul.marion9@orange.fr</t>
  </si>
  <si>
    <t>CLUB AIR-2016UP</t>
  </si>
  <si>
    <t>Attestation fin de travaux non signée + Date facture(ok le 11/12/20)</t>
  </si>
  <si>
    <t>Chemin de l'Etang de Mai Saint Jean de Chepy</t>
  </si>
  <si>
    <t>michelgaillard@9online.fr</t>
  </si>
  <si>
    <t>A8 WOOD</t>
  </si>
  <si>
    <t>Lotissement du Mas</t>
  </si>
  <si>
    <t>xavier.libert@free.fr</t>
  </si>
  <si>
    <t>FIFTI</t>
  </si>
  <si>
    <t>RIB a la bonne adresse+la destination du bien+photo en plan large (ok)</t>
  </si>
  <si>
    <t>Route de la Libération</t>
  </si>
  <si>
    <t>SAINT MARTIN OSMONVILLE SAINT SAENS</t>
  </si>
  <si>
    <t>Impasse du Paradon, Le Gay</t>
  </si>
  <si>
    <t>SAINT JEAN DE MOIRANS</t>
  </si>
  <si>
    <t>F.E.M. SYNERGIE</t>
  </si>
  <si>
    <t>SAINT BONNET DE MURE</t>
  </si>
  <si>
    <t>BROSSARD Marie</t>
  </si>
  <si>
    <t>marie-brossard@femsynergie.fr</t>
  </si>
  <si>
    <t>P934</t>
  </si>
  <si>
    <t>Route du Grand rocher, 4 l'Orée du Bois</t>
  </si>
  <si>
    <t>SAINT ETIENNE DE CROSSEY</t>
  </si>
  <si>
    <t>therond_amelie@yahoo.fr</t>
  </si>
  <si>
    <t>Botero 2 kW</t>
  </si>
  <si>
    <t>manque RIB</t>
  </si>
  <si>
    <t>nathalie.boissy23@gmail.com</t>
  </si>
  <si>
    <t>HOBEN H6 Horizon</t>
  </si>
  <si>
    <t>Rue Beauvillage</t>
  </si>
  <si>
    <t>kamel.ogbi@outlook.fr</t>
  </si>
  <si>
    <t>Route des Galbits</t>
  </si>
  <si>
    <t>mariechris@me.com</t>
  </si>
  <si>
    <t>Chemin de Bavonne</t>
  </si>
  <si>
    <t>m.pelissier@ecmtech.fr</t>
  </si>
  <si>
    <t>Ecofire Anna 12 US</t>
  </si>
  <si>
    <t>Manque adresse RIB(ok)</t>
  </si>
  <si>
    <t>Relance le 16/08/21</t>
  </si>
  <si>
    <t>Route de la Croze</t>
  </si>
  <si>
    <t>xavier.barrier@gmail.com</t>
  </si>
  <si>
    <t>AUSTROFLAMM</t>
  </si>
  <si>
    <t>80x64 SII</t>
  </si>
  <si>
    <t>Chemin du Petit Souillet</t>
  </si>
  <si>
    <t>isadevriese38@gmail.com</t>
  </si>
  <si>
    <t>LACUNZA</t>
  </si>
  <si>
    <t>ETNA 7T</t>
  </si>
  <si>
    <t>Rue Victor Cassien</t>
  </si>
  <si>
    <t>xavierforest@hotmail.com</t>
  </si>
  <si>
    <t>JAZZ CV4</t>
  </si>
  <si>
    <t>Manque mention acquitée + Signature attestation (ok le 02/02/21)</t>
  </si>
  <si>
    <t>Chemin de l'Eslinard</t>
  </si>
  <si>
    <t>marilyneleslinard@outlook.fr</t>
  </si>
  <si>
    <t>RUY</t>
  </si>
  <si>
    <t>AUDOUARD</t>
  </si>
  <si>
    <t>WINDHAGER</t>
  </si>
  <si>
    <t>BioWIN 2</t>
  </si>
  <si>
    <t>Rue de l'Orgeoise</t>
  </si>
  <si>
    <t>rambert.aline@orange.fr</t>
  </si>
  <si>
    <t>VISION 775-10K</t>
  </si>
  <si>
    <t>rachel.ivol@laposte.net</t>
  </si>
  <si>
    <t>PYLA</t>
  </si>
  <si>
    <t>Route du Chanin</t>
  </si>
  <si>
    <t>bellingil@msn.com</t>
  </si>
  <si>
    <t>388131 ELIOT</t>
  </si>
  <si>
    <t>golfetto-christine@hotmail.com</t>
  </si>
  <si>
    <t>EGO AIR-2016 UP!</t>
  </si>
  <si>
    <t>manque dernière page taxe foncière - relance le 16/11/20-relance le 14/01/21 (ok le 26/01/21)</t>
  </si>
  <si>
    <t>Facture antérieur a l'arrêté</t>
  </si>
  <si>
    <t>Route du Col</t>
  </si>
  <si>
    <t>LA SURE EN CHARTREUSE</t>
  </si>
  <si>
    <t>fabien.guinet@gmail.com</t>
  </si>
  <si>
    <t>JAZZ 7kW</t>
  </si>
  <si>
    <t>Chemin des Espinas</t>
  </si>
  <si>
    <t>eriberard@wanadoo.fr</t>
  </si>
  <si>
    <t>manque lettre de sollicitation (ok)</t>
  </si>
  <si>
    <t>Chemin des Mairies</t>
  </si>
  <si>
    <t>fermond.jacques@orange.fr</t>
  </si>
  <si>
    <t>Route des Allées</t>
  </si>
  <si>
    <t>luciesava@hotmail.com</t>
  </si>
  <si>
    <t>M.BICKERT</t>
  </si>
  <si>
    <t>Botero 2 10kW</t>
  </si>
  <si>
    <t>Chemin du Clapier</t>
  </si>
  <si>
    <t>astridrousselin@hotmail.com</t>
  </si>
  <si>
    <t>SOFT 80 (S8K)</t>
  </si>
  <si>
    <t>photo en plan large (ok)</t>
  </si>
  <si>
    <t>Rue Principale</t>
  </si>
  <si>
    <t>CHARAVINES</t>
  </si>
  <si>
    <t>collinfabienne22@gmail.com</t>
  </si>
  <si>
    <t>Rue Adolphe Chatin</t>
  </si>
  <si>
    <t>marc.riedo@wanadoo.fr</t>
  </si>
  <si>
    <t>LOOP</t>
  </si>
  <si>
    <t>Ancien appareil datant de 2015</t>
  </si>
  <si>
    <t>Route de la Couratière</t>
  </si>
  <si>
    <t>vanessa.bourde@wanadoo.fr</t>
  </si>
  <si>
    <t>HOBEN H5</t>
  </si>
  <si>
    <t>Appareil non flamme verte (relance Maelenn le 14/01/21)- ok</t>
  </si>
  <si>
    <t>Route de Grenoble, 117 Résidence du Stade</t>
  </si>
  <si>
    <t>alexmartino73@yahoo.fr</t>
  </si>
  <si>
    <t>OCTAVE Pierre Ollaire</t>
  </si>
  <si>
    <t>VRB0060</t>
  </si>
  <si>
    <t>Hors CAPV</t>
  </si>
  <si>
    <t>Le Grand Chenevey</t>
  </si>
  <si>
    <t>SAINT PIERRE D'ENTREMONT</t>
  </si>
  <si>
    <t>04 79 65 88 56</t>
  </si>
  <si>
    <t>SARL TECNIC Services</t>
  </si>
  <si>
    <t>SAINT BALDOPHE</t>
  </si>
  <si>
    <t>Manque formulaire de demande(ok)+Questionnaire(ok)+Avis d'imposition complet(ok)+justificatif de propriété complet(ok)+Devis complet(ok)+rib(ok)</t>
  </si>
  <si>
    <t>Allée du Château</t>
  </si>
  <si>
    <t>rmibarthlmy@yahoo.fr</t>
  </si>
  <si>
    <t>HWAM / WIKING</t>
  </si>
  <si>
    <t>MIRO 2</t>
  </si>
  <si>
    <t>Chemin des Grands Champs</t>
  </si>
  <si>
    <t>bamaclo4@gmail.com</t>
  </si>
  <si>
    <t>VISION 775-10KW</t>
  </si>
  <si>
    <t>Rue de la Ferronniere</t>
  </si>
  <si>
    <t>emilien52100@hotmail.fr</t>
  </si>
  <si>
    <t>HOBEN 9</t>
  </si>
  <si>
    <t>Chemin des Coches</t>
  </si>
  <si>
    <t>stnazaire26@gmail.com</t>
  </si>
  <si>
    <t>BAYBX</t>
  </si>
  <si>
    <t>Chemin Cote Bayard</t>
  </si>
  <si>
    <t>jeanpierre.metral@yahoo.fr</t>
  </si>
  <si>
    <t>MESA</t>
  </si>
  <si>
    <t>Chemin de Chabons</t>
  </si>
  <si>
    <t>crevatin.s@gmail.com</t>
  </si>
  <si>
    <t>S68 FRONT</t>
  </si>
  <si>
    <t>Travaux déjà réalisé</t>
  </si>
  <si>
    <t>Chemin Vert</t>
  </si>
  <si>
    <t>alain.giroud0855@orange.fr</t>
  </si>
  <si>
    <t>363101 ECO</t>
  </si>
  <si>
    <t>Lotissement le Petit bois</t>
  </si>
  <si>
    <t>stevedossentos6@gmail.com</t>
  </si>
  <si>
    <t>NESS France</t>
  </si>
  <si>
    <t>LES AVENIERES</t>
  </si>
  <si>
    <t>M.NESTORI</t>
  </si>
  <si>
    <t>nessfrance38@hotmail.fr</t>
  </si>
  <si>
    <t>Foyer 600 GA</t>
  </si>
  <si>
    <t>Manque facture+attestation+photo</t>
  </si>
  <si>
    <t>Route de Voiron</t>
  </si>
  <si>
    <t>le160607@yahoo.fr</t>
  </si>
  <si>
    <t>CADEL (KAROO)</t>
  </si>
  <si>
    <t>SHELL 3 (R9C)</t>
  </si>
  <si>
    <t>Photo en fonctionnement (ok)</t>
  </si>
  <si>
    <t>Facture acquittée. Reçu le 12/01/2022</t>
  </si>
  <si>
    <t>138F</t>
  </si>
  <si>
    <t>Route de la Gare</t>
  </si>
  <si>
    <t>yclot.asur@gmail.com</t>
  </si>
  <si>
    <t>RELAX 8</t>
  </si>
  <si>
    <t>Chemin de Monteuils</t>
  </si>
  <si>
    <t>j.carrajat@orange.fr</t>
  </si>
  <si>
    <t>Route du Rivier</t>
  </si>
  <si>
    <t>SAINT BLAISE DU BUIS</t>
  </si>
  <si>
    <t>coralie1923@orange.fr</t>
  </si>
  <si>
    <t>MUSA AIR UP</t>
  </si>
  <si>
    <t>Manque mention acquittée sur la facture</t>
  </si>
  <si>
    <t>Les Horizons 1</t>
  </si>
  <si>
    <t>claudelachenal@orange.fr</t>
  </si>
  <si>
    <t>VRB0074</t>
  </si>
  <si>
    <t>Route des Sources</t>
  </si>
  <si>
    <t>s.segovia@hotmail.fr</t>
  </si>
  <si>
    <t>ERGONOMIC GLASS C11</t>
  </si>
  <si>
    <t>Impasse du Cellier</t>
  </si>
  <si>
    <t>jrd38@orange.fr</t>
  </si>
  <si>
    <t>SELF CLIMAT MORVAN</t>
  </si>
  <si>
    <t>Vision R</t>
  </si>
  <si>
    <t>Route du Grand Velanne</t>
  </si>
  <si>
    <t>VELANNE</t>
  </si>
  <si>
    <t>andre.lemaitre7@orange.fr</t>
  </si>
  <si>
    <t>Ecofire Anna 12</t>
  </si>
  <si>
    <t>Manque facture (ok le 26/01/21)</t>
  </si>
  <si>
    <t>Rue du Lavoir Criel</t>
  </si>
  <si>
    <t>jean.carpaye1@gmail.com</t>
  </si>
  <si>
    <t>manque dernière page taxe foncière+adresse RIB</t>
  </si>
  <si>
    <t>Chemin de Vieron</t>
  </si>
  <si>
    <t>ur38@orange.fr</t>
  </si>
  <si>
    <t>VISION 700-8K</t>
  </si>
  <si>
    <t>Champ de la Cour</t>
  </si>
  <si>
    <t>krthierry@wanadoo.fr</t>
  </si>
  <si>
    <t>Manque mention acquittée (ok le 15/04/21)</t>
  </si>
  <si>
    <t>Route de la Haute Véronnière</t>
  </si>
  <si>
    <t>lefebvreaude@orange.fr</t>
  </si>
  <si>
    <t>ALEA</t>
  </si>
  <si>
    <t>Manque mention acquittée (ok le 18/01/21)</t>
  </si>
  <si>
    <t>Impasse Major</t>
  </si>
  <si>
    <t>VOISSANT</t>
  </si>
  <si>
    <t>gaelle.berthet@live.fr</t>
  </si>
  <si>
    <t>FIREPLACE</t>
  </si>
  <si>
    <t>ALICANTE Pierre Ollaire</t>
  </si>
  <si>
    <t>Manque année d'acquisition + photo plan large (relance le 15/04/21 &amp; le 16/07/21) A cloturer début aout si pas de réponse</t>
  </si>
  <si>
    <t>Dossier incomplet malgré plusieurs relances</t>
  </si>
  <si>
    <t>Impasse de la Truitière</t>
  </si>
  <si>
    <t>jerome.odisio@yahoo.fr</t>
  </si>
  <si>
    <t>MARQUETTE LEZ LILLE</t>
  </si>
  <si>
    <t>CUNAUD Bertrand</t>
  </si>
  <si>
    <t>HALO AIR 8 M1</t>
  </si>
  <si>
    <t>Manque adresse RIB + photo-ok le 10/12/20</t>
  </si>
  <si>
    <t>Chemin des Mulets</t>
  </si>
  <si>
    <t>yvan.jacques.38@free.fr</t>
  </si>
  <si>
    <t>STREAM CONFORT AIR 12 M1</t>
  </si>
  <si>
    <t>Rue du Charrat</t>
  </si>
  <si>
    <t>arnaudrdz@hotmail.fr</t>
  </si>
  <si>
    <t>ELISEO 700 EFFICIENS</t>
  </si>
  <si>
    <t>Manque Facture acquittée</t>
  </si>
  <si>
    <t>Route de la Grangère</t>
  </si>
  <si>
    <t>lapougesteyer@sfr.fr</t>
  </si>
  <si>
    <t>A70</t>
  </si>
  <si>
    <t>Route des Planchettes</t>
  </si>
  <si>
    <t>chester4@orange.fr</t>
  </si>
  <si>
    <t>ANNA ECOFIRE US</t>
  </si>
  <si>
    <t>Chemin de Bois Rayer</t>
  </si>
  <si>
    <t>ggoullon@orange.fr</t>
  </si>
  <si>
    <t>Avenue Gambetta</t>
  </si>
  <si>
    <t>neyretdp@orange.fr</t>
  </si>
  <si>
    <t>ECLIPSE</t>
  </si>
  <si>
    <t>iangauvin@hotmail.com</t>
  </si>
  <si>
    <t>EGO AIR 8M1</t>
  </si>
  <si>
    <t>Manque adresse RIB (ok)</t>
  </si>
  <si>
    <t>Route de la Ture</t>
  </si>
  <si>
    <t>pmblanchin@hotmail.fr</t>
  </si>
  <si>
    <t>NAVIA G</t>
  </si>
  <si>
    <t>Manque adresse RIB + justif de domicile(ok le 26/01/21)</t>
  </si>
  <si>
    <t>Facture acquittée (ok le 7/3)</t>
  </si>
  <si>
    <t>Route du Camet</t>
  </si>
  <si>
    <t>isabelle.michallatpro@gmai.com</t>
  </si>
  <si>
    <t>EUROPA 7 EVO</t>
  </si>
  <si>
    <t>Installataire non signataire (relance le 15/04/21-ok le 16/04/21)</t>
  </si>
  <si>
    <t>CAPV ok</t>
  </si>
  <si>
    <t>Route de la Revollière</t>
  </si>
  <si>
    <t>scipikari@gmail.com</t>
  </si>
  <si>
    <t>FELLER Dominique</t>
  </si>
  <si>
    <t>fellerchauffage@orange.fr</t>
  </si>
  <si>
    <t>ISETTA Con CERCHI EVO</t>
  </si>
  <si>
    <t>SAINT CASSIEN</t>
  </si>
  <si>
    <t>jpaul.aribert@wanadoo.fr</t>
  </si>
  <si>
    <t>63x40x42S</t>
  </si>
  <si>
    <t>Chemin de Farnoussière</t>
  </si>
  <si>
    <t>bown.william@gmail.com</t>
  </si>
  <si>
    <t>BOTERO 2 10KW</t>
  </si>
  <si>
    <t>Route du Val d'Ainan</t>
  </si>
  <si>
    <t>andrezarka@gmail.com</t>
  </si>
  <si>
    <t>Soft80</t>
  </si>
  <si>
    <t>Photo en plan large (ok le 20/01/21)</t>
  </si>
  <si>
    <t>Chemin du Grifond</t>
  </si>
  <si>
    <t>pagonis.noelle@gmail.com</t>
  </si>
  <si>
    <t>ECOFIRE BIANCA 12</t>
  </si>
  <si>
    <t>Route du Pont du Jour</t>
  </si>
  <si>
    <t>m.czekata@gmail.com</t>
  </si>
  <si>
    <t>ILD12</t>
  </si>
  <si>
    <t>Impasse Jean Mermoz</t>
  </si>
  <si>
    <t>napa.reymond@wanadoo.fr</t>
  </si>
  <si>
    <t>Justif domicile au nom d'une SCI(ok)</t>
  </si>
  <si>
    <t>Chemin du Champ de l'Orme</t>
  </si>
  <si>
    <t>yo-963@orange.fr</t>
  </si>
  <si>
    <t>F400 ECO</t>
  </si>
  <si>
    <t>Justif domicile&amp;Devis illisible+Manque adresse RIB(ok)</t>
  </si>
  <si>
    <t>Route de du Picard</t>
  </si>
  <si>
    <t>palaunay@gmail.com</t>
  </si>
  <si>
    <t>Chemin de Bouleaux</t>
  </si>
  <si>
    <t>daniele.doriat@gmail.com</t>
  </si>
  <si>
    <t>ASTREA 888 ULTRA L</t>
  </si>
  <si>
    <t>ADEME 2021</t>
  </si>
  <si>
    <t>Dossier V648Travaux déjà réalisé (Olivier ok)</t>
  </si>
  <si>
    <t>Rue Cure et Bennes</t>
  </si>
  <si>
    <t>patrick.fayet@wanadoo.fr</t>
  </si>
  <si>
    <t>NARA</t>
  </si>
  <si>
    <t>Manque RIB (26/01/21)</t>
  </si>
  <si>
    <t>nchavallard@hotmail.fr</t>
  </si>
  <si>
    <t>VISI 75-F</t>
  </si>
  <si>
    <t>VRB0105</t>
  </si>
  <si>
    <t>Route de St Jean</t>
  </si>
  <si>
    <t>gentonf@gmail.com</t>
  </si>
  <si>
    <t>VISION 775 10K</t>
  </si>
  <si>
    <t>Manque questionnaire+dernieres pages impots + derniere page taxe (ok le 26/01/21)</t>
  </si>
  <si>
    <t>Chemin de la Grande Sure</t>
  </si>
  <si>
    <t>c.mollier@yahoo.fr</t>
  </si>
  <si>
    <t>Manque adresse RIB (ok le 27/01/21)</t>
  </si>
  <si>
    <t>Manque page 2 de la facture</t>
  </si>
  <si>
    <t>Chemin du Pont Gros</t>
  </si>
  <si>
    <t>o.ferraris38@gmail.com</t>
  </si>
  <si>
    <t>ECOFIRE BIANCA LUX 12 PRO 3</t>
  </si>
  <si>
    <t>Chemin de l'Ermitage</t>
  </si>
  <si>
    <t>laurence.elipot@gmail.com</t>
  </si>
  <si>
    <t>Photo plan large et en fonctionnement (ok le 02/02/21)</t>
  </si>
  <si>
    <t>Rue Beaudelaire</t>
  </si>
  <si>
    <t>timibro@yahoo.fr</t>
  </si>
  <si>
    <t>Manque questionnaire (ok le 8/02/21)</t>
  </si>
  <si>
    <t>Montée du Preynat</t>
  </si>
  <si>
    <t>cedric.clausse@gmail.com</t>
  </si>
  <si>
    <t>Appareil retiré du registre en janvier 2021 (relancé le 15/04/21 &amp; le 16/07/21 à cloturer le 01/08/21 si pas de réponse)</t>
  </si>
  <si>
    <t>Avenue de Stalingrad</t>
  </si>
  <si>
    <t>gaelle.vernerey@gmail.com</t>
  </si>
  <si>
    <t>Manque adresse RIB (ok le 09/02/21)</t>
  </si>
  <si>
    <t>Mention acquitté (ok)</t>
  </si>
  <si>
    <t>Route de la Mérie</t>
  </si>
  <si>
    <t>elodie.blanco38@gmail.com</t>
  </si>
  <si>
    <t>Manque mention acquitée</t>
  </si>
  <si>
    <t>Route de Chartreuse Lotissement le Fagot</t>
  </si>
  <si>
    <t>rocher.gi@wanadoo.fr</t>
  </si>
  <si>
    <t>&lt;2001</t>
  </si>
  <si>
    <t>Manque page devis+Questionnaire</t>
  </si>
  <si>
    <t>Manque mention acquitée+photo+attestation (relancé le 16/07/21)(ok)</t>
  </si>
  <si>
    <t>Chemin du Regardou de l'Agnelas</t>
  </si>
  <si>
    <t>christiangarciaa@gmail.com</t>
  </si>
  <si>
    <t>OvalisT</t>
  </si>
  <si>
    <t>Appareil non flamme verte (ok) + Installateur non signataire(ok)+ Adresse RIB(ok)</t>
  </si>
  <si>
    <t>Manque attestations (ok sauf déchetterie) + photo (ok)</t>
  </si>
  <si>
    <t>dossier caduque depuis le 7/6/2022 (pas de mail envoyé)</t>
  </si>
  <si>
    <t>thomas.charbonneau@gmail.com</t>
  </si>
  <si>
    <t>SAINT JEAN DE BOURNAY</t>
  </si>
  <si>
    <t>RAVET Eric</t>
  </si>
  <si>
    <t>PARO</t>
  </si>
  <si>
    <t>Manque dernière page taxe foncière (ok le 4/3/21)</t>
  </si>
  <si>
    <t>Avenue de la Patinière</t>
  </si>
  <si>
    <t>catherine_braga@yahoo.fr</t>
  </si>
  <si>
    <t>MAGGIE COMFORT</t>
  </si>
  <si>
    <t>Manque mention acquittée (ok)</t>
  </si>
  <si>
    <t>Route de Grosset</t>
  </si>
  <si>
    <t>SAINT GEOIRE EN VALDAINE</t>
  </si>
  <si>
    <t>valette.jf@wanadoo.fr</t>
  </si>
  <si>
    <t>A10 C PLUS ZENITH</t>
  </si>
  <si>
    <t>Manque photo plan large + attestation de fin de travaux</t>
  </si>
  <si>
    <t>Rue Grolandières</t>
  </si>
  <si>
    <t>sylvie.savary04@orange.fr</t>
  </si>
  <si>
    <t>LATERAL GAUCHE ENERGIA</t>
  </si>
  <si>
    <t>Manque Lettre+Avis impot+justif domicile+devis+RIB+photo(ok)</t>
  </si>
  <si>
    <t>Route de Mongolfier</t>
  </si>
  <si>
    <t>pegourie.pierre@club-internet.fr</t>
  </si>
  <si>
    <t>JAZZ L CV</t>
  </si>
  <si>
    <t>rd.guillermin.com@gmail.com</t>
  </si>
  <si>
    <t>QUADRO 1</t>
  </si>
  <si>
    <t>Année installation du poele+Derniere page taxe foncières</t>
  </si>
  <si>
    <t>Poêle supp à 2002</t>
  </si>
  <si>
    <t>Rue Boileau</t>
  </si>
  <si>
    <t>sandrineco@orange.fr</t>
  </si>
  <si>
    <t>&gt;2002</t>
  </si>
  <si>
    <t>FILO RAO</t>
  </si>
  <si>
    <t>Dernière page taxe foncière (ok)</t>
  </si>
  <si>
    <t>Lotissement des Primevères</t>
  </si>
  <si>
    <t>olivier.laure38@free.fr</t>
  </si>
  <si>
    <t>LONA</t>
  </si>
  <si>
    <t>Photo en plan large (ok)</t>
  </si>
  <si>
    <t>Rue de la Caserne</t>
  </si>
  <si>
    <t>cricek38@gmail.com</t>
  </si>
  <si>
    <t>ECOFIRE Marianne</t>
  </si>
  <si>
    <t>Avenue d'Haussez</t>
  </si>
  <si>
    <t>xais.rhone@gmail.com</t>
  </si>
  <si>
    <t>ECOPALEX 88T</t>
  </si>
  <si>
    <t>Rue du Grand Arbre</t>
  </si>
  <si>
    <t>marcel.perrin38@laposte.net</t>
  </si>
  <si>
    <t>STROMBOLI N</t>
  </si>
  <si>
    <t>Chemin du Parc</t>
  </si>
  <si>
    <t>patrick.malagola@gmail.com</t>
  </si>
  <si>
    <t>koleli2609@orange.fr</t>
  </si>
  <si>
    <t>EVIA 2</t>
  </si>
  <si>
    <t>Manque dernière page taxe foncière + RIB (ok)</t>
  </si>
  <si>
    <t>Chemin de Larchat</t>
  </si>
  <si>
    <t>bvialon@hotmail.com</t>
  </si>
  <si>
    <t>65x51 K/K RUND</t>
  </si>
  <si>
    <t>Route de Saint  Sixte</t>
  </si>
  <si>
    <t>jeanluc.guilligay@hotmail.fr</t>
  </si>
  <si>
    <t>Manque Adresse RIB (ok le 25/03/21)</t>
  </si>
  <si>
    <t>michel.ayraud@outlook.fr</t>
  </si>
  <si>
    <t>HARMONY OPTIMA</t>
  </si>
  <si>
    <t>Impasse du Clos Vert</t>
  </si>
  <si>
    <t>latil.monique@neuf.fr</t>
  </si>
  <si>
    <t>Chemin des Charrières</t>
  </si>
  <si>
    <t>ppierre@questel.com</t>
  </si>
  <si>
    <t>SAINT MARTIN D'HERES</t>
  </si>
  <si>
    <t>picco.remy@neuf.fr</t>
  </si>
  <si>
    <t>BOMBAY</t>
  </si>
  <si>
    <t>Manque attestation de destruction (ok)</t>
  </si>
  <si>
    <t>Route de Chanay</t>
  </si>
  <si>
    <t>chriscarron@orange.fr</t>
  </si>
  <si>
    <t>Route de la cascade</t>
  </si>
  <si>
    <t>06 82 32 97 11</t>
  </si>
  <si>
    <t>pigonon@orange.fr</t>
  </si>
  <si>
    <t>DOMO RAO</t>
  </si>
  <si>
    <t>Le clos du paradis</t>
  </si>
  <si>
    <t>06 82 29 48 02</t>
  </si>
  <si>
    <t>gilles.garagnon@orange.fr</t>
  </si>
  <si>
    <t>1000P</t>
  </si>
  <si>
    <t>Route du Cerveloup</t>
  </si>
  <si>
    <t>04 76 07 26 24</t>
  </si>
  <si>
    <t>robertlions38@gmail.com</t>
  </si>
  <si>
    <t>Manque dernière page taxe foncière (ok le 25/03/21)</t>
  </si>
  <si>
    <t>Rue Alfred Musset</t>
  </si>
  <si>
    <t>marchelene0067@orange.fr</t>
  </si>
  <si>
    <t>OVALIS G Accum</t>
  </si>
  <si>
    <t>Chemin de la Morge</t>
  </si>
  <si>
    <t>laura.sperandio@gmail.com</t>
  </si>
  <si>
    <t>Manque adresse RIB (ok le 29/03/21)</t>
  </si>
  <si>
    <t xml:space="preserve">Route du Grand Rocher </t>
  </si>
  <si>
    <t>gresse@neuf.fr</t>
  </si>
  <si>
    <t>Manque adresse RIB (ok le 01/04/21)</t>
  </si>
  <si>
    <t>Impasse des Vignes</t>
  </si>
  <si>
    <t>moli.philmolinie@gmail.com</t>
  </si>
  <si>
    <t>Manque attestation &amp; Mention acquitée(ok)</t>
  </si>
  <si>
    <t>Route de Vers Ars</t>
  </si>
  <si>
    <t>caillatvalerie@gmail.com</t>
  </si>
  <si>
    <t>MEYRIE</t>
  </si>
  <si>
    <t>QUAY THEVENON Thierry</t>
  </si>
  <si>
    <t>bureau@avizenergie.fr</t>
  </si>
  <si>
    <t>RAY CONFORT AIR</t>
  </si>
  <si>
    <t>Montée de Champe</t>
  </si>
  <si>
    <t>juju.lulu@rocketmail.com</t>
  </si>
  <si>
    <t>VIDAR WALL</t>
  </si>
  <si>
    <t>Manque questionnaire (ok le 01/04/21)</t>
  </si>
  <si>
    <t>Montée de l'Enclos du Château</t>
  </si>
  <si>
    <t>girault.perrin@orange.fr</t>
  </si>
  <si>
    <t>LAREDO F</t>
  </si>
  <si>
    <t>Rue du Dauphiné</t>
  </si>
  <si>
    <t>cerlesjm@gmail.com</t>
  </si>
  <si>
    <t>RENAGE</t>
  </si>
  <si>
    <t>TODESCHINI Alain</t>
  </si>
  <si>
    <t>todeschini@orange.fr</t>
  </si>
  <si>
    <t>KIANO 4</t>
  </si>
  <si>
    <t>Chemin du Bret</t>
  </si>
  <si>
    <t>julieloury.mail@gmail.com</t>
  </si>
  <si>
    <t>SOLARFOCUS</t>
  </si>
  <si>
    <t>ECOTOP 15</t>
  </si>
  <si>
    <t>Chemin du Bernardin</t>
  </si>
  <si>
    <t>fabi.roy@free.fr</t>
  </si>
  <si>
    <t>Manque Questionnaire + Devis (ok le 02/04/21)</t>
  </si>
  <si>
    <t>Chemin du Lavoir</t>
  </si>
  <si>
    <t>bmermet@orange.fr</t>
  </si>
  <si>
    <t>Artisan non signataire(ok 01/04/21)</t>
  </si>
  <si>
    <t>attestation fin de travaux (ok)</t>
  </si>
  <si>
    <t>juliette77fr@gmail.com</t>
  </si>
  <si>
    <t>SAINT LAURENT DU PONT</t>
  </si>
  <si>
    <t>GERENTE PAQUET Hervé</t>
  </si>
  <si>
    <t>HARK98 ECOPLUS</t>
  </si>
  <si>
    <t>Rue de l'Isère</t>
  </si>
  <si>
    <t>cadis.matthieu@gmail.com</t>
  </si>
  <si>
    <t>Manque dernière page taxe foncière (ok)</t>
  </si>
  <si>
    <t>Chemin de Vir Fourche</t>
  </si>
  <si>
    <t>chantal.mangione@orange.fr</t>
  </si>
  <si>
    <t>IVAR 5</t>
  </si>
  <si>
    <t>556 C</t>
  </si>
  <si>
    <t>Rue de la Moyroude</t>
  </si>
  <si>
    <t>jean-michel.boissard@wanadoo.fr</t>
  </si>
  <si>
    <t>PADUA</t>
  </si>
  <si>
    <t>Mauvais justificatif de domicile (ok)</t>
  </si>
  <si>
    <t>Rue du Janin</t>
  </si>
  <si>
    <t>mathieu.nath@gmail.com</t>
  </si>
  <si>
    <t>BRUNO Pascal</t>
  </si>
  <si>
    <t>Rue de la Procession</t>
  </si>
  <si>
    <t>david.jean66@laposte.net</t>
  </si>
  <si>
    <t>Chemin des Combes</t>
  </si>
  <si>
    <t>xa860@hotmail.com</t>
  </si>
  <si>
    <t>F360 ADVANCE</t>
  </si>
  <si>
    <t>Route de Montmartel</t>
  </si>
  <si>
    <t>jo.lobascio@free.fr</t>
  </si>
  <si>
    <t>Manque avis d'imposition 2020+Acte notarié (ok le 16/04/21)</t>
  </si>
  <si>
    <t>41A</t>
  </si>
  <si>
    <t>Rue du Pomarin</t>
  </si>
  <si>
    <t>famille.biet.38@gmail.com</t>
  </si>
  <si>
    <t>VEGA</t>
  </si>
  <si>
    <t>Rue des Ecureuils</t>
  </si>
  <si>
    <t>christian.pellegrin@free.fr</t>
  </si>
  <si>
    <t>P963T</t>
  </si>
  <si>
    <t>Manque questionnaire (ok le 19/04/21)</t>
  </si>
  <si>
    <t>Rue Louvasset</t>
  </si>
  <si>
    <t>tf.ducourant@orange.fr</t>
  </si>
  <si>
    <t>Manque adresse RIB+photo en plan large (ok le 19/04/21)</t>
  </si>
  <si>
    <t>Chemin du Pansu</t>
  </si>
  <si>
    <t>jean-claude.peyrin@outlook.fr</t>
  </si>
  <si>
    <t>Manque dernière page taxe fonçière+RGE expiré + appareil non flamme verte (ok)</t>
  </si>
  <si>
    <t>Accord CAPV</t>
  </si>
  <si>
    <t>Dossier incomplet mais travaux réalisé (mail du 06/07/2021 puis dérog accepté</t>
  </si>
  <si>
    <t>Lotissement Les Jardins du Centre</t>
  </si>
  <si>
    <t>laulhe.christian@orange.fr</t>
  </si>
  <si>
    <t>CHEMINEE GODIN</t>
  </si>
  <si>
    <t>757 SR</t>
  </si>
  <si>
    <t>Manque page 3 devis (ok)</t>
  </si>
  <si>
    <t>Route de Saint Nicolas de Macherin La Nouvellière</t>
  </si>
  <si>
    <t>MERLAS</t>
  </si>
  <si>
    <t>jrm38@orange.fr</t>
  </si>
  <si>
    <t>BRONPI</t>
  </si>
  <si>
    <t>TUDELA</t>
  </si>
  <si>
    <t>Chemin de la Mearie</t>
  </si>
  <si>
    <t>SAINT ETIENNE DE SAINT GEOIR</t>
  </si>
  <si>
    <t>latredauphinois@gmail.com</t>
  </si>
  <si>
    <t>RAVELLI</t>
  </si>
  <si>
    <t>S90</t>
  </si>
  <si>
    <t>mariedilas@yahoo.fr</t>
  </si>
  <si>
    <t>CALCIAS</t>
  </si>
  <si>
    <t xml:space="preserve"> Lotissement Domaine de Merlière</t>
  </si>
  <si>
    <t>sophie.penot07@gmail.com</t>
  </si>
  <si>
    <t>ONA</t>
  </si>
  <si>
    <t>Pas d'ancien appareil</t>
  </si>
  <si>
    <t>Rouet de la Grangère</t>
  </si>
  <si>
    <t>helicados@gmail.com</t>
  </si>
  <si>
    <t>laglaceetlefeu38@gmail.com</t>
  </si>
  <si>
    <t>Chemin du Molard</t>
  </si>
  <si>
    <t>daniel.potisk@orange.fr</t>
  </si>
  <si>
    <t>RIANO</t>
  </si>
  <si>
    <t>Installataire non signataire (ok)</t>
  </si>
  <si>
    <t>Route de Trefond</t>
  </si>
  <si>
    <t>cbellemincomte@gmail.com</t>
  </si>
  <si>
    <t xml:space="preserve">non </t>
  </si>
  <si>
    <t>Impasse Plan et Oacarie</t>
  </si>
  <si>
    <t>Route de Sanissard</t>
  </si>
  <si>
    <t>diaz-audrey@hotmail.fr</t>
  </si>
  <si>
    <t>CARUANA Anthony</t>
  </si>
  <si>
    <t>Descente du Pavé</t>
  </si>
  <si>
    <t>b.faure-vincent@laposte.fr</t>
  </si>
  <si>
    <t>Rue de la Lieure</t>
  </si>
  <si>
    <t>remyduchateau@tutanota.com</t>
  </si>
  <si>
    <t>MO Duo</t>
  </si>
  <si>
    <t>jc.colliat@aliceadsl.fr</t>
  </si>
  <si>
    <t>45x51 KII</t>
  </si>
  <si>
    <t>Chemin du Pont de Bessey</t>
  </si>
  <si>
    <t>edith.pilot@impex.fr</t>
  </si>
  <si>
    <t>1Bis</t>
  </si>
  <si>
    <t>Chemin de Saint Jean de Chepy 1 Lot La Grange des Prés</t>
  </si>
  <si>
    <t>jacqsimon@wanadoo.fr</t>
  </si>
  <si>
    <t>JESS XTRA</t>
  </si>
  <si>
    <t>Manque taxe foncière 2020 (ok)+ preuve d'un ancien appareil de chauffage au bois(ok)</t>
  </si>
  <si>
    <t>Route du Paris Lieu dit Coche</t>
  </si>
  <si>
    <t>celineconstantin@hotmail.com</t>
  </si>
  <si>
    <t>379c</t>
  </si>
  <si>
    <t>Route des 3 Fontaines</t>
  </si>
  <si>
    <t>manas.margaux@gmail.com</t>
  </si>
  <si>
    <t>600?</t>
  </si>
  <si>
    <t>Installataire non signataire (ok) + Adresse RIB (Voir Paul)</t>
  </si>
  <si>
    <t>Dossier incomplet depuis plus de 6 mois</t>
  </si>
  <si>
    <t>Route du Village</t>
  </si>
  <si>
    <t>loic.benoit69190@gmail.com</t>
  </si>
  <si>
    <t>CORBAS</t>
  </si>
  <si>
    <t>BLANC Christophe</t>
  </si>
  <si>
    <t>pur-tech@sfr.fr</t>
  </si>
  <si>
    <t>NANO PK15</t>
  </si>
  <si>
    <t>Rue de Montponcon</t>
  </si>
  <si>
    <t>rafaeleguerre@free.fr</t>
  </si>
  <si>
    <t>MAZAN</t>
  </si>
  <si>
    <t>VRB0180</t>
  </si>
  <si>
    <t>Route de la Freydière</t>
  </si>
  <si>
    <t>crouzet.veronique@orange.fr</t>
  </si>
  <si>
    <t>OFEN SP2</t>
  </si>
  <si>
    <t>Route des Ailloudières</t>
  </si>
  <si>
    <t>charly.koehl-faber@laposte.net</t>
  </si>
  <si>
    <t>775-10K</t>
  </si>
  <si>
    <t>Manque page 2 Taxe Fonciere + Appareil non FV7 (a refusé car Austroflamm fait une réduc de 600€)</t>
  </si>
  <si>
    <t>Chemin des Granges</t>
  </si>
  <si>
    <t>arlette.jarczyk@gmail.com</t>
  </si>
  <si>
    <t>Polly Light</t>
  </si>
  <si>
    <t>Lotissement des Voutes</t>
  </si>
  <si>
    <t>marsac_julian@orange.fr</t>
  </si>
  <si>
    <t>CHEMINEE CATTARINA Turbo Fonte</t>
  </si>
  <si>
    <t>CATTARINA Kevin</t>
  </si>
  <si>
    <t>kevincd@hotmail.fr</t>
  </si>
  <si>
    <t>JAZZ</t>
  </si>
  <si>
    <t>Rue des Tilleuls</t>
  </si>
  <si>
    <t>sylvain.rana@orange.fr</t>
  </si>
  <si>
    <t>Route de Mercuel</t>
  </si>
  <si>
    <t>marylinepo@hotmail.fr</t>
  </si>
  <si>
    <t>Impasse des Mélèzes</t>
  </si>
  <si>
    <t>lemavica@bbox.fr</t>
  </si>
  <si>
    <t>Suite AIR 10 UP</t>
  </si>
  <si>
    <t>Rue de la Chevalerie</t>
  </si>
  <si>
    <t>christine.naud.38@gmail.com</t>
  </si>
  <si>
    <t>Manque page 2 Taxe Fonciere (ok)</t>
  </si>
  <si>
    <t>Rue de Cuchet</t>
  </si>
  <si>
    <t>famille.corino@orange.fr</t>
  </si>
  <si>
    <t>CODY</t>
  </si>
  <si>
    <t>Route de Bresin</t>
  </si>
  <si>
    <t>ECOFIRE MARISA</t>
  </si>
  <si>
    <t>Manque attestation de fin de travaux (ok)</t>
  </si>
  <si>
    <t>hugbrassod@gmail.com</t>
  </si>
  <si>
    <t>SUPERCHAUFF 6</t>
  </si>
  <si>
    <t>11/06/2021 (envoi courrier)</t>
  </si>
  <si>
    <t>Manque page 2 TF (ok)</t>
  </si>
  <si>
    <t>Chemin de Neyroud</t>
  </si>
  <si>
    <t>ECOFIRE AURORA 9 US</t>
  </si>
  <si>
    <t>Lot Bellevue</t>
  </si>
  <si>
    <t>civet.christian@free.fr</t>
  </si>
  <si>
    <t>ATRAFLAM 16/9ème 800</t>
  </si>
  <si>
    <t>Manque Questionnaire (ok)</t>
  </si>
  <si>
    <t>Chemin du Barreau</t>
  </si>
  <si>
    <t>jmi.jullian@orange.fr</t>
  </si>
  <si>
    <t>Route de Monnair</t>
  </si>
  <si>
    <t>guy.lwiz@gmail.com</t>
  </si>
  <si>
    <t>Impasse des Verchères</t>
  </si>
  <si>
    <t>jogag2003@yahoo.fr</t>
  </si>
  <si>
    <t>Route des Vials</t>
  </si>
  <si>
    <t>allegret.guy.mpr@gmail.com</t>
  </si>
  <si>
    <t>NICOLE</t>
  </si>
  <si>
    <t>Manque questionnaire</t>
  </si>
  <si>
    <t>Route du Guillermet</t>
  </si>
  <si>
    <t>jr.reynaud6@orange.fr</t>
  </si>
  <si>
    <t>ADOUR 800</t>
  </si>
  <si>
    <t>Route des Maures</t>
  </si>
  <si>
    <t>jeannoelganavat@hotmail.com</t>
  </si>
  <si>
    <t>Manque Adresse RIB (ok)</t>
  </si>
  <si>
    <t>Manque attestation fin de travaux (ok)</t>
  </si>
  <si>
    <t>Impasse de la Pontelière</t>
  </si>
  <si>
    <t>dosanjoscorreia01@gmail.com</t>
  </si>
  <si>
    <t>LIA 8KW</t>
  </si>
  <si>
    <t>Manque Lettre (ok)</t>
  </si>
  <si>
    <t>Route de Charavine</t>
  </si>
  <si>
    <t>chouchou.leveque@gmail.com</t>
  </si>
  <si>
    <t>Manque Questionnaire+photo plan large (ok)</t>
  </si>
  <si>
    <t>Les travaux ont été réalisé avant la demande de subvention</t>
  </si>
  <si>
    <t>Route de Verchères</t>
  </si>
  <si>
    <t>COMO</t>
  </si>
  <si>
    <t>Rue du Herisson</t>
  </si>
  <si>
    <t>yoanschwerdel@gmail.com</t>
  </si>
  <si>
    <t>LINDA 9 US</t>
  </si>
  <si>
    <t>Route de Saint Sulpice</t>
  </si>
  <si>
    <t>thevenet.boyet@orange.fr</t>
  </si>
  <si>
    <t>Chemin du Chasselard</t>
  </si>
  <si>
    <t>ludorel@orange.fr</t>
  </si>
  <si>
    <t>Vulcano 7T</t>
  </si>
  <si>
    <t>Tampon facture (ok)</t>
  </si>
  <si>
    <t>Route de Voreppe</t>
  </si>
  <si>
    <t>xa.nevado@live.fr</t>
  </si>
  <si>
    <t>SILA PLUS</t>
  </si>
  <si>
    <t>yves.lesquer@wanadoo.fr</t>
  </si>
  <si>
    <t>ROTA</t>
  </si>
  <si>
    <t>Rue de la Magnanerie</t>
  </si>
  <si>
    <t>itu38190@hotmail.fr</t>
  </si>
  <si>
    <t>CLUB 2.0</t>
  </si>
  <si>
    <t>Manque Avis imposition+Justif de domicile+adresse rib+photo appareil (ok)</t>
  </si>
  <si>
    <t>Rue de Beauvillage</t>
  </si>
  <si>
    <t>jordan.agullo63@gmail.com</t>
  </si>
  <si>
    <t>TM'ENTREPRISE</t>
  </si>
  <si>
    <t>DIE</t>
  </si>
  <si>
    <t>TIBERIO Marcel</t>
  </si>
  <si>
    <t>tmgranule@gmail.com</t>
  </si>
  <si>
    <t>cabanes.lamontagne@gmail.com</t>
  </si>
  <si>
    <t>OVALIS T</t>
  </si>
  <si>
    <t>Lotissement Les Amaryllis</t>
  </si>
  <si>
    <t>bonansornella@hotmail.fr</t>
  </si>
  <si>
    <t>MAX BLANK</t>
  </si>
  <si>
    <t>RIO S</t>
  </si>
  <si>
    <t>Manque Avis d'imposition (ne travaillais pas en France)</t>
  </si>
  <si>
    <t>Chemin de Chubins</t>
  </si>
  <si>
    <t>jugirard71@hotmail.fr</t>
  </si>
  <si>
    <t>Rouet du Boulangeat</t>
  </si>
  <si>
    <t>susana.castro@outlook.fr</t>
  </si>
  <si>
    <t>ECOFIRE LINDA 12 PRO 3</t>
  </si>
  <si>
    <t>lelia.bottier@gmail.com</t>
  </si>
  <si>
    <t>BEATRICE</t>
  </si>
  <si>
    <t>VRB0215</t>
  </si>
  <si>
    <t>bruno.jacolin@orange.fr</t>
  </si>
  <si>
    <t xml:space="preserve">ILD 12 </t>
  </si>
  <si>
    <t>BELLA HYDRO 15KW</t>
  </si>
  <si>
    <t>Chemin des Rayettes</t>
  </si>
  <si>
    <t>isabelle.bernard0385@orange.fr</t>
  </si>
  <si>
    <t>RELAX 6,5</t>
  </si>
  <si>
    <t>Rue de Chantarot</t>
  </si>
  <si>
    <t>loicprimeur@orange.fr</t>
  </si>
  <si>
    <t>IZYFLAM</t>
  </si>
  <si>
    <t>IZY Curve 90</t>
  </si>
  <si>
    <t>Route de Saint-Quentin</t>
  </si>
  <si>
    <t>04 76 35 49 72</t>
  </si>
  <si>
    <t>lains@gmx.net</t>
  </si>
  <si>
    <t>Photo plan large + AI2021 (ok)</t>
  </si>
  <si>
    <t>Avenue  Gaston Bonnardel</t>
  </si>
  <si>
    <t>06 75 75 26 49</t>
  </si>
  <si>
    <t>lyschanelle@gmail.com</t>
  </si>
  <si>
    <t>P230 SH</t>
  </si>
  <si>
    <t>06 38 84 34 52</t>
  </si>
  <si>
    <t>fanf-noiret@wanadoo.fr</t>
  </si>
  <si>
    <t>A11 V ROUND</t>
  </si>
  <si>
    <t>Montée de la Rebatière</t>
  </si>
  <si>
    <t>06 78 53 89 90</t>
  </si>
  <si>
    <t>sergecharreton@orange.fr</t>
  </si>
  <si>
    <t>EASYPELL 12</t>
  </si>
  <si>
    <t>Route du Petit Criel</t>
  </si>
  <si>
    <t>06 88 67 80 93</t>
  </si>
  <si>
    <t>brice.baudoin@hotmail.fr</t>
  </si>
  <si>
    <t>Manque attestation fin de travaux+mention acquitée</t>
  </si>
  <si>
    <t>Route du Grand Ratz</t>
  </si>
  <si>
    <t>07 63 32 97 50</t>
  </si>
  <si>
    <t>mot.herve@laposte.net</t>
  </si>
  <si>
    <t>30 CIN</t>
  </si>
  <si>
    <t>VRB0225</t>
  </si>
  <si>
    <t>Rue du Maleyssard</t>
  </si>
  <si>
    <t>06 72 37 96 93</t>
  </si>
  <si>
    <t>fe.cara.boss@gmail.com</t>
  </si>
  <si>
    <t>CECILE 6KW</t>
  </si>
  <si>
    <t>Rue du champ de la cour - 4 lot les Vergers de la Biesse</t>
  </si>
  <si>
    <t>06 83 00 42 14</t>
  </si>
  <si>
    <t>hubert.donnier@free.fr</t>
  </si>
  <si>
    <t>SOLVEIG OPTIMA</t>
  </si>
  <si>
    <t>Allée de Savoie</t>
  </si>
  <si>
    <t>Manque AI complet + Adresse RIB (ok le 18/8/21)</t>
  </si>
  <si>
    <t>mireille.brotel@orange.fr</t>
  </si>
  <si>
    <t>a.moulin@net-c.fr</t>
  </si>
  <si>
    <t>Route du Château</t>
  </si>
  <si>
    <t>virelaudebinder@orange.fr</t>
  </si>
  <si>
    <t xml:space="preserve">VIVO 80 PELLET </t>
  </si>
  <si>
    <t>VRB0231</t>
  </si>
  <si>
    <t>Appareil non FV7 (demande équivalence 09/09 liste FV ok)</t>
  </si>
  <si>
    <t>Route de Bilieu, Lieu dit le Travers</t>
  </si>
  <si>
    <t>edou66@sfr.fr</t>
  </si>
  <si>
    <t>J3L AGENCEMENTS</t>
  </si>
  <si>
    <t>BARGEL Jonathan</t>
  </si>
  <si>
    <t>CHEMINEE PHILIPPE</t>
  </si>
  <si>
    <t>MARENNES</t>
  </si>
  <si>
    <t>N'a pas d'appareil de chauffage à bois</t>
  </si>
  <si>
    <t>Rue de la Grande Roche</t>
  </si>
  <si>
    <t>caro270308@gmail.com</t>
  </si>
  <si>
    <t>Chemin des Maraichers</t>
  </si>
  <si>
    <t>admjfou@gmail.com</t>
  </si>
  <si>
    <t>COOK'R</t>
  </si>
  <si>
    <t>Manque attesation fin de travaux (ok)</t>
  </si>
  <si>
    <t>Route de Virieu</t>
  </si>
  <si>
    <t>grevol.famille@wanadoo.fr</t>
  </si>
  <si>
    <t>A10 C LIGHT 2020</t>
  </si>
  <si>
    <t>Voie des Michauds</t>
  </si>
  <si>
    <t>maximeboulen@hotmail.fr</t>
  </si>
  <si>
    <t>Rue de Parmini</t>
  </si>
  <si>
    <t>patrickpuce@outlook.fr</t>
  </si>
  <si>
    <t>KLIN CONFORT AIR 8M1</t>
  </si>
  <si>
    <t>relance facture fait le 28/09/2022</t>
  </si>
  <si>
    <t>dossier caduque (pas de mail envoyé)</t>
  </si>
  <si>
    <t>Chemin des Marais</t>
  </si>
  <si>
    <t>chriscastel016@gmail.com</t>
  </si>
  <si>
    <t>CHEMINEE SVCD</t>
  </si>
  <si>
    <t>cheminees-svcd@orange.fr</t>
  </si>
  <si>
    <t>CAROLO</t>
  </si>
  <si>
    <t>anais.combalot@yahoo.fr</t>
  </si>
  <si>
    <t>&gt;1990</t>
  </si>
  <si>
    <t>pas d’adresse mail / appel effectué le 28/09/2022 / Facture acquittée, appel fait 08.11</t>
  </si>
  <si>
    <t>Chemin des Barlières</t>
  </si>
  <si>
    <t>Chemin de Bouloun</t>
  </si>
  <si>
    <t>franck1138@gmail.com</t>
  </si>
  <si>
    <t>NANO PK12</t>
  </si>
  <si>
    <t>Route du Tissage</t>
  </si>
  <si>
    <t>cathy.basson@gmail.com</t>
  </si>
  <si>
    <t>Petit Chemin de la Cote</t>
  </si>
  <si>
    <t>romain.blancmathieu@gmail.com</t>
  </si>
  <si>
    <t>filhol.mpr@gmail.com</t>
  </si>
  <si>
    <t>Route de la Tour 2 Lot de la Charmette</t>
  </si>
  <si>
    <t>myriam.marrant@wanadoo.fr</t>
  </si>
  <si>
    <t>CHAMPIER</t>
  </si>
  <si>
    <t>BARD Jérémy</t>
  </si>
  <si>
    <t>bardramonage@orange.fr</t>
  </si>
  <si>
    <t>INTERSTOVES</t>
  </si>
  <si>
    <t>ROMA</t>
  </si>
  <si>
    <t>Chemin du Bouvier</t>
  </si>
  <si>
    <t>celine.rodighiero@gmail.com</t>
  </si>
  <si>
    <t>CHRONOS</t>
  </si>
  <si>
    <t>Manque adresse RIB + AI 2021 (ok)</t>
  </si>
  <si>
    <t>Rue de la République</t>
  </si>
  <si>
    <t>karine.millet7@gmail.com</t>
  </si>
  <si>
    <t>VIDAR Triple</t>
  </si>
  <si>
    <t>Manque RIB+Justif domicile (ok)</t>
  </si>
  <si>
    <t>Manque facture Acquittée (ok)</t>
  </si>
  <si>
    <t>Lotissement les Horizons 2</t>
  </si>
  <si>
    <t>julie.zielinski301317@gmail.com</t>
  </si>
  <si>
    <t>NINA V2</t>
  </si>
  <si>
    <t>dupre.claire@yahoo.fr</t>
  </si>
  <si>
    <t>BEATRICE 9</t>
  </si>
  <si>
    <t>Clos de la Magnanerie</t>
  </si>
  <si>
    <t>marie.soranzo@orange.fr</t>
  </si>
  <si>
    <t>Manque AI du conjoint (ok ce n'est pas un conjoint et ils n'habites pas à ladresse)</t>
  </si>
  <si>
    <t>Route de Poliénas</t>
  </si>
  <si>
    <t>laurecarbillet@gmail.com</t>
  </si>
  <si>
    <t>CHLOE</t>
  </si>
  <si>
    <t>Manque AI du couple+Adresse RIB (ok)</t>
  </si>
  <si>
    <t>Manque photo nouvelle installation. Ok le 30/3/22</t>
  </si>
  <si>
    <t>Chemin des Mas de Clermont</t>
  </si>
  <si>
    <t>luciebarbaras23@gmail.com</t>
  </si>
  <si>
    <t>SOFT 100</t>
  </si>
  <si>
    <t>jcmarchand38@hotmail.fr</t>
  </si>
  <si>
    <t>Facture acquittée (ok)</t>
  </si>
  <si>
    <t>Chemin de l'Ancienne Ecole</t>
  </si>
  <si>
    <t>piozceline@free.fr</t>
  </si>
  <si>
    <t>ARTHUR</t>
  </si>
  <si>
    <t>VRB0254</t>
  </si>
  <si>
    <t>Manque dernière page TF</t>
  </si>
  <si>
    <t>Attestation de destruction ancien appareil (ok le 16/3)</t>
  </si>
  <si>
    <t>rogerbarbieux38490@gmail.com</t>
  </si>
  <si>
    <t>ANTHEM 65</t>
  </si>
  <si>
    <t>Chemin de la Sonnière</t>
  </si>
  <si>
    <t>david.smith0609@orange.fr</t>
  </si>
  <si>
    <t>Chemin du Gay</t>
  </si>
  <si>
    <t>bajuschristophe@gmail.com</t>
  </si>
  <si>
    <t>IZYTALL 80</t>
  </si>
  <si>
    <t>Montée de Mattray</t>
  </si>
  <si>
    <t>patrickmonteillet38500@gmail.com</t>
  </si>
  <si>
    <t>CEDRUS</t>
  </si>
  <si>
    <t>Chemin  des Charbonnières</t>
  </si>
  <si>
    <t>La Grande Route</t>
  </si>
  <si>
    <t>contact@kcf-alter.fr</t>
  </si>
  <si>
    <t>Manque adresse RIB + photo plan large (ok)</t>
  </si>
  <si>
    <t>geoffrey.cattil@hotmail.fr</t>
  </si>
  <si>
    <t>TAL</t>
  </si>
  <si>
    <t>Manque nom installateur (ok)</t>
  </si>
  <si>
    <t>Rue du 8 Mai 1945</t>
  </si>
  <si>
    <t>ae.demathieu@gmail.com</t>
  </si>
  <si>
    <t>ALBAN</t>
  </si>
  <si>
    <t>Chemin du Collomb</t>
  </si>
  <si>
    <t>anne.bozonnier@orange.fr</t>
  </si>
  <si>
    <t>GLOBE GLASS RELAX 6,5</t>
  </si>
  <si>
    <t>Chemin des Chubins</t>
  </si>
  <si>
    <t>vanzetto.danielle@gmail.com</t>
  </si>
  <si>
    <t>FiFTY sur PIED</t>
  </si>
  <si>
    <t>VRB0264</t>
  </si>
  <si>
    <t>celine@yaelle.com</t>
  </si>
  <si>
    <t>Chemin le Neme</t>
  </si>
  <si>
    <t>a.bleureau@gmail.com</t>
  </si>
  <si>
    <t>1000?</t>
  </si>
  <si>
    <t>Manque AI 2021 + Adresse RIB</t>
  </si>
  <si>
    <t>Route des Soyeux</t>
  </si>
  <si>
    <t>laurie.38@live.fr</t>
  </si>
  <si>
    <t>BRIMONT</t>
  </si>
  <si>
    <t>Rue de Buisson Rond</t>
  </si>
  <si>
    <t>guillaume.laupin@gmail.com</t>
  </si>
  <si>
    <t>600-6</t>
  </si>
  <si>
    <t>Montée de la Madone</t>
  </si>
  <si>
    <t>virmona@hotmail.fr</t>
  </si>
  <si>
    <t>BOW WB</t>
  </si>
  <si>
    <t>Allée du Tissarand</t>
  </si>
  <si>
    <t>j.berthe41@free.fr</t>
  </si>
  <si>
    <t>alice.fumagalli38@gmail.com</t>
  </si>
  <si>
    <t>Manque adresse RIB+photo en plan large (la photo ok, pas le rib). Ok le 24/01/22</t>
  </si>
  <si>
    <t>Route de Cerveloup</t>
  </si>
  <si>
    <t>celine.robat@gmail.com</t>
  </si>
  <si>
    <t>ELISEO 700 EFFICIENS I</t>
  </si>
  <si>
    <t>SAINT SULPICE DES RIVOIRES</t>
  </si>
  <si>
    <t>gilles.perrin-caille@orange.fr</t>
  </si>
  <si>
    <t>Chemin du Ronjon</t>
  </si>
  <si>
    <t>snaidero.edouard@orange.fr</t>
  </si>
  <si>
    <t>relance facture fait le 28/09/2022/ eu au tél 12/10 attend la réponse de son installateur /</t>
  </si>
  <si>
    <t>Impasse des Glycines</t>
  </si>
  <si>
    <t>sebbea38850@gmail.com</t>
  </si>
  <si>
    <t>CHARAT Jean-Pierre</t>
  </si>
  <si>
    <t>BECOUR</t>
  </si>
  <si>
    <t>Rue des Martyrs</t>
  </si>
  <si>
    <t>liosan.hugues@free.fr</t>
  </si>
  <si>
    <t>Manque adresse RIB + devis (ok)</t>
  </si>
  <si>
    <t>Route de Bilieu</t>
  </si>
  <si>
    <t>tmidblot@gmail.com</t>
  </si>
  <si>
    <t>877 2V 2</t>
  </si>
  <si>
    <t>Route de Montferrat</t>
  </si>
  <si>
    <t>kathyvangheluwe.kv@gmail.com</t>
  </si>
  <si>
    <t>CLISSON</t>
  </si>
  <si>
    <t>Manque dernière page TF+appareil non FV7</t>
  </si>
  <si>
    <t>Chemin de Malossane</t>
  </si>
  <si>
    <t>pht69004@gmail.com</t>
  </si>
  <si>
    <t>KE2-S2</t>
  </si>
  <si>
    <t>Chemin du Mas Clermont</t>
  </si>
  <si>
    <t>lancon.christiane@orange.fr</t>
  </si>
  <si>
    <t>A11 V ZENITH</t>
  </si>
  <si>
    <t>clem_burdin@yahoo.fr</t>
  </si>
  <si>
    <t>ILAM</t>
  </si>
  <si>
    <t>mnn-pcrd@wanadoo.fr</t>
  </si>
  <si>
    <t>AURORA US</t>
  </si>
  <si>
    <t>courriel.commercial@sfr.fr</t>
  </si>
  <si>
    <t>JAZZ CV 7</t>
  </si>
  <si>
    <t>Route d'Oyeu</t>
  </si>
  <si>
    <t>patrick.pahon@orange.fr</t>
  </si>
  <si>
    <t>en attente du nouveau devis. Ok le 28/2</t>
  </si>
  <si>
    <t>Facture acquittée + Photo + attestation de destruction</t>
  </si>
  <si>
    <t>Lotissement de La Bousse</t>
  </si>
  <si>
    <t>jojodiega@yahoo.fr</t>
  </si>
  <si>
    <t>98SUPREME10C</t>
  </si>
  <si>
    <t>Route du Petit Bois</t>
  </si>
  <si>
    <t>pierre.bizollon@gmail.com</t>
  </si>
  <si>
    <t>VIDAR TRIPLE</t>
  </si>
  <si>
    <t>augmentation du délai pour faire les travaux à 2ans</t>
  </si>
  <si>
    <t>Route du Mollard</t>
  </si>
  <si>
    <t>carole-1205@hotmail.fr</t>
  </si>
  <si>
    <t>Route des Marais</t>
  </si>
  <si>
    <t>beringuerc38730@gmail.com</t>
  </si>
  <si>
    <t>LUGANO</t>
  </si>
  <si>
    <t>roux.s.o@orange.fr</t>
  </si>
  <si>
    <t>MIRIAM 12</t>
  </si>
  <si>
    <t>Chemin des Chardons</t>
  </si>
  <si>
    <t>didier.kioulou@free.fr</t>
  </si>
  <si>
    <t>CMG</t>
  </si>
  <si>
    <t>ATLANTIS ED</t>
  </si>
  <si>
    <t>mgdamieux@gmail.com</t>
  </si>
  <si>
    <t>nicolas.rambert@gmail.com</t>
  </si>
  <si>
    <t>ARENA W+</t>
  </si>
  <si>
    <t>mmpj@sfr.fr</t>
  </si>
  <si>
    <t>Canada Toronto</t>
  </si>
  <si>
    <t>Manque attestation remplacement foyer ouvert. Ok le 3/3</t>
  </si>
  <si>
    <t>Rue Bayard</t>
  </si>
  <si>
    <t xml:space="preserve">RIVES </t>
  </si>
  <si>
    <t>yanval38@gmail.com</t>
  </si>
  <si>
    <t>Manque adresse RIB</t>
  </si>
  <si>
    <t>Route de Veurey</t>
  </si>
  <si>
    <t>philippraymond999@gmail.com</t>
  </si>
  <si>
    <t>GIO AIR S1</t>
  </si>
  <si>
    <t>Rue de la Bouvardière</t>
  </si>
  <si>
    <t>jerome.bouzigon@laposte.net</t>
  </si>
  <si>
    <t>Installateur non signataire</t>
  </si>
  <si>
    <t>Facture acquittée</t>
  </si>
  <si>
    <t>Rue Seraphin Martin</t>
  </si>
  <si>
    <t>berangerhoppenot@gmail.com</t>
  </si>
  <si>
    <t>PVG</t>
  </si>
  <si>
    <t>LINDARA60 S-LINE</t>
  </si>
  <si>
    <t>nicolas.meyer7@gmail.com</t>
  </si>
  <si>
    <t>BURGOS</t>
  </si>
  <si>
    <t>Manque adresse RIB. Ok le 24/01/22</t>
  </si>
  <si>
    <t>Rue des Hauts Prés</t>
  </si>
  <si>
    <t>mathieu.jacq@orange.fr</t>
  </si>
  <si>
    <t xml:space="preserve">MCZ </t>
  </si>
  <si>
    <t>CLUB COMFORT AIR</t>
  </si>
  <si>
    <t>Route des Allès</t>
  </si>
  <si>
    <t>emeric.martire@orange.fr</t>
  </si>
  <si>
    <t>BOTERO 8 KW</t>
  </si>
  <si>
    <t>Manque TF + Photo (ok)</t>
  </si>
  <si>
    <t>Manque attestation fin de travaux</t>
  </si>
  <si>
    <t>braillon.pierre@orange.fr</t>
  </si>
  <si>
    <t>Back</t>
  </si>
  <si>
    <t>Manque RIB (ok)</t>
  </si>
  <si>
    <t>patrice.cotte@ville-moirans.fr</t>
  </si>
  <si>
    <t>NOVALINE par FONTE FLAMME</t>
  </si>
  <si>
    <t>Bellano</t>
  </si>
  <si>
    <t xml:space="preserve"> Manque Adresse RIB (ok)</t>
  </si>
  <si>
    <t>Route de la Côte des Filles</t>
  </si>
  <si>
    <t>sfontaine70@outlook.com</t>
  </si>
  <si>
    <t>SCAN 1003</t>
  </si>
  <si>
    <t>route des Gallandières</t>
  </si>
  <si>
    <t>romainjmi@orange.fr</t>
  </si>
  <si>
    <t>ECOFIRE ANNA 12 PRO 3</t>
  </si>
  <si>
    <t>YC</t>
  </si>
  <si>
    <t>Rue du Gorgeat</t>
  </si>
  <si>
    <t>patrick.chabalier@free.fr</t>
  </si>
  <si>
    <t>Lieu Dit le Gay</t>
  </si>
  <si>
    <t>champ-paris@orange.fr</t>
  </si>
  <si>
    <t>A 10 V plus Zénith</t>
  </si>
  <si>
    <t>Chemin de la Vernatelle Les eymins</t>
  </si>
  <si>
    <t>dupin.serge@orange.fr</t>
  </si>
  <si>
    <t>FARVELLI Renato</t>
  </si>
  <si>
    <t>Ellyps Wall Ecodesign</t>
  </si>
  <si>
    <t>Chemin des Grands Champs Les massons</t>
  </si>
  <si>
    <t>erik.burdet@gmail.com</t>
  </si>
  <si>
    <t>CHATTE</t>
  </si>
  <si>
    <t>ROUBINET</t>
  </si>
  <si>
    <t>chaleurbois38@orange.fr</t>
  </si>
  <si>
    <t>600 style C610G</t>
  </si>
  <si>
    <t>Aux Dames de Champbouquet</t>
  </si>
  <si>
    <t>amelie.bouffar@gmail.com</t>
  </si>
  <si>
    <t>Grand Bois a clapet</t>
  </si>
  <si>
    <t>Route du Bourg</t>
  </si>
  <si>
    <t>lesapinvdl@orange.fr</t>
  </si>
  <si>
    <t>Chemin de la Plaine de Tullins</t>
  </si>
  <si>
    <t>raphael.muracchini@wanadoo.fr</t>
  </si>
  <si>
    <t>Manque adresse RIB + Adresse devis</t>
  </si>
  <si>
    <t>odile.seguier@yahoo.fr</t>
  </si>
  <si>
    <t>CAMINA&amp;SCHMID</t>
  </si>
  <si>
    <t>NEO-Line 6554</t>
  </si>
  <si>
    <t>decampsdelphine@hotmail.com</t>
  </si>
  <si>
    <t>mickael.tivollier@orange.fr</t>
  </si>
  <si>
    <t>Tavera</t>
  </si>
  <si>
    <t>vidallaur@orange.fr</t>
  </si>
  <si>
    <t>Techni Nature</t>
  </si>
  <si>
    <t>Rue de Criel</t>
  </si>
  <si>
    <t>pascal.pellet38@orange.fr</t>
  </si>
  <si>
    <t>RIKA DOMO</t>
  </si>
  <si>
    <t>Multi Air 1</t>
  </si>
  <si>
    <t>Registre</t>
  </si>
  <si>
    <t>Rue du Murier</t>
  </si>
  <si>
    <t>gilles.zanier@free.fr</t>
  </si>
  <si>
    <t>jacqu.cheminees@gmail.com</t>
  </si>
  <si>
    <t>04 76 35 56 05</t>
  </si>
  <si>
    <t>Vidar Wall</t>
  </si>
  <si>
    <t>Rue de Charauze le Haut</t>
  </si>
  <si>
    <t>denisbouffar@gmail.com</t>
  </si>
  <si>
    <t>04 76 06 36 61</t>
  </si>
  <si>
    <t>Impasse du Bardonnet</t>
  </si>
  <si>
    <t>odile.b17@orange.fr</t>
  </si>
  <si>
    <t>Haydee SARL</t>
  </si>
  <si>
    <t>LA TOUR DU PIN</t>
  </si>
  <si>
    <t>VALVERDE Guillaume</t>
  </si>
  <si>
    <t>hdegvalverde@gmail.com</t>
  </si>
  <si>
    <t>Route de la Caillatière</t>
  </si>
  <si>
    <t>catherine.giugiale@gmail.com</t>
  </si>
  <si>
    <t>ECOFIRE ANDRES</t>
  </si>
  <si>
    <t>appareil non labélisé</t>
  </si>
  <si>
    <t>alain.saillard@orange.fr</t>
  </si>
  <si>
    <t>POPSTAR 10</t>
  </si>
  <si>
    <t>photo en plan large</t>
  </si>
  <si>
    <t>43A</t>
  </si>
  <si>
    <t>blandine.freychet@gmail.com</t>
  </si>
  <si>
    <t>GEORGES Josselin</t>
  </si>
  <si>
    <t>CHEMINEES GODIN</t>
  </si>
  <si>
    <t>BOISSET 8kW</t>
  </si>
  <si>
    <t>mail installateur pour confirmation matériel</t>
  </si>
  <si>
    <t>Route du Grand Bois</t>
  </si>
  <si>
    <t>trouilleton@free.fr</t>
  </si>
  <si>
    <t>LA BATIE MONTGASCON</t>
  </si>
  <si>
    <t>contact@passionflamme.fr</t>
  </si>
  <si>
    <t>A10 C ROUND TOP</t>
  </si>
  <si>
    <t>0.00248</t>
  </si>
  <si>
    <t>photo en plan large (ok) + RIB bonne adresse</t>
  </si>
  <si>
    <t>Chemin du Referon</t>
  </si>
  <si>
    <t>pin-pascal@hotmail.fr</t>
  </si>
  <si>
    <t>F370 ADVANCE</t>
  </si>
  <si>
    <t>VRB0324</t>
  </si>
  <si>
    <t>Impasse des Cyprès</t>
  </si>
  <si>
    <t>ferraro.calogero@free.fr</t>
  </si>
  <si>
    <t>LIDEL</t>
  </si>
  <si>
    <t>DRU PAR FONTE FLAMME</t>
  </si>
  <si>
    <t>Fonte flamme 78 CB</t>
  </si>
  <si>
    <t>VRB0325</t>
  </si>
  <si>
    <t>Passage de Chassigneu</t>
  </si>
  <si>
    <t>domitirman@yahoo.fr</t>
  </si>
  <si>
    <t>Bargel</t>
  </si>
  <si>
    <t>jonathan.bargel@philippeisere.fr</t>
  </si>
  <si>
    <t>06 79 53 46 45</t>
  </si>
  <si>
    <t>Cheminées Philippe Sevrey</t>
  </si>
  <si>
    <t>Route des Brosses</t>
  </si>
  <si>
    <t>cecileraoul.charreton@gmail.com</t>
  </si>
  <si>
    <t>Carre Francois</t>
  </si>
  <si>
    <t>Ecofire Isabel 9 US</t>
  </si>
  <si>
    <t>VRB0327</t>
  </si>
  <si>
    <t>chgt poele a fioul</t>
  </si>
  <si>
    <t>Rue des Battoirs</t>
  </si>
  <si>
    <t>06 01 77 11 28</t>
  </si>
  <si>
    <t>R.ymelda@yahoo.fr</t>
  </si>
  <si>
    <t>photo en fonctionnement</t>
  </si>
  <si>
    <t>foyer ouvert non fonctionnel</t>
  </si>
  <si>
    <t>06 69 13 83 21</t>
  </si>
  <si>
    <t>anaelle.pierre@gmail.com</t>
  </si>
  <si>
    <t>Contura</t>
  </si>
  <si>
    <t>510 Style</t>
  </si>
  <si>
    <t>VRB0329</t>
  </si>
  <si>
    <t>Manque ftre acquittée + date sur facture (ok le 16/4/22)</t>
  </si>
  <si>
    <t>Chemin de la croix des rajans</t>
  </si>
  <si>
    <t>06 27 73 30 91</t>
  </si>
  <si>
    <t>ets.chevret@orange.fr</t>
  </si>
  <si>
    <t>Les Horizons I Cressonniere</t>
  </si>
  <si>
    <t>06 79 17 72 76</t>
  </si>
  <si>
    <t>jmluesma@orange.fr</t>
  </si>
  <si>
    <t>H7 classic droit</t>
  </si>
  <si>
    <t>photo plan + large / Date sur les devis…. Ok l e31/01/22</t>
  </si>
  <si>
    <t>Chemin de l'étang Dauphin</t>
  </si>
  <si>
    <t>06 81 40 95 56</t>
  </si>
  <si>
    <t>thoris.philippe@orange.fr</t>
  </si>
  <si>
    <t>P158 / V19.1</t>
  </si>
  <si>
    <t>Allee du Charmay</t>
  </si>
  <si>
    <t>07 82 01 46 48</t>
  </si>
  <si>
    <t>liatard38@gmail.com</t>
  </si>
  <si>
    <t>Oranier</t>
  </si>
  <si>
    <t xml:space="preserve">Polar Neo W + </t>
  </si>
  <si>
    <t xml:space="preserve">Chemin de chubins </t>
  </si>
  <si>
    <t>LES VILLAGES DU LAC DE PALADRU</t>
  </si>
  <si>
    <t>girard.yvan@hotmail.fr</t>
  </si>
  <si>
    <t>04 37 06 45 66</t>
  </si>
  <si>
    <t>Gaia Forno</t>
  </si>
  <si>
    <t>VRB0334</t>
  </si>
  <si>
    <t>RIB + Photo</t>
  </si>
  <si>
    <t>changement de radiateurs électriques</t>
  </si>
  <si>
    <t>Impasse de la Pagere</t>
  </si>
  <si>
    <t>linda38180@gmail.com</t>
  </si>
  <si>
    <t>Refusé phase initiale</t>
  </si>
  <si>
    <t>rue Pre Joli</t>
  </si>
  <si>
    <t>baudoinhenri@yahoo.fr</t>
  </si>
  <si>
    <t>Lettre sollicitation (ok) + Photo (ok le 24/1/22)</t>
  </si>
  <si>
    <t>Manque photo. Ok le 24/2/22</t>
  </si>
  <si>
    <t>Allee Paul Expertion</t>
  </si>
  <si>
    <t>helene-martinez@hotmail.fr</t>
  </si>
  <si>
    <t>Chemin  de la Haute Veronnier</t>
  </si>
  <si>
    <t>benoit.michallet@gmail.com</t>
  </si>
  <si>
    <t>Bernard LASSALLE</t>
  </si>
  <si>
    <t>04 69 32 63 83</t>
  </si>
  <si>
    <t>Paro Pellet</t>
  </si>
  <si>
    <t>80 mg/Nm</t>
  </si>
  <si>
    <t>Impasse Plan et Ocarie</t>
  </si>
  <si>
    <t>y.durand@hotmail.fr</t>
  </si>
  <si>
    <t>ECOFIRE BEATRICE 6</t>
  </si>
  <si>
    <t>durand.yves38850@gmail.com</t>
  </si>
  <si>
    <t>Fallanchere Lotissement du haut de salanchese</t>
  </si>
  <si>
    <t>tardy.florent38620@gmail.com</t>
  </si>
  <si>
    <t>RIB + photo. Ok reçu le 26/1/22</t>
  </si>
  <si>
    <t>route de Montclair- 6 lotissement le CHABLIS</t>
  </si>
  <si>
    <t>stephanie.lhuaire@gmail.com</t>
  </si>
  <si>
    <t>DIDIER Léo</t>
  </si>
  <si>
    <t xml:space="preserve"> MORETTI FIRE</t>
  </si>
  <si>
    <t>Relax 8</t>
  </si>
  <si>
    <t>Pb d'adresse avec les Impots. Ok de la CAPV le 2/3/22</t>
  </si>
  <si>
    <t>Chemin diu Bois Bourget</t>
  </si>
  <si>
    <t>eliane.jover1@gmail.com</t>
  </si>
  <si>
    <t>Ego Confort Air 10 Up</t>
  </si>
  <si>
    <t>Manque 1 avis impot (3 habitants) OK</t>
  </si>
  <si>
    <t xml:space="preserve"> Route de  Ri d'Olon</t>
  </si>
  <si>
    <t>04 76 35 53 58</t>
  </si>
  <si>
    <t>catherine.giroud2311@gmail.com</t>
  </si>
  <si>
    <t>DARNAY</t>
  </si>
  <si>
    <t>envoie mail installateur pour confirmation matériel</t>
  </si>
  <si>
    <t>michel.magat@orange.fr</t>
  </si>
  <si>
    <t>Slot Glass A 10</t>
  </si>
  <si>
    <t>Allée du Four Banal</t>
  </si>
  <si>
    <t>josalmon38@yahoo.fr</t>
  </si>
  <si>
    <t>06 08 93 65 77</t>
  </si>
  <si>
    <t>Appareil n'apparait pas encore sur registre FV7*. Attendre la mise à jour. Ok vu le 24/02</t>
  </si>
  <si>
    <t>madev@hotmail.fr</t>
  </si>
  <si>
    <t>Baia Shoap Eco Design</t>
  </si>
  <si>
    <t>VRB0347</t>
  </si>
  <si>
    <t>Manque photo+charte pas signée+certificat pas renouvelé</t>
  </si>
  <si>
    <t>Concerne remplacement de chauffage au gaz</t>
  </si>
  <si>
    <t>sergececconi@me.com</t>
  </si>
  <si>
    <t>SARL PAYRE</t>
  </si>
  <si>
    <t>lscramoncin@ets-payre.fr</t>
  </si>
  <si>
    <t>04 76 35 31 69</t>
  </si>
  <si>
    <t>Mesnil</t>
  </si>
  <si>
    <t>Manque RIB avec adresse (ok le 17/03)</t>
  </si>
  <si>
    <t>Rue de la caserne</t>
  </si>
  <si>
    <t>sebastienbizel@gmail.com</t>
  </si>
  <si>
    <t>Jérome AILLOUD</t>
  </si>
  <si>
    <t>Souvenir Lux Evo</t>
  </si>
  <si>
    <t>VRB0349</t>
  </si>
  <si>
    <t>Chemin de bois rayé</t>
  </si>
  <si>
    <t>denis.benoit-guerindon@orange.fr</t>
  </si>
  <si>
    <t>&lt;1949</t>
  </si>
  <si>
    <t>Spirit</t>
  </si>
  <si>
    <t xml:space="preserve">Manque Taxe foncière. Ok le 4/2/22              </t>
  </si>
  <si>
    <t>Rue du Grand Som</t>
  </si>
  <si>
    <t>carecchio.p@gmail.com</t>
  </si>
  <si>
    <t>C.Five</t>
  </si>
  <si>
    <t>Attestation de fin de travaux</t>
  </si>
  <si>
    <t>yannick.vaufredaz@orange.fr</t>
  </si>
  <si>
    <t>BOTERO 2 10 KW</t>
  </si>
  <si>
    <t>mireille.repellin@gmail.com</t>
  </si>
  <si>
    <t>AUSTROFLAMME</t>
  </si>
  <si>
    <t>Clou Confort</t>
  </si>
  <si>
    <t>VRB0353</t>
  </si>
  <si>
    <t>Devis uniquement sur pose et non sur l'achat d'un poele</t>
  </si>
  <si>
    <t>Devis uniquement sur pose (sans achat poele)</t>
  </si>
  <si>
    <t>SVV</t>
  </si>
  <si>
    <t>Rue des Glaieuls</t>
  </si>
  <si>
    <t>Manque photo (photo pièce vide sans ancien matériel (ok le 9/3). Mail particulier le 17/2 + rib lisible avec adresse (Ok pour le RIB le 10/2)</t>
  </si>
  <si>
    <t>Chemin des Morais la Charreliere</t>
  </si>
  <si>
    <t>vincentelisa@orange.fr</t>
  </si>
  <si>
    <t>Rue du Bourdon</t>
  </si>
  <si>
    <t>CAROLE</t>
  </si>
  <si>
    <t>Manque RIB avec adresse. Ok le 7/2/22</t>
  </si>
  <si>
    <t>Attestation fin de travaux + destruction matériel</t>
  </si>
  <si>
    <t>Route de Palluel</t>
  </si>
  <si>
    <t>laurent.cuzin@gmx.fr</t>
  </si>
  <si>
    <t>VRB0356</t>
  </si>
  <si>
    <t>ISOLATION THERMIQUE</t>
  </si>
  <si>
    <t>gilles.allaman@orange.fr</t>
  </si>
  <si>
    <t>Navia G</t>
  </si>
  <si>
    <t>marc.boizard@wanadoo.fr</t>
  </si>
  <si>
    <t>Le petit chemin</t>
  </si>
  <si>
    <t>marie.erival6@gmail.com</t>
  </si>
  <si>
    <t>Riano</t>
  </si>
  <si>
    <t>Rue du Haut Gayet</t>
  </si>
  <si>
    <t>girard-emmanuel@bbox.fr</t>
  </si>
  <si>
    <t>Round Top A8V</t>
  </si>
  <si>
    <t>VRB0361</t>
  </si>
  <si>
    <t>Artisan non signataire, appel le 14/02, dossier en attente</t>
  </si>
  <si>
    <t>installateur a déposé le bilan</t>
  </si>
  <si>
    <t>aurelie.daudel@gmail.com</t>
  </si>
  <si>
    <t>CASTORAMA GRENOBLE</t>
  </si>
  <si>
    <t>SAINT-MARTIN D'HERES</t>
  </si>
  <si>
    <t>HANNACHI Firas</t>
  </si>
  <si>
    <t>menergies.hf @outlook.fr</t>
  </si>
  <si>
    <t>Route du vieux chene</t>
  </si>
  <si>
    <t>cdelens@orange.fr</t>
  </si>
  <si>
    <t>Chemin du Sicaud</t>
  </si>
  <si>
    <t xml:space="preserve">mygi38@live.fr </t>
  </si>
  <si>
    <t>ECOFIRE GINGER IDRO 12 Kw</t>
  </si>
  <si>
    <t>En attente de labellisation</t>
  </si>
  <si>
    <t>Avenue Marie Curie</t>
  </si>
  <si>
    <t>christophe.seror@gmail.com</t>
  </si>
  <si>
    <t>Rue de la caserne le Pon</t>
  </si>
  <si>
    <t>pro.pose.menuiserie@wanadoo.fr</t>
  </si>
  <si>
    <t>RAY COMFORT AIR 8 UP! M1</t>
  </si>
  <si>
    <t>VRB0367</t>
  </si>
  <si>
    <t>Formulaire de demande incomplet + Photo + RIB + lettre</t>
  </si>
  <si>
    <t>giuseppeitalo.bruno@sfr.fr</t>
  </si>
  <si>
    <t>VRB0368</t>
  </si>
  <si>
    <t>Rue de l'Isere</t>
  </si>
  <si>
    <t>jpecoul@orange.fr</t>
  </si>
  <si>
    <t>RELAX SAT GLASS 8</t>
  </si>
  <si>
    <t>Route de l'etang d'aiguenoire</t>
  </si>
  <si>
    <t>manon.destras@gmail.com</t>
  </si>
  <si>
    <t>LIDER Jean-Christohphe</t>
  </si>
  <si>
    <t>RAAM COMFORT AIR 8 S1</t>
  </si>
  <si>
    <t>Formulaire de demande non complet</t>
  </si>
  <si>
    <t>Impasse st Michel</t>
  </si>
  <si>
    <t>murielle.perrin3@gmail.com</t>
  </si>
  <si>
    <t>EGO AIR 8 UP! M1</t>
  </si>
  <si>
    <t>Route du grand Ratz</t>
  </si>
  <si>
    <t>ddastri@hotmail.fr</t>
  </si>
  <si>
    <t>Photo plan large; Ok le 12/4</t>
  </si>
  <si>
    <t>Rue de Brandegaudiere</t>
  </si>
  <si>
    <t>patrick.mattiussi@wanadoo.fr</t>
  </si>
  <si>
    <t>PIAZZETA</t>
  </si>
  <si>
    <t>P220 SV</t>
  </si>
  <si>
    <t>VRB0373</t>
  </si>
  <si>
    <t>Ancienne installation trop récente</t>
  </si>
  <si>
    <t>Allée du Languedoc</t>
  </si>
  <si>
    <t>marcel.massartic@orange.fr</t>
  </si>
  <si>
    <t>DIDIER Jean-Claude</t>
  </si>
  <si>
    <t>TF + Photo plan large + RIB + devis</t>
  </si>
  <si>
    <t>eveprevel@hotmail.fr</t>
  </si>
  <si>
    <t>EGO COMFORT AIR</t>
  </si>
  <si>
    <t>Photo plan large (ok) + RIB (ok) + TF</t>
  </si>
  <si>
    <t>Avenue du Vercors</t>
  </si>
  <si>
    <t>damsik06@yahoo.fr</t>
  </si>
  <si>
    <t>BELLAVISTA R PLUS</t>
  </si>
  <si>
    <t>Manque p2 du questionnaire. Ok le 27/2</t>
  </si>
  <si>
    <t>Impasse clos des vergers</t>
  </si>
  <si>
    <t>aurelieboutet44@gmail.com</t>
  </si>
  <si>
    <t>Manque RIB à la bonne adresse. Ok le 8/4/22</t>
  </si>
  <si>
    <t>Bis Chemin du Salamot</t>
  </si>
  <si>
    <t>jcmercier38@gmail.com</t>
  </si>
  <si>
    <t>Vision 775 - 10</t>
  </si>
  <si>
    <t>Manque lettre de sollicitation (ok le 4/3/22)</t>
  </si>
  <si>
    <t>Chemin de la tencon</t>
  </si>
  <si>
    <t>stephane.philippe38@gmail.com</t>
  </si>
  <si>
    <t>Ofen SP 2</t>
  </si>
  <si>
    <t>Manque photo plan large; OK le 2/3/22</t>
  </si>
  <si>
    <t>Rue du Boutet</t>
  </si>
  <si>
    <t>lucile43@hotmail.fr</t>
  </si>
  <si>
    <t>Extraflamme</t>
  </si>
  <si>
    <t>Gabriella</t>
  </si>
  <si>
    <t>Les jardins du centre</t>
  </si>
  <si>
    <t>diebolt.didier60@free.fr</t>
  </si>
  <si>
    <t>Me Wall</t>
  </si>
  <si>
    <t>Le Hameau du Garat</t>
  </si>
  <si>
    <t>daubardh@orange.fr</t>
  </si>
  <si>
    <t>Stromboli N</t>
  </si>
  <si>
    <t>VRB0382</t>
  </si>
  <si>
    <t>remplacement poêle à fioul</t>
  </si>
  <si>
    <t xml:space="preserve">Le grand chemin  </t>
  </si>
  <si>
    <t>lea718@outlook.fr</t>
  </si>
  <si>
    <t>jacques.portal94@free.fr</t>
  </si>
  <si>
    <t>POELESGRANULES.FR - BIO BELLEDONNES GRANULES</t>
  </si>
  <si>
    <t>dossier complet envoyé par courrier et mail à installateur</t>
  </si>
  <si>
    <t>Allée de Bel Air</t>
  </si>
  <si>
    <t>poelesetcuisinierespassion@gmail.com</t>
  </si>
  <si>
    <t>HALO AIR 8 UP! M1</t>
  </si>
  <si>
    <t>Route du Mollard le pin</t>
  </si>
  <si>
    <t>gonon.daniel30676@gmail.com</t>
  </si>
  <si>
    <t>ECOFIRE MARIANNE 9 KW</t>
  </si>
  <si>
    <t>FZO</t>
  </si>
  <si>
    <t>photo plan large</t>
  </si>
  <si>
    <t>ahcene.boucenna@free.fr</t>
  </si>
  <si>
    <t>RAY COMFORT AIR 8 M1</t>
  </si>
  <si>
    <t>VRB0387</t>
  </si>
  <si>
    <t xml:space="preserve">Devis non complet </t>
  </si>
  <si>
    <t>Route du Mollard Rond</t>
  </si>
  <si>
    <t>m.vanreeth@yahoo.fr</t>
  </si>
  <si>
    <t>Mr. AILLOUD BETASSON</t>
  </si>
  <si>
    <t>LARRY BÛCHER</t>
  </si>
  <si>
    <t>Attestation honneur de destruction</t>
  </si>
  <si>
    <t>Route de ST Etienne de Croissey</t>
  </si>
  <si>
    <t>troillet38@free.fr</t>
  </si>
  <si>
    <t>STOVAX</t>
  </si>
  <si>
    <t>Studio Air 2:  726-181</t>
  </si>
  <si>
    <t>VRB0389</t>
  </si>
  <si>
    <t>TF</t>
  </si>
  <si>
    <t>Lotissement la grande sure</t>
  </si>
  <si>
    <t>jeanpierre.bois@territoires-informatiques.fr</t>
  </si>
  <si>
    <t>0.07288</t>
  </si>
  <si>
    <t xml:space="preserve">Le petit bois </t>
  </si>
  <si>
    <t>louatd@yahoo.com</t>
  </si>
  <si>
    <t xml:space="preserve">0.00904 </t>
  </si>
  <si>
    <t>Chemin du Gorgeat</t>
  </si>
  <si>
    <t>pascalcroce@sfr.fr</t>
  </si>
  <si>
    <t>P230</t>
  </si>
  <si>
    <t>Montée du Pilet</t>
  </si>
  <si>
    <t>sps38@orange.fr</t>
  </si>
  <si>
    <t>Astrea 888</t>
  </si>
  <si>
    <t>Route du Correards</t>
  </si>
  <si>
    <t>herve.clavel@hotmail.com</t>
  </si>
  <si>
    <t>Mr BARGEL Jonathan</t>
  </si>
  <si>
    <t>CHEMINEES PHILIPPE PERFORM</t>
  </si>
  <si>
    <t>850 ETANCHE PR</t>
  </si>
  <si>
    <t xml:space="preserve">79.2 </t>
  </si>
  <si>
    <t xml:space="preserve">0.0916 </t>
  </si>
  <si>
    <t>Les horizons</t>
  </si>
  <si>
    <t>elibuisson@laposte.net</t>
  </si>
  <si>
    <t>Mr  ROUBINET</t>
  </si>
  <si>
    <t>contact-chaleurbois38@orange.fr</t>
  </si>
  <si>
    <t>7.9</t>
  </si>
  <si>
    <t>0.018</t>
  </si>
  <si>
    <t>Chemin de Saint Jean de Chepy  Lot le Mas des peupliers</t>
  </si>
  <si>
    <t>jarrinpat@numericable.fr</t>
  </si>
  <si>
    <t>M. GIAIME Norbert</t>
  </si>
  <si>
    <t>acg.plomberie.renov@gmail.com</t>
  </si>
  <si>
    <t>Rue des Buissons</t>
  </si>
  <si>
    <t>06 51 38 00 76</t>
  </si>
  <si>
    <t>phiblanchard@gmail.com</t>
  </si>
  <si>
    <t>DEHLI 114</t>
  </si>
  <si>
    <t xml:space="preserve">0.08168 </t>
  </si>
  <si>
    <t>tgb.190855@gmail.com</t>
  </si>
  <si>
    <t>Tala</t>
  </si>
  <si>
    <t xml:space="preserve">0.09512 </t>
  </si>
  <si>
    <t>Allée de Grand champ</t>
  </si>
  <si>
    <t>reyjosette38730@orange.fr</t>
  </si>
  <si>
    <t>M. MICHEL</t>
  </si>
  <si>
    <t>EGO AIR 8 M2</t>
  </si>
  <si>
    <t>8.1</t>
  </si>
  <si>
    <t xml:space="preserve">90.9 </t>
  </si>
  <si>
    <t>0.002</t>
  </si>
  <si>
    <t>Route de Boisvert</t>
  </si>
  <si>
    <t>thibaut.roche38@gmail.com</t>
  </si>
  <si>
    <t>HWAM /</t>
  </si>
  <si>
    <t>WIKING MIRO 4</t>
  </si>
  <si>
    <t>4.9</t>
  </si>
  <si>
    <t xml:space="preserve">TF + Photo plan large </t>
  </si>
  <si>
    <t>Avenue de la maladiere</t>
  </si>
  <si>
    <t>rival.christian@wanadoo.fr</t>
  </si>
  <si>
    <t>Mr. LIBER</t>
  </si>
  <si>
    <t>SUITE AIR 10 UP! M1</t>
  </si>
  <si>
    <t>Route de la Sure</t>
  </si>
  <si>
    <t>chapus.yvan@orange.fr</t>
  </si>
  <si>
    <t>Marianne 9</t>
  </si>
  <si>
    <t>Attendre appel Leroy Merlin pour précision matériel; ok</t>
  </si>
  <si>
    <t>Route de la Fontaine Ronde</t>
  </si>
  <si>
    <t>institutbeautefeline@yahoo.fr</t>
  </si>
  <si>
    <t>Demandé photo plan large (ok le 15/4)</t>
  </si>
  <si>
    <t>Attestation destruction</t>
  </si>
  <si>
    <t>Passage de Vir Fourche</t>
  </si>
  <si>
    <t>eleonore.perrier@yahoo.fr</t>
  </si>
  <si>
    <t>VRB0404</t>
  </si>
  <si>
    <t>martinon.michel30733@gmail.com</t>
  </si>
  <si>
    <t>marketing@carre-F.com</t>
  </si>
  <si>
    <t>Linda 12</t>
  </si>
  <si>
    <t>Demandé une autre photo où l'on peut voir le raccordement + signature de la charte</t>
  </si>
  <si>
    <t>Route de la croix bogard</t>
  </si>
  <si>
    <t>sebastiencombe@free.fr</t>
  </si>
  <si>
    <t>Chemin de Chantaret</t>
  </si>
  <si>
    <t>viullermet.georges21814@gmail.com</t>
  </si>
  <si>
    <t>Ronky</t>
  </si>
  <si>
    <t>Route du Mollard Bourcier</t>
  </si>
  <si>
    <t>caro.feno@live.fr</t>
  </si>
  <si>
    <t>Artémis</t>
  </si>
  <si>
    <t>Demandé photo plan large. Ok le 24/4/22</t>
  </si>
  <si>
    <t>Allée des Chenevieres</t>
  </si>
  <si>
    <t>claireetgregoirecoppey@gmail.com</t>
  </si>
  <si>
    <t>&lt; 2002</t>
  </si>
  <si>
    <t>Ego Comfort Air 10w</t>
  </si>
  <si>
    <t>Demandé RIB avec adresse</t>
  </si>
  <si>
    <t>Route de la Grange Dimière</t>
  </si>
  <si>
    <t>mauricetripier38730@gmail.com</t>
  </si>
  <si>
    <t xml:space="preserve">CHEMINEES PHILIPPE </t>
  </si>
  <si>
    <t>Anthem 85</t>
  </si>
  <si>
    <t>Route de la Cheneviere</t>
  </si>
  <si>
    <t>jacques.faure18@gmail.com</t>
  </si>
  <si>
    <t>Foyer expérience 100</t>
  </si>
  <si>
    <t>Manque photo plan large + rib avec adresse (ok le 19/4/22)</t>
  </si>
  <si>
    <t>Allée des Thuyas</t>
  </si>
  <si>
    <t>voisin.jeanmichel30797@gmail.com</t>
  </si>
  <si>
    <t>Lotissement le beau Rivoire</t>
  </si>
  <si>
    <t>herve.le.goffic@gmail.com</t>
  </si>
  <si>
    <t>Estray</t>
  </si>
  <si>
    <t>Manque 1ère page avis impots (ok le 15/4)</t>
  </si>
  <si>
    <t>Rue de l'egala</t>
  </si>
  <si>
    <t>ennah@orange.fr</t>
  </si>
  <si>
    <t>Vision'R</t>
  </si>
  <si>
    <t>Manque devis (ok le 15/4)</t>
  </si>
  <si>
    <t>La platte</t>
  </si>
  <si>
    <t>rosset.claude30692@gmail.com</t>
  </si>
  <si>
    <t>Phto plan large</t>
  </si>
  <si>
    <t>Route des Milles Martyrs</t>
  </si>
  <si>
    <t>clea.serpollier@gmail.com</t>
  </si>
  <si>
    <t>MYA 10 KW</t>
  </si>
  <si>
    <t xml:space="preserve">0.00312 </t>
  </si>
  <si>
    <t>VRB0416</t>
  </si>
  <si>
    <t>clairesteph.ruggeri@gmail.com</t>
  </si>
  <si>
    <t>SAINT ETIENNE DE SAINT GEOIRS</t>
  </si>
  <si>
    <t>Mr. GUILLAUD-SAUMUR</t>
  </si>
  <si>
    <t xml:space="preserve">STÛV 16/78-CUBE </t>
  </si>
  <si>
    <t xml:space="preserve">Facture acquittée </t>
  </si>
  <si>
    <t>francois.meny@yahoo.fr</t>
  </si>
  <si>
    <t>Fox 2</t>
  </si>
  <si>
    <t>Matériel non labélisé ni équivalent. Ok changement matériel le 26/4/22</t>
  </si>
  <si>
    <t>Rue de Fayard</t>
  </si>
  <si>
    <t>ee.auvray@wanadoo.fr</t>
  </si>
  <si>
    <t>Breeze Air Tight</t>
  </si>
  <si>
    <t>quentinbedejus@gmail.com</t>
  </si>
  <si>
    <t>AUSTOFLAMM</t>
  </si>
  <si>
    <t>TF pas à la même adresse que dossier et avis imposition. RIB pas bonne adresse ok rib le 22/4/22); Attestation impots pour adresse le 3/5/22</t>
  </si>
  <si>
    <t>Route du Tilleul</t>
  </si>
  <si>
    <t>famille-couinet@wanadoo.fr</t>
  </si>
  <si>
    <t>MARGUET Eric</t>
  </si>
  <si>
    <t>clara.marguet@sbidaud.fr</t>
  </si>
  <si>
    <t>4,9</t>
  </si>
  <si>
    <t>76,1</t>
  </si>
  <si>
    <t>0,08696</t>
  </si>
  <si>
    <t>VRB0421</t>
  </si>
  <si>
    <t>Manque RIB avec adresse</t>
  </si>
  <si>
    <t>r.m.c.rivoire@wanadoo.fr</t>
  </si>
  <si>
    <t>Lux</t>
  </si>
  <si>
    <t>Rib pas à la bonne adresse (ok le 29/4/22) + demandé photo plan large (ok le 2/5/22)</t>
  </si>
  <si>
    <t>boiselodie@hotmail.fr</t>
  </si>
  <si>
    <t>Anthem 75</t>
  </si>
  <si>
    <t xml:space="preserve">RIB/ en attente de vérif materiel; eu l'installateur 21/09/ </t>
  </si>
  <si>
    <t>Facture acquittée (ok) / en attente de décision car pas labélisé</t>
  </si>
  <si>
    <t xml:space="preserve"> Rue Pasteur</t>
  </si>
  <si>
    <t>p.attardo-negri@orange.fr</t>
  </si>
  <si>
    <t>M. ROUBINET</t>
  </si>
  <si>
    <t>Pôele</t>
  </si>
  <si>
    <t>LISBOA C15</t>
  </si>
  <si>
    <t>Devis + photo +RIB + AI</t>
  </si>
  <si>
    <t>Impasse les Murgières</t>
  </si>
  <si>
    <t>isabelle.mugnier52@orange.fr</t>
  </si>
  <si>
    <t>LODEVE</t>
  </si>
  <si>
    <t>9.4</t>
  </si>
  <si>
    <t>79.9</t>
  </si>
  <si>
    <t>0.0624</t>
  </si>
  <si>
    <t xml:space="preserve">TF </t>
  </si>
  <si>
    <t>Route sous le mont</t>
  </si>
  <si>
    <t>pasgog@free.fr</t>
  </si>
  <si>
    <t>M. BARGEL</t>
  </si>
  <si>
    <t>SHARON PLUS CRYSTAL</t>
  </si>
  <si>
    <t>RIB (ok)</t>
  </si>
  <si>
    <t>Route de Montfollet</t>
  </si>
  <si>
    <t>silvestre38@orange.fr</t>
  </si>
  <si>
    <t>jonathan.barguel@philippeisere.fr</t>
  </si>
  <si>
    <t>77.4</t>
  </si>
  <si>
    <t>0.0876</t>
  </si>
  <si>
    <t>TF / relance fait 28/09</t>
  </si>
  <si>
    <t>Rue des arrondieres</t>
  </si>
  <si>
    <t>fabien.vannetti@gmail.com</t>
  </si>
  <si>
    <t>M. CLAVEL</t>
  </si>
  <si>
    <t xml:space="preserve"> Isotta con cerchi Evo</t>
  </si>
  <si>
    <t>11.9</t>
  </si>
  <si>
    <t>0.1</t>
  </si>
  <si>
    <t xml:space="preserve">En attente de precision (matériel ) </t>
  </si>
  <si>
    <t>Allée des Soupirs</t>
  </si>
  <si>
    <t>geoffrey_durand-poudret@hotmail.fr</t>
  </si>
  <si>
    <t>M. EMELIEN</t>
  </si>
  <si>
    <t>perre.vodeb@watthome.com</t>
  </si>
  <si>
    <t>PRINCE3 PLUS 11KW</t>
  </si>
  <si>
    <t xml:space="preserve">0.002 </t>
  </si>
  <si>
    <t>Eu installateur 12/05 , probleme technique sur le site de fournissuer</t>
  </si>
  <si>
    <t>Route des Bruyères</t>
  </si>
  <si>
    <t>jo.ziz@club-internet.fr</t>
  </si>
  <si>
    <t>GONCALVES Loic</t>
  </si>
  <si>
    <t>38@francechaleur.fr</t>
  </si>
  <si>
    <t>MINI5</t>
  </si>
  <si>
    <t>89.6</t>
  </si>
  <si>
    <t>0.01424</t>
  </si>
  <si>
    <t>Rue du Bavoir</t>
  </si>
  <si>
    <t>vouisegl38@gmail.com</t>
  </si>
  <si>
    <t>M. DURANTON</t>
  </si>
  <si>
    <t xml:space="preserve">NOBIS </t>
  </si>
  <si>
    <t>0.0012</t>
  </si>
  <si>
    <t>Chemin de Barbassard</t>
  </si>
  <si>
    <t>melanie.morisseau@laposte.net</t>
  </si>
  <si>
    <t>en attente précision matériel. Eu l'installateur le 6/5</t>
  </si>
  <si>
    <t>Le grand chemin</t>
  </si>
  <si>
    <t>correardc@free.fr</t>
  </si>
  <si>
    <t>VRB0433</t>
  </si>
  <si>
    <t xml:space="preserve">Route de Charavines </t>
  </si>
  <si>
    <t>thierry.vignes@wanadoo.fr</t>
  </si>
  <si>
    <t>ENTREPOT DU BRICOLAGE</t>
  </si>
  <si>
    <t>dgirerd@aliceadsl.fr</t>
  </si>
  <si>
    <t>VRB0435</t>
  </si>
  <si>
    <t>Foyer fermé &gt;2002</t>
  </si>
  <si>
    <t>herve.lombart@icloud.com</t>
  </si>
  <si>
    <t>Mr TROUBA</t>
  </si>
  <si>
    <t>commercial@flammeiseroise.com</t>
  </si>
  <si>
    <t>romainponcet@hotmail.fr</t>
  </si>
  <si>
    <t>Belfiore 2</t>
  </si>
  <si>
    <t>max8_3@hotmail.com</t>
  </si>
  <si>
    <t>JOTUL Jøtul</t>
  </si>
  <si>
    <t>FS 173</t>
  </si>
  <si>
    <t>le nom materiel revoir materiel</t>
  </si>
  <si>
    <t>Route des Moulins</t>
  </si>
  <si>
    <t>jean.monin@wanadoo.fr</t>
  </si>
  <si>
    <t xml:space="preserve"> RUY MONTCEAU</t>
  </si>
  <si>
    <t>closa.marguet@abidaud.fr</t>
  </si>
  <si>
    <t>FROLING Chaudière</t>
  </si>
  <si>
    <t>PE1 15</t>
  </si>
  <si>
    <t>14.3</t>
  </si>
  <si>
    <t>94.7</t>
  </si>
  <si>
    <t>0.00192</t>
  </si>
  <si>
    <t>RIB a lbonne adresse</t>
  </si>
  <si>
    <t>Rue des barres</t>
  </si>
  <si>
    <t>dalpanpupat@gmail.com</t>
  </si>
  <si>
    <t>EXTRAFLAME SHARON</t>
  </si>
  <si>
    <t>PLUS CX CRYSTAL</t>
  </si>
  <si>
    <t>90.7</t>
  </si>
  <si>
    <t>0.01056</t>
  </si>
  <si>
    <t>Impasse du four a pain</t>
  </si>
  <si>
    <t>e.behal@laposte.net</t>
  </si>
  <si>
    <t>M. GUILLAUD-SAUMUR</t>
  </si>
  <si>
    <t>contac@laletredauphinois.fr</t>
  </si>
  <si>
    <t>SC 90</t>
  </si>
  <si>
    <t>8.3</t>
  </si>
  <si>
    <t>89.4</t>
  </si>
  <si>
    <t>0.01432</t>
  </si>
  <si>
    <t>Impasse les Mas de chantaret</t>
  </si>
  <si>
    <t>mh.cere@wanadoo.fr</t>
  </si>
  <si>
    <t xml:space="preserve">Dick Geurts par Fonte Flamme </t>
  </si>
  <si>
    <t xml:space="preserve">appareil ancien sans l'année d'installation </t>
  </si>
  <si>
    <t>134 Bis</t>
  </si>
  <si>
    <t>Rue Sadi Carnot</t>
  </si>
  <si>
    <t>familleduboisfourret@gmail.com</t>
  </si>
  <si>
    <t>M. TODESCHINI</t>
  </si>
  <si>
    <t>todoschini2@orange.fr</t>
  </si>
  <si>
    <t>MAGELLAN</t>
  </si>
  <si>
    <t>brizard.alex30925@yahoo.com</t>
  </si>
  <si>
    <t xml:space="preserve"> LE PONT DE BEAUVOISIN</t>
  </si>
  <si>
    <t>accueil@carre-f.com</t>
  </si>
  <si>
    <t>PALAZZETTI ECOFIRE</t>
  </si>
  <si>
    <t>BIANCA LUX 9 PRO 2</t>
  </si>
  <si>
    <t>90.5</t>
  </si>
  <si>
    <t>0.0028</t>
  </si>
  <si>
    <t>Devis details calculs</t>
  </si>
  <si>
    <t>demaziere.m@gmail.com</t>
  </si>
  <si>
    <t>laglace-et-lefeu.com</t>
  </si>
  <si>
    <t>L'entrepôt du bricolage</t>
  </si>
  <si>
    <t xml:space="preserve">ADURO </t>
  </si>
  <si>
    <t>Aduro 15-2</t>
  </si>
  <si>
    <t>6.5</t>
  </si>
  <si>
    <t>0.07</t>
  </si>
  <si>
    <t>Rue des Erables</t>
  </si>
  <si>
    <t>richard.fraysse@semens-energy.com</t>
  </si>
  <si>
    <t xml:space="preserve"> VOIRON</t>
  </si>
  <si>
    <t>KK 57/67</t>
  </si>
  <si>
    <t>revoir le nom du material</t>
  </si>
  <si>
    <t>Rue Jacques Brel</t>
  </si>
  <si>
    <t>clement.lemaignan@orange.fr</t>
  </si>
  <si>
    <t>jaycheminees@orange.fr</t>
  </si>
  <si>
    <t>JAZZ 4 kW</t>
  </si>
  <si>
    <t xml:space="preserve">77.3 </t>
  </si>
  <si>
    <t>0.10992</t>
  </si>
  <si>
    <t>tel 19/07 avec installateur materiel non reférene FV - installateur va prendre contact avec le fabricant</t>
  </si>
  <si>
    <t>Appel fait le 20/12 : propriétaire bailleur ? Résidence secondaire ? / Demande de bail locataire</t>
  </si>
  <si>
    <t>jacques.c.b@free.fr</t>
  </si>
  <si>
    <t>SOLAIME 9kW</t>
  </si>
  <si>
    <t>93.3</t>
  </si>
  <si>
    <t xml:space="preserve">0.00376 </t>
  </si>
  <si>
    <t>VRB0448</t>
  </si>
  <si>
    <t>Route du Touvat</t>
  </si>
  <si>
    <t>moirans.nettoyage@orange.fr</t>
  </si>
  <si>
    <t>Aura 100</t>
  </si>
  <si>
    <t>en attende de la réponse d'installateur &amp; materiel  introuvable sur fv7</t>
  </si>
  <si>
    <t>Rue de la Manche</t>
  </si>
  <si>
    <t>gagnieux.b@gmail.com</t>
  </si>
  <si>
    <t>poeleetcuisinierespassion@gmail.com</t>
  </si>
  <si>
    <t>Sol'R</t>
  </si>
  <si>
    <t>0.08</t>
  </si>
  <si>
    <t>nom de materiel + rib +TH</t>
  </si>
  <si>
    <t>Allée de la Brocadière</t>
  </si>
  <si>
    <t>manonandreu38@gmail.com</t>
  </si>
  <si>
    <t xml:space="preserve"> EDEN PIED FIXE</t>
  </si>
  <si>
    <t xml:space="preserve">8.4 </t>
  </si>
  <si>
    <t>0.04</t>
  </si>
  <si>
    <t>Route des Mille Martyrs</t>
  </si>
  <si>
    <t>eva.gregolin@gmail.com</t>
  </si>
  <si>
    <t>GITEM (SAS CARRE)</t>
  </si>
  <si>
    <t>M. CARRE</t>
  </si>
  <si>
    <t xml:space="preserve"> LINDA 12 pro 3</t>
  </si>
  <si>
    <t>0.00176</t>
  </si>
  <si>
    <t>Devis  + RIB</t>
  </si>
  <si>
    <t>lanoe.ph@gmail.com</t>
  </si>
  <si>
    <t xml:space="preserve">FONTE FLAMME </t>
  </si>
  <si>
    <t xml:space="preserve">0.08 </t>
  </si>
  <si>
    <t>Route du Moulin</t>
  </si>
  <si>
    <t>julie.boissier@hotmail.fr</t>
  </si>
  <si>
    <t>boeroms@club-internet.fr</t>
  </si>
  <si>
    <t>77.8</t>
  </si>
  <si>
    <t>formulaire de demande</t>
  </si>
  <si>
    <t>sandrinejosserand56@gmail.com</t>
  </si>
  <si>
    <t xml:space="preserve">AUSTROFLAMM </t>
  </si>
  <si>
    <t>Cody</t>
  </si>
  <si>
    <t>81.1</t>
  </si>
  <si>
    <t>0.08584</t>
  </si>
  <si>
    <t xml:space="preserve"> rib + Attestation ( attestation ok) relance rib 28/09</t>
  </si>
  <si>
    <t>Route des Georges</t>
  </si>
  <si>
    <t>lchavand@yahoo.com</t>
  </si>
  <si>
    <t>M. GILLET</t>
  </si>
  <si>
    <t>JOTUL JOTUL</t>
  </si>
  <si>
    <t>0.08576</t>
  </si>
  <si>
    <t>Boulevard de Charavines</t>
  </si>
  <si>
    <t>anne-sophiedupay@orange.fr</t>
  </si>
  <si>
    <t xml:space="preserve">0.06408 </t>
  </si>
  <si>
    <t>Rue de Bernardiere</t>
  </si>
  <si>
    <t>jacques.romet@sfr.fr</t>
  </si>
  <si>
    <t>7.8</t>
  </si>
  <si>
    <t xml:space="preserve">76.5 </t>
  </si>
  <si>
    <t>en attende de mise à jr du materiel sur le site/</t>
  </si>
  <si>
    <t>Avenue du 11 novembre</t>
  </si>
  <si>
    <t>vale.manuel@orange.fr</t>
  </si>
  <si>
    <t>M. MOCCELIN</t>
  </si>
  <si>
    <t>CONTY 9kW</t>
  </si>
  <si>
    <t>9.1</t>
  </si>
  <si>
    <t>91.8</t>
  </si>
  <si>
    <t>0.00376</t>
  </si>
  <si>
    <t>VRB0460</t>
  </si>
  <si>
    <t>RIB a la bonne adresse</t>
  </si>
  <si>
    <t>Route de Monteuil</t>
  </si>
  <si>
    <t>duyck.valentine@gmail.com</t>
  </si>
  <si>
    <t xml:space="preserve"> CONTURA </t>
  </si>
  <si>
    <t>CONTURA C800STYLE</t>
  </si>
  <si>
    <t>5.2</t>
  </si>
  <si>
    <t>0.1164</t>
  </si>
  <si>
    <t>Demande de versement</t>
  </si>
  <si>
    <t>Route de Saint Quentin</t>
  </si>
  <si>
    <t>michel.nervesa@neuf.fr</t>
  </si>
  <si>
    <t>M. PIERRE</t>
  </si>
  <si>
    <t>P120 T</t>
  </si>
  <si>
    <t>8.5</t>
  </si>
  <si>
    <t>90.6</t>
  </si>
  <si>
    <t>0.00232</t>
  </si>
  <si>
    <t xml:space="preserve">probleme de calculs </t>
  </si>
  <si>
    <t>Route des Picottes</t>
  </si>
  <si>
    <t>asar@free.fr</t>
  </si>
  <si>
    <t>AINT ANDRE LE GAZ</t>
  </si>
  <si>
    <t>M. AILLOUD BETASSON</t>
  </si>
  <si>
    <t>JUSTUS</t>
  </si>
  <si>
    <t>Agero W+</t>
  </si>
  <si>
    <t xml:space="preserve">75.2 </t>
  </si>
  <si>
    <t>Avenue Edouard Herriot</t>
  </si>
  <si>
    <t>regis.poulard38@orange.fr</t>
  </si>
  <si>
    <t>Lotissement le montagnier Haut</t>
  </si>
  <si>
    <t>nicodoss@yahoo.fr</t>
  </si>
  <si>
    <t>LA BATHIE</t>
  </si>
  <si>
    <t>M. BOURNAY</t>
  </si>
  <si>
    <t>LOUIS AIR (pellets)</t>
  </si>
  <si>
    <t>Route des hôpitaux</t>
  </si>
  <si>
    <t>michel.fernandez0793@orange.fr</t>
  </si>
  <si>
    <t>Toulouse BF</t>
  </si>
  <si>
    <t>Cheemin de petit bon Dieu</t>
  </si>
  <si>
    <t>charbojul@hotmail.com</t>
  </si>
  <si>
    <t xml:space="preserve">6.3 </t>
  </si>
  <si>
    <t>Lotissement le charmette</t>
  </si>
  <si>
    <t>denycole@free.fr</t>
  </si>
  <si>
    <t xml:space="preserve"> P120</t>
  </si>
  <si>
    <t xml:space="preserve">90.6 </t>
  </si>
  <si>
    <t>Rue du berard</t>
  </si>
  <si>
    <t>patou3342@wanadoo.fr</t>
  </si>
  <si>
    <t>Impasse dela Garenne</t>
  </si>
  <si>
    <t>santamaria38620@gmail.com</t>
  </si>
  <si>
    <t>ANGELA EVO</t>
  </si>
  <si>
    <t>91.5</t>
  </si>
  <si>
    <t>0.00792</t>
  </si>
  <si>
    <t>Impasse des Barraux</t>
  </si>
  <si>
    <t>houda.b@hotmail.fr</t>
  </si>
  <si>
    <t xml:space="preserve">9.1 </t>
  </si>
  <si>
    <t>88.7</t>
  </si>
  <si>
    <t>0.00504</t>
  </si>
  <si>
    <t>rib à la bonne adresse</t>
  </si>
  <si>
    <t>Chemin du Trincon</t>
  </si>
  <si>
    <t>emeline.v.tan@gmail.com</t>
  </si>
  <si>
    <t>KARL 100 F</t>
  </si>
  <si>
    <t>9.2</t>
  </si>
  <si>
    <t>0.06096</t>
  </si>
  <si>
    <t>Rue des arondières</t>
  </si>
  <si>
    <t>zilliox38850@gmail.com</t>
  </si>
  <si>
    <t>Rue du Tram</t>
  </si>
  <si>
    <t>grange.phil31084@yahoo.com</t>
  </si>
  <si>
    <t>ECOFIRE ISABEL 9 US PRO 2</t>
  </si>
  <si>
    <t xml:space="preserve">0.0024 </t>
  </si>
  <si>
    <t>Chemin du janin</t>
  </si>
  <si>
    <t>francois@pernoud.eu</t>
  </si>
  <si>
    <t>H7 Signature</t>
  </si>
  <si>
    <t>Facture acquittée + photo + attestation destruction</t>
  </si>
  <si>
    <t>Les horizons 2</t>
  </si>
  <si>
    <t>christianlacaisse@gmail</t>
  </si>
  <si>
    <t>materiel non trouvé et vu avec l'installateur  le 20/07</t>
  </si>
  <si>
    <t>Route de la Davière</t>
  </si>
  <si>
    <t>brunomicoud@sfr.fr</t>
  </si>
  <si>
    <t>KOOK60 4.0</t>
  </si>
  <si>
    <t xml:space="preserve">6.2 </t>
  </si>
  <si>
    <t>84.1</t>
  </si>
  <si>
    <t>0.09672</t>
  </si>
  <si>
    <t>Chemin en brie</t>
  </si>
  <si>
    <t>franck.terrier@laposte.net</t>
  </si>
  <si>
    <t>attente infos sur matériel / mail 17/08</t>
  </si>
  <si>
    <t>Allée des vignes</t>
  </si>
  <si>
    <t>olivier-gilles@hotmail.fr</t>
  </si>
  <si>
    <t>Impasse des 3 cedres</t>
  </si>
  <si>
    <t>j.ziat@cg38.fr</t>
  </si>
  <si>
    <t>Mr MICHEL</t>
  </si>
  <si>
    <t>DOC COMFORT AIR 9kW</t>
  </si>
  <si>
    <t>Rue du petit clos</t>
  </si>
  <si>
    <t>daniel.ferrero@orange.fr</t>
  </si>
  <si>
    <t>Mr REGAZZONI</t>
  </si>
  <si>
    <t>jeanfrancois@passionflamme.fr</t>
  </si>
  <si>
    <t>06 31 07 71 33</t>
  </si>
  <si>
    <t>ARC 80 Graffiti</t>
  </si>
  <si>
    <t xml:space="preserve">Lettre sollicitation </t>
  </si>
  <si>
    <t>appertmarc@orange.fr</t>
  </si>
  <si>
    <t>Mr SIMON</t>
  </si>
  <si>
    <t>CLOU 8</t>
  </si>
  <si>
    <t>Adresse RIB / dernier avis impot / taxe habitation</t>
  </si>
  <si>
    <t>Montée de la savoyère</t>
  </si>
  <si>
    <t>nath.henner@gmail.com</t>
  </si>
  <si>
    <t>Mr CHARREL</t>
  </si>
  <si>
    <t>NEX</t>
  </si>
  <si>
    <t>Le penon</t>
  </si>
  <si>
    <t>pereirasteph@hotmail.fr</t>
  </si>
  <si>
    <t>Mr FAURE</t>
  </si>
  <si>
    <t>VRB0484</t>
  </si>
  <si>
    <t>chgt poele à fioul</t>
  </si>
  <si>
    <t>lorieau.thierry30854@hotmail.com</t>
  </si>
  <si>
    <t>photo lisible et en plan plus large</t>
  </si>
  <si>
    <t>main.bernadette13589@hotmail.com</t>
  </si>
  <si>
    <t>Mr CARRE</t>
  </si>
  <si>
    <t>marketing@carre-f.com</t>
  </si>
  <si>
    <t>ETNA 5T</t>
  </si>
  <si>
    <t>attestation notariée</t>
  </si>
  <si>
    <t>Rue du bourg</t>
  </si>
  <si>
    <t>jjbelmain@gmail.com</t>
  </si>
  <si>
    <t>Mr BARGEL</t>
  </si>
  <si>
    <t>EXTRAFLAMME</t>
  </si>
  <si>
    <t>DEBBY</t>
  </si>
  <si>
    <t>Chemin du Neyroud</t>
  </si>
  <si>
    <t>ivan.duchemin@gmail.com</t>
  </si>
  <si>
    <t>MR GERENTE PAQUET</t>
  </si>
  <si>
    <t>04 76 55 49 22</t>
  </si>
  <si>
    <t>adresse RIB / photo plan large</t>
  </si>
  <si>
    <t>Chemin rené Cassin</t>
  </si>
  <si>
    <t>bernard.wloch@hotmail.fr</t>
  </si>
  <si>
    <t>ISM Technika 700</t>
  </si>
  <si>
    <t>VRB0489</t>
  </si>
  <si>
    <t>Allée du tisserand</t>
  </si>
  <si>
    <t>stefanou@laposte.net</t>
  </si>
  <si>
    <t>RIB illisible / photo avec feu et en plan large</t>
  </si>
  <si>
    <t>Route de la Bougentiere</t>
  </si>
  <si>
    <t>fitoussi38490@gmail.com</t>
  </si>
  <si>
    <t>MR BARGEL</t>
  </si>
  <si>
    <t>Eden Pied Fixe</t>
  </si>
  <si>
    <t>adresse RIB</t>
  </si>
  <si>
    <t>Chemin du Bessey</t>
  </si>
  <si>
    <t>christophe.pechu@gmail.com</t>
  </si>
  <si>
    <t>MR SIMON</t>
  </si>
  <si>
    <t>Adresse RIB / devis (manque l'entête)</t>
  </si>
  <si>
    <t>Chemin de la faverge</t>
  </si>
  <si>
    <t>laurie.rague@gmail.com</t>
  </si>
  <si>
    <t>MR DIDIER</t>
  </si>
  <si>
    <t>ZAPPONE Thierry</t>
  </si>
  <si>
    <t>ISM Technika</t>
  </si>
  <si>
    <t>Avis d'imposition Mr</t>
  </si>
  <si>
    <t>Route du Grand Rocher</t>
  </si>
  <si>
    <t>laborie.bastien@gmail.com</t>
  </si>
  <si>
    <t>Mr MOCELLIN</t>
  </si>
  <si>
    <t>04 74 93 43 16</t>
  </si>
  <si>
    <t>Lotissement Bellevue</t>
  </si>
  <si>
    <t>sandrine.boukrara@orange.fr</t>
  </si>
  <si>
    <t>Mr GILLET</t>
  </si>
  <si>
    <t>04 76 32 32 35</t>
  </si>
  <si>
    <t>13 Eco</t>
  </si>
  <si>
    <t xml:space="preserve">Taxe habitation </t>
  </si>
  <si>
    <t>Rue de la procession</t>
  </si>
  <si>
    <t>severine.collin@gmail.com</t>
  </si>
  <si>
    <t>Mr ALBANET</t>
  </si>
  <si>
    <t>contact@alpp-plomberie.fr</t>
  </si>
  <si>
    <t>04 76 53 00 02</t>
  </si>
  <si>
    <t>Veron</t>
  </si>
  <si>
    <t xml:space="preserve">photo + large </t>
  </si>
  <si>
    <t>Facture acquittée + Demande de versement complète + Attestation destruction</t>
  </si>
  <si>
    <t>Route du grand Vivier</t>
  </si>
  <si>
    <t>simonprotin@gmail.com</t>
  </si>
  <si>
    <t>Mr LA MONICA</t>
  </si>
  <si>
    <t>jonathan.lamonica010388@gmail.com</t>
  </si>
  <si>
    <t>Artense Tradition</t>
  </si>
  <si>
    <t>Adresse RIB / photo illisible / formulaire de demande signé</t>
  </si>
  <si>
    <t>312 Route de la Garangère / 10 Lot Les Rivoires</t>
  </si>
  <si>
    <t>fabrice.bancod@gmail.com</t>
  </si>
  <si>
    <t>MR DURANTON</t>
  </si>
  <si>
    <t>A8V Quadra Top</t>
  </si>
  <si>
    <t>photo illisible / adresse RIB / Taxe Habitation</t>
  </si>
  <si>
    <t>Chemin de la Rochette</t>
  </si>
  <si>
    <t>orelanaveva@me.com</t>
  </si>
  <si>
    <t>ericgedeon@passionflamme.fr</t>
  </si>
  <si>
    <t>A9V Classic</t>
  </si>
  <si>
    <t>IR complet</t>
  </si>
  <si>
    <t>x.irigaray@orange.fr</t>
  </si>
  <si>
    <t>Aire 7</t>
  </si>
  <si>
    <t>Rib a la bonne adresse/ RIB OK</t>
  </si>
  <si>
    <t>johan.cesmat@gmail.com</t>
  </si>
  <si>
    <t xml:space="preserve"> 18/09/2023</t>
  </si>
  <si>
    <t>Voie des michauds</t>
  </si>
  <si>
    <t>jeanmib34@gmail.com</t>
  </si>
  <si>
    <t xml:space="preserve"> LIGNAC 8kW</t>
  </si>
  <si>
    <t xml:space="preserve">7.5 </t>
  </si>
  <si>
    <t>0.0756</t>
  </si>
  <si>
    <t>problème de labellit° / eu artisan 19/10 en cours d'agrément chez le fabricant/ mail 19/10</t>
  </si>
  <si>
    <t>chloelaherte@hotmail.com</t>
  </si>
  <si>
    <t>AI/ TF</t>
  </si>
  <si>
    <t>Chemin du savchet</t>
  </si>
  <si>
    <t>elisabeth.bret@orange.fr</t>
  </si>
  <si>
    <t xml:space="preserve">0.08408 </t>
  </si>
  <si>
    <t>problème de labellit°/ Mail demande de confirmat° 19/10 ok</t>
  </si>
  <si>
    <t>Route du saquet</t>
  </si>
  <si>
    <t>marleneglenat@orange.fr</t>
  </si>
  <si>
    <t>ThermoAura</t>
  </si>
  <si>
    <t>matthieu.millequant@m4x.org</t>
  </si>
  <si>
    <t>IMPRESSION L/R 2GS 71.60.34.21</t>
  </si>
  <si>
    <t xml:space="preserve">0.08472 </t>
  </si>
  <si>
    <t>rib à la bonne adresse / RIB OK</t>
  </si>
  <si>
    <t>lguimard38@gmail.com</t>
  </si>
  <si>
    <t>MUSA COMFORT AIR 12 UP! M1</t>
  </si>
  <si>
    <t>0.00704</t>
  </si>
  <si>
    <t>rib à la bonne adresse ( rib ok)</t>
  </si>
  <si>
    <t>Chemin des bouleaux</t>
  </si>
  <si>
    <t>guillaume.bales@hotmail.fr</t>
  </si>
  <si>
    <t xml:space="preserve">ILD </t>
  </si>
  <si>
    <t>LD 12 -13 ECO</t>
  </si>
  <si>
    <t xml:space="preserve">8.5 </t>
  </si>
  <si>
    <t>0.0504</t>
  </si>
  <si>
    <t>AI</t>
  </si>
  <si>
    <t>jocolly06@gmail.com</t>
  </si>
  <si>
    <t>80x64 S</t>
  </si>
  <si>
    <t>10.6</t>
  </si>
  <si>
    <t>80.5</t>
  </si>
  <si>
    <t xml:space="preserve">0.1 </t>
  </si>
  <si>
    <t>monique.rebecchi@orange.fr</t>
  </si>
  <si>
    <t>SCAN 68</t>
  </si>
  <si>
    <t>6.1</t>
  </si>
  <si>
    <t>0.04448</t>
  </si>
  <si>
    <t>eric.domejean38@gmail.com</t>
  </si>
  <si>
    <t>OFEN 19</t>
  </si>
  <si>
    <t>7.6</t>
  </si>
  <si>
    <t>DC / LS</t>
  </si>
  <si>
    <t>Acte de vente , RIB et Photo, artisan non RGE</t>
  </si>
  <si>
    <t>valerie.carraud@sfr.fr</t>
  </si>
  <si>
    <t>&lt;1985</t>
  </si>
  <si>
    <t>photo +lettre / demande de confirmat° materiel</t>
  </si>
  <si>
    <t>pascal.goujon719@gmail.com</t>
  </si>
  <si>
    <t>JAZZ 4 Kw</t>
  </si>
  <si>
    <t>77.3</t>
  </si>
  <si>
    <t xml:space="preserve">0.10992 </t>
  </si>
  <si>
    <t>DC / LS /FZO</t>
  </si>
  <si>
    <t>RIB/ RIB OK</t>
  </si>
  <si>
    <t>Chemin de chamoussière</t>
  </si>
  <si>
    <t>christinedelahaie@hotmail.fr</t>
  </si>
  <si>
    <t>1996 - 2002</t>
  </si>
  <si>
    <t>DC / LS/FZO</t>
  </si>
  <si>
    <t>Confirmation poele &lt;2002</t>
  </si>
  <si>
    <t>lolo-carre@hotmail.fr</t>
  </si>
  <si>
    <t>demande de confirmat° materiel  OK/ rib a la bonne adresse + Photo plan large</t>
  </si>
  <si>
    <t>Route de Chateaubourg</t>
  </si>
  <si>
    <t>delafon.savoie@gmail.com</t>
  </si>
  <si>
    <t>VIDAR TRIPLE et VIDAR WALL</t>
  </si>
  <si>
    <t xml:space="preserve">0.06504 </t>
  </si>
  <si>
    <t>AI 22-21 /OK</t>
  </si>
  <si>
    <t>Pietro.Pugliese@40-30.fr</t>
  </si>
  <si>
    <t xml:space="preserve">ROMOTOP </t>
  </si>
  <si>
    <t xml:space="preserve">83.6 </t>
  </si>
  <si>
    <t xml:space="preserve">0.0736 </t>
  </si>
  <si>
    <t>demande de confirmat° materiel / AI / TF / RIB a la bonne adresse</t>
  </si>
  <si>
    <t>Impasse des lauriers</t>
  </si>
  <si>
    <t>colette.barthes@free.fr</t>
  </si>
  <si>
    <t xml:space="preserve">FONDIS </t>
  </si>
  <si>
    <t>V60LDF</t>
  </si>
  <si>
    <t>11.5</t>
  </si>
  <si>
    <t>0.068</t>
  </si>
  <si>
    <t>AI/ Attestation</t>
  </si>
  <si>
    <t>Rue Dode de  la brunerie</t>
  </si>
  <si>
    <t>mickaelbel38@gmail.com</t>
  </si>
  <si>
    <t xml:space="preserve">LORFLAM </t>
  </si>
  <si>
    <t xml:space="preserve"> OFEN 19</t>
  </si>
  <si>
    <t>LS / DC</t>
  </si>
  <si>
    <t>Rue des Jonquilles</t>
  </si>
  <si>
    <t>evalapetiteprincesse@gmail.com</t>
  </si>
  <si>
    <t xml:space="preserve"> ANTHEM 75</t>
  </si>
  <si>
    <t>Avis d'imposition ; justificatif de proprété ; devis ; RIB ; photo</t>
  </si>
  <si>
    <t>jfs.perrin@free.fr</t>
  </si>
  <si>
    <t>DOC COMFORT AIR 9 M1</t>
  </si>
  <si>
    <t>florencejacob@laposte.net</t>
  </si>
  <si>
    <t>MIRO 6</t>
  </si>
  <si>
    <t>Route de nouvelliere</t>
  </si>
  <si>
    <t>guillaume.rouger38@gmail.com</t>
  </si>
  <si>
    <t>RELAX BIJOU 8</t>
  </si>
  <si>
    <t>Chemin du Delphin</t>
  </si>
  <si>
    <t>davidmonique047@gmail.com</t>
  </si>
  <si>
    <t>E228 A - M</t>
  </si>
  <si>
    <t>LS/FZO</t>
  </si>
  <si>
    <t>RIB ok</t>
  </si>
  <si>
    <t>3B</t>
  </si>
  <si>
    <t>Rue Auguste Sonnier</t>
  </si>
  <si>
    <t>amar38100@yahoo.fr</t>
  </si>
  <si>
    <t>Formulaire de demande, questionnaire, devis,justificatif de propriété</t>
  </si>
  <si>
    <t>francoise.cencherle@orange.fr</t>
  </si>
  <si>
    <t>Grand Chinon étuve</t>
  </si>
  <si>
    <t>ALO Lorenzo</t>
  </si>
  <si>
    <t>04 76 50 05 50</t>
  </si>
  <si>
    <t>Place de la Sauge</t>
  </si>
  <si>
    <t>bonnet.francis31515@hotmail.com</t>
  </si>
  <si>
    <t xml:space="preserve"> PALAZZETTI </t>
  </si>
  <si>
    <t xml:space="preserve"> ECOFIRE ISABEL 9 US</t>
  </si>
  <si>
    <t>Les jardins de la Buisse/Traverse du Pirot</t>
  </si>
  <si>
    <t>06 75 59 92 10</t>
  </si>
  <si>
    <t>cserafin38@orange.fr</t>
  </si>
  <si>
    <t xml:space="preserve"> ROMOTOP</t>
  </si>
  <si>
    <t>montée pinet</t>
  </si>
  <si>
    <t>06 50 93 09 47</t>
  </si>
  <si>
    <t>guillaumezoczek@yahoo.fr</t>
  </si>
  <si>
    <t xml:space="preserve"> MORVAN</t>
  </si>
  <si>
    <t>Horizon'L</t>
  </si>
  <si>
    <t>Route de Tolvon</t>
  </si>
  <si>
    <t>06 31 60 19 55</t>
  </si>
  <si>
    <t>seb.monin@gmail.com</t>
  </si>
  <si>
    <t>Montany</t>
  </si>
  <si>
    <t>attestation de destruction</t>
  </si>
  <si>
    <t>Allée des Treilles</t>
  </si>
  <si>
    <t>06 72 69 07 81</t>
  </si>
  <si>
    <t>stephane.bonapfel@gmail.com</t>
  </si>
  <si>
    <t>renatofarvelli@poelesgranules.fr</t>
  </si>
  <si>
    <t>Cherie 9 Evo</t>
  </si>
  <si>
    <t>Chemin du petit ture</t>
  </si>
  <si>
    <t>fto38@orange.fr</t>
  </si>
  <si>
    <t>Panorama</t>
  </si>
  <si>
    <t xml:space="preserve"> Kamine 57/40/85/40</t>
  </si>
  <si>
    <t>Allée des lauriers</t>
  </si>
  <si>
    <t>jeanlouis.sage@gmail.com</t>
  </si>
  <si>
    <t>Impasse du mollard de la sauge</t>
  </si>
  <si>
    <t>monique.martinetto@orange.fr</t>
  </si>
  <si>
    <t>ADOUR-600</t>
  </si>
  <si>
    <t>christian.brisse@gmail.com</t>
  </si>
  <si>
    <t xml:space="preserve"> JAZZ 4 kW</t>
  </si>
  <si>
    <t>Impasse la truitière</t>
  </si>
  <si>
    <t>pascal.le-neol@orange.fr</t>
  </si>
  <si>
    <t>MARIANNE 6 KW</t>
  </si>
  <si>
    <t>rib a la bonne adresse</t>
  </si>
  <si>
    <t>481 B</t>
  </si>
  <si>
    <t>Rue du Bruisson Rond</t>
  </si>
  <si>
    <t>elisa.haussmann@isere.fr</t>
  </si>
  <si>
    <t>ANTHEM 75</t>
  </si>
  <si>
    <t>rib à la bonne adresse + photo plan large/ Mail certificat RGE 09/12/22</t>
  </si>
  <si>
    <t>Chemin de la cote querre</t>
  </si>
  <si>
    <t>geo130590@hotmail.com</t>
  </si>
  <si>
    <t>SUITE AIR 10 M2</t>
  </si>
  <si>
    <t>VRB0540</t>
  </si>
  <si>
    <t>l'appareil pas en foncion /pas de tubage dans le conduit de cheminée</t>
  </si>
  <si>
    <t>Rue de la grande montée</t>
  </si>
  <si>
    <t>patrice.gergaud@orange.fr</t>
  </si>
  <si>
    <t>M. CALVET</t>
  </si>
  <si>
    <t>&gt;100 ans</t>
  </si>
  <si>
    <t>I-Dea2 Angolare 9 kW UP</t>
  </si>
  <si>
    <t>Chemin de simandre</t>
  </si>
  <si>
    <t>cameron2507@gmail.com</t>
  </si>
  <si>
    <t>commerciale@flammeiseroise.com</t>
  </si>
  <si>
    <t>Ovalis Accum</t>
  </si>
  <si>
    <t>171 E</t>
  </si>
  <si>
    <t>mars3810@hotmail.fr</t>
  </si>
  <si>
    <t>M. ALBANET</t>
  </si>
  <si>
    <t>ELANCE FULL GLASS</t>
  </si>
  <si>
    <t>Impasse des Tilleuls La Davière</t>
  </si>
  <si>
    <t>rd.rene30624@hotmail.com</t>
  </si>
  <si>
    <t>Chatelaine</t>
  </si>
  <si>
    <t>VRB0544</t>
  </si>
  <si>
    <t>fmeriaudeau@gmail.com</t>
  </si>
  <si>
    <t xml:space="preserve"> 21/03/2023</t>
  </si>
  <si>
    <t>Justificatif de domicil + rib à la bn adresse</t>
  </si>
  <si>
    <t>Chemin de Mont Bessey Le Pin</t>
  </si>
  <si>
    <t>bblandech@gmail.com</t>
  </si>
  <si>
    <t xml:space="preserve">Justificatif de domicil </t>
  </si>
  <si>
    <t>Chemin du Sabot</t>
  </si>
  <si>
    <t>michel.gerente@orange.fr</t>
  </si>
  <si>
    <t>COMO B.20</t>
  </si>
  <si>
    <t xml:space="preserve"> Certification RGE expirée</t>
  </si>
  <si>
    <t>Route du Trousseau</t>
  </si>
  <si>
    <t>lucien.tirardgatel@gmail.com</t>
  </si>
  <si>
    <t>Allée de la Chenaie</t>
  </si>
  <si>
    <t>buchou@club-internet.fr</t>
  </si>
  <si>
    <t>nicolekrueger008@gmail.com</t>
  </si>
  <si>
    <t>Lotissement les rivoirs</t>
  </si>
  <si>
    <t>roger.3@hotmail.fr</t>
  </si>
  <si>
    <t>materiel non trouvé/ en attente de labellisation/ eu le 05/01/23</t>
  </si>
  <si>
    <t>anais.decloedt@outlook.com</t>
  </si>
  <si>
    <t>06 43 40 22 83</t>
  </si>
  <si>
    <t>marillat.yves@neuf.fr</t>
  </si>
  <si>
    <t>AI + TF</t>
  </si>
  <si>
    <t>315C</t>
  </si>
  <si>
    <t>Route des Forges</t>
  </si>
  <si>
    <t>g.c.despierre@aliceadsl.fr</t>
  </si>
  <si>
    <t>VRB0569</t>
  </si>
  <si>
    <t>probleme de labellisat°</t>
  </si>
  <si>
    <t>Route de l'Ayat</t>
  </si>
  <si>
    <t>pellet.maurice@gmail.com</t>
  </si>
  <si>
    <t>VRB0570</t>
  </si>
  <si>
    <t>Rib à la bonne adresse</t>
  </si>
  <si>
    <t>poirier.delphine1@gmail.com</t>
  </si>
  <si>
    <t>VRB0572</t>
  </si>
  <si>
    <t>AI + Photo plan large</t>
  </si>
  <si>
    <t>Chemin des vachonnes</t>
  </si>
  <si>
    <t>Lesire.pauline@hotmail.fr</t>
  </si>
  <si>
    <t>CLOU 8 KW</t>
  </si>
  <si>
    <t>ADEME 2022</t>
  </si>
  <si>
    <t>CIE referent</t>
  </si>
  <si>
    <t>numero dossier</t>
  </si>
  <si>
    <t>montant d'aide</t>
  </si>
  <si>
    <t>dossier recu</t>
  </si>
  <si>
    <t>dossier incomplet (option)</t>
  </si>
  <si>
    <t>dossier incomplet pieces complementaires (option)</t>
  </si>
  <si>
    <t>dossier complet</t>
  </si>
  <si>
    <t>transfert dossier complet epci</t>
  </si>
  <si>
    <t>envoi arrete d attribution</t>
  </si>
  <si>
    <t>facture recu</t>
  </si>
  <si>
    <t>date de facture</t>
  </si>
  <si>
    <t>facture incomplet (option)</t>
  </si>
  <si>
    <t>facture complet demandeur</t>
  </si>
  <si>
    <t>transfert facture facture complet epci</t>
  </si>
  <si>
    <t>Envoi compta pour paiement</t>
  </si>
  <si>
    <t>dossier non eligible</t>
  </si>
  <si>
    <t>rmq si non eligible</t>
  </si>
  <si>
    <t>nb de pers</t>
  </si>
  <si>
    <t>adresse numero</t>
  </si>
  <si>
    <t>adresse voie</t>
  </si>
  <si>
    <t>adresse CP</t>
  </si>
  <si>
    <t>adresse ville</t>
  </si>
  <si>
    <t>téléphone</t>
  </si>
  <si>
    <t>adresse mail</t>
  </si>
  <si>
    <t>statut PO/PB</t>
  </si>
  <si>
    <t>adresse logement si PB
numero</t>
  </si>
  <si>
    <t>adresse logement si PB
voie</t>
  </si>
  <si>
    <t>adresse logement si PB
CP</t>
  </si>
  <si>
    <t>adresse logement si PB
ville</t>
  </si>
  <si>
    <t>entreprise nom</t>
  </si>
  <si>
    <t>entreprise commune</t>
  </si>
  <si>
    <t>entreprise signataire</t>
  </si>
  <si>
    <t>entreprise mail</t>
  </si>
  <si>
    <t>entreprise tel</t>
  </si>
  <si>
    <t>entreprise sous-traitance pose (Nom)</t>
  </si>
  <si>
    <t>installateur signataire de la charte</t>
  </si>
  <si>
    <t>Date de fin RGE de l'installateur</t>
  </si>
  <si>
    <t>appareil ancien type</t>
  </si>
  <si>
    <t>appareil ancien annee acquisition</t>
  </si>
  <si>
    <t>marque</t>
  </si>
  <si>
    <t>FV ou registre</t>
  </si>
  <si>
    <t>cout fourniture</t>
  </si>
  <si>
    <t>cout main œuvre</t>
  </si>
  <si>
    <t>cout total HT</t>
  </si>
  <si>
    <t>cout TVA</t>
  </si>
  <si>
    <t>cout total TTC</t>
  </si>
  <si>
    <t>invit ateliers bonnes pratiques papier</t>
  </si>
  <si>
    <t>ateliers bonnes pratiques</t>
  </si>
  <si>
    <t>Dispositif / Année comptable
Rempli par Daniel</t>
  </si>
  <si>
    <t>Envoi kit</t>
  </si>
  <si>
    <t>surface</t>
  </si>
  <si>
    <t>date acquisition</t>
  </si>
  <si>
    <t>cout appareil</t>
  </si>
  <si>
    <t>cout tubage</t>
  </si>
  <si>
    <t>ADEME 2023</t>
  </si>
  <si>
    <t xml:space="preserve"> maj (oui)
non maj (non)</t>
  </si>
  <si>
    <t>VRB0009</t>
  </si>
  <si>
    <t>VRB0010</t>
  </si>
  <si>
    <t>VRB0011</t>
  </si>
  <si>
    <t>refusé (sur la totalité de l'instruction) ou dossier Région (Colonne BU)</t>
  </si>
  <si>
    <t>région</t>
  </si>
  <si>
    <t>2020-2022</t>
  </si>
  <si>
    <t>90 000 à 100 000 €</t>
  </si>
  <si>
    <t>3 et 6</t>
  </si>
  <si>
    <t>Nb de dossiers validés / mois</t>
  </si>
  <si>
    <t>Nb de dossiers validés depuis le début du dispositif</t>
  </si>
  <si>
    <t>Mois</t>
  </si>
  <si>
    <t>insert / foyer fermé</t>
  </si>
  <si>
    <t>Type</t>
  </si>
  <si>
    <t>Combustible</t>
  </si>
  <si>
    <t>Période du Bilan</t>
  </si>
  <si>
    <t>Dossiers validés ou en cours d'instruction</t>
  </si>
  <si>
    <t xml:space="preserve">Calcul fait hors dossier refusé </t>
  </si>
  <si>
    <t>Calcul panier moyen</t>
  </si>
  <si>
    <t>Nombre de adresse ville</t>
  </si>
  <si>
    <t>Nombre de entreprise commune</t>
  </si>
  <si>
    <t>Période du bilan</t>
  </si>
  <si>
    <t>Nombre de entreprise nom</t>
  </si>
  <si>
    <t>SARL ENERGIES BARD RAMONAGE</t>
  </si>
  <si>
    <t>oui région</t>
  </si>
  <si>
    <t>Nombre de dossiers refusés depuis 2021 :</t>
  </si>
  <si>
    <t>TOTAL 10 lieux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</si>
</sst>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1">
    <numFmt numFmtId="164" formatCode="_-* #,##0.00\ _€_-;\-* #,##0.00\ _€_-;_-* &quot;-&quot;??\ _€_-;_-@_-"/>
    <numFmt numFmtId="165" formatCode="0000000000"/>
    <numFmt numFmtId="166" formatCode="dd/mm/yy;@"/>
    <numFmt numFmtId="167" formatCode="_-* #,##0\ _€_-;\-* #,##0\ _€_-;_-* &quot;-&quot;??\ _€_-;_-@_-"/>
    <numFmt numFmtId="168" formatCode="0#\ ##\ ##\ ##\ ##"/>
    <numFmt numFmtId="169" formatCode="m/d/yyyy"/>
    <numFmt numFmtId="170" formatCode="#,##0\ &quot;€&quot;"/>
    <numFmt numFmtId="171" formatCode="0.0"/>
    <numFmt numFmtId="172" formatCode="0.00000"/>
    <numFmt numFmtId="173" formatCode="0.000"/>
    <numFmt numFmtId="174" formatCode="d/m/yy"/>
  </numFmts>
  <fonts count="42">
    <font>
      <sz val="11"/>
      <color theme="1"/>
      <name val="Calibri"/>
      <family val="2"/>
      <scheme val="minor"/>
    </font>
    <font>
      <sz val="11"/>
      <color indexed="8"/>
      <name val="Calibri"/>
      <family val="2"/>
    </font>
    <font>
      <sz val="10"/>
      <color indexed="8"/>
      <name val="Arial"/>
      <family val="2"/>
    </font>
    <font>
      <sz val="11"/>
      <color theme="1"/>
      <name val="Calibri"/>
      <family val="2"/>
      <scheme val="minor"/>
    </font>
    <font>
      <b/>
      <sz val="11"/>
      <color theme="1"/>
      <name val="Calibri"/>
      <family val="2"/>
      <scheme val="minor"/>
    </font>
    <font>
      <sz val="11"/>
      <color theme="0"/>
      <name val="Calibri"/>
      <family val="2"/>
      <scheme val="minor"/>
    </font>
    <font>
      <sz val="11"/>
      <color indexed="8"/>
      <name val="Calibri"/>
      <family val="2"/>
    </font>
    <font>
      <b/>
      <sz val="9"/>
      <color indexed="81"/>
      <name val="Tahoma"/>
      <family val="2"/>
    </font>
    <font>
      <sz val="9"/>
      <color indexed="81"/>
      <name val="Tahoma"/>
      <family val="2"/>
    </font>
    <font>
      <sz val="11"/>
      <name val="Intro Cond Light"/>
      <family val="3"/>
    </font>
    <font>
      <b/>
      <sz val="11"/>
      <color rgb="FF000000"/>
      <name val="Calibri"/>
      <family val="2"/>
    </font>
    <font>
      <sz val="11"/>
      <color rgb="FF000000"/>
      <name val="Calibri"/>
      <family val="2"/>
    </font>
    <font>
      <sz val="10"/>
      <color theme="1"/>
      <name val="Arial"/>
      <family val="2"/>
    </font>
    <font>
      <sz val="10"/>
      <color theme="0"/>
      <name val="Calibri"/>
      <family val="2"/>
      <scheme val="minor"/>
    </font>
    <font>
      <b/>
      <sz val="10"/>
      <color theme="1"/>
      <name val="Calibri"/>
      <family val="2"/>
      <scheme val="minor"/>
    </font>
    <font>
      <sz val="10"/>
      <color theme="1"/>
      <name val="Calibri"/>
      <family val="2"/>
      <scheme val="minor"/>
    </font>
    <font>
      <sz val="10"/>
      <color rgb="FF000000"/>
      <name val="Calibri"/>
      <family val="2"/>
      <charset val="1"/>
    </font>
    <font>
      <u/>
      <sz val="11"/>
      <color rgb="FF0563C1"/>
      <name val="Calibri"/>
      <family val="2"/>
      <charset val="1"/>
    </font>
    <font>
      <sz val="11"/>
      <color rgb="FF000000"/>
      <name val="Calibri"/>
      <family val="2"/>
      <charset val="1"/>
    </font>
    <font>
      <sz val="11"/>
      <color theme="1"/>
      <name val="Intro Cond Light"/>
      <family val="3"/>
    </font>
    <font>
      <b/>
      <sz val="12"/>
      <name val="Intro Cond Light"/>
      <family val="3"/>
    </font>
    <font>
      <sz val="12"/>
      <name val="Intro Cond Light"/>
      <family val="3"/>
    </font>
    <font>
      <sz val="10"/>
      <name val="Arial"/>
      <family val="2"/>
    </font>
    <font>
      <sz val="8"/>
      <name val="Arial"/>
      <family val="2"/>
    </font>
    <font>
      <sz val="11"/>
      <color rgb="FF000000"/>
      <name val="Calibri"/>
      <family val="2"/>
      <scheme val="minor"/>
    </font>
    <font>
      <sz val="11"/>
      <color rgb="FFFFFFFF"/>
      <name val="Calibri"/>
      <family val="2"/>
      <charset val="1"/>
    </font>
    <font>
      <u/>
      <sz val="11"/>
      <color rgb="FF0000FF"/>
      <name val="Arial"/>
      <family val="2"/>
    </font>
    <font>
      <u/>
      <sz val="11"/>
      <color rgb="FF0000FF"/>
      <name val="Calibri"/>
      <family val="2"/>
    </font>
    <font>
      <sz val="10"/>
      <name val="Arial"/>
      <family val="2"/>
    </font>
    <font>
      <b/>
      <sz val="10"/>
      <name val="Arial"/>
      <family val="2"/>
    </font>
    <font>
      <sz val="10"/>
      <color theme="1"/>
      <name val="Calibri"/>
      <family val="2"/>
      <charset val="1"/>
    </font>
    <font>
      <b/>
      <sz val="12"/>
      <color indexed="81"/>
      <name val="Tahoma"/>
      <family val="2"/>
    </font>
    <font>
      <sz val="12"/>
      <color indexed="81"/>
      <name val="Tahoma"/>
      <family val="2"/>
    </font>
    <font>
      <b/>
      <sz val="9"/>
      <color indexed="81"/>
      <name val="Tahoma"/>
      <charset val="1"/>
    </font>
    <font>
      <sz val="9"/>
      <color indexed="81"/>
      <name val="Tahoma"/>
      <charset val="1"/>
    </font>
    <font>
      <b/>
      <sz val="11"/>
      <name val="Calibri"/>
      <family val="2"/>
      <scheme val="minor"/>
    </font>
    <font>
      <sz val="11"/>
      <color rgb="FF000000"/>
      <name val="Calibri"/>
    </font>
    <font>
      <u/>
      <sz val="10"/>
      <color rgb="FF0563C1"/>
      <name val="Calibri"/>
      <family val="2"/>
      <charset val="1"/>
    </font>
    <font>
      <sz val="11"/>
      <name val="Calibri"/>
      <family val="2"/>
      <charset val="1"/>
    </font>
    <font>
      <sz val="10"/>
      <color rgb="FFFFFFFF"/>
      <name val="Calibri"/>
      <family val="2"/>
      <charset val="1"/>
    </font>
    <font>
      <sz val="16"/>
      <color rgb="FF000000"/>
      <name val="Calibri"/>
      <family val="2"/>
      <charset val="1"/>
    </font>
    <font>
      <sz val="9"/>
      <color rgb="FF000000"/>
      <name val="Tahoma"/>
      <family val="2"/>
      <charset val="1"/>
    </font>
  </fonts>
  <fills count="53">
    <fill>
      <patternFill patternType="none"/>
    </fill>
    <fill>
      <patternFill patternType="gray125"/>
    </fill>
    <fill>
      <patternFill patternType="solid">
        <fgColor indexed="22"/>
        <bgColor indexed="0"/>
      </patternFill>
    </fill>
    <fill>
      <patternFill patternType="solid">
        <fgColor theme="5"/>
      </patternFill>
    </fill>
    <fill>
      <patternFill patternType="solid">
        <fgColor rgb="FFFFFF00"/>
        <bgColor indexed="64"/>
      </patternFill>
    </fill>
    <fill>
      <patternFill patternType="solid">
        <fgColor rgb="FFFF9900"/>
        <bgColor indexed="64"/>
      </patternFill>
    </fill>
    <fill>
      <patternFill patternType="solid">
        <fgColor rgb="FFFF0000"/>
        <bgColor indexed="64"/>
      </patternFill>
    </fill>
    <fill>
      <patternFill patternType="solid">
        <fgColor theme="4"/>
        <bgColor indexed="64"/>
      </patternFill>
    </fill>
    <fill>
      <patternFill patternType="solid">
        <fgColor theme="2"/>
        <bgColor indexed="64"/>
      </patternFill>
    </fill>
    <fill>
      <patternFill patternType="solid">
        <fgColor rgb="FFFF0000"/>
        <bgColor rgb="FFFF3333"/>
      </patternFill>
    </fill>
    <fill>
      <patternFill patternType="solid">
        <fgColor rgb="FF00CC00"/>
        <bgColor rgb="FF00CC33"/>
      </patternFill>
    </fill>
    <fill>
      <patternFill patternType="solid">
        <fgColor rgb="FFFF6666"/>
        <bgColor rgb="FFED7D31"/>
      </patternFill>
    </fill>
    <fill>
      <patternFill patternType="solid">
        <fgColor theme="0"/>
        <bgColor indexed="0"/>
      </patternFill>
    </fill>
    <fill>
      <patternFill patternType="solid">
        <fgColor theme="0"/>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rgb="FF00CC33"/>
        <bgColor rgb="FF00CC00"/>
      </patternFill>
    </fill>
    <fill>
      <patternFill patternType="solid">
        <fgColor rgb="FF00FF00"/>
        <bgColor indexed="64"/>
      </patternFill>
    </fill>
    <fill>
      <patternFill patternType="solid">
        <fgColor rgb="FFFFC000"/>
        <bgColor indexed="64"/>
      </patternFill>
    </fill>
    <fill>
      <patternFill patternType="solid">
        <fgColor rgb="FF15FF42"/>
        <bgColor indexed="64"/>
      </patternFill>
    </fill>
    <fill>
      <patternFill patternType="solid">
        <fgColor theme="1"/>
        <bgColor indexed="64"/>
      </patternFill>
    </fill>
    <fill>
      <patternFill patternType="solid">
        <fgColor theme="0" tint="-0.14999847407452621"/>
        <bgColor indexed="64"/>
      </patternFill>
    </fill>
    <fill>
      <patternFill patternType="solid">
        <fgColor rgb="FFFFFF00"/>
        <bgColor rgb="FFFFFF00"/>
      </patternFill>
    </fill>
    <fill>
      <patternFill patternType="solid">
        <fgColor rgb="FF70AD47"/>
        <bgColor rgb="FF92D050"/>
      </patternFill>
    </fill>
    <fill>
      <patternFill patternType="solid">
        <fgColor rgb="FFCC0000"/>
        <bgColor rgb="FFCC0000"/>
      </patternFill>
    </fill>
    <fill>
      <patternFill patternType="solid">
        <fgColor theme="2"/>
        <bgColor rgb="FFD9D9D9"/>
      </patternFill>
    </fill>
    <fill>
      <patternFill patternType="solid">
        <fgColor rgb="FFCC0000"/>
        <bgColor indexed="64"/>
      </patternFill>
    </fill>
    <fill>
      <patternFill patternType="solid">
        <fgColor theme="4" tint="0.79998168889431442"/>
        <bgColor theme="4" tint="0.79998168889431442"/>
      </patternFill>
    </fill>
    <fill>
      <patternFill patternType="solid">
        <fgColor rgb="FF92D050"/>
        <bgColor indexed="64"/>
      </patternFill>
    </fill>
    <fill>
      <patternFill patternType="solid">
        <fgColor theme="5" tint="-0.249977111117893"/>
        <bgColor indexed="64"/>
      </patternFill>
    </fill>
    <fill>
      <patternFill patternType="solid">
        <fgColor rgb="FFFFFF00"/>
        <bgColor rgb="FFD9D9D9"/>
      </patternFill>
    </fill>
    <fill>
      <patternFill patternType="solid">
        <fgColor theme="9"/>
        <bgColor indexed="64"/>
      </patternFill>
    </fill>
    <fill>
      <patternFill patternType="solid">
        <fgColor theme="5"/>
        <bgColor theme="5"/>
      </patternFill>
    </fill>
    <fill>
      <patternFill patternType="solid">
        <fgColor theme="5" tint="0.79998168889431442"/>
        <bgColor theme="5" tint="0.79998168889431442"/>
      </patternFill>
    </fill>
    <fill>
      <patternFill patternType="solid">
        <fgColor theme="5" tint="0.79998168889431442"/>
        <bgColor indexed="64"/>
      </patternFill>
    </fill>
    <fill>
      <patternFill patternType="solid">
        <fgColor theme="2" tint="-9.9978637043366805E-2"/>
        <bgColor indexed="64"/>
      </patternFill>
    </fill>
    <fill>
      <patternFill patternType="solid">
        <fgColor theme="0" tint="-0.499984740745262"/>
        <bgColor indexed="64"/>
      </patternFill>
    </fill>
    <fill>
      <patternFill patternType="solid">
        <fgColor rgb="FFFF0000"/>
        <bgColor rgb="FFFF0000"/>
      </patternFill>
    </fill>
    <fill>
      <patternFill patternType="solid">
        <fgColor rgb="FFD0CECE"/>
        <bgColor rgb="FFD9D9D9"/>
      </patternFill>
    </fill>
    <fill>
      <patternFill patternType="solid">
        <fgColor rgb="FFE7E6E6"/>
        <bgColor rgb="FFD9D9D9"/>
      </patternFill>
    </fill>
    <fill>
      <patternFill patternType="solid">
        <fgColor rgb="FF92D050"/>
        <bgColor rgb="FFA9D08E"/>
      </patternFill>
    </fill>
    <fill>
      <patternFill patternType="solid">
        <fgColor rgb="FFFF0000"/>
        <bgColor rgb="FFC00000"/>
      </patternFill>
    </fill>
    <fill>
      <patternFill patternType="solid">
        <fgColor rgb="FF92D050"/>
        <bgColor rgb="FFD9D9D9"/>
      </patternFill>
    </fill>
    <fill>
      <patternFill patternType="solid">
        <fgColor rgb="FFFF0000"/>
        <bgColor rgb="FFD9D9D9"/>
      </patternFill>
    </fill>
    <fill>
      <patternFill patternType="solid">
        <fgColor rgb="FFD9D9D9"/>
        <bgColor rgb="FFD0CECE"/>
      </patternFill>
    </fill>
    <fill>
      <patternFill patternType="solid">
        <fgColor rgb="FF5B9BD5"/>
        <bgColor rgb="FF808080"/>
      </patternFill>
    </fill>
    <fill>
      <patternFill patternType="solid">
        <fgColor rgb="FFED7D31"/>
        <bgColor rgb="FFFF8080"/>
      </patternFill>
    </fill>
    <fill>
      <patternFill patternType="solid">
        <fgColor rgb="FFFFC000"/>
        <bgColor rgb="FFFFFF00"/>
      </patternFill>
    </fill>
    <fill>
      <patternFill patternType="solid">
        <fgColor rgb="FF806000"/>
        <bgColor rgb="FF993300"/>
      </patternFill>
    </fill>
    <fill>
      <patternFill patternType="solid">
        <fgColor rgb="FFBF9000"/>
        <bgColor rgb="FFED7D31"/>
      </patternFill>
    </fill>
    <fill>
      <patternFill patternType="solid">
        <fgColor rgb="FF7030A0"/>
        <bgColor rgb="FF993366"/>
      </patternFill>
    </fill>
    <fill>
      <patternFill patternType="solid">
        <fgColor theme="0" tint="-0.249977111117893"/>
        <bgColor indexed="64"/>
      </patternFill>
    </fill>
    <fill>
      <patternFill patternType="solid">
        <fgColor rgb="FF00B0F0"/>
        <bgColor indexed="64"/>
      </patternFill>
    </fill>
  </fills>
  <borders count="45">
    <border>
      <left/>
      <right/>
      <top/>
      <bottom/>
      <diagonal/>
    </border>
    <border>
      <left style="thin">
        <color indexed="8"/>
      </left>
      <right style="thin">
        <color indexed="8"/>
      </right>
      <top style="thin">
        <color indexed="8"/>
      </top>
      <bottom style="thin">
        <color indexed="8"/>
      </bottom>
      <diagonal/>
    </border>
    <border>
      <left/>
      <right style="medium">
        <color indexed="64"/>
      </right>
      <top/>
      <bottom/>
      <diagonal/>
    </border>
    <border>
      <left/>
      <right/>
      <top/>
      <bottom style="thin">
        <color theme="4" tint="0.39997558519241921"/>
      </bottom>
      <diagonal/>
    </border>
    <border>
      <left style="thin">
        <color auto="1"/>
      </left>
      <right style="thin">
        <color auto="1"/>
      </right>
      <top/>
      <bottom style="thin">
        <color auto="1"/>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thin">
        <color theme="4" tint="0.39997558519241921"/>
      </top>
      <bottom/>
      <diagonal/>
    </border>
    <border>
      <left style="thin">
        <color indexed="64"/>
      </left>
      <right/>
      <top style="medium">
        <color indexed="64"/>
      </top>
      <bottom style="thin">
        <color indexed="64"/>
      </bottom>
      <diagonal/>
    </border>
    <border>
      <left style="thin">
        <color indexed="64"/>
      </left>
      <right/>
      <top/>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theme="5" tint="0.39997558519241921"/>
      </bottom>
      <diagonal/>
    </border>
    <border>
      <left style="thin">
        <color rgb="FFD0D7E5"/>
      </left>
      <right style="thin">
        <color rgb="FFD0D7E5"/>
      </right>
      <top style="thin">
        <color rgb="FFD0D7E5"/>
      </top>
      <bottom style="thin">
        <color rgb="FFD0D7E5"/>
      </bottom>
      <diagonal/>
    </border>
    <border>
      <left style="thin">
        <color auto="1"/>
      </left>
      <right style="thin">
        <color auto="1"/>
      </right>
      <top/>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medium">
        <color indexed="64"/>
      </left>
      <right style="thin">
        <color indexed="64"/>
      </right>
      <top style="medium">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2">
    <xf numFmtId="0" fontId="0" fillId="0" borderId="0"/>
    <xf numFmtId="0" fontId="2" fillId="0" borderId="0"/>
    <xf numFmtId="9" fontId="3" fillId="0" borderId="0" applyFont="0" applyFill="0" applyBorder="0" applyAlignment="0" applyProtection="0"/>
    <xf numFmtId="0" fontId="5" fillId="3" borderId="0" applyNumberFormat="0" applyBorder="0" applyAlignment="0" applyProtection="0"/>
    <xf numFmtId="164" fontId="3" fillId="0" borderId="0" applyFont="0" applyFill="0" applyBorder="0" applyAlignment="0" applyProtection="0"/>
    <xf numFmtId="0" fontId="22" fillId="0" borderId="0"/>
    <xf numFmtId="0" fontId="18" fillId="0" borderId="0"/>
    <xf numFmtId="0" fontId="17" fillId="0" borderId="0" applyBorder="0" applyProtection="0"/>
    <xf numFmtId="0" fontId="25" fillId="23" borderId="0" applyBorder="0" applyProtection="0"/>
    <xf numFmtId="0" fontId="26" fillId="0" borderId="0" applyNumberFormat="0" applyFill="0" applyBorder="0" applyAlignment="0" applyProtection="0"/>
    <xf numFmtId="0" fontId="27" fillId="0" borderId="0" applyNumberFormat="0" applyBorder="0" applyProtection="0"/>
    <xf numFmtId="0" fontId="25" fillId="23" borderId="0" applyBorder="0" applyProtection="0"/>
  </cellStyleXfs>
  <cellXfs count="407">
    <xf numFmtId="0" fontId="0" fillId="0" borderId="0" xfId="0"/>
    <xf numFmtId="0" fontId="0" fillId="4" borderId="0" xfId="0" applyFill="1"/>
    <xf numFmtId="0" fontId="0" fillId="0" borderId="0" xfId="0"/>
    <xf numFmtId="0" fontId="9" fillId="0" borderId="2" xfId="0" applyFont="1" applyFill="1" applyBorder="1" applyAlignment="1">
      <alignment vertical="center" wrapText="1"/>
    </xf>
    <xf numFmtId="0" fontId="4" fillId="0" borderId="3" xfId="0" applyNumberFormat="1" applyFont="1" applyBorder="1"/>
    <xf numFmtId="0" fontId="0" fillId="0" borderId="0" xfId="0" applyAlignment="1">
      <alignment horizontal="left" indent="1"/>
    </xf>
    <xf numFmtId="0" fontId="0" fillId="0" borderId="0" xfId="0" applyAlignment="1">
      <alignment horizontal="center"/>
    </xf>
    <xf numFmtId="0" fontId="0" fillId="0" borderId="5" xfId="0" applyBorder="1" applyAlignment="1">
      <alignment horizontal="center"/>
    </xf>
    <xf numFmtId="0" fontId="9" fillId="0" borderId="0" xfId="0" applyFont="1" applyFill="1" applyBorder="1" applyAlignment="1">
      <alignment vertical="center" wrapText="1"/>
    </xf>
    <xf numFmtId="0" fontId="0" fillId="0" borderId="0" xfId="0" applyBorder="1"/>
    <xf numFmtId="0" fontId="9" fillId="0" borderId="0" xfId="0" applyFont="1" applyFill="1" applyBorder="1" applyAlignment="1">
      <alignment horizontal="center" vertical="center" wrapText="1"/>
    </xf>
    <xf numFmtId="0" fontId="4" fillId="0" borderId="3" xfId="0" applyFont="1" applyBorder="1" applyAlignment="1">
      <alignment horizontal="left"/>
    </xf>
    <xf numFmtId="0" fontId="0" fillId="10" borderId="0" xfId="0" applyFill="1"/>
    <xf numFmtId="0" fontId="0" fillId="6" borderId="0" xfId="0" applyFill="1"/>
    <xf numFmtId="0" fontId="9" fillId="0" borderId="0" xfId="0" applyFont="1" applyFill="1" applyAlignment="1">
      <alignment vertical="center" wrapText="1"/>
    </xf>
    <xf numFmtId="0" fontId="20" fillId="0" borderId="0" xfId="0" applyFont="1" applyFill="1" applyAlignment="1">
      <alignment horizontal="center" vertical="center" wrapText="1"/>
    </xf>
    <xf numFmtId="0" fontId="9" fillId="0" borderId="10" xfId="0" applyFont="1" applyFill="1" applyBorder="1" applyAlignment="1">
      <alignment horizontal="center" vertical="center" wrapText="1"/>
    </xf>
    <xf numFmtId="0" fontId="9" fillId="0" borderId="11" xfId="0" applyFont="1" applyFill="1" applyBorder="1" applyAlignment="1">
      <alignment horizontal="center" vertical="center" wrapText="1"/>
    </xf>
    <xf numFmtId="0" fontId="9" fillId="0" borderId="6" xfId="0" applyFont="1" applyFill="1" applyBorder="1" applyAlignment="1">
      <alignment vertical="center" wrapText="1"/>
    </xf>
    <xf numFmtId="0" fontId="9" fillId="0" borderId="12" xfId="0" applyFont="1" applyFill="1" applyBorder="1" applyAlignment="1">
      <alignment vertical="center" wrapText="1"/>
    </xf>
    <xf numFmtId="0" fontId="21" fillId="0" borderId="0" xfId="0" applyFont="1" applyFill="1" applyAlignment="1">
      <alignment vertical="center" wrapText="1"/>
    </xf>
    <xf numFmtId="49" fontId="9" fillId="0" borderId="2" xfId="0" applyNumberFormat="1" applyFont="1" applyFill="1" applyBorder="1" applyAlignment="1">
      <alignment vertical="center" wrapText="1"/>
    </xf>
    <xf numFmtId="0" fontId="9" fillId="0" borderId="10" xfId="0" applyFont="1" applyFill="1" applyBorder="1" applyAlignment="1">
      <alignment vertical="center" wrapText="1"/>
    </xf>
    <xf numFmtId="0" fontId="9" fillId="0" borderId="11" xfId="0" applyFont="1" applyFill="1" applyBorder="1" applyAlignment="1">
      <alignment vertical="center" wrapText="1"/>
    </xf>
    <xf numFmtId="0" fontId="9" fillId="0" borderId="6" xfId="0" applyFont="1" applyFill="1" applyBorder="1" applyAlignment="1">
      <alignment horizontal="center" vertical="center" wrapText="1"/>
    </xf>
    <xf numFmtId="0" fontId="21" fillId="0" borderId="0" xfId="0" applyFont="1" applyFill="1" applyAlignment="1">
      <alignment horizontal="center" vertical="center" wrapText="1"/>
    </xf>
    <xf numFmtId="0" fontId="0" fillId="16" borderId="0" xfId="0" applyFill="1"/>
    <xf numFmtId="0" fontId="0" fillId="17" borderId="0" xfId="0" applyFill="1"/>
    <xf numFmtId="0" fontId="0" fillId="9" borderId="0" xfId="0" applyFill="1"/>
    <xf numFmtId="0" fontId="0" fillId="11" borderId="0" xfId="0" applyFill="1"/>
    <xf numFmtId="0" fontId="0" fillId="18" borderId="0" xfId="0" applyFill="1"/>
    <xf numFmtId="0" fontId="14" fillId="0" borderId="0" xfId="0" applyFont="1" applyAlignment="1" applyProtection="1">
      <alignment horizontal="center" vertical="center" wrapText="1"/>
      <protection locked="0"/>
    </xf>
    <xf numFmtId="0" fontId="15" fillId="0" borderId="0" xfId="0" applyFont="1" applyAlignment="1">
      <alignment horizontal="center" vertical="center" wrapText="1"/>
    </xf>
    <xf numFmtId="0" fontId="15" fillId="0" borderId="0" xfId="0" applyFont="1" applyAlignment="1" applyProtection="1">
      <alignment horizontal="center" vertical="center" wrapText="1"/>
      <protection locked="0"/>
    </xf>
    <xf numFmtId="0" fontId="0" fillId="21" borderId="0" xfId="0" applyFill="1"/>
    <xf numFmtId="0" fontId="0" fillId="13" borderId="5" xfId="0" applyFill="1" applyBorder="1" applyAlignment="1">
      <alignment horizontal="center"/>
    </xf>
    <xf numFmtId="0" fontId="1" fillId="12" borderId="5" xfId="1" applyFont="1" applyFill="1" applyBorder="1" applyAlignment="1">
      <alignment horizontal="center"/>
    </xf>
    <xf numFmtId="0" fontId="1" fillId="13" borderId="5" xfId="1" applyFont="1" applyFill="1" applyBorder="1" applyAlignment="1">
      <alignment horizontal="center" wrapText="1"/>
    </xf>
    <xf numFmtId="0" fontId="0" fillId="0" borderId="5" xfId="0" applyBorder="1" applyAlignment="1">
      <alignment horizontal="center" wrapText="1"/>
    </xf>
    <xf numFmtId="0" fontId="0" fillId="0" borderId="5" xfId="0" applyFont="1" applyFill="1" applyBorder="1" applyAlignment="1">
      <alignment horizontal="center" wrapText="1"/>
    </xf>
    <xf numFmtId="0" fontId="0" fillId="0" borderId="0" xfId="0" applyFont="1" applyFill="1" applyAlignment="1">
      <alignment horizontal="center" wrapText="1"/>
    </xf>
    <xf numFmtId="9" fontId="3" fillId="0" borderId="5" xfId="2" applyFont="1" applyFill="1" applyBorder="1" applyAlignment="1">
      <alignment horizontal="center" wrapText="1"/>
    </xf>
    <xf numFmtId="0" fontId="0" fillId="0" borderId="5" xfId="0" applyNumberFormat="1" applyFont="1" applyFill="1" applyBorder="1" applyAlignment="1">
      <alignment horizontal="center" wrapText="1"/>
    </xf>
    <xf numFmtId="0" fontId="1" fillId="0" borderId="5" xfId="1" applyFont="1" applyFill="1" applyBorder="1" applyAlignment="1">
      <alignment horizontal="center" wrapText="1"/>
    </xf>
    <xf numFmtId="0" fontId="1" fillId="0" borderId="0" xfId="1" applyFont="1" applyFill="1" applyBorder="1" applyAlignment="1">
      <alignment horizontal="center" wrapText="1"/>
    </xf>
    <xf numFmtId="9" fontId="3" fillId="0" borderId="0" xfId="2" applyFont="1" applyFill="1" applyAlignment="1">
      <alignment horizontal="center" wrapText="1"/>
    </xf>
    <xf numFmtId="9" fontId="0" fillId="0" borderId="5" xfId="2" applyFont="1" applyFill="1" applyBorder="1" applyAlignment="1">
      <alignment horizontal="center" wrapText="1"/>
    </xf>
    <xf numFmtId="0" fontId="0" fillId="0" borderId="5" xfId="0" applyFill="1" applyBorder="1"/>
    <xf numFmtId="0" fontId="6" fillId="0" borderId="5" xfId="1" applyFont="1" applyFill="1" applyBorder="1" applyAlignment="1">
      <alignment horizontal="left"/>
    </xf>
    <xf numFmtId="0" fontId="1" fillId="0" borderId="5" xfId="1" applyFont="1" applyFill="1" applyBorder="1" applyAlignment="1">
      <alignment wrapText="1"/>
    </xf>
    <xf numFmtId="9" fontId="1" fillId="0" borderId="5" xfId="2" applyFont="1" applyFill="1" applyBorder="1" applyAlignment="1">
      <alignment wrapText="1"/>
    </xf>
    <xf numFmtId="0" fontId="0" fillId="0" borderId="5" xfId="0" applyFill="1" applyBorder="1" applyAlignment="1">
      <alignment horizontal="left"/>
    </xf>
    <xf numFmtId="0" fontId="1" fillId="0" borderId="5" xfId="1" applyFont="1" applyFill="1" applyBorder="1" applyAlignment="1">
      <alignment horizontal="left"/>
    </xf>
    <xf numFmtId="0" fontId="0" fillId="0" borderId="0" xfId="0" applyFill="1" applyBorder="1"/>
    <xf numFmtId="9" fontId="0" fillId="0" borderId="0" xfId="2" applyFont="1" applyFill="1" applyBorder="1"/>
    <xf numFmtId="0" fontId="0" fillId="0" borderId="5" xfId="0" applyFill="1" applyBorder="1" applyAlignment="1">
      <alignment horizontal="center" wrapText="1"/>
    </xf>
    <xf numFmtId="9" fontId="0" fillId="0" borderId="5" xfId="2" applyFont="1" applyBorder="1" applyAlignment="1">
      <alignment horizontal="center" wrapText="1"/>
    </xf>
    <xf numFmtId="0" fontId="0" fillId="0" borderId="5" xfId="0" applyBorder="1" applyAlignment="1">
      <alignment horizontal="center" vertical="center" wrapText="1"/>
    </xf>
    <xf numFmtId="0" fontId="0" fillId="0" borderId="5" xfId="0" applyFill="1" applyBorder="1" applyAlignment="1">
      <alignment horizontal="center" vertical="center" wrapText="1"/>
    </xf>
    <xf numFmtId="0" fontId="0" fillId="0" borderId="0" xfId="0" applyAlignment="1">
      <alignment vertical="center" wrapText="1"/>
    </xf>
    <xf numFmtId="0" fontId="0" fillId="0" borderId="5" xfId="0" applyNumberFormat="1" applyBorder="1" applyAlignment="1">
      <alignment horizontal="center" vertical="center" wrapText="1"/>
    </xf>
    <xf numFmtId="9" fontId="0" fillId="0" borderId="5" xfId="2" applyFont="1" applyFill="1" applyBorder="1" applyAlignment="1">
      <alignment horizontal="center" vertical="center" wrapText="1"/>
    </xf>
    <xf numFmtId="9" fontId="0" fillId="0" borderId="5" xfId="2" applyFont="1" applyBorder="1" applyAlignment="1">
      <alignment horizontal="center" vertical="center" wrapText="1"/>
    </xf>
    <xf numFmtId="0" fontId="5" fillId="20" borderId="0" xfId="0" applyFont="1" applyFill="1" applyAlignment="1">
      <alignment horizontal="center"/>
    </xf>
    <xf numFmtId="0" fontId="13" fillId="20" borderId="0" xfId="0" applyFont="1" applyFill="1" applyAlignment="1" applyProtection="1">
      <alignment horizontal="center" vertical="center" wrapText="1"/>
      <protection locked="0"/>
    </xf>
    <xf numFmtId="1" fontId="23" fillId="0" borderId="0" xfId="5" applyNumberFormat="1" applyFont="1"/>
    <xf numFmtId="0" fontId="12" fillId="0" borderId="13" xfId="0" applyFont="1" applyBorder="1" applyAlignment="1">
      <alignment wrapText="1"/>
    </xf>
    <xf numFmtId="0" fontId="12" fillId="0" borderId="13" xfId="0" applyFont="1" applyBorder="1" applyAlignment="1">
      <alignment vertical="center"/>
    </xf>
    <xf numFmtId="22" fontId="12" fillId="0" borderId="13" xfId="0" applyNumberFormat="1" applyFont="1" applyBorder="1" applyAlignment="1">
      <alignment horizontal="right" wrapText="1"/>
    </xf>
    <xf numFmtId="0" fontId="12" fillId="0" borderId="13" xfId="0" applyFont="1" applyBorder="1" applyAlignment="1">
      <alignment horizontal="right" wrapText="1"/>
    </xf>
    <xf numFmtId="9" fontId="0" fillId="0" borderId="0" xfId="2" applyFont="1" applyFill="1" applyBorder="1" applyAlignment="1">
      <alignment horizontal="center" wrapText="1"/>
    </xf>
    <xf numFmtId="9" fontId="0" fillId="0" borderId="0" xfId="2" applyFont="1" applyFill="1" applyAlignment="1">
      <alignment horizontal="center" wrapText="1"/>
    </xf>
    <xf numFmtId="0" fontId="0" fillId="0" borderId="0" xfId="0" applyAlignment="1">
      <alignment horizontal="left"/>
    </xf>
    <xf numFmtId="0" fontId="0" fillId="0" borderId="0" xfId="0" applyNumberFormat="1"/>
    <xf numFmtId="0" fontId="4" fillId="14" borderId="14" xfId="0" applyFont="1" applyFill="1" applyBorder="1" applyAlignment="1">
      <alignment horizontal="left"/>
    </xf>
    <xf numFmtId="9" fontId="4" fillId="14" borderId="5" xfId="2" applyFont="1" applyFill="1" applyBorder="1" applyAlignment="1">
      <alignment horizontal="center"/>
    </xf>
    <xf numFmtId="0" fontId="28" fillId="24" borderId="16" xfId="0" applyFont="1" applyFill="1" applyBorder="1" applyAlignment="1">
      <alignment horizontal="center"/>
    </xf>
    <xf numFmtId="0" fontId="0" fillId="0" borderId="14" xfId="0" applyBorder="1" applyAlignment="1">
      <alignment horizontal="center"/>
    </xf>
    <xf numFmtId="0" fontId="0" fillId="0" borderId="0" xfId="0" applyFill="1"/>
    <xf numFmtId="0" fontId="1" fillId="0" borderId="14" xfId="2" applyNumberFormat="1" applyFont="1" applyFill="1" applyBorder="1" applyAlignment="1">
      <alignment wrapText="1"/>
    </xf>
    <xf numFmtId="0" fontId="0" fillId="0" borderId="5" xfId="0" applyNumberFormat="1" applyFill="1" applyBorder="1" applyAlignment="1">
      <alignment horizontal="center"/>
    </xf>
    <xf numFmtId="9" fontId="1" fillId="0" borderId="5" xfId="2" applyFont="1" applyFill="1" applyBorder="1" applyAlignment="1">
      <alignment horizontal="center" wrapText="1"/>
    </xf>
    <xf numFmtId="0" fontId="0" fillId="0" borderId="5" xfId="0" applyFill="1" applyBorder="1" applyAlignment="1">
      <alignment horizontal="center"/>
    </xf>
    <xf numFmtId="9" fontId="0" fillId="0" borderId="5" xfId="2" applyFont="1" applyFill="1" applyBorder="1" applyAlignment="1">
      <alignment horizontal="center"/>
    </xf>
    <xf numFmtId="0" fontId="0" fillId="0" borderId="5" xfId="0" applyNumberFormat="1" applyFill="1" applyBorder="1" applyAlignment="1">
      <alignment horizontal="center" vertical="center" wrapText="1"/>
    </xf>
    <xf numFmtId="17" fontId="11" fillId="0" borderId="15" xfId="0" applyNumberFormat="1" applyFont="1" applyBorder="1" applyAlignment="1">
      <alignment horizontal="center" wrapText="1"/>
    </xf>
    <xf numFmtId="0" fontId="11" fillId="0" borderId="17" xfId="0" applyFont="1" applyBorder="1" applyAlignment="1">
      <alignment horizontal="center" wrapText="1"/>
    </xf>
    <xf numFmtId="0" fontId="0" fillId="4" borderId="5" xfId="0" applyFill="1" applyBorder="1" applyAlignment="1">
      <alignment horizontal="center" vertical="center" wrapText="1"/>
    </xf>
    <xf numFmtId="0" fontId="0" fillId="0" borderId="17" xfId="0" applyFill="1" applyBorder="1" applyAlignment="1">
      <alignment horizontal="center" vertical="center" wrapText="1"/>
    </xf>
    <xf numFmtId="1" fontId="0" fillId="0" borderId="17" xfId="0" applyNumberFormat="1" applyFill="1" applyBorder="1" applyAlignment="1">
      <alignment horizontal="center" vertical="center" wrapText="1"/>
    </xf>
    <xf numFmtId="9" fontId="0" fillId="0" borderId="0" xfId="2" applyFont="1" applyFill="1" applyBorder="1" applyAlignment="1">
      <alignment horizontal="center"/>
    </xf>
    <xf numFmtId="0" fontId="4" fillId="14" borderId="14" xfId="0" applyFont="1" applyFill="1" applyBorder="1" applyAlignment="1">
      <alignment horizontal="center"/>
    </xf>
    <xf numFmtId="0" fontId="0" fillId="0" borderId="18" xfId="0" applyBorder="1" applyAlignment="1">
      <alignment horizontal="center" vertical="center"/>
    </xf>
    <xf numFmtId="0" fontId="0" fillId="0" borderId="19" xfId="0" applyBorder="1" applyAlignment="1">
      <alignment horizontal="center" vertical="center"/>
    </xf>
    <xf numFmtId="0" fontId="4" fillId="27" borderId="25" xfId="0" applyFont="1" applyFill="1" applyBorder="1" applyAlignment="1">
      <alignment horizontal="left"/>
    </xf>
    <xf numFmtId="0" fontId="4" fillId="27" borderId="25" xfId="0" applyNumberFormat="1" applyFont="1" applyFill="1" applyBorder="1"/>
    <xf numFmtId="0" fontId="0" fillId="0" borderId="26" xfId="0" applyBorder="1" applyAlignment="1">
      <alignment horizontal="center" vertical="center"/>
    </xf>
    <xf numFmtId="0" fontId="0" fillId="0" borderId="0" xfId="0" applyAlignment="1">
      <alignment horizontal="center" vertical="center"/>
    </xf>
    <xf numFmtId="0" fontId="0" fillId="0" borderId="0" xfId="0" applyFill="1" applyAlignment="1">
      <alignment horizontal="center" vertical="center"/>
    </xf>
    <xf numFmtId="0" fontId="0" fillId="0" borderId="17" xfId="0" applyBorder="1" applyAlignment="1">
      <alignment horizontal="center" vertical="center"/>
    </xf>
    <xf numFmtId="0" fontId="0" fillId="0" borderId="0" xfId="0" applyBorder="1" applyAlignment="1">
      <alignment horizontal="center" vertical="center"/>
    </xf>
    <xf numFmtId="9" fontId="0" fillId="0" borderId="0" xfId="2" applyFont="1" applyBorder="1" applyAlignment="1">
      <alignment horizontal="center" vertical="center"/>
    </xf>
    <xf numFmtId="0" fontId="0" fillId="0" borderId="4" xfId="0" applyBorder="1" applyAlignment="1">
      <alignment horizontal="center" vertical="center"/>
    </xf>
    <xf numFmtId="0" fontId="0" fillId="0" borderId="5" xfId="0" applyFill="1" applyBorder="1" applyAlignment="1">
      <alignment horizontal="center" vertical="center"/>
    </xf>
    <xf numFmtId="0" fontId="0" fillId="0" borderId="20" xfId="0" applyFill="1" applyBorder="1" applyAlignment="1">
      <alignment horizontal="center" vertical="center"/>
    </xf>
    <xf numFmtId="170" fontId="0" fillId="0" borderId="21" xfId="0" applyNumberFormat="1" applyBorder="1" applyAlignment="1">
      <alignment horizontal="center" vertical="center"/>
    </xf>
    <xf numFmtId="0" fontId="0" fillId="0" borderId="22" xfId="0" applyFill="1" applyBorder="1" applyAlignment="1">
      <alignment horizontal="center" vertical="center"/>
    </xf>
    <xf numFmtId="14" fontId="0" fillId="0" borderId="0" xfId="0" applyNumberFormat="1"/>
    <xf numFmtId="0" fontId="0" fillId="28" borderId="5" xfId="0" applyFill="1" applyBorder="1" applyAlignment="1">
      <alignment horizontal="center" vertical="center" wrapText="1"/>
    </xf>
    <xf numFmtId="0" fontId="0" fillId="18" borderId="17" xfId="0" applyFill="1" applyBorder="1"/>
    <xf numFmtId="0" fontId="0" fillId="0" borderId="0" xfId="0" applyFill="1" applyBorder="1" applyAlignment="1">
      <alignment horizontal="center" vertical="center"/>
    </xf>
    <xf numFmtId="0" fontId="0" fillId="13" borderId="5" xfId="0" applyFill="1" applyBorder="1" applyAlignment="1">
      <alignment horizontal="center" vertical="center"/>
    </xf>
    <xf numFmtId="2" fontId="0" fillId="0" borderId="0" xfId="0" applyNumberFormat="1"/>
    <xf numFmtId="0" fontId="11" fillId="26" borderId="17" xfId="0" applyFont="1" applyFill="1" applyBorder="1" applyAlignment="1">
      <alignment horizontal="center" wrapText="1"/>
    </xf>
    <xf numFmtId="0" fontId="12" fillId="26" borderId="17" xfId="0" applyFont="1" applyFill="1" applyBorder="1" applyAlignment="1">
      <alignment horizontal="center" wrapText="1"/>
    </xf>
    <xf numFmtId="0" fontId="0" fillId="0" borderId="15" xfId="0" applyBorder="1" applyAlignment="1">
      <alignment horizontal="center" vertical="center"/>
    </xf>
    <xf numFmtId="0" fontId="29" fillId="24" borderId="17" xfId="0" applyFont="1" applyFill="1" applyBorder="1" applyAlignment="1">
      <alignment horizontal="center" vertical="center" wrapText="1"/>
    </xf>
    <xf numFmtId="0" fontId="10" fillId="24" borderId="17" xfId="0" applyFont="1" applyFill="1" applyBorder="1" applyAlignment="1">
      <alignment horizontal="center" vertical="center" wrapText="1"/>
    </xf>
    <xf numFmtId="0" fontId="4" fillId="0" borderId="3" xfId="0" applyNumberFormat="1" applyFont="1" applyBorder="1" applyAlignment="1">
      <alignment horizontal="center" vertical="center"/>
    </xf>
    <xf numFmtId="0" fontId="4" fillId="27" borderId="0" xfId="0" applyFont="1" applyFill="1" applyBorder="1" applyAlignment="1">
      <alignment horizontal="center"/>
    </xf>
    <xf numFmtId="9" fontId="0" fillId="0" borderId="0" xfId="0" applyNumberFormat="1"/>
    <xf numFmtId="1" fontId="0" fillId="0" borderId="5" xfId="0" applyNumberFormat="1" applyFont="1" applyFill="1" applyBorder="1" applyAlignment="1">
      <alignment horizontal="center" wrapText="1"/>
    </xf>
    <xf numFmtId="0" fontId="0" fillId="0" borderId="0" xfId="0" applyAlignment="1"/>
    <xf numFmtId="0" fontId="0" fillId="13" borderId="0" xfId="0" applyFill="1" applyAlignment="1"/>
    <xf numFmtId="0" fontId="0" fillId="4" borderId="0" xfId="0" applyFill="1" applyAlignment="1"/>
    <xf numFmtId="0" fontId="13" fillId="20" borderId="0" xfId="0" applyFont="1" applyFill="1" applyAlignment="1">
      <alignment horizontal="center"/>
    </xf>
    <xf numFmtId="9" fontId="3" fillId="0" borderId="17" xfId="2" applyFont="1" applyFill="1" applyBorder="1" applyAlignment="1">
      <alignment horizontal="center" wrapText="1"/>
    </xf>
    <xf numFmtId="0" fontId="0" fillId="0" borderId="5" xfId="0" applyFont="1" applyFill="1" applyBorder="1" applyAlignment="1">
      <alignment horizontal="center" vertical="center" wrapText="1"/>
    </xf>
    <xf numFmtId="0" fontId="0" fillId="0" borderId="0" xfId="0" applyFont="1" applyFill="1" applyAlignment="1">
      <alignment horizontal="center" vertical="center" wrapText="1"/>
    </xf>
    <xf numFmtId="0" fontId="1" fillId="0" borderId="5" xfId="1" applyFont="1" applyFill="1" applyBorder="1" applyAlignment="1">
      <alignment horizontal="center" vertical="center" wrapText="1"/>
    </xf>
    <xf numFmtId="49" fontId="0" fillId="0" borderId="0" xfId="0" applyNumberFormat="1" applyFill="1" applyBorder="1"/>
    <xf numFmtId="49" fontId="0" fillId="4" borderId="0" xfId="0" applyNumberFormat="1" applyFill="1" applyAlignment="1"/>
    <xf numFmtId="9" fontId="0" fillId="0" borderId="17" xfId="2" applyFont="1" applyFill="1" applyBorder="1" applyAlignment="1">
      <alignment horizontal="center" vertical="center" wrapText="1"/>
    </xf>
    <xf numFmtId="0" fontId="0" fillId="0" borderId="17" xfId="0" applyNumberFormat="1" applyFill="1" applyBorder="1" applyAlignment="1">
      <alignment horizontal="center" vertical="center"/>
    </xf>
    <xf numFmtId="0" fontId="0" fillId="0" borderId="17" xfId="0" applyBorder="1" applyAlignment="1">
      <alignment horizontal="center" vertical="center" wrapText="1"/>
    </xf>
    <xf numFmtId="0" fontId="0" fillId="0" borderId="17" xfId="0" applyNumberFormat="1" applyFill="1" applyBorder="1" applyAlignment="1">
      <alignment horizontal="center" vertical="center" wrapText="1"/>
    </xf>
    <xf numFmtId="9" fontId="0" fillId="0" borderId="17" xfId="2" applyNumberFormat="1" applyFont="1" applyBorder="1" applyAlignment="1">
      <alignment horizontal="center" vertical="center" wrapText="1"/>
    </xf>
    <xf numFmtId="9" fontId="0" fillId="0" borderId="17" xfId="2" applyFont="1" applyBorder="1" applyAlignment="1">
      <alignment horizontal="center" vertical="center" wrapText="1"/>
    </xf>
    <xf numFmtId="9" fontId="0" fillId="0" borderId="17" xfId="0" applyNumberFormat="1" applyFill="1" applyBorder="1" applyAlignment="1">
      <alignment horizontal="center" vertical="center" wrapText="1"/>
    </xf>
    <xf numFmtId="0" fontId="0" fillId="0" borderId="4" xfId="0" applyBorder="1" applyAlignment="1">
      <alignment horizontal="center" vertical="center" wrapText="1"/>
    </xf>
    <xf numFmtId="0" fontId="0" fillId="0" borderId="4" xfId="2" applyNumberFormat="1" applyFont="1" applyFill="1" applyBorder="1" applyAlignment="1">
      <alignment horizontal="center" vertical="center" wrapText="1"/>
    </xf>
    <xf numFmtId="0" fontId="1" fillId="2" borderId="1" xfId="1" applyFont="1" applyFill="1" applyBorder="1" applyAlignment="1">
      <alignment wrapText="1"/>
    </xf>
    <xf numFmtId="0" fontId="0" fillId="0" borderId="0" xfId="0" applyAlignment="1">
      <alignment wrapText="1"/>
    </xf>
    <xf numFmtId="0" fontId="0" fillId="29" borderId="0" xfId="0" applyFill="1"/>
    <xf numFmtId="0" fontId="0" fillId="29" borderId="0" xfId="0" applyFont="1" applyFill="1" applyAlignment="1">
      <alignment horizontal="center" wrapText="1"/>
    </xf>
    <xf numFmtId="0" fontId="0" fillId="29" borderId="0" xfId="0" applyFont="1" applyFill="1" applyAlignment="1">
      <alignment horizontal="center" vertical="center" wrapText="1"/>
    </xf>
    <xf numFmtId="0" fontId="0" fillId="28" borderId="5" xfId="0" applyFill="1" applyBorder="1" applyAlignment="1">
      <alignment horizontal="center" vertical="center"/>
    </xf>
    <xf numFmtId="0" fontId="0" fillId="28" borderId="5" xfId="0" applyNumberFormat="1" applyFill="1" applyBorder="1" applyAlignment="1">
      <alignment horizontal="center" vertical="center"/>
    </xf>
    <xf numFmtId="0" fontId="6" fillId="28" borderId="5" xfId="1" applyFont="1" applyFill="1" applyBorder="1" applyAlignment="1">
      <alignment horizontal="center" vertical="center"/>
    </xf>
    <xf numFmtId="0" fontId="1" fillId="28" borderId="5" xfId="1" applyFont="1" applyFill="1" applyBorder="1" applyAlignment="1">
      <alignment horizontal="center" vertical="center"/>
    </xf>
    <xf numFmtId="0" fontId="1" fillId="20" borderId="17" xfId="1" applyFont="1" applyFill="1" applyBorder="1" applyAlignment="1">
      <alignment horizontal="center" vertical="center"/>
    </xf>
    <xf numFmtId="9" fontId="1" fillId="0" borderId="5" xfId="2" applyFont="1" applyFill="1" applyBorder="1" applyAlignment="1">
      <alignment horizontal="center" vertical="center" wrapText="1"/>
    </xf>
    <xf numFmtId="0" fontId="0" fillId="0" borderId="5" xfId="0" applyNumberFormat="1" applyFill="1" applyBorder="1" applyAlignment="1">
      <alignment horizontal="center" vertical="center"/>
    </xf>
    <xf numFmtId="0" fontId="0" fillId="0" borderId="0" xfId="0"/>
    <xf numFmtId="1" fontId="0" fillId="0" borderId="0" xfId="0" applyNumberFormat="1" applyBorder="1" applyAlignment="1">
      <alignment horizontal="center" vertical="center"/>
    </xf>
    <xf numFmtId="0" fontId="4" fillId="28" borderId="5" xfId="0" applyFont="1" applyFill="1" applyBorder="1" applyAlignment="1">
      <alignment horizontal="left"/>
    </xf>
    <xf numFmtId="0" fontId="4" fillId="28" borderId="5" xfId="0" applyFont="1" applyFill="1" applyBorder="1" applyAlignment="1">
      <alignment horizontal="center"/>
    </xf>
    <xf numFmtId="9" fontId="4" fillId="28" borderId="5" xfId="2" applyFont="1" applyFill="1" applyBorder="1" applyAlignment="1">
      <alignment horizontal="center"/>
    </xf>
    <xf numFmtId="0" fontId="4" fillId="0" borderId="20" xfId="0" applyFont="1" applyBorder="1" applyAlignment="1">
      <alignment horizontal="left"/>
    </xf>
    <xf numFmtId="0" fontId="4" fillId="0" borderId="21" xfId="0" applyNumberFormat="1" applyFont="1" applyBorder="1"/>
    <xf numFmtId="0" fontId="4" fillId="27" borderId="22" xfId="0" applyFont="1" applyFill="1" applyBorder="1" applyAlignment="1">
      <alignment horizontal="left"/>
    </xf>
    <xf numFmtId="0" fontId="4" fillId="27" borderId="24" xfId="0" applyNumberFormat="1" applyFont="1" applyFill="1" applyBorder="1"/>
    <xf numFmtId="0" fontId="4" fillId="0" borderId="28" xfId="0" applyFont="1" applyBorder="1" applyAlignment="1">
      <alignment horizontal="left"/>
    </xf>
    <xf numFmtId="0" fontId="4" fillId="0" borderId="29" xfId="0" applyNumberFormat="1" applyFont="1" applyBorder="1"/>
    <xf numFmtId="0" fontId="4" fillId="4" borderId="14" xfId="0" applyFont="1" applyFill="1" applyBorder="1" applyAlignment="1">
      <alignment horizontal="center" vertical="center"/>
    </xf>
    <xf numFmtId="0" fontId="4" fillId="18" borderId="14" xfId="0" applyFont="1" applyFill="1" applyBorder="1" applyAlignment="1">
      <alignment horizontal="center" vertical="center"/>
    </xf>
    <xf numFmtId="0" fontId="0" fillId="0" borderId="0" xfId="0"/>
    <xf numFmtId="0" fontId="5" fillId="20" borderId="0" xfId="0" applyFont="1" applyFill="1" applyAlignment="1">
      <alignment horizontal="center" wrapText="1"/>
    </xf>
    <xf numFmtId="169" fontId="13" fillId="20" borderId="0" xfId="0" applyNumberFormat="1" applyFont="1" applyFill="1" applyAlignment="1">
      <alignment horizontal="center" vertical="center" wrapText="1"/>
    </xf>
    <xf numFmtId="0" fontId="0" fillId="31" borderId="17" xfId="0" applyFill="1" applyBorder="1" applyAlignment="1">
      <alignment horizontal="center" vertical="center" wrapText="1"/>
    </xf>
    <xf numFmtId="0" fontId="0" fillId="31" borderId="17" xfId="0" applyFill="1" applyBorder="1" applyAlignment="1">
      <alignment horizontal="center"/>
    </xf>
    <xf numFmtId="0" fontId="0" fillId="0" borderId="17" xfId="0" applyBorder="1" applyAlignment="1">
      <alignment horizontal="center"/>
    </xf>
    <xf numFmtId="0" fontId="0" fillId="0" borderId="0" xfId="0"/>
    <xf numFmtId="0" fontId="0" fillId="0" borderId="0" xfId="0" quotePrefix="1"/>
    <xf numFmtId="0" fontId="0" fillId="0" borderId="0" xfId="0"/>
    <xf numFmtId="0" fontId="0" fillId="0" borderId="17" xfId="0" applyBorder="1" applyAlignment="1">
      <alignment horizontal="center" wrapText="1"/>
    </xf>
    <xf numFmtId="0" fontId="4" fillId="18" borderId="14" xfId="0" applyFont="1" applyFill="1" applyBorder="1" applyAlignment="1">
      <alignment horizontal="center" vertical="center" wrapText="1"/>
    </xf>
    <xf numFmtId="0" fontId="4" fillId="14" borderId="5" xfId="0" applyFont="1" applyFill="1" applyBorder="1" applyAlignment="1">
      <alignment horizontal="center" vertical="center" wrapText="1"/>
    </xf>
    <xf numFmtId="0" fontId="4" fillId="14" borderId="5" xfId="0" applyNumberFormat="1" applyFont="1" applyFill="1" applyBorder="1" applyAlignment="1">
      <alignment horizontal="center" vertical="center"/>
    </xf>
    <xf numFmtId="0" fontId="0" fillId="14" borderId="5" xfId="0" applyFill="1" applyBorder="1" applyAlignment="1">
      <alignment horizontal="center" vertical="center"/>
    </xf>
    <xf numFmtId="0" fontId="0" fillId="0" borderId="0" xfId="0"/>
    <xf numFmtId="49" fontId="24" fillId="33" borderId="17" xfId="0" applyNumberFormat="1" applyFont="1" applyFill="1" applyBorder="1" applyAlignment="1">
      <alignment horizontal="center" vertical="center"/>
    </xf>
    <xf numFmtId="49" fontId="24" fillId="0" borderId="17" xfId="0" applyNumberFormat="1" applyFont="1" applyBorder="1" applyAlignment="1">
      <alignment horizontal="center" vertical="center"/>
    </xf>
    <xf numFmtId="49" fontId="0" fillId="0" borderId="17" xfId="0" applyNumberFormat="1" applyFont="1" applyBorder="1" applyAlignment="1">
      <alignment horizontal="center" vertical="center"/>
    </xf>
    <xf numFmtId="49" fontId="0" fillId="33" borderId="17" xfId="0" applyNumberFormat="1" applyFont="1" applyFill="1" applyBorder="1" applyAlignment="1">
      <alignment horizontal="center" vertical="center"/>
    </xf>
    <xf numFmtId="0" fontId="0" fillId="33" borderId="17" xfId="0" applyFont="1" applyFill="1" applyBorder="1" applyAlignment="1">
      <alignment horizontal="center" vertical="center"/>
    </xf>
    <xf numFmtId="0" fontId="0" fillId="0" borderId="17" xfId="0" applyFont="1" applyBorder="1" applyAlignment="1">
      <alignment horizontal="center" vertical="center"/>
    </xf>
    <xf numFmtId="0" fontId="0" fillId="34" borderId="17" xfId="0" applyFont="1" applyFill="1" applyBorder="1" applyAlignment="1">
      <alignment horizontal="center" vertical="center"/>
    </xf>
    <xf numFmtId="0" fontId="0" fillId="13" borderId="17" xfId="0" applyFont="1" applyFill="1" applyBorder="1" applyAlignment="1">
      <alignment horizontal="center" vertical="center"/>
    </xf>
    <xf numFmtId="49" fontId="35" fillId="32" borderId="32" xfId="0" applyNumberFormat="1" applyFont="1" applyFill="1" applyBorder="1" applyAlignment="1">
      <alignment horizontal="center" vertical="center"/>
    </xf>
    <xf numFmtId="0" fontId="36" fillId="0" borderId="33" xfId="0" applyFont="1" applyFill="1" applyBorder="1" applyAlignment="1" applyProtection="1">
      <alignment horizontal="right" vertical="center" wrapText="1"/>
    </xf>
    <xf numFmtId="0" fontId="36" fillId="0" borderId="33" xfId="0" applyFont="1" applyFill="1" applyBorder="1" applyAlignment="1" applyProtection="1">
      <alignment vertical="center" wrapText="1"/>
    </xf>
    <xf numFmtId="0" fontId="36" fillId="0" borderId="0" xfId="0" applyFont="1" applyFill="1" applyBorder="1" applyAlignment="1" applyProtection="1">
      <alignment horizontal="right" vertical="center" wrapText="1"/>
    </xf>
    <xf numFmtId="0" fontId="0" fillId="0" borderId="33" xfId="0" applyBorder="1"/>
    <xf numFmtId="0" fontId="0" fillId="0" borderId="0" xfId="0" applyFont="1" applyAlignment="1">
      <alignment horizontal="left"/>
    </xf>
    <xf numFmtId="0" fontId="0" fillId="0" borderId="0" xfId="0" applyAlignment="1">
      <alignment horizontal="right"/>
    </xf>
    <xf numFmtId="0" fontId="0" fillId="0" borderId="0" xfId="0" applyFill="1" applyAlignment="1">
      <alignment horizontal="right"/>
    </xf>
    <xf numFmtId="0" fontId="0" fillId="0" borderId="0" xfId="0" applyFont="1" applyFill="1" applyAlignment="1">
      <alignment horizontal="right"/>
    </xf>
    <xf numFmtId="0" fontId="0" fillId="0" borderId="0" xfId="0" applyFont="1" applyAlignment="1">
      <alignment horizontal="center"/>
    </xf>
    <xf numFmtId="0" fontId="0" fillId="0" borderId="0" xfId="0" applyFill="1" applyAlignment="1">
      <alignment wrapText="1"/>
    </xf>
    <xf numFmtId="0" fontId="0" fillId="0" borderId="0" xfId="0" applyFill="1" applyAlignment="1"/>
    <xf numFmtId="49" fontId="0" fillId="0" borderId="0" xfId="0" applyNumberFormat="1" applyFill="1" applyAlignment="1"/>
    <xf numFmtId="0" fontId="1" fillId="35" borderId="1" xfId="1" applyFont="1" applyFill="1" applyBorder="1" applyAlignment="1">
      <alignment wrapText="1"/>
    </xf>
    <xf numFmtId="0" fontId="0" fillId="0" borderId="0" xfId="0"/>
    <xf numFmtId="0" fontId="6" fillId="18" borderId="1" xfId="1" applyFont="1" applyFill="1" applyBorder="1" applyAlignment="1">
      <alignment horizontal="center" vertical="center" wrapText="1"/>
    </xf>
    <xf numFmtId="0" fontId="1" fillId="18" borderId="1" xfId="1" applyFont="1" applyFill="1" applyBorder="1" applyAlignment="1">
      <alignment horizontal="center" vertical="center" wrapText="1"/>
    </xf>
    <xf numFmtId="0" fontId="0" fillId="0" borderId="0" xfId="0"/>
    <xf numFmtId="0" fontId="0" fillId="0" borderId="0" xfId="0" applyNumberFormat="1" applyFill="1"/>
    <xf numFmtId="0" fontId="0" fillId="4" borderId="0" xfId="0" applyFont="1" applyFill="1" applyAlignment="1">
      <alignment horizontal="center" wrapText="1"/>
    </xf>
    <xf numFmtId="0" fontId="0" fillId="0" borderId="0" xfId="0" applyFont="1" applyFill="1" applyAlignment="1">
      <alignment horizontal="left" wrapText="1"/>
    </xf>
    <xf numFmtId="0" fontId="0" fillId="4" borderId="0" xfId="0" applyFont="1" applyFill="1" applyAlignment="1">
      <alignment horizontal="left" wrapText="1"/>
    </xf>
    <xf numFmtId="0" fontId="1" fillId="36" borderId="17" xfId="1" applyFont="1" applyFill="1" applyBorder="1" applyAlignment="1">
      <alignment horizontal="left"/>
    </xf>
    <xf numFmtId="0" fontId="0" fillId="28" borderId="17" xfId="0" applyNumberFormat="1" applyFill="1" applyBorder="1" applyAlignment="1">
      <alignment horizontal="center" vertical="center"/>
    </xf>
    <xf numFmtId="0" fontId="1" fillId="0" borderId="14" xfId="1" applyFont="1" applyFill="1" applyBorder="1" applyAlignment="1">
      <alignment horizontal="center" vertical="center" wrapText="1"/>
    </xf>
    <xf numFmtId="0" fontId="1" fillId="0" borderId="5" xfId="1" applyFont="1" applyFill="1" applyBorder="1" applyAlignment="1">
      <alignment horizontal="center" vertical="center"/>
    </xf>
    <xf numFmtId="0" fontId="0" fillId="4" borderId="0" xfId="0" applyFont="1" applyFill="1" applyAlignment="1">
      <alignment horizontal="center" vertical="center" wrapText="1"/>
    </xf>
    <xf numFmtId="0" fontId="0" fillId="0" borderId="0" xfId="0"/>
    <xf numFmtId="0" fontId="17" fillId="39" borderId="0" xfId="7" applyFont="1" applyFill="1" applyBorder="1" applyAlignment="1" applyProtection="1">
      <alignment horizontal="center" vertical="center"/>
    </xf>
    <xf numFmtId="0" fontId="0" fillId="44" borderId="0" xfId="0" applyFill="1" applyBorder="1" applyAlignment="1">
      <alignment horizontal="center" vertical="center"/>
    </xf>
    <xf numFmtId="0" fontId="16" fillId="39" borderId="34" xfId="0" applyFont="1" applyFill="1" applyBorder="1" applyAlignment="1">
      <alignment horizontal="center" vertical="center" wrapText="1"/>
    </xf>
    <xf numFmtId="0" fontId="16" fillId="42" borderId="35" xfId="0" applyFont="1" applyFill="1" applyBorder="1" applyAlignment="1">
      <alignment horizontal="center" vertical="center"/>
    </xf>
    <xf numFmtId="1" fontId="16" fillId="38" borderId="36" xfId="11" applyNumberFormat="1" applyFont="1" applyFill="1" applyBorder="1" applyAlignment="1" applyProtection="1">
      <alignment horizontal="center" vertical="center" wrapText="1"/>
    </xf>
    <xf numFmtId="166" fontId="16" fillId="39" borderId="36" xfId="0" applyNumberFormat="1" applyFont="1" applyFill="1" applyBorder="1" applyAlignment="1">
      <alignment horizontal="center" vertical="center" wrapText="1"/>
    </xf>
    <xf numFmtId="14" fontId="16" fillId="39" borderId="36" xfId="0" applyNumberFormat="1" applyFont="1" applyFill="1" applyBorder="1" applyAlignment="1">
      <alignment horizontal="center" vertical="center" wrapText="1"/>
    </xf>
    <xf numFmtId="174" fontId="16" fillId="39" borderId="36" xfId="0" applyNumberFormat="1" applyFont="1" applyFill="1" applyBorder="1" applyAlignment="1">
      <alignment horizontal="center" vertical="center" wrapText="1"/>
    </xf>
    <xf numFmtId="0" fontId="16" fillId="39" borderId="36" xfId="0" applyFont="1" applyFill="1" applyBorder="1" applyAlignment="1">
      <alignment horizontal="center" vertical="center" wrapText="1"/>
    </xf>
    <xf numFmtId="168" fontId="16" fillId="39" borderId="36" xfId="0" applyNumberFormat="1" applyFont="1" applyFill="1" applyBorder="1" applyAlignment="1">
      <alignment horizontal="center" vertical="center" wrapText="1"/>
    </xf>
    <xf numFmtId="0" fontId="17" fillId="8" borderId="36" xfId="7" applyFill="1" applyBorder="1" applyAlignment="1" applyProtection="1">
      <alignment vertical="center" wrapText="1"/>
    </xf>
    <xf numFmtId="0" fontId="17" fillId="8" borderId="36" xfId="7" applyFill="1" applyBorder="1" applyAlignment="1" applyProtection="1">
      <alignment wrapText="1"/>
    </xf>
    <xf numFmtId="0" fontId="17" fillId="39" borderId="36" xfId="7" applyFont="1" applyFill="1" applyBorder="1" applyAlignment="1" applyProtection="1">
      <alignment horizontal="center" vertical="center"/>
    </xf>
    <xf numFmtId="2" fontId="16" fillId="39" borderId="36" xfId="0" applyNumberFormat="1" applyFont="1" applyFill="1" applyBorder="1" applyAlignment="1">
      <alignment horizontal="center" vertical="center" wrapText="1"/>
    </xf>
    <xf numFmtId="0" fontId="16" fillId="39" borderId="36" xfId="0" applyNumberFormat="1" applyFont="1" applyFill="1" applyBorder="1" applyAlignment="1">
      <alignment horizontal="center" vertical="center"/>
    </xf>
    <xf numFmtId="0" fontId="16" fillId="42" borderId="36" xfId="0" applyFont="1" applyFill="1" applyBorder="1" applyAlignment="1">
      <alignment horizontal="center" vertical="center" wrapText="1"/>
    </xf>
    <xf numFmtId="0" fontId="0" fillId="8" borderId="36" xfId="0" applyFill="1" applyBorder="1"/>
    <xf numFmtId="0" fontId="17" fillId="8" borderId="36" xfId="7" applyFill="1" applyBorder="1" applyAlignment="1">
      <alignment wrapText="1"/>
    </xf>
    <xf numFmtId="0" fontId="30" fillId="42" borderId="36" xfId="0" applyFont="1" applyFill="1" applyBorder="1" applyAlignment="1">
      <alignment horizontal="center" vertical="center" wrapText="1"/>
    </xf>
    <xf numFmtId="0" fontId="30" fillId="42" borderId="36" xfId="0" applyFont="1" applyFill="1" applyBorder="1" applyAlignment="1">
      <alignment horizontal="center" vertical="center"/>
    </xf>
    <xf numFmtId="166" fontId="0" fillId="8" borderId="36" xfId="0" applyNumberFormat="1" applyFill="1" applyBorder="1"/>
    <xf numFmtId="166" fontId="0" fillId="8" borderId="36" xfId="0" applyNumberFormat="1" applyFill="1" applyBorder="1" applyAlignment="1">
      <alignment horizontal="center" vertical="center"/>
    </xf>
    <xf numFmtId="0" fontId="16" fillId="25" borderId="36" xfId="0" applyFont="1" applyFill="1" applyBorder="1" applyAlignment="1">
      <alignment horizontal="center" vertical="center" wrapText="1"/>
    </xf>
    <xf numFmtId="0" fontId="17" fillId="8" borderId="36" xfId="7" applyFill="1" applyBorder="1" applyAlignment="1">
      <alignment vertical="center" wrapText="1"/>
    </xf>
    <xf numFmtId="0" fontId="17" fillId="39" borderId="36" xfId="7" applyFont="1" applyFill="1" applyBorder="1" applyAlignment="1" applyProtection="1">
      <alignment horizontal="center" vertical="center" wrapText="1"/>
    </xf>
    <xf numFmtId="0" fontId="16" fillId="39" borderId="36" xfId="0" applyNumberFormat="1" applyFont="1" applyFill="1" applyBorder="1" applyAlignment="1">
      <alignment horizontal="center" vertical="center" wrapText="1"/>
    </xf>
    <xf numFmtId="0" fontId="16" fillId="42" borderId="36" xfId="0" applyFont="1" applyFill="1" applyBorder="1" applyAlignment="1">
      <alignment horizontal="center" vertical="center"/>
    </xf>
    <xf numFmtId="0" fontId="0" fillId="8" borderId="36" xfId="0" applyFill="1" applyBorder="1" applyAlignment="1">
      <alignment wrapText="1"/>
    </xf>
    <xf numFmtId="173" fontId="16" fillId="39" borderId="36" xfId="0" applyNumberFormat="1" applyFont="1" applyFill="1" applyBorder="1" applyAlignment="1">
      <alignment horizontal="center" vertical="center" wrapText="1"/>
    </xf>
    <xf numFmtId="0" fontId="17" fillId="39" borderId="36" xfId="0" applyFont="1" applyFill="1" applyBorder="1" applyAlignment="1" applyProtection="1">
      <alignment horizontal="center" vertical="center" wrapText="1"/>
    </xf>
    <xf numFmtId="166" fontId="16" fillId="8" borderId="36" xfId="0" applyNumberFormat="1" applyFont="1" applyFill="1" applyBorder="1" applyAlignment="1">
      <alignment horizontal="center" vertical="center" wrapText="1"/>
    </xf>
    <xf numFmtId="0" fontId="16" fillId="8" borderId="36" xfId="0" applyFont="1" applyFill="1" applyBorder="1" applyAlignment="1">
      <alignment horizontal="center" vertical="center" wrapText="1"/>
    </xf>
    <xf numFmtId="0" fontId="37" fillId="8" borderId="36" xfId="7" applyFont="1" applyFill="1" applyBorder="1" applyAlignment="1">
      <alignment horizontal="center" vertical="center" wrapText="1"/>
    </xf>
    <xf numFmtId="0" fontId="37" fillId="8" borderId="36" xfId="7" applyFont="1" applyFill="1" applyBorder="1" applyAlignment="1" applyProtection="1">
      <alignment horizontal="center" vertical="center" wrapText="1"/>
    </xf>
    <xf numFmtId="0" fontId="37" fillId="39" borderId="36" xfId="7" applyFont="1" applyFill="1" applyBorder="1" applyAlignment="1" applyProtection="1">
      <alignment horizontal="center" vertical="center" wrapText="1"/>
    </xf>
    <xf numFmtId="0" fontId="16" fillId="30" borderId="36" xfId="0" applyFont="1" applyFill="1" applyBorder="1" applyAlignment="1">
      <alignment horizontal="center" vertical="center" wrapText="1"/>
    </xf>
    <xf numFmtId="0" fontId="16" fillId="25" borderId="36" xfId="0" applyFont="1" applyFill="1" applyBorder="1" applyAlignment="1">
      <alignment horizontal="center" vertical="center"/>
    </xf>
    <xf numFmtId="166" fontId="0" fillId="8" borderId="36" xfId="0" applyNumberFormat="1" applyFill="1" applyBorder="1" applyAlignment="1">
      <alignment horizontal="center" vertical="center" wrapText="1"/>
    </xf>
    <xf numFmtId="14" fontId="0" fillId="8" borderId="36" xfId="0" applyNumberFormat="1" applyFill="1" applyBorder="1"/>
    <xf numFmtId="0" fontId="16" fillId="8" borderId="36" xfId="0" applyFont="1" applyFill="1" applyBorder="1" applyAlignment="1">
      <alignment horizontal="center"/>
    </xf>
    <xf numFmtId="0" fontId="16" fillId="6" borderId="36" xfId="0" applyFont="1" applyFill="1" applyBorder="1" applyAlignment="1">
      <alignment horizontal="center" vertical="center"/>
    </xf>
    <xf numFmtId="0" fontId="16" fillId="43" borderId="36" xfId="0" applyFont="1" applyFill="1" applyBorder="1" applyAlignment="1">
      <alignment horizontal="center" vertical="center"/>
    </xf>
    <xf numFmtId="166" fontId="0" fillId="8" borderId="36" xfId="0" applyNumberFormat="1" applyFill="1" applyBorder="1" applyAlignment="1">
      <alignment wrapText="1"/>
    </xf>
    <xf numFmtId="0" fontId="16" fillId="8" borderId="36" xfId="0" applyFont="1" applyFill="1" applyBorder="1" applyAlignment="1">
      <alignment horizontal="center" vertical="center"/>
    </xf>
    <xf numFmtId="0" fontId="16" fillId="28" borderId="36" xfId="0" applyFont="1" applyFill="1" applyBorder="1" applyAlignment="1">
      <alignment horizontal="center"/>
    </xf>
    <xf numFmtId="0" fontId="17" fillId="0" borderId="36" xfId="7" applyBorder="1" applyProtection="1"/>
    <xf numFmtId="14" fontId="16" fillId="8" borderId="36" xfId="0" applyNumberFormat="1" applyFont="1" applyFill="1" applyBorder="1" applyAlignment="1">
      <alignment horizontal="center" vertical="center" wrapText="1"/>
    </xf>
    <xf numFmtId="166" fontId="16" fillId="42" borderId="36" xfId="0" applyNumberFormat="1" applyFont="1" applyFill="1" applyBorder="1" applyAlignment="1">
      <alignment horizontal="center" vertical="center" wrapText="1"/>
    </xf>
    <xf numFmtId="166" fontId="0" fillId="0" borderId="0" xfId="0" applyNumberFormat="1"/>
    <xf numFmtId="0" fontId="17" fillId="8" borderId="36" xfId="7" applyFont="1" applyFill="1" applyBorder="1" applyAlignment="1">
      <alignment vertical="center" wrapText="1"/>
    </xf>
    <xf numFmtId="0" fontId="16" fillId="8" borderId="0" xfId="0" applyFont="1" applyFill="1" applyAlignment="1">
      <alignment horizontal="center" vertical="center" wrapText="1"/>
    </xf>
    <xf numFmtId="14" fontId="16" fillId="25" borderId="36" xfId="11" applyNumberFormat="1" applyFont="1" applyFill="1" applyBorder="1" applyAlignment="1" applyProtection="1">
      <alignment horizontal="center" vertical="center" wrapText="1"/>
    </xf>
    <xf numFmtId="1" fontId="16" fillId="25" borderId="36" xfId="11" applyNumberFormat="1" applyFont="1" applyFill="1" applyBorder="1" applyAlignment="1" applyProtection="1">
      <alignment horizontal="center" vertical="center" wrapText="1"/>
    </xf>
    <xf numFmtId="49" fontId="16" fillId="39" borderId="36" xfId="0" applyNumberFormat="1" applyFont="1" applyFill="1" applyBorder="1" applyAlignment="1">
      <alignment horizontal="center" vertical="center" wrapText="1"/>
    </xf>
    <xf numFmtId="2" fontId="16" fillId="30" borderId="36" xfId="0" applyNumberFormat="1" applyFont="1" applyFill="1" applyBorder="1" applyAlignment="1">
      <alignment horizontal="center" vertical="center" wrapText="1"/>
    </xf>
    <xf numFmtId="166" fontId="16" fillId="25" borderId="36" xfId="0" applyNumberFormat="1" applyFont="1" applyFill="1" applyBorder="1" applyAlignment="1">
      <alignment horizontal="center" vertical="center" wrapText="1"/>
    </xf>
    <xf numFmtId="1" fontId="16" fillId="39" borderId="36" xfId="0" applyNumberFormat="1" applyFont="1" applyFill="1" applyBorder="1" applyAlignment="1">
      <alignment horizontal="center" vertical="center" wrapText="1"/>
    </xf>
    <xf numFmtId="172" fontId="16" fillId="39" borderId="36" xfId="0" applyNumberFormat="1" applyFont="1" applyFill="1" applyBorder="1" applyAlignment="1">
      <alignment horizontal="center" vertical="center" wrapText="1"/>
    </xf>
    <xf numFmtId="14" fontId="16" fillId="25" borderId="36" xfId="0" applyNumberFormat="1" applyFont="1" applyFill="1" applyBorder="1" applyAlignment="1">
      <alignment horizontal="center" vertical="center"/>
    </xf>
    <xf numFmtId="0" fontId="16" fillId="25" borderId="36" xfId="0" applyNumberFormat="1" applyFont="1" applyFill="1" applyBorder="1" applyAlignment="1">
      <alignment horizontal="center" vertical="center"/>
    </xf>
    <xf numFmtId="14" fontId="16" fillId="25" borderId="36" xfId="0" applyNumberFormat="1" applyFont="1" applyFill="1" applyBorder="1" applyAlignment="1">
      <alignment horizontal="center" vertical="center" wrapText="1"/>
    </xf>
    <xf numFmtId="0" fontId="16" fillId="25" borderId="36" xfId="0" applyFont="1" applyFill="1" applyBorder="1" applyAlignment="1">
      <alignment horizontal="center" wrapText="1"/>
    </xf>
    <xf numFmtId="166" fontId="40" fillId="39" borderId="36" xfId="0" applyNumberFormat="1" applyFont="1" applyFill="1" applyBorder="1" applyAlignment="1">
      <alignment horizontal="center" vertical="center" wrapText="1"/>
    </xf>
    <xf numFmtId="166" fontId="16" fillId="30" borderId="36" xfId="0" applyNumberFormat="1" applyFont="1" applyFill="1" applyBorder="1" applyAlignment="1">
      <alignment horizontal="center" vertical="center" wrapText="1"/>
    </xf>
    <xf numFmtId="168" fontId="16" fillId="30" borderId="36" xfId="0" applyNumberFormat="1" applyFont="1" applyFill="1" applyBorder="1" applyAlignment="1">
      <alignment horizontal="center" vertical="center" wrapText="1"/>
    </xf>
    <xf numFmtId="0" fontId="17" fillId="0" borderId="36" xfId="7" applyBorder="1"/>
    <xf numFmtId="166" fontId="16" fillId="8" borderId="0" xfId="0" applyNumberFormat="1" applyFont="1" applyFill="1" applyAlignment="1">
      <alignment horizontal="center" vertical="center" wrapText="1"/>
    </xf>
    <xf numFmtId="168" fontId="16" fillId="25" borderId="36" xfId="0" applyNumberFormat="1" applyFont="1" applyFill="1" applyBorder="1" applyAlignment="1">
      <alignment horizontal="center" vertical="center" wrapText="1"/>
    </xf>
    <xf numFmtId="0" fontId="17" fillId="8" borderId="36" xfId="7" applyNumberFormat="1" applyFill="1" applyBorder="1" applyAlignment="1">
      <alignment wrapText="1"/>
    </xf>
    <xf numFmtId="166" fontId="16" fillId="43" borderId="36" xfId="0" applyNumberFormat="1" applyFont="1" applyFill="1" applyBorder="1" applyAlignment="1">
      <alignment horizontal="center" vertical="center" wrapText="1"/>
    </xf>
    <xf numFmtId="0" fontId="17" fillId="8" borderId="36" xfId="7" applyNumberFormat="1" applyFill="1" applyBorder="1" applyAlignment="1">
      <alignment horizontal="center" wrapText="1" shrinkToFit="1"/>
    </xf>
    <xf numFmtId="0" fontId="16" fillId="30" borderId="36" xfId="0" applyNumberFormat="1" applyFont="1" applyFill="1" applyBorder="1" applyAlignment="1">
      <alignment horizontal="center" vertical="center" wrapText="1"/>
    </xf>
    <xf numFmtId="171" fontId="16" fillId="39" borderId="36" xfId="0" applyNumberFormat="1" applyFont="1" applyFill="1" applyBorder="1" applyAlignment="1">
      <alignment horizontal="center" vertical="center" wrapText="1"/>
    </xf>
    <xf numFmtId="168" fontId="16" fillId="39" borderId="36" xfId="0" applyNumberFormat="1" applyFont="1" applyFill="1" applyBorder="1" applyAlignment="1">
      <alignment horizontal="center" vertical="center"/>
    </xf>
    <xf numFmtId="0" fontId="16" fillId="37" borderId="36" xfId="0" applyFont="1" applyFill="1" applyBorder="1" applyAlignment="1">
      <alignment horizontal="center" vertical="center" wrapText="1"/>
    </xf>
    <xf numFmtId="0" fontId="16" fillId="40" borderId="36" xfId="0" applyFont="1" applyFill="1" applyBorder="1" applyAlignment="1">
      <alignment horizontal="center" vertical="center" wrapText="1"/>
    </xf>
    <xf numFmtId="0" fontId="16" fillId="41" borderId="36" xfId="0" applyFont="1" applyFill="1" applyBorder="1" applyAlignment="1">
      <alignment horizontal="center" vertical="center" wrapText="1"/>
    </xf>
    <xf numFmtId="0" fontId="16" fillId="43" borderId="36" xfId="0" applyFont="1" applyFill="1" applyBorder="1" applyAlignment="1">
      <alignment horizontal="center" vertical="center" wrapText="1"/>
    </xf>
    <xf numFmtId="0" fontId="37" fillId="39" borderId="36" xfId="0" applyFont="1" applyFill="1" applyBorder="1" applyAlignment="1" applyProtection="1">
      <alignment horizontal="center" vertical="center" wrapText="1"/>
    </xf>
    <xf numFmtId="0" fontId="0" fillId="39" borderId="36" xfId="0" applyFont="1" applyFill="1" applyBorder="1" applyAlignment="1">
      <alignment horizontal="center" vertical="center" wrapText="1"/>
    </xf>
    <xf numFmtId="168" fontId="38" fillId="39" borderId="36" xfId="7" applyNumberFormat="1" applyFont="1" applyFill="1" applyBorder="1" applyAlignment="1" applyProtection="1">
      <alignment horizontal="center" vertical="center" wrapText="1"/>
    </xf>
    <xf numFmtId="168" fontId="17" fillId="39" borderId="36" xfId="7" applyNumberFormat="1" applyFont="1" applyFill="1" applyBorder="1" applyAlignment="1" applyProtection="1">
      <alignment horizontal="center" vertical="center" wrapText="1"/>
    </xf>
    <xf numFmtId="0" fontId="39" fillId="39" borderId="36" xfId="0" applyFont="1" applyFill="1" applyBorder="1" applyAlignment="1">
      <alignment horizontal="center" vertical="center" wrapText="1"/>
    </xf>
    <xf numFmtId="0" fontId="16" fillId="22" borderId="36" xfId="0" applyFont="1" applyFill="1" applyBorder="1" applyAlignment="1">
      <alignment horizontal="center" vertical="center" wrapText="1"/>
    </xf>
    <xf numFmtId="0" fontId="16" fillId="39" borderId="36" xfId="0" applyFont="1" applyFill="1" applyBorder="1" applyAlignment="1">
      <alignment horizontal="center" vertical="center"/>
    </xf>
    <xf numFmtId="0" fontId="39" fillId="45" borderId="36" xfId="11" applyFont="1" applyFill="1" applyBorder="1" applyAlignment="1" applyProtection="1">
      <alignment horizontal="center" vertical="center" wrapText="1"/>
    </xf>
    <xf numFmtId="1" fontId="39" fillId="23" borderId="4" xfId="11" applyNumberFormat="1" applyFont="1" applyBorder="1" applyAlignment="1" applyProtection="1">
      <alignment horizontal="center" vertical="center" wrapText="1"/>
    </xf>
    <xf numFmtId="166" fontId="39" fillId="46" borderId="4" xfId="11" applyNumberFormat="1" applyFont="1" applyFill="1" applyBorder="1" applyAlignment="1" applyProtection="1">
      <alignment horizontal="center" vertical="center" wrapText="1"/>
    </xf>
    <xf numFmtId="14" fontId="39" fillId="46" borderId="4" xfId="11" applyNumberFormat="1" applyFont="1" applyFill="1" applyBorder="1" applyAlignment="1" applyProtection="1">
      <alignment horizontal="center" vertical="center" wrapText="1"/>
    </xf>
    <xf numFmtId="14" fontId="39" fillId="41" borderId="4" xfId="11" applyNumberFormat="1" applyFont="1" applyFill="1" applyBorder="1" applyAlignment="1" applyProtection="1">
      <alignment horizontal="center" vertical="center" wrapText="1"/>
    </xf>
    <xf numFmtId="166" fontId="39" fillId="41" borderId="4" xfId="11" applyNumberFormat="1" applyFont="1" applyFill="1" applyBorder="1" applyAlignment="1" applyProtection="1">
      <alignment horizontal="center" vertical="center" wrapText="1"/>
    </xf>
    <xf numFmtId="0" fontId="39" fillId="46" borderId="4" xfId="11" applyFont="1" applyFill="1" applyBorder="1" applyAlignment="1" applyProtection="1">
      <alignment horizontal="center" vertical="center" wrapText="1"/>
    </xf>
    <xf numFmtId="0" fontId="39" fillId="47" borderId="4" xfId="11" applyFont="1" applyFill="1" applyBorder="1" applyAlignment="1" applyProtection="1">
      <alignment horizontal="center" vertical="center" wrapText="1"/>
    </xf>
    <xf numFmtId="0" fontId="39" fillId="47" borderId="0" xfId="0" applyFont="1" applyFill="1" applyAlignment="1">
      <alignment horizontal="center" vertical="center" wrapText="1"/>
    </xf>
    <xf numFmtId="165" fontId="39" fillId="47" borderId="4" xfId="11" applyNumberFormat="1" applyFont="1" applyFill="1" applyBorder="1" applyAlignment="1" applyProtection="1">
      <alignment horizontal="center" vertical="center" wrapText="1"/>
    </xf>
    <xf numFmtId="0" fontId="39" fillId="48" borderId="4" xfId="11" applyFont="1" applyFill="1" applyBorder="1" applyAlignment="1" applyProtection="1">
      <alignment horizontal="center" vertical="center" wrapText="1"/>
    </xf>
    <xf numFmtId="165" fontId="39" fillId="48" borderId="4" xfId="11" applyNumberFormat="1" applyFont="1" applyFill="1" applyBorder="1" applyAlignment="1" applyProtection="1">
      <alignment horizontal="center" vertical="center" wrapText="1"/>
    </xf>
    <xf numFmtId="14" fontId="39" fillId="48" borderId="4" xfId="11" applyNumberFormat="1" applyFont="1" applyFill="1" applyBorder="1" applyAlignment="1" applyProtection="1">
      <alignment horizontal="center" vertical="center" wrapText="1"/>
    </xf>
    <xf numFmtId="0" fontId="39" fillId="49" borderId="4" xfId="11" applyFont="1" applyFill="1" applyBorder="1" applyAlignment="1" applyProtection="1">
      <alignment horizontal="center" vertical="center" wrapText="1"/>
    </xf>
    <xf numFmtId="0" fontId="39" fillId="49" borderId="4" xfId="11" applyNumberFormat="1" applyFont="1" applyFill="1" applyBorder="1" applyAlignment="1" applyProtection="1">
      <alignment horizontal="center" vertical="center" wrapText="1"/>
    </xf>
    <xf numFmtId="49" fontId="39" fillId="49" borderId="4" xfId="11" applyNumberFormat="1" applyFont="1" applyFill="1" applyBorder="1" applyAlignment="1" applyProtection="1">
      <alignment horizontal="center" vertical="center" wrapText="1"/>
    </xf>
    <xf numFmtId="2" fontId="39" fillId="49" borderId="4" xfId="11" applyNumberFormat="1" applyFont="1" applyFill="1" applyBorder="1" applyAlignment="1" applyProtection="1">
      <alignment horizontal="center" vertical="center" wrapText="1"/>
    </xf>
    <xf numFmtId="2" fontId="39" fillId="50" borderId="4" xfId="11" applyNumberFormat="1" applyFont="1" applyFill="1" applyBorder="1" applyAlignment="1" applyProtection="1">
      <alignment horizontal="center" vertical="center" wrapText="1"/>
    </xf>
    <xf numFmtId="0" fontId="39" fillId="23" borderId="36" xfId="11" applyFont="1" applyBorder="1" applyAlignment="1" applyProtection="1">
      <alignment horizontal="center" vertical="center" wrapText="1"/>
    </xf>
    <xf numFmtId="0" fontId="39" fillId="23" borderId="37" xfId="11" applyFont="1" applyBorder="1" applyAlignment="1" applyProtection="1">
      <alignment horizontal="center" vertical="center" wrapText="1"/>
    </xf>
    <xf numFmtId="166" fontId="39" fillId="23" borderId="37" xfId="11" applyNumberFormat="1" applyFont="1" applyBorder="1" applyAlignment="1" applyProtection="1">
      <alignment horizontal="center" vertical="center" wrapText="1"/>
    </xf>
    <xf numFmtId="0" fontId="16" fillId="47" borderId="36" xfId="0" applyNumberFormat="1" applyFont="1" applyFill="1" applyBorder="1" applyAlignment="1">
      <alignment horizontal="center" vertical="center" wrapText="1"/>
    </xf>
    <xf numFmtId="0" fontId="16" fillId="47" borderId="36" xfId="0" applyFont="1" applyFill="1" applyBorder="1" applyAlignment="1">
      <alignment horizontal="center" vertical="center" wrapText="1"/>
    </xf>
    <xf numFmtId="166" fontId="39" fillId="44" borderId="4" xfId="11" applyNumberFormat="1" applyFont="1" applyFill="1" applyBorder="1" applyAlignment="1" applyProtection="1">
      <alignment horizontal="center" vertical="center" wrapText="1"/>
    </xf>
    <xf numFmtId="174" fontId="39" fillId="44" borderId="4" xfId="11" applyNumberFormat="1" applyFont="1" applyFill="1" applyBorder="1" applyAlignment="1" applyProtection="1">
      <alignment horizontal="center" vertical="center" wrapText="1"/>
    </xf>
    <xf numFmtId="0" fontId="39" fillId="50" borderId="4" xfId="11" applyFont="1" applyFill="1" applyBorder="1" applyAlignment="1" applyProtection="1">
      <alignment horizontal="center" vertical="center" wrapText="1"/>
    </xf>
    <xf numFmtId="0" fontId="39" fillId="44" borderId="4" xfId="11" applyFont="1" applyFill="1" applyBorder="1" applyAlignment="1" applyProtection="1">
      <alignment horizontal="center" vertical="center" wrapText="1"/>
    </xf>
    <xf numFmtId="14" fontId="13" fillId="7" borderId="36" xfId="3" applyNumberFormat="1" applyFont="1" applyFill="1" applyBorder="1" applyAlignment="1">
      <alignment horizontal="center" vertical="center" wrapText="1"/>
    </xf>
    <xf numFmtId="0" fontId="16" fillId="0" borderId="0" xfId="0" applyFont="1" applyAlignment="1">
      <alignment horizontal="center" vertical="center" wrapText="1"/>
    </xf>
    <xf numFmtId="0" fontId="0" fillId="0" borderId="36" xfId="0" applyFont="1" applyFill="1" applyBorder="1" applyAlignment="1">
      <alignment horizontal="center" wrapText="1"/>
    </xf>
    <xf numFmtId="0" fontId="0" fillId="0" borderId="36" xfId="0" applyNumberFormat="1" applyBorder="1"/>
    <xf numFmtId="0" fontId="0" fillId="0" borderId="36" xfId="0" applyBorder="1" applyAlignment="1">
      <alignment horizontal="left"/>
    </xf>
    <xf numFmtId="0" fontId="6" fillId="0" borderId="17" xfId="1" applyFont="1" applyFill="1" applyBorder="1" applyAlignment="1">
      <alignment horizontal="left"/>
    </xf>
    <xf numFmtId="0" fontId="6" fillId="28" borderId="17" xfId="1" applyFont="1" applyFill="1" applyBorder="1" applyAlignment="1">
      <alignment horizontal="center" vertical="center"/>
    </xf>
    <xf numFmtId="0" fontId="1" fillId="0" borderId="14" xfId="2" applyNumberFormat="1" applyFont="1" applyFill="1" applyBorder="1" applyAlignment="1">
      <alignment horizontal="center" vertical="center" wrapText="1"/>
    </xf>
    <xf numFmtId="0" fontId="1" fillId="36" borderId="17" xfId="1" applyFont="1" applyFill="1" applyBorder="1" applyAlignment="1">
      <alignment horizontal="center"/>
    </xf>
    <xf numFmtId="0" fontId="1" fillId="0" borderId="14" xfId="2" applyNumberFormat="1" applyFont="1" applyFill="1" applyBorder="1" applyAlignment="1">
      <alignment horizontal="center" wrapText="1"/>
    </xf>
    <xf numFmtId="0" fontId="0" fillId="0" borderId="0" xfId="0"/>
    <xf numFmtId="0" fontId="0" fillId="0" borderId="0" xfId="0" pivotButton="1"/>
    <xf numFmtId="0" fontId="4" fillId="0" borderId="0" xfId="0" applyNumberFormat="1" applyFont="1" applyBorder="1" applyAlignment="1">
      <alignment horizontal="center" vertical="center"/>
    </xf>
    <xf numFmtId="0" fontId="0" fillId="51" borderId="0" xfId="0" applyFill="1" applyAlignment="1">
      <alignment horizontal="center" vertical="center"/>
    </xf>
    <xf numFmtId="0" fontId="0" fillId="4" borderId="0" xfId="0" applyFill="1" applyAlignment="1">
      <alignment horizontal="center" vertical="center"/>
    </xf>
    <xf numFmtId="0" fontId="0" fillId="0" borderId="36" xfId="0" applyBorder="1" applyAlignment="1">
      <alignment horizontal="center" vertical="center"/>
    </xf>
    <xf numFmtId="0" fontId="0" fillId="28" borderId="38" xfId="0" applyFill="1" applyBorder="1" applyAlignment="1">
      <alignment horizontal="center" vertical="center" wrapText="1"/>
    </xf>
    <xf numFmtId="170" fontId="0" fillId="0" borderId="36" xfId="0" applyNumberFormat="1" applyBorder="1" applyAlignment="1">
      <alignment horizontal="center" vertical="center"/>
    </xf>
    <xf numFmtId="170" fontId="0" fillId="0" borderId="23" xfId="0" applyNumberFormat="1" applyBorder="1" applyAlignment="1">
      <alignment horizontal="center" vertical="center"/>
    </xf>
    <xf numFmtId="170" fontId="0" fillId="0" borderId="24" xfId="0" applyNumberFormat="1" applyBorder="1" applyAlignment="1">
      <alignment horizontal="center" vertical="center"/>
    </xf>
    <xf numFmtId="0" fontId="0" fillId="0" borderId="18" xfId="0" applyFill="1" applyBorder="1" applyAlignment="1">
      <alignment horizontal="center" vertical="center"/>
    </xf>
    <xf numFmtId="0" fontId="0" fillId="0" borderId="19" xfId="0" applyFill="1" applyBorder="1" applyAlignment="1">
      <alignment horizontal="center" vertical="center"/>
    </xf>
    <xf numFmtId="0" fontId="0" fillId="0" borderId="20" xfId="0" applyBorder="1" applyAlignment="1">
      <alignment horizontal="center" vertical="center"/>
    </xf>
    <xf numFmtId="170" fontId="0" fillId="0" borderId="36" xfId="0" applyNumberFormat="1" applyFill="1" applyBorder="1" applyAlignment="1">
      <alignment horizontal="center" vertical="center"/>
    </xf>
    <xf numFmtId="170" fontId="0" fillId="0" borderId="21" xfId="0" applyNumberFormat="1" applyFill="1" applyBorder="1" applyAlignment="1">
      <alignment horizontal="center" vertical="center"/>
    </xf>
    <xf numFmtId="0" fontId="0" fillId="0" borderId="28" xfId="0" applyFill="1" applyBorder="1" applyAlignment="1">
      <alignment horizontal="center" vertical="center"/>
    </xf>
    <xf numFmtId="0" fontId="0" fillId="0" borderId="29" xfId="0" applyFill="1" applyBorder="1" applyAlignment="1">
      <alignment horizontal="center" vertical="center"/>
    </xf>
    <xf numFmtId="167" fontId="0" fillId="0" borderId="21" xfId="4" applyNumberFormat="1" applyFont="1" applyFill="1" applyBorder="1" applyAlignment="1">
      <alignment horizontal="center" vertical="center"/>
    </xf>
    <xf numFmtId="0" fontId="0" fillId="0" borderId="23" xfId="0" applyBorder="1" applyAlignment="1">
      <alignment horizontal="center" vertical="center"/>
    </xf>
    <xf numFmtId="167" fontId="0" fillId="19" borderId="24" xfId="4" applyNumberFormat="1" applyFont="1" applyFill="1" applyBorder="1" applyAlignment="1">
      <alignment horizontal="center" vertical="center"/>
    </xf>
    <xf numFmtId="0" fontId="0" fillId="0" borderId="22" xfId="0" applyBorder="1" applyAlignment="1">
      <alignment horizontal="center" vertical="center"/>
    </xf>
    <xf numFmtId="170" fontId="0" fillId="0" borderId="23" xfId="0" applyNumberFormat="1" applyFill="1" applyBorder="1" applyAlignment="1">
      <alignment horizontal="center" vertical="center"/>
    </xf>
    <xf numFmtId="170" fontId="0" fillId="0" borderId="24" xfId="0" applyNumberFormat="1" applyFill="1" applyBorder="1" applyAlignment="1">
      <alignment horizontal="center" vertical="center"/>
    </xf>
    <xf numFmtId="0" fontId="12" fillId="0" borderId="13" xfId="0" applyFont="1" applyBorder="1" applyAlignment="1">
      <alignment vertical="center" wrapText="1"/>
    </xf>
    <xf numFmtId="0" fontId="0" fillId="29" borderId="0" xfId="0" applyFont="1" applyFill="1" applyBorder="1" applyAlignment="1">
      <alignment horizontal="center" vertical="center" wrapText="1"/>
    </xf>
    <xf numFmtId="0" fontId="0" fillId="0" borderId="0" xfId="0"/>
    <xf numFmtId="0" fontId="0" fillId="0" borderId="39" xfId="0" applyBorder="1"/>
    <xf numFmtId="0" fontId="0" fillId="0" borderId="40" xfId="0" applyBorder="1"/>
    <xf numFmtId="0" fontId="0" fillId="0" borderId="41" xfId="0" applyBorder="1"/>
    <xf numFmtId="0" fontId="0" fillId="0" borderId="0" xfId="0" applyFont="1" applyFill="1" applyBorder="1" applyAlignment="1">
      <alignment horizontal="center" wrapText="1"/>
    </xf>
    <xf numFmtId="0" fontId="0" fillId="28" borderId="30" xfId="0" applyFont="1" applyFill="1" applyBorder="1" applyAlignment="1">
      <alignment horizontal="center" vertical="center" wrapText="1"/>
    </xf>
    <xf numFmtId="0" fontId="0" fillId="28" borderId="42" xfId="0" applyFont="1" applyFill="1" applyBorder="1" applyAlignment="1">
      <alignment horizontal="center" vertical="center" wrapText="1"/>
    </xf>
    <xf numFmtId="0" fontId="0" fillId="28" borderId="31" xfId="0" applyFont="1" applyFill="1" applyBorder="1" applyAlignment="1">
      <alignment horizontal="center" vertical="center" wrapText="1"/>
    </xf>
    <xf numFmtId="0" fontId="0" fillId="0" borderId="20" xfId="0" applyFont="1" applyFill="1" applyBorder="1" applyAlignment="1">
      <alignment horizontal="center" vertical="center" wrapText="1"/>
    </xf>
    <xf numFmtId="9" fontId="0" fillId="0" borderId="36" xfId="2" applyFont="1" applyFill="1" applyBorder="1" applyAlignment="1">
      <alignment horizontal="center" vertical="center" wrapText="1"/>
    </xf>
    <xf numFmtId="9" fontId="0" fillId="0" borderId="21" xfId="2" applyFont="1" applyFill="1" applyBorder="1" applyAlignment="1">
      <alignment horizontal="center" vertical="center" wrapText="1"/>
    </xf>
    <xf numFmtId="0" fontId="0" fillId="0" borderId="36" xfId="0" applyFont="1" applyFill="1" applyBorder="1" applyAlignment="1">
      <alignment horizontal="center" vertical="center" wrapText="1"/>
    </xf>
    <xf numFmtId="0" fontId="0" fillId="0" borderId="21" xfId="0" applyFont="1" applyFill="1" applyBorder="1" applyAlignment="1">
      <alignment horizontal="center" vertical="center" wrapText="1"/>
    </xf>
    <xf numFmtId="0" fontId="0" fillId="0" borderId="43" xfId="0" applyFont="1" applyFill="1" applyBorder="1" applyAlignment="1">
      <alignment horizontal="center" vertical="center" wrapText="1"/>
    </xf>
    <xf numFmtId="9" fontId="0" fillId="0" borderId="37" xfId="2" applyFont="1" applyFill="1" applyBorder="1" applyAlignment="1">
      <alignment horizontal="center" vertical="center" wrapText="1"/>
    </xf>
    <xf numFmtId="9" fontId="0" fillId="0" borderId="44" xfId="2" applyFont="1" applyFill="1" applyBorder="1" applyAlignment="1">
      <alignment horizontal="center" vertical="center" wrapText="1"/>
    </xf>
    <xf numFmtId="0" fontId="0" fillId="52" borderId="38" xfId="0" applyFont="1" applyFill="1" applyBorder="1" applyAlignment="1">
      <alignment horizontal="center" vertical="center" wrapText="1"/>
    </xf>
    <xf numFmtId="0" fontId="0" fillId="52" borderId="18" xfId="0" applyNumberFormat="1" applyFont="1" applyFill="1" applyBorder="1" applyAlignment="1">
      <alignment horizontal="center" vertical="center" wrapText="1"/>
    </xf>
    <xf numFmtId="0" fontId="0" fillId="52" borderId="22" xfId="0" applyFont="1" applyFill="1" applyBorder="1" applyAlignment="1">
      <alignment horizontal="center" vertical="center" wrapText="1"/>
    </xf>
    <xf numFmtId="9" fontId="0" fillId="52" borderId="23" xfId="2" applyFont="1" applyFill="1" applyBorder="1" applyAlignment="1">
      <alignment horizontal="center" vertical="center" wrapText="1"/>
    </xf>
    <xf numFmtId="9" fontId="0" fillId="52" borderId="24" xfId="2" applyFont="1" applyFill="1" applyBorder="1" applyAlignment="1">
      <alignment horizontal="center" vertical="center" wrapText="1"/>
    </xf>
    <xf numFmtId="0" fontId="0" fillId="52" borderId="19" xfId="0" applyNumberFormat="1" applyFont="1" applyFill="1" applyBorder="1" applyAlignment="1">
      <alignment horizontal="center" vertical="center" wrapText="1"/>
    </xf>
    <xf numFmtId="0" fontId="20" fillId="15" borderId="7" xfId="0" applyFont="1" applyFill="1" applyBorder="1" applyAlignment="1">
      <alignment horizontal="center" vertical="center" wrapText="1"/>
    </xf>
    <xf numFmtId="0" fontId="21" fillId="15" borderId="8" xfId="0" applyFont="1" applyFill="1" applyBorder="1" applyAlignment="1">
      <alignment horizontal="center" vertical="center" wrapText="1"/>
    </xf>
    <xf numFmtId="0" fontId="21" fillId="15" borderId="9" xfId="0" applyFont="1" applyFill="1" applyBorder="1" applyAlignment="1">
      <alignment horizontal="center" vertical="center" wrapText="1"/>
    </xf>
    <xf numFmtId="0" fontId="9" fillId="14" borderId="6" xfId="0" applyFont="1" applyFill="1" applyBorder="1" applyAlignment="1">
      <alignment vertical="center" wrapText="1"/>
    </xf>
    <xf numFmtId="0" fontId="19" fillId="14" borderId="6" xfId="0" applyFont="1" applyFill="1" applyBorder="1" applyAlignment="1">
      <alignment vertical="center" wrapText="1"/>
    </xf>
    <xf numFmtId="0" fontId="21" fillId="15" borderId="8" xfId="0" applyFont="1" applyFill="1" applyBorder="1" applyAlignment="1">
      <alignment vertical="center" wrapText="1"/>
    </xf>
    <xf numFmtId="0" fontId="21" fillId="15" borderId="9" xfId="0" applyFont="1" applyFill="1" applyBorder="1" applyAlignment="1">
      <alignment vertical="center" wrapText="1"/>
    </xf>
    <xf numFmtId="0" fontId="20" fillId="15" borderId="9" xfId="0" applyFont="1" applyFill="1" applyBorder="1" applyAlignment="1">
      <alignment horizontal="center" vertical="center" wrapText="1"/>
    </xf>
    <xf numFmtId="0" fontId="20" fillId="15" borderId="8" xfId="0" applyFont="1" applyFill="1" applyBorder="1" applyAlignment="1">
      <alignment horizontal="center" vertical="center" wrapText="1"/>
    </xf>
    <xf numFmtId="0" fontId="0" fillId="29" borderId="0" xfId="0" applyFont="1" applyFill="1" applyBorder="1" applyAlignment="1">
      <alignment horizontal="center" vertical="center" wrapText="1"/>
    </xf>
    <xf numFmtId="0" fontId="4" fillId="0" borderId="3" xfId="0" applyFont="1" applyBorder="1" applyAlignment="1">
      <alignment horizontal="center" wrapText="1"/>
    </xf>
    <xf numFmtId="0" fontId="0" fillId="0" borderId="0" xfId="0"/>
    <xf numFmtId="0" fontId="10" fillId="5" borderId="27" xfId="0" applyFont="1" applyFill="1" applyBorder="1" applyAlignment="1">
      <alignment horizontal="center" wrapText="1"/>
    </xf>
    <xf numFmtId="0" fontId="10" fillId="5" borderId="0" xfId="0" applyFont="1" applyFill="1" applyBorder="1" applyAlignment="1">
      <alignment horizontal="center" wrapText="1"/>
    </xf>
    <xf numFmtId="0" fontId="0" fillId="0" borderId="0" xfId="0" applyBorder="1" applyAlignment="1">
      <alignment horizontal="center" vertical="center" wrapText="1"/>
    </xf>
    <xf numFmtId="0" fontId="0" fillId="0" borderId="0" xfId="0" applyAlignment="1">
      <alignment horizontal="center" vertical="center" wrapText="1"/>
    </xf>
    <xf numFmtId="0" fontId="0" fillId="19" borderId="0" xfId="0" applyFill="1" applyBorder="1" applyAlignment="1">
      <alignment horizontal="center" vertical="center"/>
    </xf>
    <xf numFmtId="0" fontId="0" fillId="19" borderId="0" xfId="0" applyFill="1" applyAlignment="1">
      <alignment horizontal="center" vertical="center"/>
    </xf>
    <xf numFmtId="0" fontId="0" fillId="0" borderId="0" xfId="0" pivotButton="1"/>
    <xf numFmtId="0" fontId="4" fillId="14" borderId="30" xfId="0" applyFont="1" applyFill="1" applyBorder="1" applyAlignment="1">
      <alignment horizontal="center"/>
    </xf>
    <xf numFmtId="0" fontId="4" fillId="14" borderId="31" xfId="0" applyFont="1" applyFill="1" applyBorder="1" applyAlignment="1">
      <alignment horizontal="center"/>
    </xf>
  </cellXfs>
  <cellStyles count="12">
    <cellStyle name="Accent2" xfId="3" builtinId="33"/>
    <cellStyle name="Excel Built-in Explanatory Text" xfId="11"/>
    <cellStyle name="Excel Built-in Hyperlink" xfId="10"/>
    <cellStyle name="Lien hypertexte 2" xfId="7"/>
    <cellStyle name="Lien hypertexte 3" xfId="9"/>
    <cellStyle name="Milliers" xfId="4" builtinId="3"/>
    <cellStyle name="Normal" xfId="0" builtinId="0"/>
    <cellStyle name="Normal 2" xfId="5"/>
    <cellStyle name="Normal 3" xfId="6"/>
    <cellStyle name="Normal_Feuil1" xfId="1"/>
    <cellStyle name="Pourcentage" xfId="2" builtinId="5"/>
    <cellStyle name="Texte explicatif 2" xfId="8"/>
  </cellStyles>
  <dxfs count="42">
    <dxf>
      <numFmt numFmtId="175" formatCode="_-* #,##0\ &quot;€&quot;_-;\-* #,##0\ &quot;€&quot;_-;_-* &quot;-&quot;??\ &quot;€&quot;_-;_-@_-"/>
    </dxf>
    <dxf>
      <numFmt numFmtId="175" formatCode="_-* #,##0\ &quot;€&quot;_-;\-* #,##0\ &quot;€&quot;_-;_-* &quot;-&quot;??\ &quot;€&quot;_-;_-@_-"/>
    </dxf>
    <dxf>
      <numFmt numFmtId="175" formatCode="_-* #,##0\ &quot;€&quot;_-;\-* #,##0\ &quot;€&quot;_-;_-* &quot;-&quot;??\ &quot;€&quot;_-;_-@_-"/>
    </dxf>
    <dxf>
      <numFmt numFmtId="175" formatCode="_-* #,##0\ &quot;€&quot;_-;\-* #,##0\ &quot;€&quot;_-;_-* &quot;-&quot;??\ &quot;€&quot;_-;_-@_-"/>
    </dxf>
    <dxf>
      <numFmt numFmtId="175" formatCode="_-* #,##0\ &quot;€&quot;_-;\-* #,##0\ &quot;€&quot;_-;_-* &quot;-&quot;??\ &quot;€&quot;_-;_-@_-"/>
    </dxf>
    <dxf>
      <fill>
        <patternFill>
          <bgColor rgb="FFFFF2CC"/>
        </patternFill>
      </fill>
    </dxf>
    <dxf>
      <fill>
        <patternFill>
          <bgColor rgb="FFFFF2CC"/>
        </patternFill>
      </fill>
    </dxf>
    <dxf>
      <fill>
        <patternFill>
          <bgColor rgb="FFFFF2CC"/>
        </patternFill>
      </fill>
    </dxf>
    <dxf>
      <fill>
        <patternFill>
          <bgColor rgb="FFFFF2CC"/>
        </patternFill>
      </fill>
    </dxf>
    <dxf>
      <fill>
        <patternFill>
          <bgColor rgb="FFFFF2CC"/>
        </patternFill>
      </fill>
    </dxf>
    <dxf>
      <fill>
        <patternFill>
          <bgColor rgb="FFFFF2CC"/>
        </patternFill>
      </fill>
    </dxf>
    <dxf>
      <fill>
        <patternFill>
          <bgColor rgb="FFFFF2CC"/>
        </patternFill>
      </fill>
    </dxf>
    <dxf>
      <fill>
        <patternFill>
          <bgColor rgb="FFFFF2CC"/>
        </patternFill>
      </fill>
    </dxf>
    <dxf>
      <fill>
        <patternFill>
          <bgColor rgb="FFFFF2CC"/>
        </patternFill>
      </fill>
    </dxf>
    <dxf>
      <fill>
        <patternFill>
          <bgColor rgb="FFFFF2CC"/>
        </patternFill>
      </fill>
    </dxf>
    <dxf>
      <fill>
        <patternFill>
          <bgColor rgb="FFFFF2CC"/>
        </patternFill>
      </fill>
    </dxf>
    <dxf>
      <fill>
        <patternFill>
          <bgColor rgb="FFFFF2CC"/>
        </patternFill>
      </fill>
    </dxf>
    <dxf>
      <fill>
        <patternFill>
          <bgColor rgb="FFFFF2CC"/>
        </patternFill>
      </fill>
    </dxf>
    <dxf>
      <fill>
        <patternFill>
          <bgColor rgb="FFFFF2CC"/>
        </patternFill>
      </fill>
    </dxf>
    <dxf>
      <fill>
        <patternFill>
          <bgColor rgb="FFFFF2CC"/>
        </patternFill>
      </fill>
    </dxf>
    <dxf>
      <fill>
        <patternFill>
          <bgColor rgb="FFFFF2CC"/>
        </patternFill>
      </fill>
    </dxf>
    <dxf>
      <fill>
        <patternFill>
          <bgColor rgb="FFFFF2CC"/>
        </patternFill>
      </fill>
    </dxf>
    <dxf>
      <fill>
        <patternFill>
          <bgColor rgb="FFFFF2CC"/>
        </patternFill>
      </fill>
    </dxf>
    <dxf>
      <fill>
        <patternFill>
          <bgColor rgb="FFFFF2CC"/>
        </patternFill>
      </fill>
    </dxf>
    <dxf>
      <fill>
        <patternFill>
          <bgColor rgb="FFFFF2CC"/>
        </patternFill>
      </fill>
    </dxf>
    <dxf>
      <fill>
        <patternFill>
          <bgColor rgb="FFFFF2CC"/>
        </patternFill>
      </fill>
    </dxf>
    <dxf>
      <fill>
        <patternFill>
          <bgColor rgb="FFFFF2CC"/>
        </patternFill>
      </fill>
    </dxf>
    <dxf>
      <fill>
        <patternFill>
          <bgColor rgb="FFFFF2CC"/>
        </patternFill>
      </fill>
    </dxf>
    <dxf>
      <fill>
        <patternFill>
          <bgColor rgb="FFFFF2CC"/>
        </patternFill>
      </fill>
    </dxf>
    <dxf>
      <fill>
        <patternFill>
          <bgColor rgb="FFFFF2CC"/>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s>
  <tableStyles count="0" defaultTableStyle="TableStyleMedium2" defaultPivotStyle="PivotStyleLight16"/>
  <colors>
    <mruColors>
      <color rgb="FF15FF4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pivotCacheDefinition" Target="pivotCache/pivotCacheDefinition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4.xml"/></Relationships>
</file>

<file path=xl/charts/_rels/chart1.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3" Type="http://schemas.openxmlformats.org/officeDocument/2006/relationships/themeOverride" Target="../theme/themeOverride7.xml"/><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3" Type="http://schemas.openxmlformats.org/officeDocument/2006/relationships/themeOverride" Target="../theme/themeOverride8.xml"/><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3" Type="http://schemas.openxmlformats.org/officeDocument/2006/relationships/themeOverride" Target="../theme/themeOverride9.xml"/><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3" Type="http://schemas.openxmlformats.org/officeDocument/2006/relationships/themeOverride" Target="../theme/themeOverride10.xml"/><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3" Type="http://schemas.openxmlformats.org/officeDocument/2006/relationships/themeOverride" Target="../theme/themeOverride11.xml"/><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pieChart>
        <c:varyColors val="1"/>
        <c:ser>
          <c:idx val="4"/>
          <c:order val="0"/>
          <c:tx>
            <c:strRef>
              <c:f>'OK usage appareil'!$W$4</c:f>
              <c:strCache>
                <c:ptCount val="1"/>
                <c:pt idx="0">
                  <c:v>2020-2022 Ancien usage
N=402</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0D4-4C5C-B144-B756F0CB4BF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0D4-4C5C-B144-B756F0CB4BF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0D4-4C5C-B144-B756F0CB4BF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0D4-4C5C-B144-B756F0CB4BF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'OK usage appareil'!$A$5:$A$8</c:f>
              <c:strCache>
                <c:ptCount val="4"/>
                <c:pt idx="0">
                  <c:v>Chauffage d'appoint</c:v>
                </c:pt>
                <c:pt idx="1">
                  <c:v>Chauffage de base</c:v>
                </c:pt>
                <c:pt idx="2">
                  <c:v>Plaisir/agrément</c:v>
                </c:pt>
                <c:pt idx="3">
                  <c:v>Pas de réponse</c:v>
                </c:pt>
              </c:strCache>
            </c:strRef>
          </c:cat>
          <c:val>
            <c:numRef>
              <c:f>'OK usage appareil'!$W$5:$W$8</c:f>
              <c:numCache>
                <c:formatCode>0%</c:formatCode>
                <c:ptCount val="4"/>
                <c:pt idx="0">
                  <c:v>0.47512437810945274</c:v>
                </c:pt>
                <c:pt idx="1">
                  <c:v>0.48258706467661694</c:v>
                </c:pt>
                <c:pt idx="2">
                  <c:v>3.2338308457711441E-2</c:v>
                </c:pt>
                <c:pt idx="3">
                  <c:v>9.9502487562189053E-3</c:v>
                </c:pt>
              </c:numCache>
            </c:numRef>
          </c:val>
          <c:extLst>
            <c:ext xmlns:c16="http://schemas.microsoft.com/office/drawing/2014/chart" uri="{C3380CC4-5D6E-409C-BE32-E72D297353CC}">
              <c16:uniqueId val="{00000008-D0D4-4C5C-B144-B756F0CB4BFB}"/>
            </c:ext>
          </c:extLst>
        </c:ser>
        <c:ser>
          <c:idx val="5"/>
          <c:order val="1"/>
          <c:tx>
            <c:strRef>
              <c:f>'OK usage appareil'!$W$4</c:f>
              <c:strCache>
                <c:ptCount val="1"/>
                <c:pt idx="0">
                  <c:v>2020-2022 Ancien usage
N=402</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A-D0D4-4C5C-B144-B756F0CB4BF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C-D0D4-4C5C-B144-B756F0CB4BF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E-D0D4-4C5C-B144-B756F0CB4BF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10-D0D4-4C5C-B144-B756F0CB4BF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'OK usage appareil'!$A$5:$A$8</c:f>
              <c:strCache>
                <c:ptCount val="4"/>
                <c:pt idx="0">
                  <c:v>Chauffage d'appoint</c:v>
                </c:pt>
                <c:pt idx="1">
                  <c:v>Chauffage de base</c:v>
                </c:pt>
                <c:pt idx="2">
                  <c:v>Plaisir/agrément</c:v>
                </c:pt>
                <c:pt idx="3">
                  <c:v>Pas de réponse</c:v>
                </c:pt>
              </c:strCache>
            </c:strRef>
          </c:cat>
          <c:val>
            <c:numRef>
              <c:f>'OK usage appareil'!$W$5:$W$8</c:f>
              <c:numCache>
                <c:formatCode>0%</c:formatCode>
                <c:ptCount val="4"/>
                <c:pt idx="0">
                  <c:v>0.47512437810945274</c:v>
                </c:pt>
                <c:pt idx="1">
                  <c:v>0.48258706467661694</c:v>
                </c:pt>
                <c:pt idx="2">
                  <c:v>3.2338308457711441E-2</c:v>
                </c:pt>
                <c:pt idx="3">
                  <c:v>9.9502487562189053E-3</c:v>
                </c:pt>
              </c:numCache>
            </c:numRef>
          </c:val>
          <c:extLst>
            <c:ext xmlns:c16="http://schemas.microsoft.com/office/drawing/2014/chart" uri="{C3380CC4-5D6E-409C-BE32-E72D297353CC}">
              <c16:uniqueId val="{00000011-D0D4-4C5C-B144-B756F0CB4BFB}"/>
            </c:ext>
          </c:extLst>
        </c:ser>
        <c:ser>
          <c:idx val="6"/>
          <c:order val="2"/>
          <c:tx>
            <c:strRef>
              <c:f>'OK usage appareil'!$W$4</c:f>
              <c:strCache>
                <c:ptCount val="1"/>
                <c:pt idx="0">
                  <c:v>2020-2022 Ancien usage
N=402</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13-D0D4-4C5C-B144-B756F0CB4BF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15-D0D4-4C5C-B144-B756F0CB4BF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17-D0D4-4C5C-B144-B756F0CB4BF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19-D0D4-4C5C-B144-B756F0CB4BF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'OK usage appareil'!$A$5:$A$8</c:f>
              <c:strCache>
                <c:ptCount val="4"/>
                <c:pt idx="0">
                  <c:v>Chauffage d'appoint</c:v>
                </c:pt>
                <c:pt idx="1">
                  <c:v>Chauffage de base</c:v>
                </c:pt>
                <c:pt idx="2">
                  <c:v>Plaisir/agrément</c:v>
                </c:pt>
                <c:pt idx="3">
                  <c:v>Pas de réponse</c:v>
                </c:pt>
              </c:strCache>
            </c:strRef>
          </c:cat>
          <c:val>
            <c:numRef>
              <c:f>'OK usage appareil'!$W$5:$W$8</c:f>
              <c:numCache>
                <c:formatCode>0%</c:formatCode>
                <c:ptCount val="4"/>
                <c:pt idx="0">
                  <c:v>0.47512437810945274</c:v>
                </c:pt>
                <c:pt idx="1">
                  <c:v>0.48258706467661694</c:v>
                </c:pt>
                <c:pt idx="2">
                  <c:v>3.2338308457711441E-2</c:v>
                </c:pt>
                <c:pt idx="3">
                  <c:v>9.9502487562189053E-3</c:v>
                </c:pt>
              </c:numCache>
            </c:numRef>
          </c:val>
          <c:extLst>
            <c:ext xmlns:c16="http://schemas.microsoft.com/office/drawing/2014/chart" uri="{C3380CC4-5D6E-409C-BE32-E72D297353CC}">
              <c16:uniqueId val="{0000001A-D0D4-4C5C-B144-B756F0CB4BFB}"/>
            </c:ext>
          </c:extLst>
        </c:ser>
        <c:ser>
          <c:idx val="7"/>
          <c:order val="3"/>
          <c:tx>
            <c:strRef>
              <c:f>'OK usage appareil'!$W$4</c:f>
              <c:strCache>
                <c:ptCount val="1"/>
                <c:pt idx="0">
                  <c:v>2020-2022 Ancien usage
N=402</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1C-D0D4-4C5C-B144-B756F0CB4BF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1E-D0D4-4C5C-B144-B756F0CB4BF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20-D0D4-4C5C-B144-B756F0CB4BF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22-D0D4-4C5C-B144-B756F0CB4BF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'OK usage appareil'!$A$5:$A$8</c:f>
              <c:strCache>
                <c:ptCount val="4"/>
                <c:pt idx="0">
                  <c:v>Chauffage d'appoint</c:v>
                </c:pt>
                <c:pt idx="1">
                  <c:v>Chauffage de base</c:v>
                </c:pt>
                <c:pt idx="2">
                  <c:v>Plaisir/agrément</c:v>
                </c:pt>
                <c:pt idx="3">
                  <c:v>Pas de réponse</c:v>
                </c:pt>
              </c:strCache>
            </c:strRef>
          </c:cat>
          <c:val>
            <c:numRef>
              <c:f>'OK usage appareil'!$W$5:$W$8</c:f>
              <c:numCache>
                <c:formatCode>0%</c:formatCode>
                <c:ptCount val="4"/>
                <c:pt idx="0">
                  <c:v>0.47512437810945274</c:v>
                </c:pt>
                <c:pt idx="1">
                  <c:v>0.48258706467661694</c:v>
                </c:pt>
                <c:pt idx="2">
                  <c:v>3.2338308457711441E-2</c:v>
                </c:pt>
                <c:pt idx="3">
                  <c:v>9.9502487562189053E-3</c:v>
                </c:pt>
              </c:numCache>
            </c:numRef>
          </c:val>
          <c:extLst>
            <c:ext xmlns:c16="http://schemas.microsoft.com/office/drawing/2014/chart" uri="{C3380CC4-5D6E-409C-BE32-E72D297353CC}">
              <c16:uniqueId val="{00000023-D0D4-4C5C-B144-B756F0CB4BFB}"/>
            </c:ext>
          </c:extLst>
        </c:ser>
        <c:ser>
          <c:idx val="2"/>
          <c:order val="4"/>
          <c:tx>
            <c:strRef>
              <c:f>'OK usage appareil'!$W$4</c:f>
              <c:strCache>
                <c:ptCount val="1"/>
                <c:pt idx="0">
                  <c:v>2020-2022 Ancien usage
N=402</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25-D0D4-4C5C-B144-B756F0CB4BF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27-D0D4-4C5C-B144-B756F0CB4BF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29-D0D4-4C5C-B144-B756F0CB4BF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2B-D0D4-4C5C-B144-B756F0CB4BF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'OK usage appareil'!$A$5:$A$8</c:f>
              <c:strCache>
                <c:ptCount val="4"/>
                <c:pt idx="0">
                  <c:v>Chauffage d'appoint</c:v>
                </c:pt>
                <c:pt idx="1">
                  <c:v>Chauffage de base</c:v>
                </c:pt>
                <c:pt idx="2">
                  <c:v>Plaisir/agrément</c:v>
                </c:pt>
                <c:pt idx="3">
                  <c:v>Pas de réponse</c:v>
                </c:pt>
              </c:strCache>
            </c:strRef>
          </c:cat>
          <c:val>
            <c:numRef>
              <c:f>'OK usage appareil'!$W$5:$W$8</c:f>
              <c:numCache>
                <c:formatCode>0%</c:formatCode>
                <c:ptCount val="4"/>
                <c:pt idx="0">
                  <c:v>0.47512437810945274</c:v>
                </c:pt>
                <c:pt idx="1">
                  <c:v>0.48258706467661694</c:v>
                </c:pt>
                <c:pt idx="2">
                  <c:v>3.2338308457711441E-2</c:v>
                </c:pt>
                <c:pt idx="3">
                  <c:v>9.9502487562189053E-3</c:v>
                </c:pt>
              </c:numCache>
            </c:numRef>
          </c:val>
          <c:extLst>
            <c:ext xmlns:c16="http://schemas.microsoft.com/office/drawing/2014/chart" uri="{C3380CC4-5D6E-409C-BE32-E72D297353CC}">
              <c16:uniqueId val="{0000002C-D0D4-4C5C-B144-B756F0CB4BFB}"/>
            </c:ext>
          </c:extLst>
        </c:ser>
        <c:ser>
          <c:idx val="3"/>
          <c:order val="5"/>
          <c:tx>
            <c:strRef>
              <c:f>'OK usage appareil'!$W$4</c:f>
              <c:strCache>
                <c:ptCount val="1"/>
                <c:pt idx="0">
                  <c:v>2020-2022 Ancien usage
N=402</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2E-D0D4-4C5C-B144-B756F0CB4BF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30-D0D4-4C5C-B144-B756F0CB4BF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32-D0D4-4C5C-B144-B756F0CB4BF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34-D0D4-4C5C-B144-B756F0CB4BF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'OK usage appareil'!$A$5:$A$8</c:f>
              <c:strCache>
                <c:ptCount val="4"/>
                <c:pt idx="0">
                  <c:v>Chauffage d'appoint</c:v>
                </c:pt>
                <c:pt idx="1">
                  <c:v>Chauffage de base</c:v>
                </c:pt>
                <c:pt idx="2">
                  <c:v>Plaisir/agrément</c:v>
                </c:pt>
                <c:pt idx="3">
                  <c:v>Pas de réponse</c:v>
                </c:pt>
              </c:strCache>
            </c:strRef>
          </c:cat>
          <c:val>
            <c:numRef>
              <c:f>'OK usage appareil'!$W$5:$W$8</c:f>
              <c:numCache>
                <c:formatCode>0%</c:formatCode>
                <c:ptCount val="4"/>
                <c:pt idx="0">
                  <c:v>0.47512437810945274</c:v>
                </c:pt>
                <c:pt idx="1">
                  <c:v>0.48258706467661694</c:v>
                </c:pt>
                <c:pt idx="2">
                  <c:v>3.2338308457711441E-2</c:v>
                </c:pt>
                <c:pt idx="3">
                  <c:v>9.9502487562189053E-3</c:v>
                </c:pt>
              </c:numCache>
            </c:numRef>
          </c:val>
          <c:extLst>
            <c:ext xmlns:c16="http://schemas.microsoft.com/office/drawing/2014/chart" uri="{C3380CC4-5D6E-409C-BE32-E72D297353CC}">
              <c16:uniqueId val="{00000035-D0D4-4C5C-B144-B756F0CB4BFB}"/>
            </c:ext>
          </c:extLst>
        </c:ser>
        <c:ser>
          <c:idx val="1"/>
          <c:order val="6"/>
          <c:tx>
            <c:strRef>
              <c:f>'OK usage appareil'!$W$4</c:f>
              <c:strCache>
                <c:ptCount val="1"/>
                <c:pt idx="0">
                  <c:v>2020-2022 Ancien usage
N=402</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37-D0D4-4C5C-B144-B756F0CB4BF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39-D0D4-4C5C-B144-B756F0CB4BF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3B-D0D4-4C5C-B144-B756F0CB4BF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3D-D0D4-4C5C-B144-B756F0CB4BF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'OK usage appareil'!$A$5:$A$8</c:f>
              <c:strCache>
                <c:ptCount val="4"/>
                <c:pt idx="0">
                  <c:v>Chauffage d'appoint</c:v>
                </c:pt>
                <c:pt idx="1">
                  <c:v>Chauffage de base</c:v>
                </c:pt>
                <c:pt idx="2">
                  <c:v>Plaisir/agrément</c:v>
                </c:pt>
                <c:pt idx="3">
                  <c:v>Pas de réponse</c:v>
                </c:pt>
              </c:strCache>
            </c:strRef>
          </c:cat>
          <c:val>
            <c:numRef>
              <c:f>'OK usage appareil'!$W$5:$W$8</c:f>
              <c:numCache>
                <c:formatCode>0%</c:formatCode>
                <c:ptCount val="4"/>
                <c:pt idx="0">
                  <c:v>0.47512437810945274</c:v>
                </c:pt>
                <c:pt idx="1">
                  <c:v>0.48258706467661694</c:v>
                </c:pt>
                <c:pt idx="2">
                  <c:v>3.2338308457711441E-2</c:v>
                </c:pt>
                <c:pt idx="3">
                  <c:v>9.9502487562189053E-3</c:v>
                </c:pt>
              </c:numCache>
            </c:numRef>
          </c:val>
          <c:extLst>
            <c:ext xmlns:c16="http://schemas.microsoft.com/office/drawing/2014/chart" uri="{C3380CC4-5D6E-409C-BE32-E72D297353CC}">
              <c16:uniqueId val="{0000003E-D0D4-4C5C-B144-B756F0CB4BFB}"/>
            </c:ext>
          </c:extLst>
        </c:ser>
        <c:ser>
          <c:idx val="0"/>
          <c:order val="7"/>
          <c:tx>
            <c:strRef>
              <c:f>'OK usage appareil'!$W$4</c:f>
              <c:strCache>
                <c:ptCount val="1"/>
                <c:pt idx="0">
                  <c:v>2020-2022 Ancien usage
N=402</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40-D0D4-4C5C-B144-B756F0CB4BF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42-D0D4-4C5C-B144-B756F0CB4BF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44-D0D4-4C5C-B144-B756F0CB4BF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46-D0D4-4C5C-B144-B756F0CB4BFB}"/>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48-D0D4-4C5C-B144-B756F0CB4BFB}"/>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4A-D0D4-4C5C-B144-B756F0CB4BF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'OK usage appareil'!$A$5:$A$8</c:f>
              <c:strCache>
                <c:ptCount val="4"/>
                <c:pt idx="0">
                  <c:v>Chauffage d'appoint</c:v>
                </c:pt>
                <c:pt idx="1">
                  <c:v>Chauffage de base</c:v>
                </c:pt>
                <c:pt idx="2">
                  <c:v>Plaisir/agrément</c:v>
                </c:pt>
                <c:pt idx="3">
                  <c:v>Pas de réponse</c:v>
                </c:pt>
              </c:strCache>
            </c:strRef>
          </c:cat>
          <c:val>
            <c:numRef>
              <c:f>'OK usage appareil'!$W$5:$W$8</c:f>
              <c:numCache>
                <c:formatCode>0%</c:formatCode>
                <c:ptCount val="4"/>
                <c:pt idx="0">
                  <c:v>0.47512437810945274</c:v>
                </c:pt>
                <c:pt idx="1">
                  <c:v>0.48258706467661694</c:v>
                </c:pt>
                <c:pt idx="2">
                  <c:v>3.2338308457711441E-2</c:v>
                </c:pt>
                <c:pt idx="3">
                  <c:v>9.9502487562189053E-3</c:v>
                </c:pt>
              </c:numCache>
            </c:numRef>
          </c:val>
          <c:extLst>
            <c:ext xmlns:c16="http://schemas.microsoft.com/office/drawing/2014/chart" uri="{C3380CC4-5D6E-409C-BE32-E72D297353CC}">
              <c16:uniqueId val="{0000004B-D0D4-4C5C-B144-B756F0CB4BFB}"/>
            </c:ext>
          </c:extLst>
        </c:ser>
        <c:dLbls>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pieChart>
        <c:varyColors val="1"/>
        <c:ser>
          <c:idx val="4"/>
          <c:order val="0"/>
          <c:tx>
            <c:strRef>
              <c:f>'OK usage appareil'!$Y$4</c:f>
              <c:strCache>
                <c:ptCount val="1"/>
                <c:pt idx="0">
                  <c:v>2020-2022 Nouvel usage
N=402</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05D-451F-A236-8708E654605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05D-451F-A236-8708E654605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05D-451F-A236-8708E654605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05D-451F-A236-8708E654605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'OK usage appareil'!$A$5:$A$8</c:f>
              <c:strCache>
                <c:ptCount val="4"/>
                <c:pt idx="0">
                  <c:v>Chauffage d'appoint</c:v>
                </c:pt>
                <c:pt idx="1">
                  <c:v>Chauffage de base</c:v>
                </c:pt>
                <c:pt idx="2">
                  <c:v>Plaisir/agrément</c:v>
                </c:pt>
                <c:pt idx="3">
                  <c:v>Pas de réponse</c:v>
                </c:pt>
              </c:strCache>
            </c:strRef>
          </c:cat>
          <c:val>
            <c:numRef>
              <c:f>'OK usage appareil'!$Y$5:$Y$8</c:f>
              <c:numCache>
                <c:formatCode>0%</c:formatCode>
                <c:ptCount val="4"/>
                <c:pt idx="0">
                  <c:v>0.31840796019900497</c:v>
                </c:pt>
                <c:pt idx="1">
                  <c:v>0.6766169154228856</c:v>
                </c:pt>
                <c:pt idx="2">
                  <c:v>2.4875621890547263E-3</c:v>
                </c:pt>
                <c:pt idx="3">
                  <c:v>2.4875621890547263E-3</c:v>
                </c:pt>
              </c:numCache>
            </c:numRef>
          </c:val>
          <c:extLst>
            <c:ext xmlns:c16="http://schemas.microsoft.com/office/drawing/2014/chart" uri="{C3380CC4-5D6E-409C-BE32-E72D297353CC}">
              <c16:uniqueId val="{00000008-705D-451F-A236-8708E6546058}"/>
            </c:ext>
          </c:extLst>
        </c:ser>
        <c:ser>
          <c:idx val="5"/>
          <c:order val="1"/>
          <c:tx>
            <c:strRef>
              <c:f>'OK usage appareil'!$W$4</c:f>
              <c:strCache>
                <c:ptCount val="1"/>
                <c:pt idx="0">
                  <c:v>2020-2022 Ancien usage
N=402</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A-705D-451F-A236-8708E654605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C-705D-451F-A236-8708E654605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E-705D-451F-A236-8708E654605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10-705D-451F-A236-8708E654605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'OK usage appareil'!$A$5:$A$8</c:f>
              <c:strCache>
                <c:ptCount val="4"/>
                <c:pt idx="0">
                  <c:v>Chauffage d'appoint</c:v>
                </c:pt>
                <c:pt idx="1">
                  <c:v>Chauffage de base</c:v>
                </c:pt>
                <c:pt idx="2">
                  <c:v>Plaisir/agrément</c:v>
                </c:pt>
                <c:pt idx="3">
                  <c:v>Pas de réponse</c:v>
                </c:pt>
              </c:strCache>
            </c:strRef>
          </c:cat>
          <c:val>
            <c:numRef>
              <c:f>'OK usage appareil'!$W$5:$W$8</c:f>
              <c:numCache>
                <c:formatCode>0%</c:formatCode>
                <c:ptCount val="4"/>
                <c:pt idx="0">
                  <c:v>0.47512437810945274</c:v>
                </c:pt>
                <c:pt idx="1">
                  <c:v>0.48258706467661694</c:v>
                </c:pt>
                <c:pt idx="2">
                  <c:v>3.2338308457711441E-2</c:v>
                </c:pt>
                <c:pt idx="3">
                  <c:v>9.9502487562189053E-3</c:v>
                </c:pt>
              </c:numCache>
            </c:numRef>
          </c:val>
          <c:extLst>
            <c:ext xmlns:c16="http://schemas.microsoft.com/office/drawing/2014/chart" uri="{C3380CC4-5D6E-409C-BE32-E72D297353CC}">
              <c16:uniqueId val="{00000011-705D-451F-A236-8708E6546058}"/>
            </c:ext>
          </c:extLst>
        </c:ser>
        <c:ser>
          <c:idx val="6"/>
          <c:order val="2"/>
          <c:tx>
            <c:strRef>
              <c:f>'OK usage appareil'!$W$4</c:f>
              <c:strCache>
                <c:ptCount val="1"/>
                <c:pt idx="0">
                  <c:v>2020-2022 Ancien usage
N=402</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13-705D-451F-A236-8708E654605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15-705D-451F-A236-8708E654605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17-705D-451F-A236-8708E654605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19-705D-451F-A236-8708E654605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'OK usage appareil'!$A$5:$A$8</c:f>
              <c:strCache>
                <c:ptCount val="4"/>
                <c:pt idx="0">
                  <c:v>Chauffage d'appoint</c:v>
                </c:pt>
                <c:pt idx="1">
                  <c:v>Chauffage de base</c:v>
                </c:pt>
                <c:pt idx="2">
                  <c:v>Plaisir/agrément</c:v>
                </c:pt>
                <c:pt idx="3">
                  <c:v>Pas de réponse</c:v>
                </c:pt>
              </c:strCache>
            </c:strRef>
          </c:cat>
          <c:val>
            <c:numRef>
              <c:f>'OK usage appareil'!$W$5:$W$8</c:f>
              <c:numCache>
                <c:formatCode>0%</c:formatCode>
                <c:ptCount val="4"/>
                <c:pt idx="0">
                  <c:v>0.47512437810945274</c:v>
                </c:pt>
                <c:pt idx="1">
                  <c:v>0.48258706467661694</c:v>
                </c:pt>
                <c:pt idx="2">
                  <c:v>3.2338308457711441E-2</c:v>
                </c:pt>
                <c:pt idx="3">
                  <c:v>9.9502487562189053E-3</c:v>
                </c:pt>
              </c:numCache>
            </c:numRef>
          </c:val>
          <c:extLst>
            <c:ext xmlns:c16="http://schemas.microsoft.com/office/drawing/2014/chart" uri="{C3380CC4-5D6E-409C-BE32-E72D297353CC}">
              <c16:uniqueId val="{0000001A-705D-451F-A236-8708E6546058}"/>
            </c:ext>
          </c:extLst>
        </c:ser>
        <c:ser>
          <c:idx val="7"/>
          <c:order val="3"/>
          <c:tx>
            <c:strRef>
              <c:f>'OK usage appareil'!$W$4</c:f>
              <c:strCache>
                <c:ptCount val="1"/>
                <c:pt idx="0">
                  <c:v>2020-2022 Ancien usage
N=402</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1C-705D-451F-A236-8708E654605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1E-705D-451F-A236-8708E654605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20-705D-451F-A236-8708E654605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22-705D-451F-A236-8708E654605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'OK usage appareil'!$A$5:$A$8</c:f>
              <c:strCache>
                <c:ptCount val="4"/>
                <c:pt idx="0">
                  <c:v>Chauffage d'appoint</c:v>
                </c:pt>
                <c:pt idx="1">
                  <c:v>Chauffage de base</c:v>
                </c:pt>
                <c:pt idx="2">
                  <c:v>Plaisir/agrément</c:v>
                </c:pt>
                <c:pt idx="3">
                  <c:v>Pas de réponse</c:v>
                </c:pt>
              </c:strCache>
            </c:strRef>
          </c:cat>
          <c:val>
            <c:numRef>
              <c:f>'OK usage appareil'!$W$5:$W$8</c:f>
              <c:numCache>
                <c:formatCode>0%</c:formatCode>
                <c:ptCount val="4"/>
                <c:pt idx="0">
                  <c:v>0.47512437810945274</c:v>
                </c:pt>
                <c:pt idx="1">
                  <c:v>0.48258706467661694</c:v>
                </c:pt>
                <c:pt idx="2">
                  <c:v>3.2338308457711441E-2</c:v>
                </c:pt>
                <c:pt idx="3">
                  <c:v>9.9502487562189053E-3</c:v>
                </c:pt>
              </c:numCache>
            </c:numRef>
          </c:val>
          <c:extLst>
            <c:ext xmlns:c16="http://schemas.microsoft.com/office/drawing/2014/chart" uri="{C3380CC4-5D6E-409C-BE32-E72D297353CC}">
              <c16:uniqueId val="{00000023-705D-451F-A236-8708E6546058}"/>
            </c:ext>
          </c:extLst>
        </c:ser>
        <c:ser>
          <c:idx val="2"/>
          <c:order val="4"/>
          <c:tx>
            <c:strRef>
              <c:f>'OK usage appareil'!$W$4</c:f>
              <c:strCache>
                <c:ptCount val="1"/>
                <c:pt idx="0">
                  <c:v>2020-2022 Ancien usage
N=402</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25-705D-451F-A236-8708E654605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27-705D-451F-A236-8708E654605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29-705D-451F-A236-8708E654605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2B-705D-451F-A236-8708E654605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'OK usage appareil'!$A$5:$A$8</c:f>
              <c:strCache>
                <c:ptCount val="4"/>
                <c:pt idx="0">
                  <c:v>Chauffage d'appoint</c:v>
                </c:pt>
                <c:pt idx="1">
                  <c:v>Chauffage de base</c:v>
                </c:pt>
                <c:pt idx="2">
                  <c:v>Plaisir/agrément</c:v>
                </c:pt>
                <c:pt idx="3">
                  <c:v>Pas de réponse</c:v>
                </c:pt>
              </c:strCache>
            </c:strRef>
          </c:cat>
          <c:val>
            <c:numRef>
              <c:f>'OK usage appareil'!$W$5:$W$8</c:f>
              <c:numCache>
                <c:formatCode>0%</c:formatCode>
                <c:ptCount val="4"/>
                <c:pt idx="0">
                  <c:v>0.47512437810945274</c:v>
                </c:pt>
                <c:pt idx="1">
                  <c:v>0.48258706467661694</c:v>
                </c:pt>
                <c:pt idx="2">
                  <c:v>3.2338308457711441E-2</c:v>
                </c:pt>
                <c:pt idx="3">
                  <c:v>9.9502487562189053E-3</c:v>
                </c:pt>
              </c:numCache>
            </c:numRef>
          </c:val>
          <c:extLst>
            <c:ext xmlns:c16="http://schemas.microsoft.com/office/drawing/2014/chart" uri="{C3380CC4-5D6E-409C-BE32-E72D297353CC}">
              <c16:uniqueId val="{0000002C-705D-451F-A236-8708E6546058}"/>
            </c:ext>
          </c:extLst>
        </c:ser>
        <c:ser>
          <c:idx val="3"/>
          <c:order val="5"/>
          <c:tx>
            <c:strRef>
              <c:f>'OK usage appareil'!$W$4</c:f>
              <c:strCache>
                <c:ptCount val="1"/>
                <c:pt idx="0">
                  <c:v>2020-2022 Ancien usage
N=402</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2E-705D-451F-A236-8708E654605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30-705D-451F-A236-8708E654605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32-705D-451F-A236-8708E654605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34-705D-451F-A236-8708E654605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'OK usage appareil'!$A$5:$A$8</c:f>
              <c:strCache>
                <c:ptCount val="4"/>
                <c:pt idx="0">
                  <c:v>Chauffage d'appoint</c:v>
                </c:pt>
                <c:pt idx="1">
                  <c:v>Chauffage de base</c:v>
                </c:pt>
                <c:pt idx="2">
                  <c:v>Plaisir/agrément</c:v>
                </c:pt>
                <c:pt idx="3">
                  <c:v>Pas de réponse</c:v>
                </c:pt>
              </c:strCache>
            </c:strRef>
          </c:cat>
          <c:val>
            <c:numRef>
              <c:f>'OK usage appareil'!$W$5:$W$8</c:f>
              <c:numCache>
                <c:formatCode>0%</c:formatCode>
                <c:ptCount val="4"/>
                <c:pt idx="0">
                  <c:v>0.47512437810945274</c:v>
                </c:pt>
                <c:pt idx="1">
                  <c:v>0.48258706467661694</c:v>
                </c:pt>
                <c:pt idx="2">
                  <c:v>3.2338308457711441E-2</c:v>
                </c:pt>
                <c:pt idx="3">
                  <c:v>9.9502487562189053E-3</c:v>
                </c:pt>
              </c:numCache>
            </c:numRef>
          </c:val>
          <c:extLst>
            <c:ext xmlns:c16="http://schemas.microsoft.com/office/drawing/2014/chart" uri="{C3380CC4-5D6E-409C-BE32-E72D297353CC}">
              <c16:uniqueId val="{00000035-705D-451F-A236-8708E6546058}"/>
            </c:ext>
          </c:extLst>
        </c:ser>
        <c:ser>
          <c:idx val="1"/>
          <c:order val="6"/>
          <c:tx>
            <c:strRef>
              <c:f>'OK usage appareil'!$W$4</c:f>
              <c:strCache>
                <c:ptCount val="1"/>
                <c:pt idx="0">
                  <c:v>2020-2022 Ancien usage
N=402</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37-705D-451F-A236-8708E654605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39-705D-451F-A236-8708E654605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3B-705D-451F-A236-8708E654605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3D-705D-451F-A236-8708E654605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'OK usage appareil'!$A$5:$A$8</c:f>
              <c:strCache>
                <c:ptCount val="4"/>
                <c:pt idx="0">
                  <c:v>Chauffage d'appoint</c:v>
                </c:pt>
                <c:pt idx="1">
                  <c:v>Chauffage de base</c:v>
                </c:pt>
                <c:pt idx="2">
                  <c:v>Plaisir/agrément</c:v>
                </c:pt>
                <c:pt idx="3">
                  <c:v>Pas de réponse</c:v>
                </c:pt>
              </c:strCache>
            </c:strRef>
          </c:cat>
          <c:val>
            <c:numRef>
              <c:f>'OK usage appareil'!$W$5:$W$8</c:f>
              <c:numCache>
                <c:formatCode>0%</c:formatCode>
                <c:ptCount val="4"/>
                <c:pt idx="0">
                  <c:v>0.47512437810945274</c:v>
                </c:pt>
                <c:pt idx="1">
                  <c:v>0.48258706467661694</c:v>
                </c:pt>
                <c:pt idx="2">
                  <c:v>3.2338308457711441E-2</c:v>
                </c:pt>
                <c:pt idx="3">
                  <c:v>9.9502487562189053E-3</c:v>
                </c:pt>
              </c:numCache>
            </c:numRef>
          </c:val>
          <c:extLst>
            <c:ext xmlns:c16="http://schemas.microsoft.com/office/drawing/2014/chart" uri="{C3380CC4-5D6E-409C-BE32-E72D297353CC}">
              <c16:uniqueId val="{0000003E-705D-451F-A236-8708E6546058}"/>
            </c:ext>
          </c:extLst>
        </c:ser>
        <c:ser>
          <c:idx val="0"/>
          <c:order val="7"/>
          <c:tx>
            <c:strRef>
              <c:f>'OK usage appareil'!$W$4</c:f>
              <c:strCache>
                <c:ptCount val="1"/>
                <c:pt idx="0">
                  <c:v>2020-2022 Ancien usage
N=402</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40-705D-451F-A236-8708E654605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42-705D-451F-A236-8708E654605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44-705D-451F-A236-8708E654605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46-705D-451F-A236-8708E6546058}"/>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48-705D-451F-A236-8708E6546058}"/>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4A-705D-451F-A236-8708E654605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'OK usage appareil'!$A$5:$A$8</c:f>
              <c:strCache>
                <c:ptCount val="4"/>
                <c:pt idx="0">
                  <c:v>Chauffage d'appoint</c:v>
                </c:pt>
                <c:pt idx="1">
                  <c:v>Chauffage de base</c:v>
                </c:pt>
                <c:pt idx="2">
                  <c:v>Plaisir/agrément</c:v>
                </c:pt>
                <c:pt idx="3">
                  <c:v>Pas de réponse</c:v>
                </c:pt>
              </c:strCache>
            </c:strRef>
          </c:cat>
          <c:val>
            <c:numRef>
              <c:f>'OK usage appareil'!$W$5:$W$8</c:f>
              <c:numCache>
                <c:formatCode>0%</c:formatCode>
                <c:ptCount val="4"/>
                <c:pt idx="0">
                  <c:v>0.47512437810945274</c:v>
                </c:pt>
                <c:pt idx="1">
                  <c:v>0.48258706467661694</c:v>
                </c:pt>
                <c:pt idx="2">
                  <c:v>3.2338308457711441E-2</c:v>
                </c:pt>
                <c:pt idx="3">
                  <c:v>9.9502487562189053E-3</c:v>
                </c:pt>
              </c:numCache>
            </c:numRef>
          </c:val>
          <c:extLst>
            <c:ext xmlns:c16="http://schemas.microsoft.com/office/drawing/2014/chart" uri="{C3380CC4-5D6E-409C-BE32-E72D297353CC}">
              <c16:uniqueId val="{0000004B-705D-451F-A236-8708E6546058}"/>
            </c:ext>
          </c:extLst>
        </c:ser>
        <c:dLbls>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0.22309470691163602"/>
          <c:y val="0.1421072796934866"/>
          <c:w val="0.72179418197725287"/>
          <c:h val="0.76901046851902133"/>
        </c:manualLayout>
      </c:layout>
      <c:barChart>
        <c:barDir val="bar"/>
        <c:grouping val="clustered"/>
        <c:varyColors val="0"/>
        <c:ser>
          <c:idx val="0"/>
          <c:order val="0"/>
          <c:tx>
            <c:strRef>
              <c:f>'OK RFR_mode occupation_age'!$C$3</c:f>
              <c:strCache>
                <c:ptCount val="1"/>
                <c:pt idx="0">
                  <c:v>2020
N=11</c:v>
                </c:pt>
              </c:strCache>
            </c:strRef>
          </c:tx>
          <c:spPr>
            <a:solidFill>
              <a:schemeClr val="accent1"/>
            </a:solidFill>
            <a:ln>
              <a:noFill/>
            </a:ln>
            <a:effectLst/>
          </c:spPr>
          <c:invertIfNegative val="0"/>
          <c:cat>
            <c:strRef>
              <c:f>'OK RFR_mode occupation_age'!$A$4:$A$14</c:f>
              <c:strCache>
                <c:ptCount val="11"/>
                <c:pt idx="0">
                  <c:v>Moins de 20 000 €</c:v>
                </c:pt>
                <c:pt idx="1">
                  <c:v>20 000 à 30 000 €</c:v>
                </c:pt>
                <c:pt idx="2">
                  <c:v>30 000 à 40 000 €</c:v>
                </c:pt>
                <c:pt idx="3">
                  <c:v>40 000 à 50 000 €</c:v>
                </c:pt>
                <c:pt idx="4">
                  <c:v>50 000 à 60 000 €</c:v>
                </c:pt>
                <c:pt idx="5">
                  <c:v>60 000 à 70 000 €</c:v>
                </c:pt>
                <c:pt idx="6">
                  <c:v>70 000 à 80 000 €</c:v>
                </c:pt>
                <c:pt idx="7">
                  <c:v>80 000 à 90 000 €</c:v>
                </c:pt>
                <c:pt idx="8">
                  <c:v>90 000 à 100 000 €</c:v>
                </c:pt>
                <c:pt idx="9">
                  <c:v>Plus de 100 000 €</c:v>
                </c:pt>
                <c:pt idx="10">
                  <c:v>Pas de réponse</c:v>
                </c:pt>
              </c:strCache>
            </c:strRef>
          </c:cat>
          <c:val>
            <c:numRef>
              <c:f>'OK RFR_mode occupation_age'!$C$4:$C$14</c:f>
              <c:numCache>
                <c:formatCode>0%</c:formatCode>
                <c:ptCount val="11"/>
                <c:pt idx="0">
                  <c:v>9.0909090909090912E-2</c:v>
                </c:pt>
                <c:pt idx="1">
                  <c:v>9.0909090909090912E-2</c:v>
                </c:pt>
                <c:pt idx="2">
                  <c:v>0.36363636363636365</c:v>
                </c:pt>
                <c:pt idx="3">
                  <c:v>0.18181818181818182</c:v>
                </c:pt>
                <c:pt idx="4">
                  <c:v>9.0909090909090912E-2</c:v>
                </c:pt>
                <c:pt idx="5">
                  <c:v>0</c:v>
                </c:pt>
                <c:pt idx="6">
                  <c:v>9.0909090909090912E-2</c:v>
                </c:pt>
                <c:pt idx="7">
                  <c:v>9.0909090909090912E-2</c:v>
                </c:pt>
                <c:pt idx="8">
                  <c:v>0</c:v>
                </c:pt>
                <c:pt idx="9">
                  <c:v>0</c:v>
                </c:pt>
                <c:pt idx="10">
                  <c:v>0</c:v>
                </c:pt>
              </c:numCache>
            </c:numRef>
          </c:val>
          <c:extLst>
            <c:ext xmlns:c16="http://schemas.microsoft.com/office/drawing/2014/chart" uri="{C3380CC4-5D6E-409C-BE32-E72D297353CC}">
              <c16:uniqueId val="{00000000-C7C3-47FE-AC5D-D91B27F24918}"/>
            </c:ext>
          </c:extLst>
        </c:ser>
        <c:dLbls>
          <c:showLegendKey val="0"/>
          <c:showVal val="0"/>
          <c:showCatName val="0"/>
          <c:showSerName val="0"/>
          <c:showPercent val="0"/>
          <c:showBubbleSize val="0"/>
        </c:dLbls>
        <c:gapWidth val="182"/>
        <c:axId val="1157714432"/>
        <c:axId val="1157716608"/>
      </c:barChart>
      <c:catAx>
        <c:axId val="11577144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157716608"/>
        <c:crosses val="autoZero"/>
        <c:auto val="1"/>
        <c:lblAlgn val="ctr"/>
        <c:lblOffset val="100"/>
        <c:noMultiLvlLbl val="0"/>
      </c:catAx>
      <c:valAx>
        <c:axId val="1157716608"/>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15771443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0.22309470691163602"/>
          <c:y val="0.1421072796934866"/>
          <c:w val="0.72179418197725287"/>
          <c:h val="0.76901046851902133"/>
        </c:manualLayout>
      </c:layout>
      <c:barChart>
        <c:barDir val="bar"/>
        <c:grouping val="clustered"/>
        <c:varyColors val="0"/>
        <c:ser>
          <c:idx val="0"/>
          <c:order val="0"/>
          <c:tx>
            <c:strRef>
              <c:f>'OK RFR_mode occupation_age'!$M$3</c:f>
              <c:strCache>
                <c:ptCount val="1"/>
                <c:pt idx="0">
                  <c:v>2020-2022
N=425</c:v>
                </c:pt>
              </c:strCache>
            </c:strRef>
          </c:tx>
          <c:spPr>
            <a:solidFill>
              <a:schemeClr val="accent1"/>
            </a:solidFill>
            <a:ln>
              <a:noFill/>
            </a:ln>
            <a:effectLst/>
          </c:spPr>
          <c:invertIfNegative val="0"/>
          <c:cat>
            <c:strRef>
              <c:f>'OK RFR_mode occupation_age'!$A$4:$A$14</c:f>
              <c:strCache>
                <c:ptCount val="11"/>
                <c:pt idx="0">
                  <c:v>Moins de 20 000 €</c:v>
                </c:pt>
                <c:pt idx="1">
                  <c:v>20 000 à 30 000 €</c:v>
                </c:pt>
                <c:pt idx="2">
                  <c:v>30 000 à 40 000 €</c:v>
                </c:pt>
                <c:pt idx="3">
                  <c:v>40 000 à 50 000 €</c:v>
                </c:pt>
                <c:pt idx="4">
                  <c:v>50 000 à 60 000 €</c:v>
                </c:pt>
                <c:pt idx="5">
                  <c:v>60 000 à 70 000 €</c:v>
                </c:pt>
                <c:pt idx="6">
                  <c:v>70 000 à 80 000 €</c:v>
                </c:pt>
                <c:pt idx="7">
                  <c:v>80 000 à 90 000 €</c:v>
                </c:pt>
                <c:pt idx="8">
                  <c:v>90 000 à 100 000 €</c:v>
                </c:pt>
                <c:pt idx="9">
                  <c:v>Plus de 100 000 €</c:v>
                </c:pt>
                <c:pt idx="10">
                  <c:v>Pas de réponse</c:v>
                </c:pt>
              </c:strCache>
            </c:strRef>
          </c:cat>
          <c:val>
            <c:numRef>
              <c:f>'OK RFR_mode occupation_age'!$M$4:$M$14</c:f>
              <c:numCache>
                <c:formatCode>0%</c:formatCode>
                <c:ptCount val="11"/>
                <c:pt idx="0">
                  <c:v>0.17176470588235293</c:v>
                </c:pt>
                <c:pt idx="1">
                  <c:v>0.14588235294117646</c:v>
                </c:pt>
                <c:pt idx="2">
                  <c:v>0.2023529411764706</c:v>
                </c:pt>
                <c:pt idx="3">
                  <c:v>0.1976470588235294</c:v>
                </c:pt>
                <c:pt idx="4">
                  <c:v>0.11294117647058824</c:v>
                </c:pt>
                <c:pt idx="5">
                  <c:v>4.2352941176470586E-2</c:v>
                </c:pt>
                <c:pt idx="6">
                  <c:v>5.647058823529412E-2</c:v>
                </c:pt>
                <c:pt idx="7">
                  <c:v>2.5882352941176471E-2</c:v>
                </c:pt>
                <c:pt idx="8">
                  <c:v>1.1764705882352941E-2</c:v>
                </c:pt>
                <c:pt idx="9">
                  <c:v>3.2941176470588238E-2</c:v>
                </c:pt>
                <c:pt idx="10">
                  <c:v>0</c:v>
                </c:pt>
              </c:numCache>
            </c:numRef>
          </c:val>
          <c:extLst>
            <c:ext xmlns:c16="http://schemas.microsoft.com/office/drawing/2014/chart" uri="{C3380CC4-5D6E-409C-BE32-E72D297353CC}">
              <c16:uniqueId val="{00000000-4539-4160-81B7-2E0D4501B595}"/>
            </c:ext>
          </c:extLst>
        </c:ser>
        <c:dLbls>
          <c:showLegendKey val="0"/>
          <c:showVal val="0"/>
          <c:showCatName val="0"/>
          <c:showSerName val="0"/>
          <c:showPercent val="0"/>
          <c:showBubbleSize val="0"/>
        </c:dLbls>
        <c:gapWidth val="182"/>
        <c:axId val="1241711360"/>
        <c:axId val="1241713536"/>
      </c:barChart>
      <c:catAx>
        <c:axId val="12417113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241713536"/>
        <c:crosses val="autoZero"/>
        <c:auto val="1"/>
        <c:lblAlgn val="ctr"/>
        <c:lblOffset val="100"/>
        <c:noMultiLvlLbl val="0"/>
      </c:catAx>
      <c:valAx>
        <c:axId val="1241713536"/>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24171136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pieChart>
        <c:varyColors val="1"/>
        <c:ser>
          <c:idx val="0"/>
          <c:order val="0"/>
          <c:tx>
            <c:strRef>
              <c:f>'OK RFR_mode occupation_age'!$A$51:$B$51</c:f>
              <c:strCache>
                <c:ptCount val="1"/>
                <c:pt idx="0">
                  <c:v>Âge des bénéficiaires - Voironnais
Années 2020-2022</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20E-4B71-BACA-D3A07ECD967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20E-4B71-BACA-D3A07ECD967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20E-4B71-BACA-D3A07ECD967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20E-4B71-BACA-D3A07ECD9670}"/>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520E-4B71-BACA-D3A07ECD9670}"/>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520E-4B71-BACA-D3A07ECD967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'OK RFR_mode occupation_age'!$A$52:$A$57</c:f>
              <c:strCache>
                <c:ptCount val="6"/>
                <c:pt idx="0">
                  <c:v>18 à 24 ans</c:v>
                </c:pt>
                <c:pt idx="1">
                  <c:v>25 à 34 ans</c:v>
                </c:pt>
                <c:pt idx="2">
                  <c:v>35 à 49 ans</c:v>
                </c:pt>
                <c:pt idx="3">
                  <c:v>50 à 64 ans</c:v>
                </c:pt>
                <c:pt idx="4">
                  <c:v>65 ans et plus</c:v>
                </c:pt>
                <c:pt idx="5">
                  <c:v>Pas de réponse</c:v>
                </c:pt>
              </c:strCache>
            </c:strRef>
          </c:cat>
          <c:val>
            <c:numRef>
              <c:f>'OK RFR_mode occupation_age'!$C$52:$C$57</c:f>
              <c:numCache>
                <c:formatCode>0%</c:formatCode>
                <c:ptCount val="6"/>
                <c:pt idx="0">
                  <c:v>0</c:v>
                </c:pt>
                <c:pt idx="1">
                  <c:v>0.10945273631840796</c:v>
                </c:pt>
                <c:pt idx="2">
                  <c:v>0.2537313432835821</c:v>
                </c:pt>
                <c:pt idx="3">
                  <c:v>0.28109452736318408</c:v>
                </c:pt>
                <c:pt idx="4">
                  <c:v>0.34328358208955223</c:v>
                </c:pt>
                <c:pt idx="5">
                  <c:v>1.2437810945273632E-2</c:v>
                </c:pt>
              </c:numCache>
            </c:numRef>
          </c:val>
          <c:extLst>
            <c:ext xmlns:c16="http://schemas.microsoft.com/office/drawing/2014/chart" uri="{C3380CC4-5D6E-409C-BE32-E72D297353CC}">
              <c16:uniqueId val="{0000000C-520E-4B71-BACA-D3A07ECD9670}"/>
            </c:ext>
          </c:extLst>
        </c:ser>
        <c:dLbls>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0.22309470691163602"/>
          <c:y val="0.1421072796934866"/>
          <c:w val="0.72179418197725287"/>
          <c:h val="0.76901046851902133"/>
        </c:manualLayout>
      </c:layout>
      <c:barChart>
        <c:barDir val="bar"/>
        <c:grouping val="clustered"/>
        <c:varyColors val="0"/>
        <c:ser>
          <c:idx val="0"/>
          <c:order val="0"/>
          <c:tx>
            <c:strRef>
              <c:f>'OK RFR_mode occupation_age'!$E$3</c:f>
              <c:strCache>
                <c:ptCount val="1"/>
                <c:pt idx="0">
                  <c:v>2021
N=206</c:v>
                </c:pt>
              </c:strCache>
            </c:strRef>
          </c:tx>
          <c:spPr>
            <a:solidFill>
              <a:schemeClr val="accent1"/>
            </a:solidFill>
            <a:ln>
              <a:noFill/>
            </a:ln>
            <a:effectLst/>
          </c:spPr>
          <c:invertIfNegative val="0"/>
          <c:val>
            <c:numRef>
              <c:f>'OK RFR_mode occupation_age'!$E$4:$E$14</c:f>
              <c:numCache>
                <c:formatCode>0%</c:formatCode>
                <c:ptCount val="11"/>
                <c:pt idx="0">
                  <c:v>0.15048543689320387</c:v>
                </c:pt>
                <c:pt idx="1">
                  <c:v>0.1553398058252427</c:v>
                </c:pt>
                <c:pt idx="2">
                  <c:v>0.21844660194174756</c:v>
                </c:pt>
                <c:pt idx="3">
                  <c:v>0.21844660194174756</c:v>
                </c:pt>
                <c:pt idx="4">
                  <c:v>0.11650485436893204</c:v>
                </c:pt>
                <c:pt idx="5">
                  <c:v>1.9417475728155338E-2</c:v>
                </c:pt>
                <c:pt idx="6">
                  <c:v>4.8543689320388349E-2</c:v>
                </c:pt>
                <c:pt idx="7">
                  <c:v>2.4271844660194174E-2</c:v>
                </c:pt>
                <c:pt idx="8">
                  <c:v>1.4563106796116505E-2</c:v>
                </c:pt>
                <c:pt idx="9">
                  <c:v>3.3980582524271843E-2</c:v>
                </c:pt>
                <c:pt idx="10">
                  <c:v>0</c:v>
                </c:pt>
              </c:numCache>
            </c:numRef>
          </c:val>
          <c:extLst>
            <c:ext xmlns:c16="http://schemas.microsoft.com/office/drawing/2014/chart" uri="{C3380CC4-5D6E-409C-BE32-E72D297353CC}">
              <c16:uniqueId val="{00000000-4C51-4A1D-8EFF-DEECB5CB6700}"/>
            </c:ext>
          </c:extLst>
        </c:ser>
        <c:dLbls>
          <c:showLegendKey val="0"/>
          <c:showVal val="0"/>
          <c:showCatName val="0"/>
          <c:showSerName val="0"/>
          <c:showPercent val="0"/>
          <c:showBubbleSize val="0"/>
        </c:dLbls>
        <c:gapWidth val="182"/>
        <c:axId val="1241714080"/>
        <c:axId val="1241712448"/>
      </c:barChart>
      <c:catAx>
        <c:axId val="12417140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241712448"/>
        <c:crosses val="autoZero"/>
        <c:auto val="1"/>
        <c:lblAlgn val="ctr"/>
        <c:lblOffset val="100"/>
        <c:noMultiLvlLbl val="0"/>
      </c:catAx>
      <c:valAx>
        <c:axId val="1241712448"/>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24171408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0.22309470691163602"/>
          <c:y val="0.1421072796934866"/>
          <c:w val="0.72179418197725287"/>
          <c:h val="0.76901046851902133"/>
        </c:manualLayout>
      </c:layout>
      <c:barChart>
        <c:barDir val="bar"/>
        <c:grouping val="clustered"/>
        <c:varyColors val="0"/>
        <c:ser>
          <c:idx val="0"/>
          <c:order val="0"/>
          <c:tx>
            <c:strRef>
              <c:f>'OK RFR_mode occupation_age'!$G$3</c:f>
              <c:strCache>
                <c:ptCount val="1"/>
                <c:pt idx="0">
                  <c:v>2022
N=208</c:v>
                </c:pt>
              </c:strCache>
            </c:strRef>
          </c:tx>
          <c:spPr>
            <a:solidFill>
              <a:schemeClr val="accent1"/>
            </a:solidFill>
            <a:ln>
              <a:noFill/>
            </a:ln>
            <a:effectLst/>
          </c:spPr>
          <c:invertIfNegative val="0"/>
          <c:val>
            <c:numRef>
              <c:f>'OK RFR_mode occupation_age'!$G$4:$G$14</c:f>
              <c:numCache>
                <c:formatCode>0%</c:formatCode>
                <c:ptCount val="11"/>
                <c:pt idx="0">
                  <c:v>0.19711538461538461</c:v>
                </c:pt>
                <c:pt idx="1">
                  <c:v>0.13942307692307693</c:v>
                </c:pt>
                <c:pt idx="2">
                  <c:v>0.17788461538461539</c:v>
                </c:pt>
                <c:pt idx="3">
                  <c:v>0.17788461538461539</c:v>
                </c:pt>
                <c:pt idx="4">
                  <c:v>0.11057692307692307</c:v>
                </c:pt>
                <c:pt idx="5">
                  <c:v>6.7307692307692304E-2</c:v>
                </c:pt>
                <c:pt idx="6">
                  <c:v>6.25E-2</c:v>
                </c:pt>
                <c:pt idx="7">
                  <c:v>2.403846153846154E-2</c:v>
                </c:pt>
                <c:pt idx="8">
                  <c:v>9.6153846153846159E-3</c:v>
                </c:pt>
                <c:pt idx="9">
                  <c:v>3.3653846153846152E-2</c:v>
                </c:pt>
                <c:pt idx="10">
                  <c:v>0</c:v>
                </c:pt>
              </c:numCache>
            </c:numRef>
          </c:val>
          <c:extLst>
            <c:ext xmlns:c16="http://schemas.microsoft.com/office/drawing/2014/chart" uri="{C3380CC4-5D6E-409C-BE32-E72D297353CC}">
              <c16:uniqueId val="{00000000-038E-4F5C-B9D6-78602C7B7233}"/>
            </c:ext>
          </c:extLst>
        </c:ser>
        <c:dLbls>
          <c:showLegendKey val="0"/>
          <c:showVal val="0"/>
          <c:showCatName val="0"/>
          <c:showSerName val="0"/>
          <c:showPercent val="0"/>
          <c:showBubbleSize val="0"/>
        </c:dLbls>
        <c:gapWidth val="182"/>
        <c:axId val="1241712992"/>
        <c:axId val="1241710816"/>
      </c:barChart>
      <c:catAx>
        <c:axId val="12417129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241710816"/>
        <c:crosses val="autoZero"/>
        <c:auto val="1"/>
        <c:lblAlgn val="ctr"/>
        <c:lblOffset val="100"/>
        <c:noMultiLvlLbl val="0"/>
      </c:catAx>
      <c:valAx>
        <c:axId val="1241710816"/>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24171299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0.22309470691163602"/>
          <c:y val="0.1421072796934866"/>
          <c:w val="0.72179418197725287"/>
          <c:h val="0.76901046851902133"/>
        </c:manualLayout>
      </c:layout>
      <c:barChart>
        <c:barDir val="bar"/>
        <c:grouping val="clustered"/>
        <c:varyColors val="0"/>
        <c:ser>
          <c:idx val="0"/>
          <c:order val="0"/>
          <c:tx>
            <c:strRef>
              <c:f>'OK RFR_mode occupation_age'!$C$18</c:f>
              <c:strCache>
                <c:ptCount val="1"/>
                <c:pt idx="0">
                  <c:v>2020
N=10</c:v>
                </c:pt>
              </c:strCache>
            </c:strRef>
          </c:tx>
          <c:spPr>
            <a:solidFill>
              <a:schemeClr val="accent1"/>
            </a:solidFill>
            <a:ln>
              <a:noFill/>
            </a:ln>
            <a:effectLst/>
          </c:spPr>
          <c:invertIfNegative val="0"/>
          <c:cat>
            <c:strRef>
              <c:f>'OK RFR_mode occupation_age'!$A$19:$A$23</c:f>
              <c:strCache>
                <c:ptCount val="5"/>
                <c:pt idx="0">
                  <c:v>Pas de réponse</c:v>
                </c:pt>
                <c:pt idx="1">
                  <c:v>Locataire</c:v>
                </c:pt>
                <c:pt idx="2">
                  <c:v>Occupant à titre gratuit</c:v>
                </c:pt>
                <c:pt idx="3">
                  <c:v>Propriétaire bailleur</c:v>
                </c:pt>
                <c:pt idx="4">
                  <c:v>Propriétaire occupant</c:v>
                </c:pt>
              </c:strCache>
            </c:strRef>
          </c:cat>
          <c:val>
            <c:numRef>
              <c:f>'OK RFR_mode occupation_age'!$C$19:$C$23</c:f>
              <c:numCache>
                <c:formatCode>0%</c:formatCode>
                <c:ptCount val="5"/>
                <c:pt idx="0">
                  <c:v>0</c:v>
                </c:pt>
                <c:pt idx="1">
                  <c:v>0</c:v>
                </c:pt>
                <c:pt idx="2">
                  <c:v>0</c:v>
                </c:pt>
                <c:pt idx="3">
                  <c:v>0</c:v>
                </c:pt>
                <c:pt idx="4">
                  <c:v>1</c:v>
                </c:pt>
              </c:numCache>
            </c:numRef>
          </c:val>
          <c:extLst>
            <c:ext xmlns:c16="http://schemas.microsoft.com/office/drawing/2014/chart" uri="{C3380CC4-5D6E-409C-BE32-E72D297353CC}">
              <c16:uniqueId val="{00000000-42DC-4709-99E2-41DC628A8F4A}"/>
            </c:ext>
          </c:extLst>
        </c:ser>
        <c:dLbls>
          <c:showLegendKey val="0"/>
          <c:showVal val="0"/>
          <c:showCatName val="0"/>
          <c:showSerName val="0"/>
          <c:showPercent val="0"/>
          <c:showBubbleSize val="0"/>
        </c:dLbls>
        <c:gapWidth val="182"/>
        <c:axId val="1241711904"/>
        <c:axId val="1566587760"/>
      </c:barChart>
      <c:catAx>
        <c:axId val="12417119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566587760"/>
        <c:crosses val="autoZero"/>
        <c:auto val="1"/>
        <c:lblAlgn val="ctr"/>
        <c:lblOffset val="100"/>
        <c:noMultiLvlLbl val="0"/>
      </c:catAx>
      <c:valAx>
        <c:axId val="1566587760"/>
        <c:scaling>
          <c:orientation val="minMax"/>
          <c:max val="1"/>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24171190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0.22309470691163602"/>
          <c:y val="0.1421072796934866"/>
          <c:w val="0.72179418197725287"/>
          <c:h val="0.76901046851902133"/>
        </c:manualLayout>
      </c:layout>
      <c:barChart>
        <c:barDir val="bar"/>
        <c:grouping val="clustered"/>
        <c:varyColors val="0"/>
        <c:ser>
          <c:idx val="0"/>
          <c:order val="0"/>
          <c:tx>
            <c:strRef>
              <c:f>'OK RFR_mode occupation_age'!$E$18</c:f>
              <c:strCache>
                <c:ptCount val="1"/>
                <c:pt idx="0">
                  <c:v>2021
N=197</c:v>
                </c:pt>
              </c:strCache>
            </c:strRef>
          </c:tx>
          <c:spPr>
            <a:solidFill>
              <a:schemeClr val="accent1"/>
            </a:solidFill>
            <a:ln>
              <a:noFill/>
            </a:ln>
            <a:effectLst/>
          </c:spPr>
          <c:invertIfNegative val="0"/>
          <c:cat>
            <c:strRef>
              <c:f>'OK RFR_mode occupation_age'!$A$19:$A$23</c:f>
              <c:strCache>
                <c:ptCount val="5"/>
                <c:pt idx="0">
                  <c:v>Pas de réponse</c:v>
                </c:pt>
                <c:pt idx="1">
                  <c:v>Locataire</c:v>
                </c:pt>
                <c:pt idx="2">
                  <c:v>Occupant à titre gratuit</c:v>
                </c:pt>
                <c:pt idx="3">
                  <c:v>Propriétaire bailleur</c:v>
                </c:pt>
                <c:pt idx="4">
                  <c:v>Propriétaire occupant</c:v>
                </c:pt>
              </c:strCache>
            </c:strRef>
          </c:cat>
          <c:val>
            <c:numRef>
              <c:f>'OK RFR_mode occupation_age'!$E$19:$E$23</c:f>
              <c:numCache>
                <c:formatCode>0%</c:formatCode>
                <c:ptCount val="5"/>
                <c:pt idx="0">
                  <c:v>0</c:v>
                </c:pt>
                <c:pt idx="1">
                  <c:v>0</c:v>
                </c:pt>
                <c:pt idx="2">
                  <c:v>0</c:v>
                </c:pt>
                <c:pt idx="3">
                  <c:v>0</c:v>
                </c:pt>
                <c:pt idx="4">
                  <c:v>1</c:v>
                </c:pt>
              </c:numCache>
            </c:numRef>
          </c:val>
          <c:extLst>
            <c:ext xmlns:c16="http://schemas.microsoft.com/office/drawing/2014/chart" uri="{C3380CC4-5D6E-409C-BE32-E72D297353CC}">
              <c16:uniqueId val="{00000000-CAD7-43A0-A964-14CD7D75E52A}"/>
            </c:ext>
          </c:extLst>
        </c:ser>
        <c:dLbls>
          <c:showLegendKey val="0"/>
          <c:showVal val="0"/>
          <c:showCatName val="0"/>
          <c:showSerName val="0"/>
          <c:showPercent val="0"/>
          <c:showBubbleSize val="0"/>
        </c:dLbls>
        <c:gapWidth val="182"/>
        <c:axId val="1566589392"/>
        <c:axId val="1566588304"/>
      </c:barChart>
      <c:catAx>
        <c:axId val="15665893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566588304"/>
        <c:crosses val="autoZero"/>
        <c:auto val="1"/>
        <c:lblAlgn val="ctr"/>
        <c:lblOffset val="100"/>
        <c:noMultiLvlLbl val="0"/>
      </c:catAx>
      <c:valAx>
        <c:axId val="1566588304"/>
        <c:scaling>
          <c:orientation val="minMax"/>
          <c:max val="1"/>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56658939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0.22309470691163602"/>
          <c:y val="0.1421072796934866"/>
          <c:w val="0.72179418197725287"/>
          <c:h val="0.76901046851902133"/>
        </c:manualLayout>
      </c:layout>
      <c:barChart>
        <c:barDir val="bar"/>
        <c:grouping val="clustered"/>
        <c:varyColors val="0"/>
        <c:ser>
          <c:idx val="0"/>
          <c:order val="0"/>
          <c:tx>
            <c:strRef>
              <c:f>'OK RFR_mode occupation_age'!$G$18</c:f>
              <c:strCache>
                <c:ptCount val="1"/>
                <c:pt idx="0">
                  <c:v>2022
N=195</c:v>
                </c:pt>
              </c:strCache>
            </c:strRef>
          </c:tx>
          <c:spPr>
            <a:solidFill>
              <a:schemeClr val="accent1"/>
            </a:solidFill>
            <a:ln>
              <a:noFill/>
            </a:ln>
            <a:effectLst/>
          </c:spPr>
          <c:invertIfNegative val="0"/>
          <c:cat>
            <c:strRef>
              <c:f>'OK RFR_mode occupation_age'!$A$19:$A$23</c:f>
              <c:strCache>
                <c:ptCount val="5"/>
                <c:pt idx="0">
                  <c:v>Pas de réponse</c:v>
                </c:pt>
                <c:pt idx="1">
                  <c:v>Locataire</c:v>
                </c:pt>
                <c:pt idx="2">
                  <c:v>Occupant à titre gratuit</c:v>
                </c:pt>
                <c:pt idx="3">
                  <c:v>Propriétaire bailleur</c:v>
                </c:pt>
                <c:pt idx="4">
                  <c:v>Propriétaire occupant</c:v>
                </c:pt>
              </c:strCache>
            </c:strRef>
          </c:cat>
          <c:val>
            <c:numRef>
              <c:f>'OK RFR_mode occupation_age'!$G$19:$G$23</c:f>
              <c:numCache>
                <c:formatCode>0%</c:formatCode>
                <c:ptCount val="5"/>
                <c:pt idx="0">
                  <c:v>0</c:v>
                </c:pt>
                <c:pt idx="1">
                  <c:v>0</c:v>
                </c:pt>
                <c:pt idx="2">
                  <c:v>5.1282051282051282E-3</c:v>
                </c:pt>
                <c:pt idx="3">
                  <c:v>2.0512820512820513E-2</c:v>
                </c:pt>
                <c:pt idx="4">
                  <c:v>0.97435897435897434</c:v>
                </c:pt>
              </c:numCache>
            </c:numRef>
          </c:val>
          <c:extLst>
            <c:ext xmlns:c16="http://schemas.microsoft.com/office/drawing/2014/chart" uri="{C3380CC4-5D6E-409C-BE32-E72D297353CC}">
              <c16:uniqueId val="{00000000-19F2-48DB-8DCD-D8E4709084DC}"/>
            </c:ext>
          </c:extLst>
        </c:ser>
        <c:dLbls>
          <c:showLegendKey val="0"/>
          <c:showVal val="0"/>
          <c:showCatName val="0"/>
          <c:showSerName val="0"/>
          <c:showPercent val="0"/>
          <c:showBubbleSize val="0"/>
        </c:dLbls>
        <c:gapWidth val="182"/>
        <c:axId val="1566586672"/>
        <c:axId val="1566587216"/>
      </c:barChart>
      <c:catAx>
        <c:axId val="15665866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566587216"/>
        <c:crosses val="autoZero"/>
        <c:auto val="1"/>
        <c:lblAlgn val="ctr"/>
        <c:lblOffset val="100"/>
        <c:noMultiLvlLbl val="0"/>
      </c:catAx>
      <c:valAx>
        <c:axId val="1566587216"/>
        <c:scaling>
          <c:orientation val="minMax"/>
          <c:max val="1"/>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56658667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0.22309470691163602"/>
          <c:y val="0.1421072796934866"/>
          <c:w val="0.72179418197725287"/>
          <c:h val="0.76901046851902133"/>
        </c:manualLayout>
      </c:layout>
      <c:barChart>
        <c:barDir val="bar"/>
        <c:grouping val="clustered"/>
        <c:varyColors val="0"/>
        <c:ser>
          <c:idx val="0"/>
          <c:order val="0"/>
          <c:tx>
            <c:strRef>
              <c:f>'OK RFR_mode occupation_age'!$I$18</c:f>
              <c:strCache>
                <c:ptCount val="1"/>
                <c:pt idx="0">
                  <c:v>2023
N=0</c:v>
                </c:pt>
              </c:strCache>
            </c:strRef>
          </c:tx>
          <c:spPr>
            <a:solidFill>
              <a:schemeClr val="accent1"/>
            </a:solidFill>
            <a:ln>
              <a:noFill/>
            </a:ln>
            <a:effectLst/>
          </c:spPr>
          <c:invertIfNegative val="0"/>
          <c:cat>
            <c:strRef>
              <c:f>'OK RFR_mode occupation_age'!$A$19:$A$23</c:f>
              <c:strCache>
                <c:ptCount val="5"/>
                <c:pt idx="0">
                  <c:v>Pas de réponse</c:v>
                </c:pt>
                <c:pt idx="1">
                  <c:v>Locataire</c:v>
                </c:pt>
                <c:pt idx="2">
                  <c:v>Occupant à titre gratuit</c:v>
                </c:pt>
                <c:pt idx="3">
                  <c:v>Propriétaire bailleur</c:v>
                </c:pt>
                <c:pt idx="4">
                  <c:v>Propriétaire occupant</c:v>
                </c:pt>
              </c:strCache>
            </c:strRef>
          </c:cat>
          <c:val>
            <c:numRef>
              <c:f>'OK RFR_mode occupation_age'!$I$19:$I$23</c:f>
              <c:numCache>
                <c:formatCode>0%</c:formatCode>
                <c:ptCount val="5"/>
                <c:pt idx="0">
                  <c:v>0</c:v>
                </c:pt>
                <c:pt idx="1">
                  <c:v>0</c:v>
                </c:pt>
                <c:pt idx="2">
                  <c:v>0</c:v>
                </c:pt>
                <c:pt idx="3">
                  <c:v>0</c:v>
                </c:pt>
                <c:pt idx="4">
                  <c:v>0</c:v>
                </c:pt>
              </c:numCache>
            </c:numRef>
          </c:val>
          <c:extLst>
            <c:ext xmlns:c16="http://schemas.microsoft.com/office/drawing/2014/chart" uri="{C3380CC4-5D6E-409C-BE32-E72D297353CC}">
              <c16:uniqueId val="{00000000-F725-4634-87C7-4A12839E0CF4}"/>
            </c:ext>
          </c:extLst>
        </c:ser>
        <c:dLbls>
          <c:showLegendKey val="0"/>
          <c:showVal val="0"/>
          <c:showCatName val="0"/>
          <c:showSerName val="0"/>
          <c:showPercent val="0"/>
          <c:showBubbleSize val="0"/>
        </c:dLbls>
        <c:gapWidth val="182"/>
        <c:axId val="1566588848"/>
        <c:axId val="1566586128"/>
      </c:barChart>
      <c:catAx>
        <c:axId val="15665888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566586128"/>
        <c:crosses val="autoZero"/>
        <c:auto val="1"/>
        <c:lblAlgn val="ctr"/>
        <c:lblOffset val="100"/>
        <c:noMultiLvlLbl val="0"/>
      </c:catAx>
      <c:valAx>
        <c:axId val="1566586128"/>
        <c:scaling>
          <c:orientation val="minMax"/>
          <c:max val="1"/>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56658884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0.22309470691163602"/>
          <c:y val="0.1421072796934866"/>
          <c:w val="0.72179418197725287"/>
          <c:h val="0.76901046851902133"/>
        </c:manualLayout>
      </c:layout>
      <c:barChart>
        <c:barDir val="bar"/>
        <c:grouping val="clustered"/>
        <c:varyColors val="0"/>
        <c:ser>
          <c:idx val="0"/>
          <c:order val="0"/>
          <c:tx>
            <c:strRef>
              <c:f>'OK RFR_mode occupation_age'!$K$18</c:f>
              <c:strCache>
                <c:ptCount val="1"/>
                <c:pt idx="0">
                  <c:v>2024
N=0</c:v>
                </c:pt>
              </c:strCache>
            </c:strRef>
          </c:tx>
          <c:spPr>
            <a:solidFill>
              <a:schemeClr val="accent1"/>
            </a:solidFill>
            <a:ln>
              <a:noFill/>
            </a:ln>
            <a:effectLst/>
          </c:spPr>
          <c:invertIfNegative val="0"/>
          <c:cat>
            <c:strRef>
              <c:f>'OK RFR_mode occupation_age'!$A$19:$A$23</c:f>
              <c:strCache>
                <c:ptCount val="5"/>
                <c:pt idx="0">
                  <c:v>Pas de réponse</c:v>
                </c:pt>
                <c:pt idx="1">
                  <c:v>Locataire</c:v>
                </c:pt>
                <c:pt idx="2">
                  <c:v>Occupant à titre gratuit</c:v>
                </c:pt>
                <c:pt idx="3">
                  <c:v>Propriétaire bailleur</c:v>
                </c:pt>
                <c:pt idx="4">
                  <c:v>Propriétaire occupant</c:v>
                </c:pt>
              </c:strCache>
            </c:strRef>
          </c:cat>
          <c:val>
            <c:numRef>
              <c:f>'OK RFR_mode occupation_age'!$K$19:$K$23</c:f>
              <c:numCache>
                <c:formatCode>0%</c:formatCode>
                <c:ptCount val="5"/>
                <c:pt idx="0">
                  <c:v>0</c:v>
                </c:pt>
                <c:pt idx="1">
                  <c:v>0</c:v>
                </c:pt>
                <c:pt idx="2">
                  <c:v>0</c:v>
                </c:pt>
                <c:pt idx="3">
                  <c:v>0</c:v>
                </c:pt>
                <c:pt idx="4">
                  <c:v>0</c:v>
                </c:pt>
              </c:numCache>
            </c:numRef>
          </c:val>
          <c:extLst>
            <c:ext xmlns:c16="http://schemas.microsoft.com/office/drawing/2014/chart" uri="{C3380CC4-5D6E-409C-BE32-E72D297353CC}">
              <c16:uniqueId val="{00000000-356C-4000-84D8-385CFCF31A41}"/>
            </c:ext>
          </c:extLst>
        </c:ser>
        <c:dLbls>
          <c:showLegendKey val="0"/>
          <c:showVal val="0"/>
          <c:showCatName val="0"/>
          <c:showSerName val="0"/>
          <c:showPercent val="0"/>
          <c:showBubbleSize val="0"/>
        </c:dLbls>
        <c:gapWidth val="182"/>
        <c:axId val="1565292048"/>
        <c:axId val="1565292592"/>
      </c:barChart>
      <c:catAx>
        <c:axId val="15652920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565292592"/>
        <c:crosses val="autoZero"/>
        <c:auto val="1"/>
        <c:lblAlgn val="ctr"/>
        <c:lblOffset val="100"/>
        <c:noMultiLvlLbl val="0"/>
      </c:catAx>
      <c:valAx>
        <c:axId val="1565292592"/>
        <c:scaling>
          <c:orientation val="minMax"/>
          <c:max val="1"/>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56529204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bar"/>
        <c:grouping val="clustered"/>
        <c:varyColors val="0"/>
        <c:ser>
          <c:idx val="0"/>
          <c:order val="0"/>
          <c:tx>
            <c:strRef>
              <c:f>'OK motivations principales'!$A$28</c:f>
              <c:strCache>
                <c:ptCount val="1"/>
                <c:pt idx="0">
                  <c:v>2020-2022
N=402</c:v>
                </c:pt>
              </c:strCache>
            </c:strRef>
          </c:tx>
          <c:spPr>
            <a:solidFill>
              <a:schemeClr val="accent1"/>
            </a:solidFill>
            <a:ln>
              <a:noFill/>
            </a:ln>
            <a:effectLst/>
          </c:spPr>
          <c:invertIfNegative val="0"/>
          <c:cat>
            <c:strRef>
              <c:f>'OK motivations principales'!$B$15:$F$15</c:f>
              <c:strCache>
                <c:ptCount val="5"/>
                <c:pt idx="0">
                  <c:v>pas de réponse</c:v>
                </c:pt>
                <c:pt idx="1">
                  <c:v>Autre</c:v>
                </c:pt>
                <c:pt idx="2">
                  <c:v>améliorer la qualité de l'air de mon logement</c:v>
                </c:pt>
                <c:pt idx="3">
                  <c:v>améliorer la qualité de l'air extérieur (environnement/santé)</c:v>
                </c:pt>
                <c:pt idx="4">
                  <c:v>économiser de l'énergie</c:v>
                </c:pt>
              </c:strCache>
            </c:strRef>
          </c:cat>
          <c:val>
            <c:numRef>
              <c:f>'OK motivations principales'!$B$28:$F$28</c:f>
              <c:numCache>
                <c:formatCode>0%</c:formatCode>
                <c:ptCount val="5"/>
                <c:pt idx="0">
                  <c:v>0</c:v>
                </c:pt>
                <c:pt idx="1">
                  <c:v>3.4666666666666665E-2</c:v>
                </c:pt>
                <c:pt idx="2">
                  <c:v>0.16355555555555557</c:v>
                </c:pt>
                <c:pt idx="3">
                  <c:v>0.25866666666666666</c:v>
                </c:pt>
                <c:pt idx="4">
                  <c:v>0.26933333333333331</c:v>
                </c:pt>
              </c:numCache>
            </c:numRef>
          </c:val>
          <c:extLst>
            <c:ext xmlns:c16="http://schemas.microsoft.com/office/drawing/2014/chart" uri="{C3380CC4-5D6E-409C-BE32-E72D297353CC}">
              <c16:uniqueId val="{00000000-7A33-4358-936A-A2E3CE9E4EAA}"/>
            </c:ext>
          </c:extLst>
        </c:ser>
        <c:dLbls>
          <c:showLegendKey val="0"/>
          <c:showVal val="0"/>
          <c:showCatName val="0"/>
          <c:showSerName val="0"/>
          <c:showPercent val="0"/>
          <c:showBubbleSize val="0"/>
        </c:dLbls>
        <c:gapWidth val="182"/>
        <c:axId val="1565293136"/>
        <c:axId val="1565295312"/>
      </c:barChart>
      <c:catAx>
        <c:axId val="15652931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565295312"/>
        <c:crosses val="autoZero"/>
        <c:auto val="1"/>
        <c:lblAlgn val="ctr"/>
        <c:lblOffset val="100"/>
        <c:noMultiLvlLbl val="0"/>
      </c:catAx>
      <c:valAx>
        <c:axId val="1565295312"/>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56529313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bar"/>
        <c:grouping val="clustered"/>
        <c:varyColors val="0"/>
        <c:ser>
          <c:idx val="0"/>
          <c:order val="0"/>
          <c:tx>
            <c:strRef>
              <c:f>'OK motivations principales'!$A$24</c:f>
              <c:strCache>
                <c:ptCount val="1"/>
                <c:pt idx="0">
                  <c:v>2023
N=0</c:v>
                </c:pt>
              </c:strCache>
            </c:strRef>
          </c:tx>
          <c:spPr>
            <a:solidFill>
              <a:schemeClr val="accent1"/>
            </a:solidFill>
            <a:ln>
              <a:noFill/>
            </a:ln>
            <a:effectLst/>
          </c:spPr>
          <c:invertIfNegative val="0"/>
          <c:cat>
            <c:strRef>
              <c:f>'OK motivations principales'!$B$15:$F$15</c:f>
              <c:strCache>
                <c:ptCount val="5"/>
                <c:pt idx="0">
                  <c:v>pas de réponse</c:v>
                </c:pt>
                <c:pt idx="1">
                  <c:v>Autre</c:v>
                </c:pt>
                <c:pt idx="2">
                  <c:v>améliorer la qualité de l'air de mon logement</c:v>
                </c:pt>
                <c:pt idx="3">
                  <c:v>améliorer la qualité de l'air extérieur (environnement/santé)</c:v>
                </c:pt>
                <c:pt idx="4">
                  <c:v>économiser de l'énergie</c:v>
                </c:pt>
              </c:strCache>
            </c:strRef>
          </c:cat>
          <c:val>
            <c:numRef>
              <c:f>'OK motivations principales'!$B$24:$F$24</c:f>
              <c:numCache>
                <c:formatCode>0%</c:formatCode>
                <c:ptCount val="5"/>
                <c:pt idx="0">
                  <c:v>0</c:v>
                </c:pt>
                <c:pt idx="1">
                  <c:v>0</c:v>
                </c:pt>
                <c:pt idx="2">
                  <c:v>0</c:v>
                </c:pt>
                <c:pt idx="3">
                  <c:v>0</c:v>
                </c:pt>
                <c:pt idx="4">
                  <c:v>0</c:v>
                </c:pt>
              </c:numCache>
            </c:numRef>
          </c:val>
          <c:extLst>
            <c:ext xmlns:c16="http://schemas.microsoft.com/office/drawing/2014/chart" uri="{C3380CC4-5D6E-409C-BE32-E72D297353CC}">
              <c16:uniqueId val="{00000000-FC54-498B-A280-FEF3865AAA14}"/>
            </c:ext>
          </c:extLst>
        </c:ser>
        <c:dLbls>
          <c:showLegendKey val="0"/>
          <c:showVal val="0"/>
          <c:showCatName val="0"/>
          <c:showSerName val="0"/>
          <c:showPercent val="0"/>
          <c:showBubbleSize val="0"/>
        </c:dLbls>
        <c:gapWidth val="182"/>
        <c:axId val="1565293680"/>
        <c:axId val="1565294224"/>
      </c:barChart>
      <c:catAx>
        <c:axId val="15652936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565294224"/>
        <c:crosses val="autoZero"/>
        <c:auto val="1"/>
        <c:lblAlgn val="ctr"/>
        <c:lblOffset val="100"/>
        <c:noMultiLvlLbl val="0"/>
      </c:catAx>
      <c:valAx>
        <c:axId val="1565294224"/>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56529368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bar"/>
        <c:grouping val="clustered"/>
        <c:varyColors val="0"/>
        <c:ser>
          <c:idx val="0"/>
          <c:order val="0"/>
          <c:tx>
            <c:strRef>
              <c:f>'OK motivations principales'!$A$26</c:f>
              <c:strCache>
                <c:ptCount val="1"/>
                <c:pt idx="0">
                  <c:v>2024
N=0</c:v>
                </c:pt>
              </c:strCache>
            </c:strRef>
          </c:tx>
          <c:spPr>
            <a:solidFill>
              <a:schemeClr val="accent1"/>
            </a:solidFill>
            <a:ln>
              <a:noFill/>
            </a:ln>
            <a:effectLst/>
          </c:spPr>
          <c:invertIfNegative val="0"/>
          <c:cat>
            <c:strRef>
              <c:f>'OK motivations principales'!$B$15:$F$15</c:f>
              <c:strCache>
                <c:ptCount val="5"/>
                <c:pt idx="0">
                  <c:v>pas de réponse</c:v>
                </c:pt>
                <c:pt idx="1">
                  <c:v>Autre</c:v>
                </c:pt>
                <c:pt idx="2">
                  <c:v>améliorer la qualité de l'air de mon logement</c:v>
                </c:pt>
                <c:pt idx="3">
                  <c:v>améliorer la qualité de l'air extérieur (environnement/santé)</c:v>
                </c:pt>
                <c:pt idx="4">
                  <c:v>économiser de l'énergie</c:v>
                </c:pt>
              </c:strCache>
            </c:strRef>
          </c:cat>
          <c:val>
            <c:numRef>
              <c:f>'OK motivations principales'!$B$26:$F$26</c:f>
              <c:numCache>
                <c:formatCode>0%</c:formatCode>
                <c:ptCount val="5"/>
                <c:pt idx="0">
                  <c:v>0</c:v>
                </c:pt>
                <c:pt idx="1">
                  <c:v>0</c:v>
                </c:pt>
                <c:pt idx="2">
                  <c:v>0</c:v>
                </c:pt>
                <c:pt idx="3">
                  <c:v>0</c:v>
                </c:pt>
                <c:pt idx="4">
                  <c:v>0</c:v>
                </c:pt>
              </c:numCache>
            </c:numRef>
          </c:val>
          <c:extLst>
            <c:ext xmlns:c16="http://schemas.microsoft.com/office/drawing/2014/chart" uri="{C3380CC4-5D6E-409C-BE32-E72D297353CC}">
              <c16:uniqueId val="{00000000-25C6-498D-BBBC-38C9D6EB7E25}"/>
            </c:ext>
          </c:extLst>
        </c:ser>
        <c:dLbls>
          <c:showLegendKey val="0"/>
          <c:showVal val="0"/>
          <c:showCatName val="0"/>
          <c:showSerName val="0"/>
          <c:showPercent val="0"/>
          <c:showBubbleSize val="0"/>
        </c:dLbls>
        <c:gapWidth val="182"/>
        <c:axId val="1565294768"/>
        <c:axId val="1555542672"/>
      </c:barChart>
      <c:catAx>
        <c:axId val="15652947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555542672"/>
        <c:crosses val="autoZero"/>
        <c:auto val="1"/>
        <c:lblAlgn val="ctr"/>
        <c:lblOffset val="100"/>
        <c:noMultiLvlLbl val="0"/>
      </c:catAx>
      <c:valAx>
        <c:axId val="1555542672"/>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56529476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bar"/>
        <c:grouping val="clustered"/>
        <c:varyColors val="0"/>
        <c:ser>
          <c:idx val="0"/>
          <c:order val="0"/>
          <c:tx>
            <c:strRef>
              <c:f>'OK motivations principales'!$A$22</c:f>
              <c:strCache>
                <c:ptCount val="1"/>
                <c:pt idx="0">
                  <c:v>2022
N=195</c:v>
                </c:pt>
              </c:strCache>
            </c:strRef>
          </c:tx>
          <c:spPr>
            <a:solidFill>
              <a:schemeClr val="accent1"/>
            </a:solidFill>
            <a:ln>
              <a:noFill/>
            </a:ln>
            <a:effectLst/>
          </c:spPr>
          <c:invertIfNegative val="0"/>
          <c:cat>
            <c:strRef>
              <c:f>'OK motivations principales'!$B$15:$F$15</c:f>
              <c:strCache>
                <c:ptCount val="5"/>
                <c:pt idx="0">
                  <c:v>pas de réponse</c:v>
                </c:pt>
                <c:pt idx="1">
                  <c:v>Autre</c:v>
                </c:pt>
                <c:pt idx="2">
                  <c:v>améliorer la qualité de l'air de mon logement</c:v>
                </c:pt>
                <c:pt idx="3">
                  <c:v>améliorer la qualité de l'air extérieur (environnement/santé)</c:v>
                </c:pt>
                <c:pt idx="4">
                  <c:v>économiser de l'énergie</c:v>
                </c:pt>
              </c:strCache>
            </c:strRef>
          </c:cat>
          <c:val>
            <c:numRef>
              <c:f>'OK motivations principales'!$B$22:$F$22</c:f>
              <c:numCache>
                <c:formatCode>0%</c:formatCode>
                <c:ptCount val="5"/>
                <c:pt idx="0">
                  <c:v>0</c:v>
                </c:pt>
                <c:pt idx="1">
                  <c:v>3.1481481481481478E-2</c:v>
                </c:pt>
                <c:pt idx="2">
                  <c:v>0.15</c:v>
                </c:pt>
                <c:pt idx="3">
                  <c:v>0.24814814814814815</c:v>
                </c:pt>
                <c:pt idx="4">
                  <c:v>0.29074074074074074</c:v>
                </c:pt>
              </c:numCache>
            </c:numRef>
          </c:val>
          <c:extLst>
            <c:ext xmlns:c16="http://schemas.microsoft.com/office/drawing/2014/chart" uri="{C3380CC4-5D6E-409C-BE32-E72D297353CC}">
              <c16:uniqueId val="{00000000-FA3A-4FA5-8681-ECE17AA5590D}"/>
            </c:ext>
          </c:extLst>
        </c:ser>
        <c:dLbls>
          <c:showLegendKey val="0"/>
          <c:showVal val="0"/>
          <c:showCatName val="0"/>
          <c:showSerName val="0"/>
          <c:showPercent val="0"/>
          <c:showBubbleSize val="0"/>
        </c:dLbls>
        <c:gapWidth val="182"/>
        <c:axId val="1555542128"/>
        <c:axId val="1555549200"/>
      </c:barChart>
      <c:catAx>
        <c:axId val="15555421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555549200"/>
        <c:crosses val="autoZero"/>
        <c:auto val="1"/>
        <c:lblAlgn val="ctr"/>
        <c:lblOffset val="100"/>
        <c:noMultiLvlLbl val="0"/>
      </c:catAx>
      <c:valAx>
        <c:axId val="1555549200"/>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5555421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bar"/>
        <c:grouping val="clustered"/>
        <c:varyColors val="0"/>
        <c:ser>
          <c:idx val="0"/>
          <c:order val="0"/>
          <c:tx>
            <c:strRef>
              <c:f>'OK motivations principales'!$A$18</c:f>
              <c:strCache>
                <c:ptCount val="1"/>
                <c:pt idx="0">
                  <c:v>2020
N=10</c:v>
                </c:pt>
              </c:strCache>
            </c:strRef>
          </c:tx>
          <c:spPr>
            <a:solidFill>
              <a:schemeClr val="accent1"/>
            </a:solidFill>
            <a:ln>
              <a:noFill/>
            </a:ln>
            <a:effectLst/>
          </c:spPr>
          <c:invertIfNegative val="0"/>
          <c:cat>
            <c:strRef>
              <c:f>'OK motivations principales'!$B$15:$F$15</c:f>
              <c:strCache>
                <c:ptCount val="5"/>
                <c:pt idx="0">
                  <c:v>pas de réponse</c:v>
                </c:pt>
                <c:pt idx="1">
                  <c:v>Autre</c:v>
                </c:pt>
                <c:pt idx="2">
                  <c:v>améliorer la qualité de l'air de mon logement</c:v>
                </c:pt>
                <c:pt idx="3">
                  <c:v>améliorer la qualité de l'air extérieur (environnement/santé)</c:v>
                </c:pt>
                <c:pt idx="4">
                  <c:v>économiser de l'énergie</c:v>
                </c:pt>
              </c:strCache>
            </c:strRef>
          </c:cat>
          <c:val>
            <c:numRef>
              <c:f>'OK motivations principales'!$B$18:$F$18</c:f>
              <c:numCache>
                <c:formatCode>0%</c:formatCode>
                <c:ptCount val="5"/>
                <c:pt idx="0">
                  <c:v>0</c:v>
                </c:pt>
                <c:pt idx="1">
                  <c:v>4.1666666666666664E-2</c:v>
                </c:pt>
                <c:pt idx="2">
                  <c:v>0.125</c:v>
                </c:pt>
                <c:pt idx="3">
                  <c:v>0.20833333333333334</c:v>
                </c:pt>
                <c:pt idx="4">
                  <c:v>0.375</c:v>
                </c:pt>
              </c:numCache>
            </c:numRef>
          </c:val>
          <c:extLst>
            <c:ext xmlns:c16="http://schemas.microsoft.com/office/drawing/2014/chart" uri="{C3380CC4-5D6E-409C-BE32-E72D297353CC}">
              <c16:uniqueId val="{00000000-248B-4D51-8060-BFBDF94619AB}"/>
            </c:ext>
          </c:extLst>
        </c:ser>
        <c:dLbls>
          <c:showLegendKey val="0"/>
          <c:showVal val="0"/>
          <c:showCatName val="0"/>
          <c:showSerName val="0"/>
          <c:showPercent val="0"/>
          <c:showBubbleSize val="0"/>
        </c:dLbls>
        <c:gapWidth val="182"/>
        <c:axId val="1555546480"/>
        <c:axId val="1555543216"/>
      </c:barChart>
      <c:catAx>
        <c:axId val="15555464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555543216"/>
        <c:crosses val="autoZero"/>
        <c:auto val="1"/>
        <c:lblAlgn val="ctr"/>
        <c:lblOffset val="100"/>
        <c:noMultiLvlLbl val="0"/>
      </c:catAx>
      <c:valAx>
        <c:axId val="1555543216"/>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55554648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bar"/>
        <c:grouping val="clustered"/>
        <c:varyColors val="0"/>
        <c:ser>
          <c:idx val="0"/>
          <c:order val="0"/>
          <c:tx>
            <c:strRef>
              <c:f>'OK motivations principales'!$A$20</c:f>
              <c:strCache>
                <c:ptCount val="1"/>
                <c:pt idx="0">
                  <c:v>2021
N=197</c:v>
                </c:pt>
              </c:strCache>
            </c:strRef>
          </c:tx>
          <c:spPr>
            <a:solidFill>
              <a:schemeClr val="accent1"/>
            </a:solidFill>
            <a:ln>
              <a:noFill/>
            </a:ln>
            <a:effectLst/>
          </c:spPr>
          <c:invertIfNegative val="0"/>
          <c:cat>
            <c:strRef>
              <c:f>'OK motivations principales'!$B$15:$F$15</c:f>
              <c:strCache>
                <c:ptCount val="5"/>
                <c:pt idx="0">
                  <c:v>pas de réponse</c:v>
                </c:pt>
                <c:pt idx="1">
                  <c:v>Autre</c:v>
                </c:pt>
                <c:pt idx="2">
                  <c:v>améliorer la qualité de l'air de mon logement</c:v>
                </c:pt>
                <c:pt idx="3">
                  <c:v>améliorer la qualité de l'air extérieur (environnement/santé)</c:v>
                </c:pt>
                <c:pt idx="4">
                  <c:v>économiser de l'énergie</c:v>
                </c:pt>
              </c:strCache>
            </c:strRef>
          </c:cat>
          <c:val>
            <c:numRef>
              <c:f>'OK motivations principales'!$B$20:$F$20</c:f>
              <c:numCache>
                <c:formatCode>0%</c:formatCode>
                <c:ptCount val="5"/>
                <c:pt idx="0">
                  <c:v>0</c:v>
                </c:pt>
                <c:pt idx="1">
                  <c:v>3.7433155080213901E-2</c:v>
                </c:pt>
                <c:pt idx="2">
                  <c:v>0.17825311942959002</c:v>
                </c:pt>
                <c:pt idx="3">
                  <c:v>0.27094474153297682</c:v>
                </c:pt>
                <c:pt idx="4">
                  <c:v>0.24420677361853832</c:v>
                </c:pt>
              </c:numCache>
            </c:numRef>
          </c:val>
          <c:extLst>
            <c:ext xmlns:c16="http://schemas.microsoft.com/office/drawing/2014/chart" uri="{C3380CC4-5D6E-409C-BE32-E72D297353CC}">
              <c16:uniqueId val="{00000000-9637-42E1-86D3-67F3AB16D930}"/>
            </c:ext>
          </c:extLst>
        </c:ser>
        <c:dLbls>
          <c:showLegendKey val="0"/>
          <c:showVal val="0"/>
          <c:showCatName val="0"/>
          <c:showSerName val="0"/>
          <c:showPercent val="0"/>
          <c:showBubbleSize val="0"/>
        </c:dLbls>
        <c:gapWidth val="182"/>
        <c:axId val="1555544848"/>
        <c:axId val="1555543760"/>
      </c:barChart>
      <c:catAx>
        <c:axId val="15555448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555543760"/>
        <c:crosses val="autoZero"/>
        <c:auto val="1"/>
        <c:lblAlgn val="ctr"/>
        <c:lblOffset val="100"/>
        <c:noMultiLvlLbl val="0"/>
      </c:catAx>
      <c:valAx>
        <c:axId val="1555543760"/>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55554484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bar"/>
        <c:grouping val="clustered"/>
        <c:varyColors val="0"/>
        <c:ser>
          <c:idx val="0"/>
          <c:order val="0"/>
          <c:tx>
            <c:strRef>
              <c:f>'OK mode de connaissance'!$M$4</c:f>
              <c:strCache>
                <c:ptCount val="1"/>
                <c:pt idx="0">
                  <c:v>2020-2022
N=412</c:v>
                </c:pt>
              </c:strCache>
            </c:strRef>
          </c:tx>
          <c:spPr>
            <a:solidFill>
              <a:schemeClr val="accent1"/>
            </a:solidFill>
            <a:ln>
              <a:noFill/>
            </a:ln>
            <a:effectLst/>
          </c:spPr>
          <c:invertIfNegative val="0"/>
          <c:cat>
            <c:strRef>
              <c:f>'OK mode de connaissance'!$A$5:$A$16</c:f>
              <c:strCache>
                <c:ptCount val="12"/>
                <c:pt idx="0">
                  <c:v>Notaire/Besoin de mise en conformité</c:v>
                </c:pt>
                <c:pt idx="1">
                  <c:v>Pas de réponse</c:v>
                </c:pt>
                <c:pt idx="2">
                  <c:v>G.A.M (La métro)</c:v>
                </c:pt>
                <c:pt idx="3">
                  <c:v>Le Grésivaudan</c:v>
                </c:pt>
                <c:pt idx="4">
                  <c:v>Site Internet (préciser)</c:v>
                </c:pt>
                <c:pt idx="5">
                  <c:v>Autre (préciser)</c:v>
                </c:pt>
                <c:pt idx="6">
                  <c:v>Mairie</c:v>
                </c:pt>
                <c:pt idx="7">
                  <c:v>Presse locale</c:v>
                </c:pt>
                <c:pt idx="8">
                  <c:v>ALEC ou AGEDEN</c:v>
                </c:pt>
                <c:pt idx="9">
                  <c:v>« Bouche à oreille »</c:v>
                </c:pt>
                <c:pt idx="10">
                  <c:v>Le Voironnais</c:v>
                </c:pt>
                <c:pt idx="11">
                  <c:v>Installateur</c:v>
                </c:pt>
              </c:strCache>
            </c:strRef>
          </c:cat>
          <c:val>
            <c:numRef>
              <c:f>'OK mode de connaissance'!$M$5:$M$16</c:f>
              <c:numCache>
                <c:formatCode>0%</c:formatCode>
                <c:ptCount val="12"/>
                <c:pt idx="0">
                  <c:v>0</c:v>
                </c:pt>
                <c:pt idx="1">
                  <c:v>0</c:v>
                </c:pt>
                <c:pt idx="2">
                  <c:v>2.0366598778004071E-3</c:v>
                </c:pt>
                <c:pt idx="3">
                  <c:v>2.0366598778004071E-3</c:v>
                </c:pt>
                <c:pt idx="4">
                  <c:v>8.1466395112016286E-3</c:v>
                </c:pt>
                <c:pt idx="5">
                  <c:v>1.0183299389002037E-2</c:v>
                </c:pt>
                <c:pt idx="6">
                  <c:v>1.4256619144602852E-2</c:v>
                </c:pt>
                <c:pt idx="7">
                  <c:v>6.313645621181263E-2</c:v>
                </c:pt>
                <c:pt idx="8">
                  <c:v>6.720977596741344E-2</c:v>
                </c:pt>
                <c:pt idx="9">
                  <c:v>0.10183299389002037</c:v>
                </c:pt>
                <c:pt idx="10">
                  <c:v>0.26476578411405294</c:v>
                </c:pt>
                <c:pt idx="11">
                  <c:v>0.4663951120162933</c:v>
                </c:pt>
              </c:numCache>
            </c:numRef>
          </c:val>
          <c:extLst>
            <c:ext xmlns:c16="http://schemas.microsoft.com/office/drawing/2014/chart" uri="{C3380CC4-5D6E-409C-BE32-E72D297353CC}">
              <c16:uniqueId val="{00000000-6E7C-4567-9FEE-84F1DC05CCAC}"/>
            </c:ext>
          </c:extLst>
        </c:ser>
        <c:dLbls>
          <c:showLegendKey val="0"/>
          <c:showVal val="0"/>
          <c:showCatName val="0"/>
          <c:showSerName val="0"/>
          <c:showPercent val="0"/>
          <c:showBubbleSize val="0"/>
        </c:dLbls>
        <c:gapWidth val="182"/>
        <c:axId val="1555548656"/>
        <c:axId val="1555544304"/>
      </c:barChart>
      <c:catAx>
        <c:axId val="15555486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555544304"/>
        <c:crosses val="autoZero"/>
        <c:auto val="1"/>
        <c:lblAlgn val="ctr"/>
        <c:lblOffset val="100"/>
        <c:noMultiLvlLbl val="0"/>
      </c:catAx>
      <c:valAx>
        <c:axId val="1555544304"/>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55554865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0.41477843182223584"/>
          <c:y val="0.22495769881556685"/>
          <c:w val="0.53188424262501166"/>
          <c:h val="0.67268076262040843"/>
        </c:manualLayout>
      </c:layout>
      <c:barChart>
        <c:barDir val="bar"/>
        <c:grouping val="clustered"/>
        <c:varyColors val="0"/>
        <c:ser>
          <c:idx val="0"/>
          <c:order val="0"/>
          <c:tx>
            <c:strRef>
              <c:f>'OK mode de connaissance'!$C$4</c:f>
              <c:strCache>
                <c:ptCount val="1"/>
                <c:pt idx="0">
                  <c:v>2020
N=10</c:v>
                </c:pt>
              </c:strCache>
            </c:strRef>
          </c:tx>
          <c:spPr>
            <a:solidFill>
              <a:schemeClr val="accent1"/>
            </a:solidFill>
            <a:ln>
              <a:noFill/>
            </a:ln>
            <a:effectLst/>
          </c:spPr>
          <c:invertIfNegative val="0"/>
          <c:cat>
            <c:strRef>
              <c:f>'OK mode de connaissance'!$A$5:$A$16</c:f>
              <c:strCache>
                <c:ptCount val="12"/>
                <c:pt idx="0">
                  <c:v>Notaire/Besoin de mise en conformité</c:v>
                </c:pt>
                <c:pt idx="1">
                  <c:v>Pas de réponse</c:v>
                </c:pt>
                <c:pt idx="2">
                  <c:v>G.A.M (La métro)</c:v>
                </c:pt>
                <c:pt idx="3">
                  <c:v>Le Grésivaudan</c:v>
                </c:pt>
                <c:pt idx="4">
                  <c:v>Site Internet (préciser)</c:v>
                </c:pt>
                <c:pt idx="5">
                  <c:v>Autre (préciser)</c:v>
                </c:pt>
                <c:pt idx="6">
                  <c:v>Mairie</c:v>
                </c:pt>
                <c:pt idx="7">
                  <c:v>Presse locale</c:v>
                </c:pt>
                <c:pt idx="8">
                  <c:v>ALEC ou AGEDEN</c:v>
                </c:pt>
                <c:pt idx="9">
                  <c:v>« Bouche à oreille »</c:v>
                </c:pt>
                <c:pt idx="10">
                  <c:v>Le Voironnais</c:v>
                </c:pt>
                <c:pt idx="11">
                  <c:v>Installateur</c:v>
                </c:pt>
              </c:strCache>
            </c:strRef>
          </c:cat>
          <c:val>
            <c:numRef>
              <c:f>'OK mode de connaissance'!$C$5:$C$16</c:f>
              <c:numCache>
                <c:formatCode>0%</c:formatCode>
                <c:ptCount val="12"/>
                <c:pt idx="0">
                  <c:v>0</c:v>
                </c:pt>
                <c:pt idx="1">
                  <c:v>0</c:v>
                </c:pt>
                <c:pt idx="2">
                  <c:v>0</c:v>
                </c:pt>
                <c:pt idx="3">
                  <c:v>0</c:v>
                </c:pt>
                <c:pt idx="4">
                  <c:v>0</c:v>
                </c:pt>
                <c:pt idx="5">
                  <c:v>0</c:v>
                </c:pt>
                <c:pt idx="6">
                  <c:v>0</c:v>
                </c:pt>
                <c:pt idx="7">
                  <c:v>0</c:v>
                </c:pt>
                <c:pt idx="8">
                  <c:v>0</c:v>
                </c:pt>
                <c:pt idx="9">
                  <c:v>9.0909090909090912E-2</c:v>
                </c:pt>
                <c:pt idx="10">
                  <c:v>0.18181818181818182</c:v>
                </c:pt>
                <c:pt idx="11">
                  <c:v>0.72727272727272729</c:v>
                </c:pt>
              </c:numCache>
            </c:numRef>
          </c:val>
          <c:extLst>
            <c:ext xmlns:c16="http://schemas.microsoft.com/office/drawing/2014/chart" uri="{C3380CC4-5D6E-409C-BE32-E72D297353CC}">
              <c16:uniqueId val="{00000000-27F8-4613-B759-6861413D902E}"/>
            </c:ext>
          </c:extLst>
        </c:ser>
        <c:dLbls>
          <c:showLegendKey val="0"/>
          <c:showVal val="0"/>
          <c:showCatName val="0"/>
          <c:showSerName val="0"/>
          <c:showPercent val="0"/>
          <c:showBubbleSize val="0"/>
        </c:dLbls>
        <c:gapWidth val="182"/>
        <c:axId val="1555548112"/>
        <c:axId val="1555545392"/>
      </c:barChart>
      <c:catAx>
        <c:axId val="15555481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555545392"/>
        <c:crosses val="autoZero"/>
        <c:auto val="1"/>
        <c:lblAlgn val="ctr"/>
        <c:lblOffset val="100"/>
        <c:noMultiLvlLbl val="0"/>
      </c:catAx>
      <c:valAx>
        <c:axId val="1555545392"/>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5555481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0.41477843182223584"/>
          <c:y val="0.22495769881556685"/>
          <c:w val="0.53188424262501166"/>
          <c:h val="0.67268076262040843"/>
        </c:manualLayout>
      </c:layout>
      <c:barChart>
        <c:barDir val="bar"/>
        <c:grouping val="clustered"/>
        <c:varyColors val="0"/>
        <c:ser>
          <c:idx val="0"/>
          <c:order val="0"/>
          <c:tx>
            <c:strRef>
              <c:f>'OK mode de connaissance'!$E$4</c:f>
              <c:strCache>
                <c:ptCount val="1"/>
                <c:pt idx="0">
                  <c:v>2021
N=197</c:v>
                </c:pt>
              </c:strCache>
            </c:strRef>
          </c:tx>
          <c:spPr>
            <a:solidFill>
              <a:schemeClr val="accent1"/>
            </a:solidFill>
            <a:ln>
              <a:noFill/>
            </a:ln>
            <a:effectLst/>
          </c:spPr>
          <c:invertIfNegative val="0"/>
          <c:cat>
            <c:strRef>
              <c:f>'OK mode de connaissance'!$A$5:$A$16</c:f>
              <c:strCache>
                <c:ptCount val="12"/>
                <c:pt idx="0">
                  <c:v>Notaire/Besoin de mise en conformité</c:v>
                </c:pt>
                <c:pt idx="1">
                  <c:v>Pas de réponse</c:v>
                </c:pt>
                <c:pt idx="2">
                  <c:v>G.A.M (La métro)</c:v>
                </c:pt>
                <c:pt idx="3">
                  <c:v>Le Grésivaudan</c:v>
                </c:pt>
                <c:pt idx="4">
                  <c:v>Site Internet (préciser)</c:v>
                </c:pt>
                <c:pt idx="5">
                  <c:v>Autre (préciser)</c:v>
                </c:pt>
                <c:pt idx="6">
                  <c:v>Mairie</c:v>
                </c:pt>
                <c:pt idx="7">
                  <c:v>Presse locale</c:v>
                </c:pt>
                <c:pt idx="8">
                  <c:v>ALEC ou AGEDEN</c:v>
                </c:pt>
                <c:pt idx="9">
                  <c:v>« Bouche à oreille »</c:v>
                </c:pt>
                <c:pt idx="10">
                  <c:v>Le Voironnais</c:v>
                </c:pt>
                <c:pt idx="11">
                  <c:v>Installateur</c:v>
                </c:pt>
              </c:strCache>
            </c:strRef>
          </c:cat>
          <c:val>
            <c:numRef>
              <c:f>'OK mode de connaissance'!$E$5:$E$16</c:f>
              <c:numCache>
                <c:formatCode>0%</c:formatCode>
                <c:ptCount val="12"/>
                <c:pt idx="0">
                  <c:v>0</c:v>
                </c:pt>
                <c:pt idx="1">
                  <c:v>0</c:v>
                </c:pt>
                <c:pt idx="2">
                  <c:v>4.1841004184100415E-3</c:v>
                </c:pt>
                <c:pt idx="3">
                  <c:v>0</c:v>
                </c:pt>
                <c:pt idx="4">
                  <c:v>4.1841004184100415E-3</c:v>
                </c:pt>
                <c:pt idx="5">
                  <c:v>1.6736401673640166E-2</c:v>
                </c:pt>
                <c:pt idx="6">
                  <c:v>1.2552301255230125E-2</c:v>
                </c:pt>
                <c:pt idx="7">
                  <c:v>7.9497907949790794E-2</c:v>
                </c:pt>
                <c:pt idx="8">
                  <c:v>6.2761506276150625E-2</c:v>
                </c:pt>
                <c:pt idx="9">
                  <c:v>0.10460251046025104</c:v>
                </c:pt>
                <c:pt idx="10">
                  <c:v>0.29288702928870292</c:v>
                </c:pt>
                <c:pt idx="11">
                  <c:v>0.42259414225941422</c:v>
                </c:pt>
              </c:numCache>
            </c:numRef>
          </c:val>
          <c:extLst>
            <c:ext xmlns:c16="http://schemas.microsoft.com/office/drawing/2014/chart" uri="{C3380CC4-5D6E-409C-BE32-E72D297353CC}">
              <c16:uniqueId val="{00000000-6271-4136-9527-8CEEC9666518}"/>
            </c:ext>
          </c:extLst>
        </c:ser>
        <c:dLbls>
          <c:showLegendKey val="0"/>
          <c:showVal val="0"/>
          <c:showCatName val="0"/>
          <c:showSerName val="0"/>
          <c:showPercent val="0"/>
          <c:showBubbleSize val="0"/>
        </c:dLbls>
        <c:gapWidth val="182"/>
        <c:axId val="1555545936"/>
        <c:axId val="1555547024"/>
      </c:barChart>
      <c:catAx>
        <c:axId val="15555459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555547024"/>
        <c:crosses val="autoZero"/>
        <c:auto val="1"/>
        <c:lblAlgn val="ctr"/>
        <c:lblOffset val="100"/>
        <c:noMultiLvlLbl val="0"/>
      </c:catAx>
      <c:valAx>
        <c:axId val="1555547024"/>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55554593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0.41477843182223584"/>
          <c:y val="0.22495769881556685"/>
          <c:w val="0.53188424262501166"/>
          <c:h val="0.67268076262040843"/>
        </c:manualLayout>
      </c:layout>
      <c:barChart>
        <c:barDir val="bar"/>
        <c:grouping val="clustered"/>
        <c:varyColors val="0"/>
        <c:ser>
          <c:idx val="0"/>
          <c:order val="0"/>
          <c:tx>
            <c:strRef>
              <c:f>'OK mode de connaissance'!$G$4</c:f>
              <c:strCache>
                <c:ptCount val="1"/>
                <c:pt idx="0">
                  <c:v>2022
N=195</c:v>
                </c:pt>
              </c:strCache>
            </c:strRef>
          </c:tx>
          <c:spPr>
            <a:solidFill>
              <a:schemeClr val="accent1"/>
            </a:solidFill>
            <a:ln>
              <a:noFill/>
            </a:ln>
            <a:effectLst/>
          </c:spPr>
          <c:invertIfNegative val="0"/>
          <c:cat>
            <c:strRef>
              <c:f>'OK mode de connaissance'!$A$5:$A$16</c:f>
              <c:strCache>
                <c:ptCount val="12"/>
                <c:pt idx="0">
                  <c:v>Notaire/Besoin de mise en conformité</c:v>
                </c:pt>
                <c:pt idx="1">
                  <c:v>Pas de réponse</c:v>
                </c:pt>
                <c:pt idx="2">
                  <c:v>G.A.M (La métro)</c:v>
                </c:pt>
                <c:pt idx="3">
                  <c:v>Le Grésivaudan</c:v>
                </c:pt>
                <c:pt idx="4">
                  <c:v>Site Internet (préciser)</c:v>
                </c:pt>
                <c:pt idx="5">
                  <c:v>Autre (préciser)</c:v>
                </c:pt>
                <c:pt idx="6">
                  <c:v>Mairie</c:v>
                </c:pt>
                <c:pt idx="7">
                  <c:v>Presse locale</c:v>
                </c:pt>
                <c:pt idx="8">
                  <c:v>ALEC ou AGEDEN</c:v>
                </c:pt>
                <c:pt idx="9">
                  <c:v>« Bouche à oreille »</c:v>
                </c:pt>
                <c:pt idx="10">
                  <c:v>Le Voironnais</c:v>
                </c:pt>
                <c:pt idx="11">
                  <c:v>Installateur</c:v>
                </c:pt>
              </c:strCache>
            </c:strRef>
          </c:cat>
          <c:val>
            <c:numRef>
              <c:f>'OK mode de connaissance'!$G$5:$G$16</c:f>
              <c:numCache>
                <c:formatCode>0%</c:formatCode>
                <c:ptCount val="12"/>
                <c:pt idx="0">
                  <c:v>0</c:v>
                </c:pt>
                <c:pt idx="1">
                  <c:v>0</c:v>
                </c:pt>
                <c:pt idx="2">
                  <c:v>0</c:v>
                </c:pt>
                <c:pt idx="3">
                  <c:v>4.1493775933609959E-3</c:v>
                </c:pt>
                <c:pt idx="4">
                  <c:v>1.2448132780082987E-2</c:v>
                </c:pt>
                <c:pt idx="5">
                  <c:v>4.1493775933609959E-3</c:v>
                </c:pt>
                <c:pt idx="6">
                  <c:v>1.6597510373443983E-2</c:v>
                </c:pt>
                <c:pt idx="7">
                  <c:v>4.9792531120331947E-2</c:v>
                </c:pt>
                <c:pt idx="8">
                  <c:v>7.4688796680497924E-2</c:v>
                </c:pt>
                <c:pt idx="9">
                  <c:v>9.9585062240663894E-2</c:v>
                </c:pt>
                <c:pt idx="10">
                  <c:v>0.24066390041493776</c:v>
                </c:pt>
                <c:pt idx="11">
                  <c:v>0.49792531120331951</c:v>
                </c:pt>
              </c:numCache>
            </c:numRef>
          </c:val>
          <c:extLst>
            <c:ext xmlns:c16="http://schemas.microsoft.com/office/drawing/2014/chart" uri="{C3380CC4-5D6E-409C-BE32-E72D297353CC}">
              <c16:uniqueId val="{00000000-0387-46C3-9773-80F989841848}"/>
            </c:ext>
          </c:extLst>
        </c:ser>
        <c:dLbls>
          <c:showLegendKey val="0"/>
          <c:showVal val="0"/>
          <c:showCatName val="0"/>
          <c:showSerName val="0"/>
          <c:showPercent val="0"/>
          <c:showBubbleSize val="0"/>
        </c:dLbls>
        <c:gapWidth val="182"/>
        <c:axId val="1555547568"/>
        <c:axId val="1562679792"/>
      </c:barChart>
      <c:catAx>
        <c:axId val="15555475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562679792"/>
        <c:crosses val="autoZero"/>
        <c:auto val="1"/>
        <c:lblAlgn val="ctr"/>
        <c:lblOffset val="100"/>
        <c:noMultiLvlLbl val="0"/>
      </c:catAx>
      <c:valAx>
        <c:axId val="1562679792"/>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55554756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0.41477843182223584"/>
          <c:y val="0.22495769881556685"/>
          <c:w val="0.53188424262501166"/>
          <c:h val="0.67268076262040843"/>
        </c:manualLayout>
      </c:layout>
      <c:barChart>
        <c:barDir val="bar"/>
        <c:grouping val="clustered"/>
        <c:varyColors val="0"/>
        <c:ser>
          <c:idx val="0"/>
          <c:order val="0"/>
          <c:tx>
            <c:strRef>
              <c:f>'OK mode de connaissance'!$I$4</c:f>
              <c:strCache>
                <c:ptCount val="1"/>
                <c:pt idx="0">
                  <c:v>2023
N=0</c:v>
                </c:pt>
              </c:strCache>
            </c:strRef>
          </c:tx>
          <c:spPr>
            <a:solidFill>
              <a:schemeClr val="accent1"/>
            </a:solidFill>
            <a:ln>
              <a:noFill/>
            </a:ln>
            <a:effectLst/>
          </c:spPr>
          <c:invertIfNegative val="0"/>
          <c:cat>
            <c:strRef>
              <c:f>'OK mode de connaissance'!$A$5:$A$16</c:f>
              <c:strCache>
                <c:ptCount val="12"/>
                <c:pt idx="0">
                  <c:v>Notaire/Besoin de mise en conformité</c:v>
                </c:pt>
                <c:pt idx="1">
                  <c:v>Pas de réponse</c:v>
                </c:pt>
                <c:pt idx="2">
                  <c:v>G.A.M (La métro)</c:v>
                </c:pt>
                <c:pt idx="3">
                  <c:v>Le Grésivaudan</c:v>
                </c:pt>
                <c:pt idx="4">
                  <c:v>Site Internet (préciser)</c:v>
                </c:pt>
                <c:pt idx="5">
                  <c:v>Autre (préciser)</c:v>
                </c:pt>
                <c:pt idx="6">
                  <c:v>Mairie</c:v>
                </c:pt>
                <c:pt idx="7">
                  <c:v>Presse locale</c:v>
                </c:pt>
                <c:pt idx="8">
                  <c:v>ALEC ou AGEDEN</c:v>
                </c:pt>
                <c:pt idx="9">
                  <c:v>« Bouche à oreille »</c:v>
                </c:pt>
                <c:pt idx="10">
                  <c:v>Le Voironnais</c:v>
                </c:pt>
                <c:pt idx="11">
                  <c:v>Installateur</c:v>
                </c:pt>
              </c:strCache>
            </c:strRef>
          </c:cat>
          <c:val>
            <c:numRef>
              <c:f>'OK mode de connaissance'!$I$5:$I$16</c:f>
              <c:numCache>
                <c:formatCode>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0-4796-4C69-AECD-BC41361363BD}"/>
            </c:ext>
          </c:extLst>
        </c:ser>
        <c:dLbls>
          <c:showLegendKey val="0"/>
          <c:showVal val="0"/>
          <c:showCatName val="0"/>
          <c:showSerName val="0"/>
          <c:showPercent val="0"/>
          <c:showBubbleSize val="0"/>
        </c:dLbls>
        <c:gapWidth val="182"/>
        <c:axId val="1562677616"/>
        <c:axId val="1562678160"/>
      </c:barChart>
      <c:catAx>
        <c:axId val="15626776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562678160"/>
        <c:crosses val="autoZero"/>
        <c:auto val="1"/>
        <c:lblAlgn val="ctr"/>
        <c:lblOffset val="100"/>
        <c:noMultiLvlLbl val="0"/>
      </c:catAx>
      <c:valAx>
        <c:axId val="1562678160"/>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5626776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0.41477843182223584"/>
          <c:y val="0.22495769881556685"/>
          <c:w val="0.53188424262501166"/>
          <c:h val="0.67268076262040843"/>
        </c:manualLayout>
      </c:layout>
      <c:barChart>
        <c:barDir val="bar"/>
        <c:grouping val="clustered"/>
        <c:varyColors val="0"/>
        <c:ser>
          <c:idx val="0"/>
          <c:order val="0"/>
          <c:tx>
            <c:strRef>
              <c:f>'OK mode de connaissance'!$K$4</c:f>
              <c:strCache>
                <c:ptCount val="1"/>
                <c:pt idx="0">
                  <c:v>2024
N=0</c:v>
                </c:pt>
              </c:strCache>
            </c:strRef>
          </c:tx>
          <c:spPr>
            <a:solidFill>
              <a:schemeClr val="accent1"/>
            </a:solidFill>
            <a:ln>
              <a:noFill/>
            </a:ln>
            <a:effectLst/>
          </c:spPr>
          <c:invertIfNegative val="0"/>
          <c:cat>
            <c:strRef>
              <c:f>'OK mode de connaissance'!$A$5:$A$16</c:f>
              <c:strCache>
                <c:ptCount val="12"/>
                <c:pt idx="0">
                  <c:v>Notaire/Besoin de mise en conformité</c:v>
                </c:pt>
                <c:pt idx="1">
                  <c:v>Pas de réponse</c:v>
                </c:pt>
                <c:pt idx="2">
                  <c:v>G.A.M (La métro)</c:v>
                </c:pt>
                <c:pt idx="3">
                  <c:v>Le Grésivaudan</c:v>
                </c:pt>
                <c:pt idx="4">
                  <c:v>Site Internet (préciser)</c:v>
                </c:pt>
                <c:pt idx="5">
                  <c:v>Autre (préciser)</c:v>
                </c:pt>
                <c:pt idx="6">
                  <c:v>Mairie</c:v>
                </c:pt>
                <c:pt idx="7">
                  <c:v>Presse locale</c:v>
                </c:pt>
                <c:pt idx="8">
                  <c:v>ALEC ou AGEDEN</c:v>
                </c:pt>
                <c:pt idx="9">
                  <c:v>« Bouche à oreille »</c:v>
                </c:pt>
                <c:pt idx="10">
                  <c:v>Le Voironnais</c:v>
                </c:pt>
                <c:pt idx="11">
                  <c:v>Installateur</c:v>
                </c:pt>
              </c:strCache>
            </c:strRef>
          </c:cat>
          <c:val>
            <c:numRef>
              <c:f>'OK mode de connaissance'!$K$5:$K$16</c:f>
              <c:numCache>
                <c:formatCode>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0-6F09-4202-BC54-CF4521C84326}"/>
            </c:ext>
          </c:extLst>
        </c:ser>
        <c:dLbls>
          <c:showLegendKey val="0"/>
          <c:showVal val="0"/>
          <c:showCatName val="0"/>
          <c:showSerName val="0"/>
          <c:showPercent val="0"/>
          <c:showBubbleSize val="0"/>
        </c:dLbls>
        <c:gapWidth val="182"/>
        <c:axId val="1562678704"/>
        <c:axId val="1562679248"/>
      </c:barChart>
      <c:catAx>
        <c:axId val="15626787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562679248"/>
        <c:crosses val="autoZero"/>
        <c:auto val="1"/>
        <c:lblAlgn val="ctr"/>
        <c:lblOffset val="100"/>
        <c:noMultiLvlLbl val="0"/>
      </c:catAx>
      <c:valAx>
        <c:axId val="1562679248"/>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56267870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col"/>
        <c:grouping val="clustered"/>
        <c:varyColors val="0"/>
        <c:ser>
          <c:idx val="0"/>
          <c:order val="0"/>
          <c:tx>
            <c:strRef>
              <c:f>'2_donnees EIE et dossiers'!$I$2:$J$2</c:f>
              <c:strCache>
                <c:ptCount val="1"/>
                <c:pt idx="0">
                  <c:v>Evolution annuelle du nombre de dossiers validés ou en cours d'instruction
Total=425</c:v>
                </c:pt>
              </c:strCache>
            </c:strRef>
          </c:tx>
          <c:spPr>
            <a:solidFill>
              <a:schemeClr val="accent1"/>
            </a:solidFill>
            <a:ln>
              <a:noFill/>
            </a:ln>
            <a:effectLst/>
          </c:spPr>
          <c:invertIfNegative val="0"/>
          <c:cat>
            <c:numRef>
              <c:extLst>
                <c:ext xmlns:c15="http://schemas.microsoft.com/office/drawing/2012/chart" uri="{02D57815-91ED-43cb-92C2-25804820EDAC}">
                  <c15:fullRef>
                    <c15:sqref>'2_donnees EIE et dossiers'!$I$3:$I$7</c15:sqref>
                  </c15:fullRef>
                </c:ext>
              </c:extLst>
              <c:f>'2_donnees EIE et dossiers'!$I$3:$I$5</c:f>
              <c:numCache>
                <c:formatCode>General</c:formatCode>
                <c:ptCount val="3"/>
                <c:pt idx="0">
                  <c:v>2020</c:v>
                </c:pt>
                <c:pt idx="1">
                  <c:v>2021</c:v>
                </c:pt>
                <c:pt idx="2">
                  <c:v>2022</c:v>
                </c:pt>
              </c:numCache>
            </c:numRef>
          </c:cat>
          <c:val>
            <c:numRef>
              <c:extLst>
                <c:ext xmlns:c15="http://schemas.microsoft.com/office/drawing/2012/chart" uri="{02D57815-91ED-43cb-92C2-25804820EDAC}">
                  <c15:fullRef>
                    <c15:sqref>'2_donnees EIE et dossiers'!$J$3:$J$7</c15:sqref>
                  </c15:fullRef>
                </c:ext>
              </c:extLst>
              <c:f>'2_donnees EIE et dossiers'!$J$3:$J$5</c:f>
              <c:numCache>
                <c:formatCode>General</c:formatCode>
                <c:ptCount val="3"/>
                <c:pt idx="0">
                  <c:v>11</c:v>
                </c:pt>
                <c:pt idx="1">
                  <c:v>206</c:v>
                </c:pt>
                <c:pt idx="2">
                  <c:v>208</c:v>
                </c:pt>
              </c:numCache>
            </c:numRef>
          </c:val>
          <c:extLst>
            <c:ext xmlns:c16="http://schemas.microsoft.com/office/drawing/2014/chart" uri="{C3380CC4-5D6E-409C-BE32-E72D297353CC}">
              <c16:uniqueId val="{00000000-DC4A-4CF1-B8A2-C25B6778C013}"/>
            </c:ext>
          </c:extLst>
        </c:ser>
        <c:dLbls>
          <c:showLegendKey val="0"/>
          <c:showVal val="0"/>
          <c:showCatName val="0"/>
          <c:showSerName val="0"/>
          <c:showPercent val="0"/>
          <c:showBubbleSize val="0"/>
        </c:dLbls>
        <c:gapWidth val="219"/>
        <c:overlap val="-27"/>
        <c:axId val="1562680336"/>
        <c:axId val="1562673264"/>
      </c:barChart>
      <c:catAx>
        <c:axId val="1562680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562673264"/>
        <c:crosses val="autoZero"/>
        <c:auto val="1"/>
        <c:lblAlgn val="ctr"/>
        <c:lblOffset val="100"/>
        <c:noMultiLvlLbl val="0"/>
      </c:catAx>
      <c:valAx>
        <c:axId val="15626732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56268033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fr-FR"/>
              <a:t>Evolution mensuelle des dossiers déposés</a:t>
            </a:r>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fr-FR"/>
        </a:p>
      </c:txPr>
    </c:title>
    <c:autoTitleDeleted val="0"/>
    <c:plotArea>
      <c:layout/>
      <c:barChart>
        <c:barDir val="col"/>
        <c:grouping val="clustered"/>
        <c:varyColors val="0"/>
        <c:ser>
          <c:idx val="2"/>
          <c:order val="0"/>
          <c:tx>
            <c:strRef>
              <c:f>'2_donnees EIE et dossiers'!$D$2</c:f>
              <c:strCache>
                <c:ptCount val="1"/>
                <c:pt idx="0">
                  <c:v>Nb de dossiers validés / mois</c:v>
                </c:pt>
              </c:strCache>
            </c:strRef>
          </c:tx>
          <c:spPr>
            <a:solidFill>
              <a:schemeClr val="accent3"/>
            </a:solidFill>
            <a:ln>
              <a:noFill/>
            </a:ln>
            <a:effectLst/>
          </c:spPr>
          <c:invertIfNegative val="0"/>
          <c:cat>
            <c:numRef>
              <c:f>'2_donnees EIE et dossiers'!$C$3:$C$32</c:f>
              <c:numCache>
                <c:formatCode>mmm\-yy</c:formatCode>
                <c:ptCount val="30"/>
                <c:pt idx="0">
                  <c:v>44013</c:v>
                </c:pt>
                <c:pt idx="1">
                  <c:v>44044</c:v>
                </c:pt>
                <c:pt idx="2">
                  <c:v>44075</c:v>
                </c:pt>
                <c:pt idx="3">
                  <c:v>44105</c:v>
                </c:pt>
                <c:pt idx="4">
                  <c:v>44136</c:v>
                </c:pt>
                <c:pt idx="5">
                  <c:v>44166</c:v>
                </c:pt>
                <c:pt idx="6">
                  <c:v>44197</c:v>
                </c:pt>
                <c:pt idx="7">
                  <c:v>44228</c:v>
                </c:pt>
                <c:pt idx="8">
                  <c:v>44256</c:v>
                </c:pt>
                <c:pt idx="9">
                  <c:v>44287</c:v>
                </c:pt>
                <c:pt idx="10">
                  <c:v>44317</c:v>
                </c:pt>
                <c:pt idx="11">
                  <c:v>44348</c:v>
                </c:pt>
                <c:pt idx="12">
                  <c:v>44378</c:v>
                </c:pt>
                <c:pt idx="13">
                  <c:v>44409</c:v>
                </c:pt>
                <c:pt idx="14">
                  <c:v>44440</c:v>
                </c:pt>
                <c:pt idx="15">
                  <c:v>44470</c:v>
                </c:pt>
                <c:pt idx="16">
                  <c:v>44501</c:v>
                </c:pt>
                <c:pt idx="17">
                  <c:v>44531</c:v>
                </c:pt>
                <c:pt idx="18">
                  <c:v>44562</c:v>
                </c:pt>
                <c:pt idx="19">
                  <c:v>44593</c:v>
                </c:pt>
                <c:pt idx="20">
                  <c:v>44621</c:v>
                </c:pt>
                <c:pt idx="21">
                  <c:v>44652</c:v>
                </c:pt>
                <c:pt idx="22">
                  <c:v>44682</c:v>
                </c:pt>
                <c:pt idx="23">
                  <c:v>44713</c:v>
                </c:pt>
                <c:pt idx="24">
                  <c:v>44743</c:v>
                </c:pt>
                <c:pt idx="25">
                  <c:v>44774</c:v>
                </c:pt>
                <c:pt idx="26">
                  <c:v>44805</c:v>
                </c:pt>
                <c:pt idx="27">
                  <c:v>44835</c:v>
                </c:pt>
                <c:pt idx="28">
                  <c:v>44866</c:v>
                </c:pt>
                <c:pt idx="29">
                  <c:v>44896</c:v>
                </c:pt>
              </c:numCache>
            </c:numRef>
          </c:cat>
          <c:val>
            <c:numRef>
              <c:f>'2_donnees EIE et dossiers'!$D$3:$D$32</c:f>
              <c:numCache>
                <c:formatCode>General</c:formatCode>
                <c:ptCount val="30"/>
                <c:pt idx="0">
                  <c:v>1</c:v>
                </c:pt>
                <c:pt idx="1">
                  <c:v>1</c:v>
                </c:pt>
                <c:pt idx="2">
                  <c:v>2</c:v>
                </c:pt>
                <c:pt idx="3">
                  <c:v>2</c:v>
                </c:pt>
                <c:pt idx="4">
                  <c:v>3</c:v>
                </c:pt>
                <c:pt idx="5">
                  <c:v>2</c:v>
                </c:pt>
                <c:pt idx="6">
                  <c:v>15</c:v>
                </c:pt>
                <c:pt idx="7">
                  <c:v>10</c:v>
                </c:pt>
                <c:pt idx="8">
                  <c:v>18</c:v>
                </c:pt>
                <c:pt idx="9">
                  <c:v>23</c:v>
                </c:pt>
                <c:pt idx="10">
                  <c:v>20</c:v>
                </c:pt>
                <c:pt idx="11">
                  <c:v>16</c:v>
                </c:pt>
                <c:pt idx="12">
                  <c:v>16</c:v>
                </c:pt>
                <c:pt idx="13">
                  <c:v>12</c:v>
                </c:pt>
                <c:pt idx="14">
                  <c:v>20</c:v>
                </c:pt>
                <c:pt idx="15">
                  <c:v>23</c:v>
                </c:pt>
                <c:pt idx="16">
                  <c:v>14</c:v>
                </c:pt>
                <c:pt idx="17">
                  <c:v>19</c:v>
                </c:pt>
                <c:pt idx="18">
                  <c:v>12</c:v>
                </c:pt>
                <c:pt idx="19">
                  <c:v>20</c:v>
                </c:pt>
                <c:pt idx="20">
                  <c:v>24</c:v>
                </c:pt>
                <c:pt idx="21">
                  <c:v>31</c:v>
                </c:pt>
                <c:pt idx="22">
                  <c:v>7</c:v>
                </c:pt>
                <c:pt idx="23">
                  <c:v>17</c:v>
                </c:pt>
                <c:pt idx="24">
                  <c:v>25</c:v>
                </c:pt>
                <c:pt idx="25">
                  <c:v>13</c:v>
                </c:pt>
                <c:pt idx="26">
                  <c:v>12</c:v>
                </c:pt>
                <c:pt idx="27">
                  <c:v>12</c:v>
                </c:pt>
                <c:pt idx="28">
                  <c:v>24</c:v>
                </c:pt>
                <c:pt idx="29">
                  <c:v>11</c:v>
                </c:pt>
              </c:numCache>
            </c:numRef>
          </c:val>
          <c:extLst>
            <c:ext xmlns:c16="http://schemas.microsoft.com/office/drawing/2014/chart" uri="{C3380CC4-5D6E-409C-BE32-E72D297353CC}">
              <c16:uniqueId val="{00000000-552C-42D7-AAFF-6D4E3B25D5DB}"/>
            </c:ext>
          </c:extLst>
        </c:ser>
        <c:dLbls>
          <c:showLegendKey val="0"/>
          <c:showVal val="0"/>
          <c:showCatName val="0"/>
          <c:showSerName val="0"/>
          <c:showPercent val="0"/>
          <c:showBubbleSize val="0"/>
        </c:dLbls>
        <c:gapWidth val="150"/>
        <c:axId val="1562673808"/>
        <c:axId val="1562674352"/>
        <c:extLst>
          <c:ext xmlns:c15="http://schemas.microsoft.com/office/drawing/2012/chart" uri="{02D57815-91ED-43cb-92C2-25804820EDAC}">
            <c15:filteredBarSeries>
              <c15:ser>
                <c:idx val="3"/>
                <c:order val="1"/>
                <c:tx>
                  <c:strRef>
                    <c:extLst>
                      <c:ext uri="{02D57815-91ED-43cb-92C2-25804820EDAC}">
                        <c15:formulaRef>
                          <c15:sqref>'2_donnees EIE et dossiers'!$E$2</c15:sqref>
                        </c15:formulaRef>
                      </c:ext>
                    </c:extLst>
                    <c:strCache>
                      <c:ptCount val="1"/>
                      <c:pt idx="0">
                        <c:v>Nb de dossiers validés depuis le début du dispositif</c:v>
                      </c:pt>
                    </c:strCache>
                  </c:strRef>
                </c:tx>
                <c:spPr>
                  <a:solidFill>
                    <a:schemeClr val="accent4"/>
                  </a:solidFill>
                  <a:ln>
                    <a:noFill/>
                  </a:ln>
                  <a:effectLst/>
                </c:spPr>
                <c:invertIfNegative val="0"/>
                <c:cat>
                  <c:numRef>
                    <c:extLst>
                      <c:ext uri="{02D57815-91ED-43cb-92C2-25804820EDAC}">
                        <c15:formulaRef>
                          <c15:sqref>'2_donnees EIE et dossiers'!$C$3:$C$32</c15:sqref>
                        </c15:formulaRef>
                      </c:ext>
                    </c:extLst>
                    <c:numCache>
                      <c:formatCode>mmm\-yy</c:formatCode>
                      <c:ptCount val="30"/>
                      <c:pt idx="0">
                        <c:v>44013</c:v>
                      </c:pt>
                      <c:pt idx="1">
                        <c:v>44044</c:v>
                      </c:pt>
                      <c:pt idx="2">
                        <c:v>44075</c:v>
                      </c:pt>
                      <c:pt idx="3">
                        <c:v>44105</c:v>
                      </c:pt>
                      <c:pt idx="4">
                        <c:v>44136</c:v>
                      </c:pt>
                      <c:pt idx="5">
                        <c:v>44166</c:v>
                      </c:pt>
                      <c:pt idx="6">
                        <c:v>44197</c:v>
                      </c:pt>
                      <c:pt idx="7">
                        <c:v>44228</c:v>
                      </c:pt>
                      <c:pt idx="8">
                        <c:v>44256</c:v>
                      </c:pt>
                      <c:pt idx="9">
                        <c:v>44287</c:v>
                      </c:pt>
                      <c:pt idx="10">
                        <c:v>44317</c:v>
                      </c:pt>
                      <c:pt idx="11">
                        <c:v>44348</c:v>
                      </c:pt>
                      <c:pt idx="12">
                        <c:v>44378</c:v>
                      </c:pt>
                      <c:pt idx="13">
                        <c:v>44409</c:v>
                      </c:pt>
                      <c:pt idx="14">
                        <c:v>44440</c:v>
                      </c:pt>
                      <c:pt idx="15">
                        <c:v>44470</c:v>
                      </c:pt>
                      <c:pt idx="16">
                        <c:v>44501</c:v>
                      </c:pt>
                      <c:pt idx="17">
                        <c:v>44531</c:v>
                      </c:pt>
                      <c:pt idx="18">
                        <c:v>44562</c:v>
                      </c:pt>
                      <c:pt idx="19">
                        <c:v>44593</c:v>
                      </c:pt>
                      <c:pt idx="20">
                        <c:v>44621</c:v>
                      </c:pt>
                      <c:pt idx="21">
                        <c:v>44652</c:v>
                      </c:pt>
                      <c:pt idx="22">
                        <c:v>44682</c:v>
                      </c:pt>
                      <c:pt idx="23">
                        <c:v>44713</c:v>
                      </c:pt>
                      <c:pt idx="24">
                        <c:v>44743</c:v>
                      </c:pt>
                      <c:pt idx="25">
                        <c:v>44774</c:v>
                      </c:pt>
                      <c:pt idx="26">
                        <c:v>44805</c:v>
                      </c:pt>
                      <c:pt idx="27">
                        <c:v>44835</c:v>
                      </c:pt>
                      <c:pt idx="28">
                        <c:v>44866</c:v>
                      </c:pt>
                      <c:pt idx="29">
                        <c:v>44896</c:v>
                      </c:pt>
                    </c:numCache>
                  </c:numRef>
                </c:cat>
                <c:val>
                  <c:numRef>
                    <c:extLst>
                      <c:ext uri="{02D57815-91ED-43cb-92C2-25804820EDAC}">
                        <c15:formulaRef>
                          <c15:sqref>'2_donnees EIE et dossiers'!$E$3:$E$32</c15:sqref>
                        </c15:formulaRef>
                      </c:ext>
                    </c:extLst>
                    <c:numCache>
                      <c:formatCode>General</c:formatCode>
                      <c:ptCount val="30"/>
                      <c:pt idx="0">
                        <c:v>1</c:v>
                      </c:pt>
                      <c:pt idx="1">
                        <c:v>2</c:v>
                      </c:pt>
                      <c:pt idx="2">
                        <c:v>4</c:v>
                      </c:pt>
                      <c:pt idx="3">
                        <c:v>6</c:v>
                      </c:pt>
                      <c:pt idx="4">
                        <c:v>9</c:v>
                      </c:pt>
                      <c:pt idx="5">
                        <c:v>11</c:v>
                      </c:pt>
                      <c:pt idx="6">
                        <c:v>26</c:v>
                      </c:pt>
                      <c:pt idx="7">
                        <c:v>36</c:v>
                      </c:pt>
                      <c:pt idx="8">
                        <c:v>54</c:v>
                      </c:pt>
                      <c:pt idx="9">
                        <c:v>77</c:v>
                      </c:pt>
                      <c:pt idx="10">
                        <c:v>97</c:v>
                      </c:pt>
                      <c:pt idx="11">
                        <c:v>113</c:v>
                      </c:pt>
                      <c:pt idx="12">
                        <c:v>129</c:v>
                      </c:pt>
                      <c:pt idx="13">
                        <c:v>141</c:v>
                      </c:pt>
                      <c:pt idx="14">
                        <c:v>161</c:v>
                      </c:pt>
                      <c:pt idx="15">
                        <c:v>184</c:v>
                      </c:pt>
                      <c:pt idx="16">
                        <c:v>198</c:v>
                      </c:pt>
                      <c:pt idx="17">
                        <c:v>217</c:v>
                      </c:pt>
                      <c:pt idx="18">
                        <c:v>229</c:v>
                      </c:pt>
                      <c:pt idx="19">
                        <c:v>249</c:v>
                      </c:pt>
                      <c:pt idx="20">
                        <c:v>273</c:v>
                      </c:pt>
                      <c:pt idx="21">
                        <c:v>304</c:v>
                      </c:pt>
                      <c:pt idx="22">
                        <c:v>311</c:v>
                      </c:pt>
                      <c:pt idx="23">
                        <c:v>328</c:v>
                      </c:pt>
                      <c:pt idx="24">
                        <c:v>353</c:v>
                      </c:pt>
                      <c:pt idx="25">
                        <c:v>366</c:v>
                      </c:pt>
                      <c:pt idx="26">
                        <c:v>378</c:v>
                      </c:pt>
                      <c:pt idx="27">
                        <c:v>390</c:v>
                      </c:pt>
                      <c:pt idx="28">
                        <c:v>414</c:v>
                      </c:pt>
                      <c:pt idx="29">
                        <c:v>425</c:v>
                      </c:pt>
                    </c:numCache>
                  </c:numRef>
                </c:val>
                <c:extLst>
                  <c:ext xmlns:c16="http://schemas.microsoft.com/office/drawing/2014/chart" uri="{C3380CC4-5D6E-409C-BE32-E72D297353CC}">
                    <c16:uniqueId val="{00000001-552C-42D7-AAFF-6D4E3B25D5DB}"/>
                  </c:ext>
                </c:extLst>
              </c15:ser>
            </c15:filteredBarSeries>
          </c:ext>
        </c:extLst>
      </c:barChart>
      <c:dateAx>
        <c:axId val="1562673808"/>
        <c:scaling>
          <c:orientation val="minMax"/>
        </c:scaling>
        <c:delete val="0"/>
        <c:axPos val="b"/>
        <c:numFmt formatCode="mmm\-yy"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fr-FR"/>
          </a:p>
        </c:txPr>
        <c:crossAx val="1562674352"/>
        <c:crosses val="autoZero"/>
        <c:auto val="1"/>
        <c:lblOffset val="100"/>
        <c:baseTimeUnit val="months"/>
      </c:dateAx>
      <c:valAx>
        <c:axId val="1562674352"/>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fr-FR"/>
          </a:p>
        </c:txPr>
        <c:crossAx val="1562673808"/>
        <c:crosses val="autoZero"/>
        <c:crossBetween val="between"/>
      </c:valAx>
      <c:spPr>
        <a:pattFill prst="ltDnDiag">
          <a:fgClr>
            <a:schemeClr val="dk1">
              <a:lumMod val="15000"/>
              <a:lumOff val="85000"/>
            </a:schemeClr>
          </a:fgClr>
          <a:bgClr>
            <a:schemeClr val="lt1"/>
          </a:bgClr>
        </a:pattFill>
        <a:ln>
          <a:noFill/>
        </a:ln>
        <a:effectLst/>
      </c:spPr>
    </c:plotArea>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pieChart>
        <c:varyColors val="1"/>
        <c:ser>
          <c:idx val="0"/>
          <c:order val="0"/>
          <c:tx>
            <c:strRef>
              <c:f>'type et coût appareil'!$U$3</c:f>
              <c:strCache>
                <c:ptCount val="1"/>
                <c:pt idx="0">
                  <c:v>2020-2022
N=425</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5B2-4DC0-BCA1-5F568492C6E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5B2-4DC0-BCA1-5F568492C6E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5B2-4DC0-BCA1-5F568492C6E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5B2-4DC0-BCA1-5F568492C6E5}"/>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05B2-4DC0-BCA1-5F568492C6E5}"/>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05B2-4DC0-BCA1-5F568492C6E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'type et coût appareil'!$M$4:$M$6</c:f>
              <c:strCache>
                <c:ptCount val="3"/>
                <c:pt idx="0">
                  <c:v>poêle / insert bûche</c:v>
                </c:pt>
                <c:pt idx="1">
                  <c:v>poêle / insert granulé</c:v>
                </c:pt>
                <c:pt idx="2">
                  <c:v>autres (chaudières, cuisinières)</c:v>
                </c:pt>
              </c:strCache>
            </c:strRef>
          </c:cat>
          <c:val>
            <c:numRef>
              <c:f>'type et coût appareil'!$U$4:$U$6</c:f>
              <c:numCache>
                <c:formatCode>0%</c:formatCode>
                <c:ptCount val="3"/>
                <c:pt idx="0">
                  <c:v>0.58117647058823529</c:v>
                </c:pt>
                <c:pt idx="1">
                  <c:v>0.3952941176470588</c:v>
                </c:pt>
                <c:pt idx="2">
                  <c:v>2.3529411764705882E-2</c:v>
                </c:pt>
              </c:numCache>
            </c:numRef>
          </c:val>
          <c:extLst>
            <c:ext xmlns:c16="http://schemas.microsoft.com/office/drawing/2014/chart" uri="{C3380CC4-5D6E-409C-BE32-E72D297353CC}">
              <c16:uniqueId val="{0000000C-05B2-4DC0-BCA1-5F568492C6E5}"/>
            </c:ext>
          </c:extLst>
        </c:ser>
        <c:dLbls>
          <c:showLegendKey val="0"/>
          <c:showVal val="0"/>
          <c:showCatName val="1"/>
          <c:showSerName val="0"/>
          <c:showPercent val="1"/>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Panier moyen devis hors chaudière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col"/>
        <c:grouping val="clustered"/>
        <c:varyColors val="0"/>
        <c:ser>
          <c:idx val="5"/>
          <c:order val="0"/>
          <c:tx>
            <c:strRef>
              <c:f>'type et coût appareil'!$B$13</c:f>
              <c:strCache>
                <c:ptCount val="1"/>
                <c:pt idx="0">
                  <c:v>2020</c:v>
                </c:pt>
              </c:strCache>
            </c:strRef>
          </c:tx>
          <c:spPr>
            <a:solidFill>
              <a:schemeClr val="accent6"/>
            </a:solidFill>
            <a:ln>
              <a:noFill/>
            </a:ln>
            <a:effectLst/>
          </c:spPr>
          <c:invertIfNegative val="0"/>
          <c:cat>
            <c:strRef>
              <c:f>'type et coût appareil'!$A$14:$A$15</c:f>
              <c:strCache>
                <c:ptCount val="2"/>
                <c:pt idx="0">
                  <c:v>bûche</c:v>
                </c:pt>
                <c:pt idx="1">
                  <c:v>granulé</c:v>
                </c:pt>
              </c:strCache>
            </c:strRef>
          </c:cat>
          <c:val>
            <c:numRef>
              <c:f>'type et coût appareil'!$B$14:$B$15</c:f>
              <c:numCache>
                <c:formatCode>#\ ##0\ "€"</c:formatCode>
                <c:ptCount val="2"/>
                <c:pt idx="0">
                  <c:v>6162.7877749999998</c:v>
                </c:pt>
                <c:pt idx="1">
                  <c:v>6100.1745799999999</c:v>
                </c:pt>
              </c:numCache>
            </c:numRef>
          </c:val>
          <c:extLst>
            <c:ext xmlns:c16="http://schemas.microsoft.com/office/drawing/2014/chart" uri="{C3380CC4-5D6E-409C-BE32-E72D297353CC}">
              <c16:uniqueId val="{00000000-7730-47CD-8E3F-B66831C0EEB4}"/>
            </c:ext>
          </c:extLst>
        </c:ser>
        <c:ser>
          <c:idx val="6"/>
          <c:order val="1"/>
          <c:tx>
            <c:strRef>
              <c:f>'type et coût appareil'!$C$13</c:f>
              <c:strCache>
                <c:ptCount val="1"/>
                <c:pt idx="0">
                  <c:v>2021</c:v>
                </c:pt>
              </c:strCache>
            </c:strRef>
          </c:tx>
          <c:spPr>
            <a:solidFill>
              <a:schemeClr val="accent1">
                <a:lumMod val="60000"/>
              </a:schemeClr>
            </a:solidFill>
            <a:ln>
              <a:noFill/>
            </a:ln>
            <a:effectLst/>
          </c:spPr>
          <c:invertIfNegative val="0"/>
          <c:cat>
            <c:strRef>
              <c:f>'type et coût appareil'!$A$14:$A$15</c:f>
              <c:strCache>
                <c:ptCount val="2"/>
                <c:pt idx="0">
                  <c:v>bûche</c:v>
                </c:pt>
                <c:pt idx="1">
                  <c:v>granulé</c:v>
                </c:pt>
              </c:strCache>
            </c:strRef>
          </c:cat>
          <c:val>
            <c:numRef>
              <c:f>'type et coût appareil'!$C$14:$C$15</c:f>
              <c:numCache>
                <c:formatCode>#\ ##0\ "€"</c:formatCode>
                <c:ptCount val="2"/>
                <c:pt idx="0">
                  <c:v>5484.6098973828148</c:v>
                </c:pt>
                <c:pt idx="1">
                  <c:v>6184.6444913333335</c:v>
                </c:pt>
              </c:numCache>
            </c:numRef>
          </c:val>
          <c:extLst>
            <c:ext xmlns:c16="http://schemas.microsoft.com/office/drawing/2014/chart" uri="{C3380CC4-5D6E-409C-BE32-E72D297353CC}">
              <c16:uniqueId val="{00000001-7730-47CD-8E3F-B66831C0EEB4}"/>
            </c:ext>
          </c:extLst>
        </c:ser>
        <c:ser>
          <c:idx val="7"/>
          <c:order val="2"/>
          <c:tx>
            <c:strRef>
              <c:f>'type et coût appareil'!$D$13</c:f>
              <c:strCache>
                <c:ptCount val="1"/>
                <c:pt idx="0">
                  <c:v>2022</c:v>
                </c:pt>
              </c:strCache>
            </c:strRef>
          </c:tx>
          <c:spPr>
            <a:solidFill>
              <a:schemeClr val="accent2">
                <a:lumMod val="60000"/>
              </a:schemeClr>
            </a:solidFill>
            <a:ln>
              <a:noFill/>
            </a:ln>
            <a:effectLst/>
          </c:spPr>
          <c:invertIfNegative val="0"/>
          <c:cat>
            <c:strRef>
              <c:f>'type et coût appareil'!$A$14:$A$15</c:f>
              <c:strCache>
                <c:ptCount val="2"/>
                <c:pt idx="0">
                  <c:v>bûche</c:v>
                </c:pt>
                <c:pt idx="1">
                  <c:v>granulé</c:v>
                </c:pt>
              </c:strCache>
            </c:strRef>
          </c:cat>
          <c:val>
            <c:numRef>
              <c:f>'type et coût appareil'!$D$14:$D$15</c:f>
              <c:numCache>
                <c:formatCode>#\ ##0\ "€"</c:formatCode>
                <c:ptCount val="2"/>
                <c:pt idx="0">
                  <c:v>6399.6848211855649</c:v>
                </c:pt>
                <c:pt idx="1">
                  <c:v>6467.3017329545455</c:v>
                </c:pt>
              </c:numCache>
            </c:numRef>
          </c:val>
          <c:extLst>
            <c:ext xmlns:c16="http://schemas.microsoft.com/office/drawing/2014/chart" uri="{C3380CC4-5D6E-409C-BE32-E72D297353CC}">
              <c16:uniqueId val="{00000002-7730-47CD-8E3F-B66831C0EEB4}"/>
            </c:ext>
          </c:extLst>
        </c:ser>
        <c:dLbls>
          <c:showLegendKey val="0"/>
          <c:showVal val="0"/>
          <c:showCatName val="0"/>
          <c:showSerName val="0"/>
          <c:showPercent val="0"/>
          <c:showBubbleSize val="0"/>
        </c:dLbls>
        <c:gapWidth val="219"/>
        <c:overlap val="-27"/>
        <c:axId val="1562674896"/>
        <c:axId val="1562675440"/>
      </c:barChart>
      <c:catAx>
        <c:axId val="1562674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562675440"/>
        <c:crosses val="autoZero"/>
        <c:auto val="1"/>
        <c:lblAlgn val="ctr"/>
        <c:lblOffset val="100"/>
        <c:noMultiLvlLbl val="0"/>
      </c:catAx>
      <c:valAx>
        <c:axId val="1562675440"/>
        <c:scaling>
          <c:orientation val="minMax"/>
        </c:scaling>
        <c:delete val="0"/>
        <c:axPos val="l"/>
        <c:majorGridlines>
          <c:spPr>
            <a:ln w="9525" cap="flat" cmpd="sng" algn="ctr">
              <a:solidFill>
                <a:schemeClr val="tx1">
                  <a:lumMod val="15000"/>
                  <a:lumOff val="85000"/>
                </a:schemeClr>
              </a:solidFill>
              <a:round/>
            </a:ln>
            <a:effectLst/>
          </c:spPr>
        </c:majorGridlines>
        <c:numFmt formatCode="#\ ##0\ &quot;€&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5626748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Montant moyen devis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col"/>
        <c:grouping val="clustered"/>
        <c:varyColors val="0"/>
        <c:ser>
          <c:idx val="5"/>
          <c:order val="0"/>
          <c:tx>
            <c:strRef>
              <c:f>'type et coût appareil'!$B$17</c:f>
              <c:strCache>
                <c:ptCount val="1"/>
                <c:pt idx="0">
                  <c:v>2020</c:v>
                </c:pt>
              </c:strCache>
            </c:strRef>
          </c:tx>
          <c:spPr>
            <a:solidFill>
              <a:schemeClr val="accent6"/>
            </a:solidFill>
            <a:ln>
              <a:noFill/>
            </a:ln>
            <a:effectLst/>
          </c:spPr>
          <c:invertIfNegative val="0"/>
          <c:cat>
            <c:strRef>
              <c:f>'type et coût appareil'!$A$18:$A$19</c:f>
              <c:strCache>
                <c:ptCount val="2"/>
                <c:pt idx="0">
                  <c:v>Insert buche / granulé</c:v>
                </c:pt>
                <c:pt idx="1">
                  <c:v>poele buche / granulé</c:v>
                </c:pt>
              </c:strCache>
            </c:strRef>
          </c:cat>
          <c:val>
            <c:numRef>
              <c:f>'type et coût appareil'!$B$18:$B$19</c:f>
              <c:numCache>
                <c:formatCode>#\ ##0\ "€"</c:formatCode>
                <c:ptCount val="2"/>
                <c:pt idx="0">
                  <c:v>9577.4588000000003</c:v>
                </c:pt>
                <c:pt idx="1">
                  <c:v>5790.014075</c:v>
                </c:pt>
              </c:numCache>
            </c:numRef>
          </c:val>
          <c:extLst>
            <c:ext xmlns:c16="http://schemas.microsoft.com/office/drawing/2014/chart" uri="{C3380CC4-5D6E-409C-BE32-E72D297353CC}">
              <c16:uniqueId val="{00000000-841A-4A76-9C42-B60C8D6A9E0D}"/>
            </c:ext>
          </c:extLst>
        </c:ser>
        <c:ser>
          <c:idx val="6"/>
          <c:order val="1"/>
          <c:tx>
            <c:strRef>
              <c:f>'type et coût appareil'!$C$17</c:f>
              <c:strCache>
                <c:ptCount val="1"/>
                <c:pt idx="0">
                  <c:v>2021</c:v>
                </c:pt>
              </c:strCache>
            </c:strRef>
          </c:tx>
          <c:spPr>
            <a:solidFill>
              <a:schemeClr val="accent1">
                <a:lumMod val="60000"/>
              </a:schemeClr>
            </a:solidFill>
            <a:ln>
              <a:noFill/>
            </a:ln>
            <a:effectLst/>
          </c:spPr>
          <c:invertIfNegative val="0"/>
          <c:cat>
            <c:strRef>
              <c:f>'type et coût appareil'!$A$18:$A$19</c:f>
              <c:strCache>
                <c:ptCount val="2"/>
                <c:pt idx="0">
                  <c:v>Insert buche / granulé</c:v>
                </c:pt>
                <c:pt idx="1">
                  <c:v>poele buche / granulé</c:v>
                </c:pt>
              </c:strCache>
            </c:strRef>
          </c:cat>
          <c:val>
            <c:numRef>
              <c:f>'type et coût appareil'!$C$18:$C$19</c:f>
              <c:numCache>
                <c:formatCode>#\ ##0\ "€"</c:formatCode>
                <c:ptCount val="2"/>
                <c:pt idx="0">
                  <c:v>6132.9565196428566</c:v>
                </c:pt>
                <c:pt idx="1">
                  <c:v>5678.5261710174436</c:v>
                </c:pt>
              </c:numCache>
            </c:numRef>
          </c:val>
          <c:extLst>
            <c:ext xmlns:c16="http://schemas.microsoft.com/office/drawing/2014/chart" uri="{C3380CC4-5D6E-409C-BE32-E72D297353CC}">
              <c16:uniqueId val="{00000001-841A-4A76-9C42-B60C8D6A9E0D}"/>
            </c:ext>
          </c:extLst>
        </c:ser>
        <c:ser>
          <c:idx val="7"/>
          <c:order val="2"/>
          <c:tx>
            <c:strRef>
              <c:f>'type et coût appareil'!$D$17</c:f>
              <c:strCache>
                <c:ptCount val="1"/>
                <c:pt idx="0">
                  <c:v>2022</c:v>
                </c:pt>
              </c:strCache>
              <c:extLst xmlns:c15="http://schemas.microsoft.com/office/drawing/2012/chart"/>
            </c:strRef>
          </c:tx>
          <c:spPr>
            <a:solidFill>
              <a:schemeClr val="accent2">
                <a:lumMod val="60000"/>
              </a:schemeClr>
            </a:solidFill>
            <a:ln>
              <a:noFill/>
            </a:ln>
            <a:effectLst/>
          </c:spPr>
          <c:invertIfNegative val="0"/>
          <c:cat>
            <c:strRef>
              <c:f>'type et coût appareil'!$A$18:$A$19</c:f>
              <c:strCache>
                <c:ptCount val="2"/>
                <c:pt idx="0">
                  <c:v>Insert buche / granulé</c:v>
                </c:pt>
                <c:pt idx="1">
                  <c:v>poele buche / granulé</c:v>
                </c:pt>
              </c:strCache>
              <c:extLst xmlns:c15="http://schemas.microsoft.com/office/drawing/2012/chart"/>
            </c:strRef>
          </c:cat>
          <c:val>
            <c:numRef>
              <c:f>'type et coût appareil'!$D$18:$D$19</c:f>
              <c:numCache>
                <c:formatCode>#\ ##0\ "€"</c:formatCode>
                <c:ptCount val="2"/>
                <c:pt idx="0">
                  <c:v>7052.8474796874998</c:v>
                </c:pt>
                <c:pt idx="1">
                  <c:v>6303.1196329714085</c:v>
                </c:pt>
              </c:numCache>
              <c:extLst xmlns:c15="http://schemas.microsoft.com/office/drawing/2012/chart"/>
            </c:numRef>
          </c:val>
          <c:extLst>
            <c:ext xmlns:c16="http://schemas.microsoft.com/office/drawing/2014/chart" uri="{C3380CC4-5D6E-409C-BE32-E72D297353CC}">
              <c16:uniqueId val="{00000002-841A-4A76-9C42-B60C8D6A9E0D}"/>
            </c:ext>
          </c:extLst>
        </c:ser>
        <c:dLbls>
          <c:showLegendKey val="0"/>
          <c:showVal val="0"/>
          <c:showCatName val="0"/>
          <c:showSerName val="0"/>
          <c:showPercent val="0"/>
          <c:showBubbleSize val="0"/>
        </c:dLbls>
        <c:gapWidth val="219"/>
        <c:overlap val="-27"/>
        <c:axId val="1562675984"/>
        <c:axId val="1562676528"/>
        <c:extLst/>
      </c:barChart>
      <c:catAx>
        <c:axId val="1562675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562676528"/>
        <c:crosses val="autoZero"/>
        <c:auto val="1"/>
        <c:lblAlgn val="ctr"/>
        <c:lblOffset val="100"/>
        <c:noMultiLvlLbl val="0"/>
      </c:catAx>
      <c:valAx>
        <c:axId val="1562676528"/>
        <c:scaling>
          <c:orientation val="minMax"/>
        </c:scaling>
        <c:delete val="0"/>
        <c:axPos val="l"/>
        <c:majorGridlines>
          <c:spPr>
            <a:ln w="9525" cap="flat" cmpd="sng" algn="ctr">
              <a:solidFill>
                <a:schemeClr val="tx1">
                  <a:lumMod val="15000"/>
                  <a:lumOff val="85000"/>
                </a:schemeClr>
              </a:solidFill>
              <a:round/>
            </a:ln>
            <a:effectLst/>
          </c:spPr>
        </c:majorGridlines>
        <c:numFmt formatCode="#\ ##0\ &quot;€&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5626759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Evolution</a:t>
            </a:r>
            <a:r>
              <a:rPr lang="fr-FR" baseline="0"/>
              <a:t> prime majoré / non majoré</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col"/>
        <c:grouping val="clustered"/>
        <c:varyColors val="0"/>
        <c:ser>
          <c:idx val="11"/>
          <c:order val="0"/>
          <c:tx>
            <c:strRef>
              <c:f>'Dossier majoré'!$C$3</c:f>
              <c:strCache>
                <c:ptCount val="1"/>
                <c:pt idx="0">
                  <c:v>2020</c:v>
                </c:pt>
              </c:strCache>
            </c:strRef>
          </c:tx>
          <c:spPr>
            <a:solidFill>
              <a:schemeClr val="accent6">
                <a:lumMod val="60000"/>
              </a:schemeClr>
            </a:solidFill>
            <a:ln>
              <a:noFill/>
            </a:ln>
            <a:effectLst/>
          </c:spPr>
          <c:invertIfNegative val="0"/>
          <c:cat>
            <c:strRef>
              <c:f>'Dossier majoré'!$A$4:$A$5</c:f>
              <c:strCache>
                <c:ptCount val="2"/>
                <c:pt idx="0">
                  <c:v>Prime majoré</c:v>
                </c:pt>
                <c:pt idx="1">
                  <c:v>Prime non majoré</c:v>
                </c:pt>
              </c:strCache>
            </c:strRef>
          </c:cat>
          <c:val>
            <c:numRef>
              <c:f>'Dossier majoré'!$C$4:$C$5</c:f>
              <c:numCache>
                <c:formatCode>0%</c:formatCode>
                <c:ptCount val="2"/>
                <c:pt idx="0">
                  <c:v>9.0909090909090912E-2</c:v>
                </c:pt>
                <c:pt idx="1">
                  <c:v>0.90909090909090906</c:v>
                </c:pt>
              </c:numCache>
            </c:numRef>
          </c:val>
          <c:extLst>
            <c:ext xmlns:c16="http://schemas.microsoft.com/office/drawing/2014/chart" uri="{C3380CC4-5D6E-409C-BE32-E72D297353CC}">
              <c16:uniqueId val="{00000000-D3EA-4569-8D66-F0B1C4566EC7}"/>
            </c:ext>
          </c:extLst>
        </c:ser>
        <c:ser>
          <c:idx val="13"/>
          <c:order val="1"/>
          <c:tx>
            <c:strRef>
              <c:f>'Dossier majoré'!$E$3</c:f>
              <c:strCache>
                <c:ptCount val="1"/>
                <c:pt idx="0">
                  <c:v>2021</c:v>
                </c:pt>
              </c:strCache>
            </c:strRef>
          </c:tx>
          <c:spPr>
            <a:solidFill>
              <a:schemeClr val="accent2">
                <a:lumMod val="80000"/>
                <a:lumOff val="20000"/>
              </a:schemeClr>
            </a:solidFill>
            <a:ln>
              <a:noFill/>
            </a:ln>
            <a:effectLst/>
          </c:spPr>
          <c:invertIfNegative val="0"/>
          <c:cat>
            <c:strRef>
              <c:f>'Dossier majoré'!$A$4:$A$5</c:f>
              <c:strCache>
                <c:ptCount val="2"/>
                <c:pt idx="0">
                  <c:v>Prime majoré</c:v>
                </c:pt>
                <c:pt idx="1">
                  <c:v>Prime non majoré</c:v>
                </c:pt>
              </c:strCache>
            </c:strRef>
          </c:cat>
          <c:val>
            <c:numRef>
              <c:f>'Dossier majoré'!$E$4:$E$5</c:f>
              <c:numCache>
                <c:formatCode>0%</c:formatCode>
                <c:ptCount val="2"/>
                <c:pt idx="0">
                  <c:v>0.32038834951456313</c:v>
                </c:pt>
                <c:pt idx="1">
                  <c:v>0.67961165048543692</c:v>
                </c:pt>
              </c:numCache>
            </c:numRef>
          </c:val>
          <c:extLst>
            <c:ext xmlns:c16="http://schemas.microsoft.com/office/drawing/2014/chart" uri="{C3380CC4-5D6E-409C-BE32-E72D297353CC}">
              <c16:uniqueId val="{00000001-D3EA-4569-8D66-F0B1C4566EC7}"/>
            </c:ext>
          </c:extLst>
        </c:ser>
        <c:ser>
          <c:idx val="15"/>
          <c:order val="2"/>
          <c:tx>
            <c:strRef>
              <c:f>'Dossier majoré'!$G$3</c:f>
              <c:strCache>
                <c:ptCount val="1"/>
                <c:pt idx="0">
                  <c:v>2022</c:v>
                </c:pt>
              </c:strCache>
            </c:strRef>
          </c:tx>
          <c:spPr>
            <a:solidFill>
              <a:schemeClr val="accent4">
                <a:lumMod val="80000"/>
                <a:lumOff val="20000"/>
              </a:schemeClr>
            </a:solidFill>
            <a:ln>
              <a:noFill/>
            </a:ln>
            <a:effectLst/>
          </c:spPr>
          <c:invertIfNegative val="0"/>
          <c:cat>
            <c:strRef>
              <c:f>'Dossier majoré'!$A$4:$A$5</c:f>
              <c:strCache>
                <c:ptCount val="2"/>
                <c:pt idx="0">
                  <c:v>Prime majoré</c:v>
                </c:pt>
                <c:pt idx="1">
                  <c:v>Prime non majoré</c:v>
                </c:pt>
              </c:strCache>
            </c:strRef>
          </c:cat>
          <c:val>
            <c:numRef>
              <c:f>'Dossier majoré'!$G$4:$G$5</c:f>
              <c:numCache>
                <c:formatCode>0%</c:formatCode>
                <c:ptCount val="2"/>
                <c:pt idx="0">
                  <c:v>0.35265700483091789</c:v>
                </c:pt>
                <c:pt idx="1">
                  <c:v>0.64734299516908211</c:v>
                </c:pt>
              </c:numCache>
            </c:numRef>
          </c:val>
          <c:extLst>
            <c:ext xmlns:c16="http://schemas.microsoft.com/office/drawing/2014/chart" uri="{C3380CC4-5D6E-409C-BE32-E72D297353CC}">
              <c16:uniqueId val="{00000002-D3EA-4569-8D66-F0B1C4566EC7}"/>
            </c:ext>
          </c:extLst>
        </c:ser>
        <c:dLbls>
          <c:showLegendKey val="0"/>
          <c:showVal val="0"/>
          <c:showCatName val="0"/>
          <c:showSerName val="0"/>
          <c:showPercent val="0"/>
          <c:showBubbleSize val="0"/>
        </c:dLbls>
        <c:gapWidth val="219"/>
        <c:overlap val="-27"/>
        <c:axId val="1562677072"/>
        <c:axId val="1536046800"/>
      </c:barChart>
      <c:catAx>
        <c:axId val="1562677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536046800"/>
        <c:crosses val="autoZero"/>
        <c:auto val="1"/>
        <c:lblAlgn val="ctr"/>
        <c:lblOffset val="100"/>
        <c:noMultiLvlLbl val="0"/>
      </c:catAx>
      <c:valAx>
        <c:axId val="153604680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562677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pieChart>
        <c:varyColors val="1"/>
        <c:ser>
          <c:idx val="0"/>
          <c:order val="0"/>
          <c:tx>
            <c:strRef>
              <c:f>'Dossier majoré'!$C$3</c:f>
              <c:strCache>
                <c:ptCount val="1"/>
                <c:pt idx="0">
                  <c:v>2020</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319-4610-8099-ADBD39F3CFB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319-4610-8099-ADBD39F3CFB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319-4610-8099-ADBD39F3CFB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A319-4610-8099-ADBD39F3CFB2}"/>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A319-4610-8099-ADBD39F3CFB2}"/>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A319-4610-8099-ADBD39F3CFB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'Dossier majoré'!$A$4:$A$5</c:f>
              <c:strCache>
                <c:ptCount val="2"/>
                <c:pt idx="0">
                  <c:v>Prime majoré</c:v>
                </c:pt>
                <c:pt idx="1">
                  <c:v>Prime non majoré</c:v>
                </c:pt>
              </c:strCache>
            </c:strRef>
          </c:cat>
          <c:val>
            <c:numRef>
              <c:f>'Dossier majoré'!$C$4:$C$5</c:f>
              <c:numCache>
                <c:formatCode>0%</c:formatCode>
                <c:ptCount val="2"/>
                <c:pt idx="0">
                  <c:v>9.0909090909090912E-2</c:v>
                </c:pt>
                <c:pt idx="1">
                  <c:v>0.90909090909090906</c:v>
                </c:pt>
              </c:numCache>
            </c:numRef>
          </c:val>
          <c:extLst>
            <c:ext xmlns:c16="http://schemas.microsoft.com/office/drawing/2014/chart" uri="{C3380CC4-5D6E-409C-BE32-E72D297353CC}">
              <c16:uniqueId val="{0000000C-A319-4610-8099-ADBD39F3CFB2}"/>
            </c:ext>
          </c:extLst>
        </c:ser>
        <c:dLbls>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pieChart>
        <c:varyColors val="1"/>
        <c:ser>
          <c:idx val="0"/>
          <c:order val="0"/>
          <c:tx>
            <c:strRef>
              <c:f>'Dossier majoré'!$E$3</c:f>
              <c:strCache>
                <c:ptCount val="1"/>
                <c:pt idx="0">
                  <c:v>2021</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C69-4D37-A758-7A771644778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C69-4D37-A758-7A771644778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C69-4D37-A758-7A771644778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CC69-4D37-A758-7A7716447781}"/>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CC69-4D37-A758-7A7716447781}"/>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CC69-4D37-A758-7A771644778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'Dossier majoré'!$A$4:$A$5</c:f>
              <c:strCache>
                <c:ptCount val="2"/>
                <c:pt idx="0">
                  <c:v>Prime majoré</c:v>
                </c:pt>
                <c:pt idx="1">
                  <c:v>Prime non majoré</c:v>
                </c:pt>
              </c:strCache>
            </c:strRef>
          </c:cat>
          <c:val>
            <c:numRef>
              <c:f>'Dossier majoré'!$E$4:$E$5</c:f>
              <c:numCache>
                <c:formatCode>0%</c:formatCode>
                <c:ptCount val="2"/>
                <c:pt idx="0">
                  <c:v>0.32038834951456313</c:v>
                </c:pt>
                <c:pt idx="1">
                  <c:v>0.67961165048543692</c:v>
                </c:pt>
              </c:numCache>
            </c:numRef>
          </c:val>
          <c:extLst>
            <c:ext xmlns:c16="http://schemas.microsoft.com/office/drawing/2014/chart" uri="{C3380CC4-5D6E-409C-BE32-E72D297353CC}">
              <c16:uniqueId val="{0000000C-CC69-4D37-A758-7A7716447781}"/>
            </c:ext>
          </c:extLst>
        </c:ser>
        <c:dLbls>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pieChart>
        <c:varyColors val="1"/>
        <c:ser>
          <c:idx val="0"/>
          <c:order val="0"/>
          <c:tx>
            <c:strRef>
              <c:f>'Dossier majoré'!$M$3</c:f>
              <c:strCache>
                <c:ptCount val="1"/>
                <c:pt idx="0">
                  <c:v>2020-2022
N=424</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964-4556-8268-647B89E10B3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964-4556-8268-647B89E10B3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964-4556-8268-647B89E10B3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964-4556-8268-647B89E10B38}"/>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2964-4556-8268-647B89E10B38}"/>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2964-4556-8268-647B89E10B3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'Dossier majoré'!$A$4:$A$5</c:f>
              <c:strCache>
                <c:ptCount val="2"/>
                <c:pt idx="0">
                  <c:v>Prime majoré</c:v>
                </c:pt>
                <c:pt idx="1">
                  <c:v>Prime non majoré</c:v>
                </c:pt>
              </c:strCache>
            </c:strRef>
          </c:cat>
          <c:val>
            <c:numRef>
              <c:f>'Dossier majoré'!$M$4:$M$5</c:f>
              <c:numCache>
                <c:formatCode>0%</c:formatCode>
                <c:ptCount val="2"/>
                <c:pt idx="0">
                  <c:v>0.330188679245283</c:v>
                </c:pt>
                <c:pt idx="1">
                  <c:v>0.66981132075471694</c:v>
                </c:pt>
              </c:numCache>
            </c:numRef>
          </c:val>
          <c:extLst>
            <c:ext xmlns:c16="http://schemas.microsoft.com/office/drawing/2014/chart" uri="{C3380CC4-5D6E-409C-BE32-E72D297353CC}">
              <c16:uniqueId val="{0000000C-2964-4556-8268-647B89E10B38}"/>
            </c:ext>
          </c:extLst>
        </c:ser>
        <c:dLbls>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pieChart>
        <c:varyColors val="1"/>
        <c:ser>
          <c:idx val="0"/>
          <c:order val="0"/>
          <c:tx>
            <c:strRef>
              <c:f>'Dossier majoré'!$G$3</c:f>
              <c:strCache>
                <c:ptCount val="1"/>
                <c:pt idx="0">
                  <c:v>2022</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78B-4ECC-B3C9-F4414FB16A2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78B-4ECC-B3C9-F4414FB16A2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78B-4ECC-B3C9-F4414FB16A2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78B-4ECC-B3C9-F4414FB16A2C}"/>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D78B-4ECC-B3C9-F4414FB16A2C}"/>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D78B-4ECC-B3C9-F4414FB16A2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'Dossier majoré'!$A$4:$A$5</c:f>
              <c:strCache>
                <c:ptCount val="2"/>
                <c:pt idx="0">
                  <c:v>Prime majoré</c:v>
                </c:pt>
                <c:pt idx="1">
                  <c:v>Prime non majoré</c:v>
                </c:pt>
              </c:strCache>
            </c:strRef>
          </c:cat>
          <c:val>
            <c:numRef>
              <c:f>'Dossier majoré'!$G$4:$G$5</c:f>
              <c:numCache>
                <c:formatCode>0%</c:formatCode>
                <c:ptCount val="2"/>
                <c:pt idx="0">
                  <c:v>0.35265700483091789</c:v>
                </c:pt>
                <c:pt idx="1">
                  <c:v>0.64734299516908211</c:v>
                </c:pt>
              </c:numCache>
            </c:numRef>
          </c:val>
          <c:extLst>
            <c:ext xmlns:c16="http://schemas.microsoft.com/office/drawing/2014/chart" uri="{C3380CC4-5D6E-409C-BE32-E72D297353CC}">
              <c16:uniqueId val="{0000000C-D78B-4ECC-B3C9-F4414FB16A2C}"/>
            </c:ext>
          </c:extLst>
        </c:ser>
        <c:dLbls>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pieChart>
        <c:varyColors val="1"/>
        <c:ser>
          <c:idx val="0"/>
          <c:order val="0"/>
          <c:tx>
            <c:strRef>
              <c:f>'Dossier majoré'!$I$3</c:f>
              <c:strCache>
                <c:ptCount val="1"/>
                <c:pt idx="0">
                  <c:v>2023</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769-4B16-909B-221677B2809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769-4B16-909B-221677B2809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769-4B16-909B-221677B2809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769-4B16-909B-221677B2809F}"/>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5769-4B16-909B-221677B2809F}"/>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5769-4B16-909B-221677B2809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'Dossier majoré'!$A$4:$A$5</c:f>
              <c:strCache>
                <c:ptCount val="2"/>
                <c:pt idx="0">
                  <c:v>Prime majoré</c:v>
                </c:pt>
                <c:pt idx="1">
                  <c:v>Prime non majoré</c:v>
                </c:pt>
              </c:strCache>
            </c:strRef>
          </c:cat>
          <c:val>
            <c:numRef>
              <c:f>'Dossier majoré'!$I$4:$I$5</c:f>
              <c:numCache>
                <c:formatCode>0%</c:formatCode>
                <c:ptCount val="2"/>
                <c:pt idx="0">
                  <c:v>0</c:v>
                </c:pt>
                <c:pt idx="1">
                  <c:v>0</c:v>
                </c:pt>
              </c:numCache>
            </c:numRef>
          </c:val>
          <c:extLst>
            <c:ext xmlns:c16="http://schemas.microsoft.com/office/drawing/2014/chart" uri="{C3380CC4-5D6E-409C-BE32-E72D297353CC}">
              <c16:uniqueId val="{0000000C-5769-4B16-909B-221677B2809F}"/>
            </c:ext>
          </c:extLst>
        </c:ser>
        <c:dLbls>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pieChart>
        <c:varyColors val="1"/>
        <c:ser>
          <c:idx val="0"/>
          <c:order val="0"/>
          <c:tx>
            <c:strRef>
              <c:f>'Dossier majoré'!$K$3</c:f>
              <c:strCache>
                <c:ptCount val="1"/>
                <c:pt idx="0">
                  <c:v>2024</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78B-4B1F-B4D6-910F18277CA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78B-4B1F-B4D6-910F18277CA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78B-4B1F-B4D6-910F18277CA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A78B-4B1F-B4D6-910F18277CA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A78B-4B1F-B4D6-910F18277CAA}"/>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A78B-4B1F-B4D6-910F18277CA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'Dossier majoré'!$A$4:$A$5</c:f>
              <c:strCache>
                <c:ptCount val="2"/>
                <c:pt idx="0">
                  <c:v>Prime majoré</c:v>
                </c:pt>
                <c:pt idx="1">
                  <c:v>Prime non majoré</c:v>
                </c:pt>
              </c:strCache>
            </c:strRef>
          </c:cat>
          <c:val>
            <c:numRef>
              <c:f>'Dossier majoré'!$K$4:$K$5</c:f>
              <c:numCache>
                <c:formatCode>0%</c:formatCode>
                <c:ptCount val="2"/>
                <c:pt idx="0">
                  <c:v>0</c:v>
                </c:pt>
                <c:pt idx="1">
                  <c:v>0</c:v>
                </c:pt>
              </c:numCache>
            </c:numRef>
          </c:val>
          <c:extLst>
            <c:ext xmlns:c16="http://schemas.microsoft.com/office/drawing/2014/chart" uri="{C3380CC4-5D6E-409C-BE32-E72D297353CC}">
              <c16:uniqueId val="{0000000C-A78B-4B1F-B4D6-910F18277CAA}"/>
            </c:ext>
          </c:extLst>
        </c:ser>
        <c:dLbls>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pieChart>
        <c:varyColors val="1"/>
        <c:ser>
          <c:idx val="0"/>
          <c:order val="0"/>
          <c:tx>
            <c:strRef>
              <c:f>'détail installateur'!$N$3</c:f>
              <c:strCache>
                <c:ptCount val="1"/>
                <c:pt idx="0">
                  <c:v>Années 2020-2022
N=424</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D3D-4A6F-AADC-8D1A7C442C0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D3D-4A6F-AADC-8D1A7C442C0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D3D-4A6F-AADC-8D1A7C442C0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D3D-4A6F-AADC-8D1A7C442C0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2D3D-4A6F-AADC-8D1A7C442C09}"/>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2D3D-4A6F-AADC-8D1A7C442C0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'détail installateur'!$B$4:$B$9</c:f>
              <c:strCache>
                <c:ptCount val="6"/>
                <c:pt idx="0">
                  <c:v>CA du Pays Voironnais</c:v>
                </c:pt>
                <c:pt idx="1">
                  <c:v>CC Le Grésivaudan</c:v>
                </c:pt>
                <c:pt idx="2">
                  <c:v>Grenoble-Alpes-Métropole</c:v>
                </c:pt>
                <c:pt idx="3">
                  <c:v>autre département sauf Savoie (Ain, Drôme, Hautes-Alpes…)</c:v>
                </c:pt>
                <c:pt idx="4">
                  <c:v>Isère (sauf GAM, CCG et CAPV)</c:v>
                </c:pt>
                <c:pt idx="5">
                  <c:v>Savoie</c:v>
                </c:pt>
              </c:strCache>
            </c:strRef>
          </c:cat>
          <c:val>
            <c:numRef>
              <c:f>'détail installateur'!$N$4:$N$9</c:f>
              <c:numCache>
                <c:formatCode>0%</c:formatCode>
                <c:ptCount val="6"/>
                <c:pt idx="0">
                  <c:v>0.49528301886792453</c:v>
                </c:pt>
                <c:pt idx="1">
                  <c:v>2.1226415094339621E-2</c:v>
                </c:pt>
                <c:pt idx="2">
                  <c:v>0.11320754716981132</c:v>
                </c:pt>
                <c:pt idx="3">
                  <c:v>3.0660377358490566E-2</c:v>
                </c:pt>
                <c:pt idx="4">
                  <c:v>0.31603773584905659</c:v>
                </c:pt>
                <c:pt idx="5">
                  <c:v>2.358490566037736E-2</c:v>
                </c:pt>
              </c:numCache>
            </c:numRef>
          </c:val>
          <c:extLst>
            <c:ext xmlns:c16="http://schemas.microsoft.com/office/drawing/2014/chart" uri="{C3380CC4-5D6E-409C-BE32-E72D297353CC}">
              <c16:uniqueId val="{0000000C-2D3D-4A6F-AADC-8D1A7C442C09}"/>
            </c:ext>
          </c:extLst>
        </c:ser>
        <c:dLbls>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lgn="ctr" rtl="0">
            <a:defRPr lang="en-US" sz="1400" b="0" i="0" u="none" strike="noStrike" kern="1200" spc="0" baseline="0">
              <a:solidFill>
                <a:sysClr val="windowText" lastClr="000000">
                  <a:lumMod val="65000"/>
                  <a:lumOff val="35000"/>
                </a:sysClr>
              </a:solidFill>
              <a:latin typeface="+mn-lt"/>
              <a:ea typeface="+mn-ea"/>
              <a:cs typeface="+mn-cs"/>
            </a:defRPr>
          </a:pPr>
          <a:endParaRPr lang="fr-FR"/>
        </a:p>
      </c:txPr>
    </c:title>
    <c:autoTitleDeleted val="0"/>
    <c:plotArea>
      <c:layout/>
      <c:pieChart>
        <c:varyColors val="1"/>
        <c:ser>
          <c:idx val="0"/>
          <c:order val="0"/>
          <c:tx>
            <c:strRef>
              <c:f>'détail installateur'!$D$3</c:f>
              <c:strCache>
                <c:ptCount val="1"/>
                <c:pt idx="0">
                  <c:v>Année 2020
N=11</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994-4D02-BCA2-3941AF1D0BC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994-4D02-BCA2-3941AF1D0BC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994-4D02-BCA2-3941AF1D0BC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994-4D02-BCA2-3941AF1D0BCB}"/>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E994-4D02-BCA2-3941AF1D0BCB}"/>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E994-4D02-BCA2-3941AF1D0BC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'détail installateur'!$B$4:$B$9</c:f>
              <c:strCache>
                <c:ptCount val="6"/>
                <c:pt idx="0">
                  <c:v>CA du Pays Voironnais</c:v>
                </c:pt>
                <c:pt idx="1">
                  <c:v>CC Le Grésivaudan</c:v>
                </c:pt>
                <c:pt idx="2">
                  <c:v>Grenoble-Alpes-Métropole</c:v>
                </c:pt>
                <c:pt idx="3">
                  <c:v>autre département sauf Savoie (Ain, Drôme, Hautes-Alpes…)</c:v>
                </c:pt>
                <c:pt idx="4">
                  <c:v>Isère (sauf GAM, CCG et CAPV)</c:v>
                </c:pt>
                <c:pt idx="5">
                  <c:v>Savoie</c:v>
                </c:pt>
              </c:strCache>
            </c:strRef>
          </c:cat>
          <c:val>
            <c:numRef>
              <c:f>'détail installateur'!$D$4:$D$9</c:f>
              <c:numCache>
                <c:formatCode>0%</c:formatCode>
                <c:ptCount val="6"/>
                <c:pt idx="0">
                  <c:v>0.81818181818181823</c:v>
                </c:pt>
                <c:pt idx="1">
                  <c:v>0</c:v>
                </c:pt>
                <c:pt idx="2">
                  <c:v>9.0909090909090912E-2</c:v>
                </c:pt>
                <c:pt idx="3">
                  <c:v>9.0909090909090912E-2</c:v>
                </c:pt>
                <c:pt idx="4">
                  <c:v>0</c:v>
                </c:pt>
                <c:pt idx="5">
                  <c:v>0</c:v>
                </c:pt>
              </c:numCache>
            </c:numRef>
          </c:val>
          <c:extLst>
            <c:ext xmlns:c16="http://schemas.microsoft.com/office/drawing/2014/chart" uri="{C3380CC4-5D6E-409C-BE32-E72D297353CC}">
              <c16:uniqueId val="{0000000C-E994-4D02-BCA2-3941AF1D0BCB}"/>
            </c:ext>
          </c:extLst>
        </c:ser>
        <c:dLbls>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lgn="ctr" rtl="0">
            <a:defRPr lang="en-US" sz="1400" b="0" i="0" u="none" strike="noStrike" kern="1200" spc="0" baseline="0">
              <a:solidFill>
                <a:sysClr val="windowText" lastClr="000000">
                  <a:lumMod val="65000"/>
                  <a:lumOff val="35000"/>
                </a:sysClr>
              </a:solidFill>
              <a:latin typeface="+mn-lt"/>
              <a:ea typeface="+mn-ea"/>
              <a:cs typeface="+mn-cs"/>
            </a:defRPr>
          </a:pPr>
          <a:endParaRPr lang="fr-FR"/>
        </a:p>
      </c:txPr>
    </c:title>
    <c:autoTitleDeleted val="0"/>
    <c:plotArea>
      <c:layout/>
      <c:pieChart>
        <c:varyColors val="1"/>
        <c:ser>
          <c:idx val="0"/>
          <c:order val="0"/>
          <c:tx>
            <c:strRef>
              <c:f>'détail installateur'!$F$3</c:f>
              <c:strCache>
                <c:ptCount val="1"/>
                <c:pt idx="0">
                  <c:v>Année 2021
N=206</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045-4496-BAF9-96FFB3693A4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045-4496-BAF9-96FFB3693A4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045-4496-BAF9-96FFB3693A4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045-4496-BAF9-96FFB3693A47}"/>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2045-4496-BAF9-96FFB3693A47}"/>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2045-4496-BAF9-96FFB3693A4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'détail installateur'!$B$4:$B$9</c:f>
              <c:strCache>
                <c:ptCount val="6"/>
                <c:pt idx="0">
                  <c:v>CA du Pays Voironnais</c:v>
                </c:pt>
                <c:pt idx="1">
                  <c:v>CC Le Grésivaudan</c:v>
                </c:pt>
                <c:pt idx="2">
                  <c:v>Grenoble-Alpes-Métropole</c:v>
                </c:pt>
                <c:pt idx="3">
                  <c:v>autre département sauf Savoie (Ain, Drôme, Hautes-Alpes…)</c:v>
                </c:pt>
                <c:pt idx="4">
                  <c:v>Isère (sauf GAM, CCG et CAPV)</c:v>
                </c:pt>
                <c:pt idx="5">
                  <c:v>Savoie</c:v>
                </c:pt>
              </c:strCache>
            </c:strRef>
          </c:cat>
          <c:val>
            <c:numRef>
              <c:f>'détail installateur'!$F$4:$F$9</c:f>
              <c:numCache>
                <c:formatCode>0%</c:formatCode>
                <c:ptCount val="6"/>
                <c:pt idx="0">
                  <c:v>0.5436893203883495</c:v>
                </c:pt>
                <c:pt idx="1">
                  <c:v>1.9417475728155338E-2</c:v>
                </c:pt>
                <c:pt idx="2">
                  <c:v>0.12135922330097088</c:v>
                </c:pt>
                <c:pt idx="3">
                  <c:v>1.9417475728155338E-2</c:v>
                </c:pt>
                <c:pt idx="4">
                  <c:v>0.28640776699029125</c:v>
                </c:pt>
                <c:pt idx="5">
                  <c:v>9.7087378640776691E-3</c:v>
                </c:pt>
              </c:numCache>
            </c:numRef>
          </c:val>
          <c:extLst>
            <c:ext xmlns:c16="http://schemas.microsoft.com/office/drawing/2014/chart" uri="{C3380CC4-5D6E-409C-BE32-E72D297353CC}">
              <c16:uniqueId val="{0000000C-2045-4496-BAF9-96FFB3693A47}"/>
            </c:ext>
          </c:extLst>
        </c:ser>
        <c:dLbls>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lgn="ctr" rtl="0">
            <a:defRPr lang="en-US" sz="1400" b="0" i="0" u="none" strike="noStrike" kern="1200" spc="0" baseline="0">
              <a:solidFill>
                <a:sysClr val="windowText" lastClr="000000">
                  <a:lumMod val="65000"/>
                  <a:lumOff val="35000"/>
                </a:sysClr>
              </a:solidFill>
              <a:latin typeface="+mn-lt"/>
              <a:ea typeface="+mn-ea"/>
              <a:cs typeface="+mn-cs"/>
            </a:defRPr>
          </a:pPr>
          <a:endParaRPr lang="fr-FR"/>
        </a:p>
      </c:txPr>
    </c:title>
    <c:autoTitleDeleted val="0"/>
    <c:plotArea>
      <c:layout/>
      <c:pieChart>
        <c:varyColors val="1"/>
        <c:ser>
          <c:idx val="0"/>
          <c:order val="0"/>
          <c:tx>
            <c:strRef>
              <c:f>'détail installateur'!$H$3</c:f>
              <c:strCache>
                <c:ptCount val="1"/>
                <c:pt idx="0">
                  <c:v>Année 2022
N=207</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635-4F6A-8005-0F4AFFEF846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635-4F6A-8005-0F4AFFEF846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635-4F6A-8005-0F4AFFEF846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635-4F6A-8005-0F4AFFEF846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8635-4F6A-8005-0F4AFFEF846A}"/>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8635-4F6A-8005-0F4AFFEF846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'détail installateur'!$B$4:$B$9</c:f>
              <c:strCache>
                <c:ptCount val="6"/>
                <c:pt idx="0">
                  <c:v>CA du Pays Voironnais</c:v>
                </c:pt>
                <c:pt idx="1">
                  <c:v>CC Le Grésivaudan</c:v>
                </c:pt>
                <c:pt idx="2">
                  <c:v>Grenoble-Alpes-Métropole</c:v>
                </c:pt>
                <c:pt idx="3">
                  <c:v>autre département sauf Savoie (Ain, Drôme, Hautes-Alpes…)</c:v>
                </c:pt>
                <c:pt idx="4">
                  <c:v>Isère (sauf GAM, CCG et CAPV)</c:v>
                </c:pt>
                <c:pt idx="5">
                  <c:v>Savoie</c:v>
                </c:pt>
              </c:strCache>
            </c:strRef>
          </c:cat>
          <c:val>
            <c:numRef>
              <c:f>'détail installateur'!$H$4:$H$9</c:f>
              <c:numCache>
                <c:formatCode>0%</c:formatCode>
                <c:ptCount val="6"/>
                <c:pt idx="0">
                  <c:v>0.42995169082125606</c:v>
                </c:pt>
                <c:pt idx="1">
                  <c:v>2.4154589371980676E-2</c:v>
                </c:pt>
                <c:pt idx="2">
                  <c:v>0.10628019323671498</c:v>
                </c:pt>
                <c:pt idx="3">
                  <c:v>3.864734299516908E-2</c:v>
                </c:pt>
                <c:pt idx="4">
                  <c:v>0.36231884057971014</c:v>
                </c:pt>
                <c:pt idx="5">
                  <c:v>3.864734299516908E-2</c:v>
                </c:pt>
              </c:numCache>
            </c:numRef>
          </c:val>
          <c:extLst>
            <c:ext xmlns:c16="http://schemas.microsoft.com/office/drawing/2014/chart" uri="{C3380CC4-5D6E-409C-BE32-E72D297353CC}">
              <c16:uniqueId val="{0000000C-8635-4F6A-8005-0F4AFFEF846A}"/>
            </c:ext>
          </c:extLst>
        </c:ser>
        <c:dLbls>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pivotSource>
    <c:name>[Copie de Traitement donnees FABV.xlsx]4_questio satisfaction!Tableau croisé dynamique1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clustered"/>
        <c:varyColors val="0"/>
        <c:ser>
          <c:idx val="0"/>
          <c:order val="0"/>
          <c:tx>
            <c:strRef>
              <c:f>'4_questio satisfaction'!$N$1</c:f>
              <c:strCache>
                <c:ptCount val="1"/>
                <c:pt idx="0">
                  <c:v>Total</c:v>
                </c:pt>
              </c:strCache>
            </c:strRef>
          </c:tx>
          <c:spPr>
            <a:solidFill>
              <a:schemeClr val="accent1"/>
            </a:solidFill>
            <a:ln>
              <a:noFill/>
            </a:ln>
            <a:effectLst/>
          </c:spPr>
          <c:invertIfNegative val="0"/>
          <c:cat>
            <c:strRef>
              <c:f>'4_questio satisfaction'!$M$2:$M$6</c:f>
              <c:strCache>
                <c:ptCount val="4"/>
                <c:pt idx="0">
                  <c:v>adaptée à mon niveau</c:v>
                </c:pt>
                <c:pt idx="1">
                  <c:v>pas assez technique</c:v>
                </c:pt>
                <c:pt idx="2">
                  <c:v>trop technique</c:v>
                </c:pt>
                <c:pt idx="3">
                  <c:v>(vide)</c:v>
                </c:pt>
              </c:strCache>
            </c:strRef>
          </c:cat>
          <c:val>
            <c:numRef>
              <c:f>'4_questio satisfaction'!$N$2:$N$6</c:f>
              <c:numCache>
                <c:formatCode>General</c:formatCode>
                <c:ptCount val="4"/>
                <c:pt idx="0">
                  <c:v>52</c:v>
                </c:pt>
                <c:pt idx="1">
                  <c:v>2</c:v>
                </c:pt>
                <c:pt idx="2">
                  <c:v>1</c:v>
                </c:pt>
              </c:numCache>
            </c:numRef>
          </c:val>
          <c:extLst>
            <c:ext xmlns:c16="http://schemas.microsoft.com/office/drawing/2014/chart" uri="{C3380CC4-5D6E-409C-BE32-E72D297353CC}">
              <c16:uniqueId val="{00000000-DFB1-4A84-81E0-26B6D42A82EE}"/>
            </c:ext>
          </c:extLst>
        </c:ser>
        <c:dLbls>
          <c:showLegendKey val="0"/>
          <c:showVal val="0"/>
          <c:showCatName val="0"/>
          <c:showSerName val="0"/>
          <c:showPercent val="0"/>
          <c:showBubbleSize val="0"/>
        </c:dLbls>
        <c:gapWidth val="219"/>
        <c:overlap val="-27"/>
        <c:axId val="1536050064"/>
        <c:axId val="1536047888"/>
      </c:barChart>
      <c:catAx>
        <c:axId val="15360500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536047888"/>
        <c:crosses val="autoZero"/>
        <c:auto val="1"/>
        <c:lblAlgn val="ctr"/>
        <c:lblOffset val="100"/>
        <c:noMultiLvlLbl val="0"/>
      </c:catAx>
      <c:valAx>
        <c:axId val="15360478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5360500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pivotSource>
    <c:name>[Copie de Traitement donnees FABV.xlsx]OK liste signataires!Tableau croisé dynamique2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Entreprises</a:t>
            </a:r>
            <a:r>
              <a:rPr lang="en-US" baseline="0"/>
              <a:t> signataires de la charte au 31 décembre 2021</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col"/>
        <c:grouping val="clustered"/>
        <c:varyColors val="0"/>
        <c:ser>
          <c:idx val="0"/>
          <c:order val="0"/>
          <c:tx>
            <c:strRef>
              <c:f>'OK liste signataires'!$H$3</c:f>
              <c:strCache>
                <c:ptCount val="1"/>
                <c:pt idx="0">
                  <c:v>Total</c:v>
                </c:pt>
              </c:strCache>
            </c:strRef>
          </c:tx>
          <c:spPr>
            <a:solidFill>
              <a:schemeClr val="accent1"/>
            </a:solidFill>
            <a:ln>
              <a:noFill/>
            </a:ln>
            <a:effectLst/>
          </c:spPr>
          <c:invertIfNegative val="0"/>
          <c:cat>
            <c:strRef>
              <c:f>'OK liste signataires'!$G$4:$G$10</c:f>
              <c:strCache>
                <c:ptCount val="6"/>
                <c:pt idx="0">
                  <c:v>Grenoble-Alpes-Métropole</c:v>
                </c:pt>
                <c:pt idx="1">
                  <c:v>Isère (sauf GAM, CCG et CAPV)</c:v>
                </c:pt>
                <c:pt idx="2">
                  <c:v>Savoie</c:v>
                </c:pt>
                <c:pt idx="3">
                  <c:v>CA du Pays Voironnais</c:v>
                </c:pt>
                <c:pt idx="4">
                  <c:v>autre département sauf Savoie (Ain, Drôme, Hautes-Alpes…)</c:v>
                </c:pt>
                <c:pt idx="5">
                  <c:v>CC Le Grésivaudan</c:v>
                </c:pt>
              </c:strCache>
            </c:strRef>
          </c:cat>
          <c:val>
            <c:numRef>
              <c:f>'OK liste signataires'!$H$4:$H$10</c:f>
              <c:numCache>
                <c:formatCode>General</c:formatCode>
                <c:ptCount val="6"/>
                <c:pt idx="0">
                  <c:v>29</c:v>
                </c:pt>
                <c:pt idx="1">
                  <c:v>23</c:v>
                </c:pt>
                <c:pt idx="2">
                  <c:v>16</c:v>
                </c:pt>
                <c:pt idx="3">
                  <c:v>15</c:v>
                </c:pt>
                <c:pt idx="4">
                  <c:v>13</c:v>
                </c:pt>
                <c:pt idx="5">
                  <c:v>13</c:v>
                </c:pt>
              </c:numCache>
            </c:numRef>
          </c:val>
          <c:extLst>
            <c:ext xmlns:c16="http://schemas.microsoft.com/office/drawing/2014/chart" uri="{C3380CC4-5D6E-409C-BE32-E72D297353CC}">
              <c16:uniqueId val="{00000000-7DA5-4B17-8E92-A91186ECA71A}"/>
            </c:ext>
          </c:extLst>
        </c:ser>
        <c:dLbls>
          <c:showLegendKey val="0"/>
          <c:showVal val="0"/>
          <c:showCatName val="0"/>
          <c:showSerName val="0"/>
          <c:showPercent val="0"/>
          <c:showBubbleSize val="0"/>
        </c:dLbls>
        <c:gapWidth val="219"/>
        <c:overlap val="-27"/>
        <c:axId val="1536051696"/>
        <c:axId val="1536047344"/>
      </c:barChart>
      <c:catAx>
        <c:axId val="1536051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536047344"/>
        <c:crosses val="autoZero"/>
        <c:auto val="1"/>
        <c:lblAlgn val="ctr"/>
        <c:lblOffset val="100"/>
        <c:noMultiLvlLbl val="0"/>
      </c:catAx>
      <c:valAx>
        <c:axId val="15360473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53605169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8">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2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0.xml"/><Relationship Id="rId3" Type="http://schemas.openxmlformats.org/officeDocument/2006/relationships/chart" Target="../charts/chart5.xml"/><Relationship Id="rId7" Type="http://schemas.openxmlformats.org/officeDocument/2006/relationships/chart" Target="../charts/chart9.xml"/><Relationship Id="rId2" Type="http://schemas.openxmlformats.org/officeDocument/2006/relationships/chart" Target="../charts/chart4.xml"/><Relationship Id="rId1" Type="http://schemas.openxmlformats.org/officeDocument/2006/relationships/chart" Target="../charts/chart3.xml"/><Relationship Id="rId6" Type="http://schemas.openxmlformats.org/officeDocument/2006/relationships/chart" Target="../charts/chart8.xml"/><Relationship Id="rId5" Type="http://schemas.openxmlformats.org/officeDocument/2006/relationships/chart" Target="../charts/chart7.xml"/><Relationship Id="rId10" Type="http://schemas.openxmlformats.org/officeDocument/2006/relationships/chart" Target="../charts/chart12.xml"/><Relationship Id="rId4" Type="http://schemas.openxmlformats.org/officeDocument/2006/relationships/chart" Target="../charts/chart6.xml"/><Relationship Id="rId9" Type="http://schemas.openxmlformats.org/officeDocument/2006/relationships/chart" Target="../charts/chart11.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5.xml"/><Relationship Id="rId2" Type="http://schemas.openxmlformats.org/officeDocument/2006/relationships/chart" Target="../charts/chart14.xml"/><Relationship Id="rId1" Type="http://schemas.openxmlformats.org/officeDocument/2006/relationships/chart" Target="../charts/chart13.xml"/><Relationship Id="rId6" Type="http://schemas.openxmlformats.org/officeDocument/2006/relationships/chart" Target="../charts/chart18.xml"/><Relationship Id="rId5" Type="http://schemas.openxmlformats.org/officeDocument/2006/relationships/chart" Target="../charts/chart17.xml"/><Relationship Id="rId4" Type="http://schemas.openxmlformats.org/officeDocument/2006/relationships/chart" Target="../charts/chart16.xml"/></Relationships>
</file>

<file path=xl/drawings/_rels/drawing4.xml.rels><?xml version="1.0" encoding="UTF-8" standalone="yes"?>
<Relationships xmlns="http://schemas.openxmlformats.org/package/2006/relationships"><Relationship Id="rId3" Type="http://schemas.openxmlformats.org/officeDocument/2006/relationships/chart" Target="../charts/chart21.xml"/><Relationship Id="rId2" Type="http://schemas.openxmlformats.org/officeDocument/2006/relationships/chart" Target="../charts/chart20.xml"/><Relationship Id="rId1" Type="http://schemas.openxmlformats.org/officeDocument/2006/relationships/chart" Target="../charts/chart19.xml"/><Relationship Id="rId6" Type="http://schemas.openxmlformats.org/officeDocument/2006/relationships/chart" Target="../charts/chart24.xml"/><Relationship Id="rId5" Type="http://schemas.openxmlformats.org/officeDocument/2006/relationships/chart" Target="../charts/chart23.xml"/><Relationship Id="rId4" Type="http://schemas.openxmlformats.org/officeDocument/2006/relationships/chart" Target="../charts/chart22.xml"/></Relationships>
</file>

<file path=xl/drawings/_rels/drawing5.xml.rels><?xml version="1.0" encoding="UTF-8" standalone="yes"?>
<Relationships xmlns="http://schemas.openxmlformats.org/package/2006/relationships"><Relationship Id="rId2" Type="http://schemas.openxmlformats.org/officeDocument/2006/relationships/chart" Target="../charts/chart26.xml"/><Relationship Id="rId1" Type="http://schemas.openxmlformats.org/officeDocument/2006/relationships/chart" Target="../charts/chart25.xml"/></Relationships>
</file>

<file path=xl/drawings/_rels/drawing7.xml.rels><?xml version="1.0" encoding="UTF-8" standalone="yes"?>
<Relationships xmlns="http://schemas.openxmlformats.org/package/2006/relationships"><Relationship Id="rId3" Type="http://schemas.openxmlformats.org/officeDocument/2006/relationships/chart" Target="../charts/chart29.xml"/><Relationship Id="rId2" Type="http://schemas.openxmlformats.org/officeDocument/2006/relationships/chart" Target="../charts/chart28.xml"/><Relationship Id="rId1" Type="http://schemas.openxmlformats.org/officeDocument/2006/relationships/chart" Target="../charts/chart27.xml"/></Relationships>
</file>

<file path=xl/drawings/_rels/drawing8.xml.rels><?xml version="1.0" encoding="UTF-8" standalone="yes"?>
<Relationships xmlns="http://schemas.openxmlformats.org/package/2006/relationships"><Relationship Id="rId3" Type="http://schemas.openxmlformats.org/officeDocument/2006/relationships/chart" Target="../charts/chart32.xml"/><Relationship Id="rId7" Type="http://schemas.openxmlformats.org/officeDocument/2006/relationships/chart" Target="../charts/chart36.xml"/><Relationship Id="rId2" Type="http://schemas.openxmlformats.org/officeDocument/2006/relationships/chart" Target="../charts/chart31.xml"/><Relationship Id="rId1" Type="http://schemas.openxmlformats.org/officeDocument/2006/relationships/chart" Target="../charts/chart30.xml"/><Relationship Id="rId6" Type="http://schemas.openxmlformats.org/officeDocument/2006/relationships/chart" Target="../charts/chart35.xml"/><Relationship Id="rId5" Type="http://schemas.openxmlformats.org/officeDocument/2006/relationships/chart" Target="../charts/chart34.xml"/><Relationship Id="rId4" Type="http://schemas.openxmlformats.org/officeDocument/2006/relationships/chart" Target="../charts/chart33.xml"/></Relationships>
</file>

<file path=xl/drawings/_rels/drawing9.xml.rels><?xml version="1.0" encoding="UTF-8" standalone="yes"?>
<Relationships xmlns="http://schemas.openxmlformats.org/package/2006/relationships"><Relationship Id="rId3" Type="http://schemas.openxmlformats.org/officeDocument/2006/relationships/chart" Target="../charts/chart39.xml"/><Relationship Id="rId2" Type="http://schemas.openxmlformats.org/officeDocument/2006/relationships/chart" Target="../charts/chart38.xml"/><Relationship Id="rId1" Type="http://schemas.openxmlformats.org/officeDocument/2006/relationships/chart" Target="../charts/chart37.xml"/><Relationship Id="rId4" Type="http://schemas.openxmlformats.org/officeDocument/2006/relationships/chart" Target="../charts/chart40.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41.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42.xml"/></Relationships>
</file>

<file path=xl/drawings/drawing1.xml><?xml version="1.0" encoding="utf-8"?>
<xdr:wsDr xmlns:xdr="http://schemas.openxmlformats.org/drawingml/2006/spreadsheetDrawing" xmlns:a="http://schemas.openxmlformats.org/drawingml/2006/main">
  <xdr:twoCellAnchor>
    <xdr:from>
      <xdr:col>10</xdr:col>
      <xdr:colOff>993630</xdr:colOff>
      <xdr:row>13</xdr:row>
      <xdr:rowOff>159975</xdr:rowOff>
    </xdr:from>
    <xdr:to>
      <xdr:col>16</xdr:col>
      <xdr:colOff>107130</xdr:colOff>
      <xdr:row>32</xdr:row>
      <xdr:rowOff>140475</xdr:rowOff>
    </xdr:to>
    <xdr:graphicFrame macro="">
      <xdr:nvGraphicFramePr>
        <xdr:cNvPr id="2" name="Graphique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716230</xdr:colOff>
      <xdr:row>13</xdr:row>
      <xdr:rowOff>117516</xdr:rowOff>
    </xdr:from>
    <xdr:to>
      <xdr:col>21</xdr:col>
      <xdr:colOff>877480</xdr:colOff>
      <xdr:row>32</xdr:row>
      <xdr:rowOff>98016</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14</xdr:col>
      <xdr:colOff>342900</xdr:colOff>
      <xdr:row>2</xdr:row>
      <xdr:rowOff>76198</xdr:rowOff>
    </xdr:from>
    <xdr:to>
      <xdr:col>20</xdr:col>
      <xdr:colOff>713700</xdr:colOff>
      <xdr:row>18</xdr:row>
      <xdr:rowOff>94798</xdr:rowOff>
    </xdr:to>
    <xdr:graphicFrame macro="">
      <xdr:nvGraphicFramePr>
        <xdr:cNvPr id="33" name="Graphique 3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34</xdr:col>
      <xdr:colOff>257175</xdr:colOff>
      <xdr:row>2</xdr:row>
      <xdr:rowOff>142874</xdr:rowOff>
    </xdr:from>
    <xdr:to>
      <xdr:col>41</xdr:col>
      <xdr:colOff>323175</xdr:colOff>
      <xdr:row>18</xdr:row>
      <xdr:rowOff>161474</xdr:rowOff>
    </xdr:to>
    <xdr:graphicFrame macro="">
      <xdr:nvGraphicFramePr>
        <xdr:cNvPr id="34" name="Graphique 3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830036</xdr:colOff>
      <xdr:row>53</xdr:row>
      <xdr:rowOff>13608</xdr:rowOff>
    </xdr:from>
    <xdr:to>
      <xdr:col>6</xdr:col>
      <xdr:colOff>688218</xdr:colOff>
      <xdr:row>71</xdr:row>
      <xdr:rowOff>184608</xdr:rowOff>
    </xdr:to>
    <xdr:graphicFrame macro="">
      <xdr:nvGraphicFramePr>
        <xdr:cNvPr id="32" name="Graphique 3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20</xdr:col>
      <xdr:colOff>647700</xdr:colOff>
      <xdr:row>2</xdr:row>
      <xdr:rowOff>76198</xdr:rowOff>
    </xdr:from>
    <xdr:to>
      <xdr:col>27</xdr:col>
      <xdr:colOff>485100</xdr:colOff>
      <xdr:row>18</xdr:row>
      <xdr:rowOff>94798</xdr:rowOff>
    </xdr:to>
    <xdr:graphicFrame macro="">
      <xdr:nvGraphicFramePr>
        <xdr:cNvPr id="37" name="Graphique 3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27</xdr:col>
      <xdr:colOff>419100</xdr:colOff>
      <xdr:row>2</xdr:row>
      <xdr:rowOff>76198</xdr:rowOff>
    </xdr:from>
    <xdr:to>
      <xdr:col>34</xdr:col>
      <xdr:colOff>485100</xdr:colOff>
      <xdr:row>18</xdr:row>
      <xdr:rowOff>94798</xdr:rowOff>
    </xdr:to>
    <xdr:graphicFrame macro="">
      <xdr:nvGraphicFramePr>
        <xdr:cNvPr id="38" name="Graphique 3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0</xdr:colOff>
      <xdr:row>98</xdr:row>
      <xdr:rowOff>40821</xdr:rowOff>
    </xdr:from>
    <xdr:to>
      <xdr:col>20</xdr:col>
      <xdr:colOff>370800</xdr:colOff>
      <xdr:row>117</xdr:row>
      <xdr:rowOff>21321</xdr:rowOff>
    </xdr:to>
    <xdr:graphicFrame macro="">
      <xdr:nvGraphicFramePr>
        <xdr:cNvPr id="12" name="Graphique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21</xdr:col>
      <xdr:colOff>650421</xdr:colOff>
      <xdr:row>98</xdr:row>
      <xdr:rowOff>0</xdr:rowOff>
    </xdr:from>
    <xdr:to>
      <xdr:col>28</xdr:col>
      <xdr:colOff>564021</xdr:colOff>
      <xdr:row>116</xdr:row>
      <xdr:rowOff>171000</xdr:rowOff>
    </xdr:to>
    <xdr:graphicFrame macro="">
      <xdr:nvGraphicFramePr>
        <xdr:cNvPr id="13" name="Graphique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29</xdr:col>
      <xdr:colOff>498021</xdr:colOff>
      <xdr:row>98</xdr:row>
      <xdr:rowOff>0</xdr:rowOff>
    </xdr:from>
    <xdr:to>
      <xdr:col>36</xdr:col>
      <xdr:colOff>564021</xdr:colOff>
      <xdr:row>116</xdr:row>
      <xdr:rowOff>171000</xdr:rowOff>
    </xdr:to>
    <xdr:graphicFrame macro="">
      <xdr:nvGraphicFramePr>
        <xdr:cNvPr id="14" name="Graphique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14</xdr:col>
      <xdr:colOff>0</xdr:colOff>
      <xdr:row>118</xdr:row>
      <xdr:rowOff>0</xdr:rowOff>
    </xdr:from>
    <xdr:to>
      <xdr:col>20</xdr:col>
      <xdr:colOff>338143</xdr:colOff>
      <xdr:row>136</xdr:row>
      <xdr:rowOff>171000</xdr:rowOff>
    </xdr:to>
    <xdr:graphicFrame macro="">
      <xdr:nvGraphicFramePr>
        <xdr:cNvPr id="15" name="Graphique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21</xdr:col>
      <xdr:colOff>190500</xdr:colOff>
      <xdr:row>118</xdr:row>
      <xdr:rowOff>0</xdr:rowOff>
    </xdr:from>
    <xdr:to>
      <xdr:col>28</xdr:col>
      <xdr:colOff>93214</xdr:colOff>
      <xdr:row>136</xdr:row>
      <xdr:rowOff>171000</xdr:rowOff>
    </xdr:to>
    <xdr:graphicFrame macro="">
      <xdr:nvGraphicFramePr>
        <xdr:cNvPr id="16" name="Graphique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0</xdr:colOff>
      <xdr:row>40</xdr:row>
      <xdr:rowOff>0</xdr:rowOff>
    </xdr:from>
    <xdr:to>
      <xdr:col>7</xdr:col>
      <xdr:colOff>338143</xdr:colOff>
      <xdr:row>58</xdr:row>
      <xdr:rowOff>171000</xdr:rowOff>
    </xdr:to>
    <xdr:graphicFrame macro="">
      <xdr:nvGraphicFramePr>
        <xdr:cNvPr id="36" name="Graphique 3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30</xdr:col>
      <xdr:colOff>340179</xdr:colOff>
      <xdr:row>40</xdr:row>
      <xdr:rowOff>0</xdr:rowOff>
    </xdr:from>
    <xdr:to>
      <xdr:col>37</xdr:col>
      <xdr:colOff>409643</xdr:colOff>
      <xdr:row>58</xdr:row>
      <xdr:rowOff>171000</xdr:rowOff>
    </xdr:to>
    <xdr:graphicFrame macro="">
      <xdr:nvGraphicFramePr>
        <xdr:cNvPr id="25" name="Graphique 2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38</xdr:col>
      <xdr:colOff>648443</xdr:colOff>
      <xdr:row>40</xdr:row>
      <xdr:rowOff>114300</xdr:rowOff>
    </xdr:from>
    <xdr:to>
      <xdr:col>45</xdr:col>
      <xdr:colOff>669416</xdr:colOff>
      <xdr:row>59</xdr:row>
      <xdr:rowOff>94800</xdr:rowOff>
    </xdr:to>
    <xdr:graphicFrame macro="">
      <xdr:nvGraphicFramePr>
        <xdr:cNvPr id="26" name="Graphique 2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299358</xdr:colOff>
      <xdr:row>40</xdr:row>
      <xdr:rowOff>0</xdr:rowOff>
    </xdr:from>
    <xdr:to>
      <xdr:col>29</xdr:col>
      <xdr:colOff>371543</xdr:colOff>
      <xdr:row>58</xdr:row>
      <xdr:rowOff>171000</xdr:rowOff>
    </xdr:to>
    <xdr:graphicFrame macro="">
      <xdr:nvGraphicFramePr>
        <xdr:cNvPr id="27" name="Graphique 2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0</xdr:colOff>
      <xdr:row>40</xdr:row>
      <xdr:rowOff>0</xdr:rowOff>
    </xdr:from>
    <xdr:to>
      <xdr:col>14</xdr:col>
      <xdr:colOff>338143</xdr:colOff>
      <xdr:row>58</xdr:row>
      <xdr:rowOff>171000</xdr:rowOff>
    </xdr:to>
    <xdr:graphicFrame macro="">
      <xdr:nvGraphicFramePr>
        <xdr:cNvPr id="31" name="Graphique 3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0</xdr:colOff>
      <xdr:row>40</xdr:row>
      <xdr:rowOff>0</xdr:rowOff>
    </xdr:from>
    <xdr:to>
      <xdr:col>21</xdr:col>
      <xdr:colOff>459370</xdr:colOff>
      <xdr:row>58</xdr:row>
      <xdr:rowOff>171000</xdr:rowOff>
    </xdr:to>
    <xdr:graphicFrame macro="">
      <xdr:nvGraphicFramePr>
        <xdr:cNvPr id="37" name="Graphique 3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28</xdr:row>
      <xdr:rowOff>0</xdr:rowOff>
    </xdr:from>
    <xdr:to>
      <xdr:col>5</xdr:col>
      <xdr:colOff>570825</xdr:colOff>
      <xdr:row>46</xdr:row>
      <xdr:rowOff>171000</xdr:rowOff>
    </xdr:to>
    <xdr:graphicFrame macro="">
      <xdr:nvGraphicFramePr>
        <xdr:cNvPr id="33" name="Graphique 3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43</xdr:row>
      <xdr:rowOff>0</xdr:rowOff>
    </xdr:from>
    <xdr:to>
      <xdr:col>16</xdr:col>
      <xdr:colOff>256500</xdr:colOff>
      <xdr:row>61</xdr:row>
      <xdr:rowOff>171000</xdr:rowOff>
    </xdr:to>
    <xdr:graphicFrame macro="">
      <xdr:nvGraphicFramePr>
        <xdr:cNvPr id="49" name="Graphique 4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0</xdr:colOff>
      <xdr:row>43</xdr:row>
      <xdr:rowOff>0</xdr:rowOff>
    </xdr:from>
    <xdr:to>
      <xdr:col>23</xdr:col>
      <xdr:colOff>256500</xdr:colOff>
      <xdr:row>61</xdr:row>
      <xdr:rowOff>171000</xdr:rowOff>
    </xdr:to>
    <xdr:graphicFrame macro="">
      <xdr:nvGraphicFramePr>
        <xdr:cNvPr id="50" name="Graphique 4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24</xdr:col>
      <xdr:colOff>0</xdr:colOff>
      <xdr:row>43</xdr:row>
      <xdr:rowOff>0</xdr:rowOff>
    </xdr:from>
    <xdr:to>
      <xdr:col>30</xdr:col>
      <xdr:colOff>256500</xdr:colOff>
      <xdr:row>61</xdr:row>
      <xdr:rowOff>171000</xdr:rowOff>
    </xdr:to>
    <xdr:graphicFrame macro="">
      <xdr:nvGraphicFramePr>
        <xdr:cNvPr id="51" name="Graphique 5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31</xdr:col>
      <xdr:colOff>0</xdr:colOff>
      <xdr:row>43</xdr:row>
      <xdr:rowOff>0</xdr:rowOff>
    </xdr:from>
    <xdr:to>
      <xdr:col>37</xdr:col>
      <xdr:colOff>256500</xdr:colOff>
      <xdr:row>61</xdr:row>
      <xdr:rowOff>171000</xdr:rowOff>
    </xdr:to>
    <xdr:graphicFrame macro="">
      <xdr:nvGraphicFramePr>
        <xdr:cNvPr id="52" name="Graphique 5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38</xdr:col>
      <xdr:colOff>0</xdr:colOff>
      <xdr:row>43</xdr:row>
      <xdr:rowOff>0</xdr:rowOff>
    </xdr:from>
    <xdr:to>
      <xdr:col>44</xdr:col>
      <xdr:colOff>542250</xdr:colOff>
      <xdr:row>61</xdr:row>
      <xdr:rowOff>171000</xdr:rowOff>
    </xdr:to>
    <xdr:graphicFrame macro="">
      <xdr:nvGraphicFramePr>
        <xdr:cNvPr id="53" name="Graphique 5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12</xdr:col>
      <xdr:colOff>0</xdr:colOff>
      <xdr:row>1</xdr:row>
      <xdr:rowOff>0</xdr:rowOff>
    </xdr:from>
    <xdr:to>
      <xdr:col>19</xdr:col>
      <xdr:colOff>51032</xdr:colOff>
      <xdr:row>14</xdr:row>
      <xdr:rowOff>171000</xdr:rowOff>
    </xdr:to>
    <xdr:graphicFrame macro="">
      <xdr:nvGraphicFramePr>
        <xdr:cNvPr id="6" name="Graphique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0</xdr:colOff>
      <xdr:row>19</xdr:row>
      <xdr:rowOff>0</xdr:rowOff>
    </xdr:from>
    <xdr:to>
      <xdr:col>17</xdr:col>
      <xdr:colOff>424543</xdr:colOff>
      <xdr:row>37</xdr:row>
      <xdr:rowOff>171000</xdr:rowOff>
    </xdr:to>
    <xdr:graphicFrame macro="">
      <xdr:nvGraphicFramePr>
        <xdr:cNvPr id="7" name="Graphique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oneCellAnchor>
    <xdr:from>
      <xdr:col>22</xdr:col>
      <xdr:colOff>456480</xdr:colOff>
      <xdr:row>574</xdr:row>
      <xdr:rowOff>0</xdr:rowOff>
    </xdr:from>
    <xdr:ext cx="0" cy="158760"/>
    <xdr:sp macro="" textlink="">
      <xdr:nvSpPr>
        <xdr:cNvPr id="2" name="CustomShape 1"/>
        <xdr:cNvSpPr/>
      </xdr:nvSpPr>
      <xdr:spPr>
        <a:xfrm>
          <a:off x="14789700" y="261090720"/>
          <a:ext cx="0" cy="158760"/>
        </a:xfrm>
        <a:prstGeom prst="rect">
          <a:avLst/>
        </a:prstGeom>
        <a:noFill/>
        <a:ln>
          <a:noFill/>
        </a:ln>
      </xdr:spPr>
      <xdr:style>
        <a:lnRef idx="0">
          <a:scrgbClr r="0" g="0" b="0"/>
        </a:lnRef>
        <a:fillRef idx="0">
          <a:scrgbClr r="0" g="0" b="0"/>
        </a:fillRef>
        <a:effectRef idx="0">
          <a:scrgbClr r="0" g="0" b="0"/>
        </a:effectRef>
        <a:fontRef idx="minor"/>
      </xdr:style>
    </xdr:sp>
    <xdr:clientData/>
  </xdr:oneCellAnchor>
  <xdr:oneCellAnchor>
    <xdr:from>
      <xdr:col>23</xdr:col>
      <xdr:colOff>456480</xdr:colOff>
      <xdr:row>574</xdr:row>
      <xdr:rowOff>0</xdr:rowOff>
    </xdr:from>
    <xdr:ext cx="0" cy="158760"/>
    <xdr:sp macro="" textlink="">
      <xdr:nvSpPr>
        <xdr:cNvPr id="3" name="CustomShape 1"/>
        <xdr:cNvSpPr/>
      </xdr:nvSpPr>
      <xdr:spPr>
        <a:xfrm>
          <a:off x="15582180" y="261090720"/>
          <a:ext cx="0" cy="158760"/>
        </a:xfrm>
        <a:prstGeom prst="rect">
          <a:avLst/>
        </a:prstGeom>
        <a:noFill/>
        <a:ln>
          <a:noFill/>
        </a:ln>
      </xdr:spPr>
      <xdr:style>
        <a:lnRef idx="0">
          <a:scrgbClr r="0" g="0" b="0"/>
        </a:lnRef>
        <a:fillRef idx="0">
          <a:scrgbClr r="0" g="0" b="0"/>
        </a:fillRef>
        <a:effectRef idx="0">
          <a:scrgbClr r="0" g="0" b="0"/>
        </a:effectRef>
        <a:fontRef idx="minor"/>
      </xdr:style>
    </xdr:sp>
    <xdr:clientData/>
  </xdr:oneCellAnchor>
  <xdr:oneCellAnchor>
    <xdr:from>
      <xdr:col>23</xdr:col>
      <xdr:colOff>456480</xdr:colOff>
      <xdr:row>574</xdr:row>
      <xdr:rowOff>0</xdr:rowOff>
    </xdr:from>
    <xdr:ext cx="0" cy="158760"/>
    <xdr:sp macro="" textlink="">
      <xdr:nvSpPr>
        <xdr:cNvPr id="4" name="CustomShape 1"/>
        <xdr:cNvSpPr/>
      </xdr:nvSpPr>
      <xdr:spPr>
        <a:xfrm>
          <a:off x="15582180" y="261090720"/>
          <a:ext cx="0" cy="158760"/>
        </a:xfrm>
        <a:prstGeom prst="rect">
          <a:avLst/>
        </a:prstGeom>
        <a:noFill/>
        <a:ln>
          <a:noFill/>
        </a:ln>
      </xdr:spPr>
      <xdr:style>
        <a:lnRef idx="0">
          <a:scrgbClr r="0" g="0" b="0"/>
        </a:lnRef>
        <a:fillRef idx="0">
          <a:scrgbClr r="0" g="0" b="0"/>
        </a:fillRef>
        <a:effectRef idx="0">
          <a:scrgbClr r="0" g="0" b="0"/>
        </a:effectRef>
        <a:fontRef idx="minor"/>
      </xdr:style>
    </xdr:sp>
    <xdr:clientData/>
  </xdr:oneCellAnchor>
  <xdr:oneCellAnchor>
    <xdr:from>
      <xdr:col>23</xdr:col>
      <xdr:colOff>456480</xdr:colOff>
      <xdr:row>574</xdr:row>
      <xdr:rowOff>0</xdr:rowOff>
    </xdr:from>
    <xdr:ext cx="0" cy="158760"/>
    <xdr:sp macro="" textlink="">
      <xdr:nvSpPr>
        <xdr:cNvPr id="5" name="CustomShape 1"/>
        <xdr:cNvSpPr/>
      </xdr:nvSpPr>
      <xdr:spPr>
        <a:xfrm>
          <a:off x="15582180" y="261166920"/>
          <a:ext cx="0" cy="158760"/>
        </a:xfrm>
        <a:prstGeom prst="rect">
          <a:avLst/>
        </a:prstGeom>
        <a:noFill/>
        <a:ln>
          <a:noFill/>
        </a:ln>
      </xdr:spPr>
      <xdr:style>
        <a:lnRef idx="0">
          <a:scrgbClr r="0" g="0" b="0"/>
        </a:lnRef>
        <a:fillRef idx="0">
          <a:scrgbClr r="0" g="0" b="0"/>
        </a:fillRef>
        <a:effectRef idx="0">
          <a:scrgbClr r="0" g="0" b="0"/>
        </a:effectRef>
        <a:fontRef idx="minor"/>
      </xdr:style>
    </xdr:sp>
    <xdr:clientData/>
  </xdr:oneCellAnchor>
  <xdr:oneCellAnchor>
    <xdr:from>
      <xdr:col>23</xdr:col>
      <xdr:colOff>456480</xdr:colOff>
      <xdr:row>574</xdr:row>
      <xdr:rowOff>0</xdr:rowOff>
    </xdr:from>
    <xdr:ext cx="0" cy="158760"/>
    <xdr:sp macro="" textlink="">
      <xdr:nvSpPr>
        <xdr:cNvPr id="6" name="CustomShape 1"/>
        <xdr:cNvSpPr/>
      </xdr:nvSpPr>
      <xdr:spPr>
        <a:xfrm>
          <a:off x="13997220" y="1584960"/>
          <a:ext cx="0" cy="158760"/>
        </a:xfrm>
        <a:prstGeom prst="rect">
          <a:avLst/>
        </a:prstGeom>
        <a:noFill/>
        <a:ln>
          <a:noFill/>
        </a:ln>
      </xdr:spPr>
      <xdr:style>
        <a:lnRef idx="0">
          <a:scrgbClr r="0" g="0" b="0"/>
        </a:lnRef>
        <a:fillRef idx="0">
          <a:scrgbClr r="0" g="0" b="0"/>
        </a:fillRef>
        <a:effectRef idx="0">
          <a:scrgbClr r="0" g="0" b="0"/>
        </a:effectRef>
        <a:fontRef idx="minor"/>
      </xdr:style>
    </xdr:sp>
    <xdr:clientData/>
  </xdr:oneCellAnchor>
  <xdr:twoCellAnchor>
    <xdr:from>
      <xdr:col>23</xdr:col>
      <xdr:colOff>456480</xdr:colOff>
      <xdr:row>257</xdr:row>
      <xdr:rowOff>360</xdr:rowOff>
    </xdr:from>
    <xdr:to>
      <xdr:col>23</xdr:col>
      <xdr:colOff>456840</xdr:colOff>
      <xdr:row>257</xdr:row>
      <xdr:rowOff>158760</xdr:rowOff>
    </xdr:to>
    <xdr:sp macro="" textlink="">
      <xdr:nvSpPr>
        <xdr:cNvPr id="7" name="CustomShape 1"/>
        <xdr:cNvSpPr/>
      </xdr:nvSpPr>
      <xdr:spPr>
        <a:xfrm>
          <a:off x="14458230" y="140560785"/>
          <a:ext cx="360" cy="158400"/>
        </a:xfrm>
        <a:prstGeom prst="rect">
          <a:avLst/>
        </a:prstGeom>
        <a:noFill/>
        <a:ln>
          <a:noFill/>
        </a:ln>
      </xdr:spPr>
      <xdr:style>
        <a:lnRef idx="0">
          <a:scrgbClr r="0" g="0" b="0"/>
        </a:lnRef>
        <a:fillRef idx="0">
          <a:scrgbClr r="0" g="0" b="0"/>
        </a:fillRef>
        <a:effectRef idx="0">
          <a:scrgbClr r="0" g="0" b="0"/>
        </a:effectRef>
        <a:fontRef idx="minor"/>
      </xdr:style>
    </xdr:sp>
    <xdr:clientData/>
  </xdr:twoCellAnchor>
  <xdr:twoCellAnchor>
    <xdr:from>
      <xdr:col>21</xdr:col>
      <xdr:colOff>456480</xdr:colOff>
      <xdr:row>257</xdr:row>
      <xdr:rowOff>360</xdr:rowOff>
    </xdr:from>
    <xdr:to>
      <xdr:col>21</xdr:col>
      <xdr:colOff>456840</xdr:colOff>
      <xdr:row>257</xdr:row>
      <xdr:rowOff>158760</xdr:rowOff>
    </xdr:to>
    <xdr:sp macro="" textlink="">
      <xdr:nvSpPr>
        <xdr:cNvPr id="8" name="CustomShape 1"/>
        <xdr:cNvSpPr/>
      </xdr:nvSpPr>
      <xdr:spPr>
        <a:xfrm>
          <a:off x="14458230" y="140560785"/>
          <a:ext cx="360" cy="158400"/>
        </a:xfrm>
        <a:prstGeom prst="rect">
          <a:avLst/>
        </a:prstGeom>
        <a:noFill/>
        <a:ln>
          <a:noFill/>
        </a:ln>
      </xdr:spPr>
      <xdr:style>
        <a:lnRef idx="0">
          <a:scrgbClr r="0" g="0" b="0"/>
        </a:lnRef>
        <a:fillRef idx="0">
          <a:scrgbClr r="0" g="0" b="0"/>
        </a:fillRef>
        <a:effectRef idx="0">
          <a:scrgbClr r="0" g="0" b="0"/>
        </a:effectRef>
        <a:fontRef idx="minor"/>
      </xdr:style>
    </xdr:sp>
    <xdr:clientData/>
  </xdr:twoCellAnchor>
  <xdr:twoCellAnchor>
    <xdr:from>
      <xdr:col>23</xdr:col>
      <xdr:colOff>456480</xdr:colOff>
      <xdr:row>257</xdr:row>
      <xdr:rowOff>360</xdr:rowOff>
    </xdr:from>
    <xdr:to>
      <xdr:col>23</xdr:col>
      <xdr:colOff>456840</xdr:colOff>
      <xdr:row>257</xdr:row>
      <xdr:rowOff>158760</xdr:rowOff>
    </xdr:to>
    <xdr:sp macro="" textlink="">
      <xdr:nvSpPr>
        <xdr:cNvPr id="9" name="CustomShape 1"/>
        <xdr:cNvSpPr/>
      </xdr:nvSpPr>
      <xdr:spPr>
        <a:xfrm>
          <a:off x="15315480" y="140560785"/>
          <a:ext cx="360" cy="158400"/>
        </a:xfrm>
        <a:prstGeom prst="rect">
          <a:avLst/>
        </a:prstGeom>
        <a:noFill/>
        <a:ln>
          <a:noFill/>
        </a:ln>
      </xdr:spPr>
      <xdr:style>
        <a:lnRef idx="0">
          <a:scrgbClr r="0" g="0" b="0"/>
        </a:lnRef>
        <a:fillRef idx="0">
          <a:scrgbClr r="0" g="0" b="0"/>
        </a:fillRef>
        <a:effectRef idx="0">
          <a:scrgbClr r="0" g="0" b="0"/>
        </a:effectRef>
        <a:fontRef idx="minor"/>
      </xdr:style>
    </xdr:sp>
    <xdr:clientData/>
  </xdr:twoCellAnchor>
  <xdr:twoCellAnchor>
    <xdr:from>
      <xdr:col>23</xdr:col>
      <xdr:colOff>456480</xdr:colOff>
      <xdr:row>257</xdr:row>
      <xdr:rowOff>360</xdr:rowOff>
    </xdr:from>
    <xdr:to>
      <xdr:col>23</xdr:col>
      <xdr:colOff>456840</xdr:colOff>
      <xdr:row>257</xdr:row>
      <xdr:rowOff>158760</xdr:rowOff>
    </xdr:to>
    <xdr:sp macro="" textlink="">
      <xdr:nvSpPr>
        <xdr:cNvPr id="10" name="CustomShape 1"/>
        <xdr:cNvSpPr/>
      </xdr:nvSpPr>
      <xdr:spPr>
        <a:xfrm>
          <a:off x="15315480" y="140560785"/>
          <a:ext cx="360" cy="158400"/>
        </a:xfrm>
        <a:prstGeom prst="rect">
          <a:avLst/>
        </a:prstGeom>
        <a:noFill/>
        <a:ln>
          <a:noFill/>
        </a:ln>
      </xdr:spPr>
      <xdr:style>
        <a:lnRef idx="0">
          <a:scrgbClr r="0" g="0" b="0"/>
        </a:lnRef>
        <a:fillRef idx="0">
          <a:scrgbClr r="0" g="0" b="0"/>
        </a:fillRef>
        <a:effectRef idx="0">
          <a:scrgbClr r="0" g="0" b="0"/>
        </a:effectRef>
        <a:fontRef idx="minor"/>
      </xdr:style>
    </xdr:sp>
    <xdr:clientData/>
  </xdr:twoCellAnchor>
</xdr:wsDr>
</file>

<file path=xl/drawings/drawing7.xml><?xml version="1.0" encoding="utf-8"?>
<xdr:wsDr xmlns:xdr="http://schemas.openxmlformats.org/drawingml/2006/spreadsheetDrawing" xmlns:a="http://schemas.openxmlformats.org/drawingml/2006/main">
  <xdr:twoCellAnchor>
    <xdr:from>
      <xdr:col>12</xdr:col>
      <xdr:colOff>1214754</xdr:colOff>
      <xdr:row>14</xdr:row>
      <xdr:rowOff>51317</xdr:rowOff>
    </xdr:from>
    <xdr:to>
      <xdr:col>15</xdr:col>
      <xdr:colOff>1552897</xdr:colOff>
      <xdr:row>32</xdr:row>
      <xdr:rowOff>0</xdr:rowOff>
    </xdr:to>
    <xdr:graphicFrame macro="">
      <xdr:nvGraphicFramePr>
        <xdr:cNvPr id="5" name="Graphique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86601</xdr:colOff>
      <xdr:row>10</xdr:row>
      <xdr:rowOff>5195</xdr:rowOff>
    </xdr:from>
    <xdr:to>
      <xdr:col>25</xdr:col>
      <xdr:colOff>499983</xdr:colOff>
      <xdr:row>25</xdr:row>
      <xdr:rowOff>176195</xdr:rowOff>
    </xdr:to>
    <xdr:graphicFrame macro="">
      <xdr:nvGraphicFramePr>
        <xdr:cNvPr id="4" name="Graphique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26</xdr:col>
      <xdr:colOff>3056</xdr:colOff>
      <xdr:row>10</xdr:row>
      <xdr:rowOff>0</xdr:rowOff>
    </xdr:from>
    <xdr:to>
      <xdr:col>31</xdr:col>
      <xdr:colOff>416438</xdr:colOff>
      <xdr:row>25</xdr:row>
      <xdr:rowOff>171000</xdr:rowOff>
    </xdr:to>
    <xdr:graphicFrame macro="">
      <xdr:nvGraphicFramePr>
        <xdr:cNvPr id="9" name="Graphique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190500</xdr:colOff>
      <xdr:row>2</xdr:row>
      <xdr:rowOff>224118</xdr:rowOff>
    </xdr:from>
    <xdr:to>
      <xdr:col>0</xdr:col>
      <xdr:colOff>324971</xdr:colOff>
      <xdr:row>33</xdr:row>
      <xdr:rowOff>112059</xdr:rowOff>
    </xdr:to>
    <xdr:cxnSp macro="">
      <xdr:nvCxnSpPr>
        <xdr:cNvPr id="7" name="Connecteur droit avec flèche 6"/>
        <xdr:cNvCxnSpPr/>
      </xdr:nvCxnSpPr>
      <xdr:spPr>
        <a:xfrm>
          <a:off x="190500" y="414618"/>
          <a:ext cx="134471" cy="7698441"/>
        </a:xfrm>
        <a:prstGeom prst="straightConnector1">
          <a:avLst/>
        </a:prstGeom>
        <a:ln w="38100">
          <a:solidFill>
            <a:srgbClr val="7030A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1469571</xdr:colOff>
      <xdr:row>14</xdr:row>
      <xdr:rowOff>0</xdr:rowOff>
    </xdr:from>
    <xdr:to>
      <xdr:col>15</xdr:col>
      <xdr:colOff>180975</xdr:colOff>
      <xdr:row>33</xdr:row>
      <xdr:rowOff>95250</xdr:rowOff>
    </xdr:to>
    <xdr:cxnSp macro="">
      <xdr:nvCxnSpPr>
        <xdr:cNvPr id="12" name="Connecteur droit avec flèche 11"/>
        <xdr:cNvCxnSpPr/>
      </xdr:nvCxnSpPr>
      <xdr:spPr>
        <a:xfrm>
          <a:off x="1469571" y="3619500"/>
          <a:ext cx="19775261" cy="4490357"/>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1524000</xdr:colOff>
      <xdr:row>32</xdr:row>
      <xdr:rowOff>0</xdr:rowOff>
    </xdr:from>
    <xdr:to>
      <xdr:col>3</xdr:col>
      <xdr:colOff>163285</xdr:colOff>
      <xdr:row>33</xdr:row>
      <xdr:rowOff>122464</xdr:rowOff>
    </xdr:to>
    <xdr:cxnSp macro="">
      <xdr:nvCxnSpPr>
        <xdr:cNvPr id="15" name="Connecteur droit avec flèche 14"/>
        <xdr:cNvCxnSpPr/>
      </xdr:nvCxnSpPr>
      <xdr:spPr>
        <a:xfrm>
          <a:off x="1524000" y="7743265"/>
          <a:ext cx="3265714" cy="393806"/>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1741714</xdr:colOff>
      <xdr:row>17</xdr:row>
      <xdr:rowOff>176893</xdr:rowOff>
    </xdr:from>
    <xdr:to>
      <xdr:col>12</xdr:col>
      <xdr:colOff>228600</xdr:colOff>
      <xdr:row>33</xdr:row>
      <xdr:rowOff>104775</xdr:rowOff>
    </xdr:to>
    <xdr:cxnSp macro="">
      <xdr:nvCxnSpPr>
        <xdr:cNvPr id="17" name="Connecteur droit avec flèche 16"/>
        <xdr:cNvCxnSpPr/>
      </xdr:nvCxnSpPr>
      <xdr:spPr>
        <a:xfrm>
          <a:off x="1741714" y="4558393"/>
          <a:ext cx="15441386" cy="3560989"/>
        </a:xfrm>
        <a:prstGeom prst="straightConnector1">
          <a:avLst/>
        </a:prstGeom>
        <a:ln w="38100">
          <a:solidFill>
            <a:srgbClr val="00B05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1768929</xdr:colOff>
      <xdr:row>23</xdr:row>
      <xdr:rowOff>0</xdr:rowOff>
    </xdr:from>
    <xdr:to>
      <xdr:col>6</xdr:col>
      <xdr:colOff>238124</xdr:colOff>
      <xdr:row>33</xdr:row>
      <xdr:rowOff>47624</xdr:rowOff>
    </xdr:to>
    <xdr:cxnSp macro="">
      <xdr:nvCxnSpPr>
        <xdr:cNvPr id="19" name="Connecteur droit avec flèche 18"/>
        <xdr:cNvCxnSpPr/>
      </xdr:nvCxnSpPr>
      <xdr:spPr>
        <a:xfrm>
          <a:off x="1768929" y="5715000"/>
          <a:ext cx="7204981" cy="2347231"/>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1700213</xdr:colOff>
      <xdr:row>21</xdr:row>
      <xdr:rowOff>124385</xdr:rowOff>
    </xdr:from>
    <xdr:to>
      <xdr:col>9</xdr:col>
      <xdr:colOff>142875</xdr:colOff>
      <xdr:row>33</xdr:row>
      <xdr:rowOff>95249</xdr:rowOff>
    </xdr:to>
    <xdr:cxnSp macro="">
      <xdr:nvCxnSpPr>
        <xdr:cNvPr id="26" name="Connecteur droit avec flèche 25"/>
        <xdr:cNvCxnSpPr/>
      </xdr:nvCxnSpPr>
      <xdr:spPr>
        <a:xfrm>
          <a:off x="1700213" y="5458385"/>
          <a:ext cx="11301412" cy="2614052"/>
        </a:xfrm>
        <a:prstGeom prst="straightConnector1">
          <a:avLst/>
        </a:prstGeom>
        <a:ln w="38100">
          <a:solidFill>
            <a:srgbClr val="7030A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twoCellAnchor>
    <xdr:from>
      <xdr:col>5</xdr:col>
      <xdr:colOff>66675</xdr:colOff>
      <xdr:row>8</xdr:row>
      <xdr:rowOff>175530</xdr:rowOff>
    </xdr:from>
    <xdr:to>
      <xdr:col>12</xdr:col>
      <xdr:colOff>132675</xdr:colOff>
      <xdr:row>27</xdr:row>
      <xdr:rowOff>156030</xdr:rowOff>
    </xdr:to>
    <xdr:graphicFrame macro="">
      <xdr:nvGraphicFramePr>
        <xdr:cNvPr id="2" name="Graphique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0</xdr:colOff>
      <xdr:row>70</xdr:row>
      <xdr:rowOff>0</xdr:rowOff>
    </xdr:from>
    <xdr:to>
      <xdr:col>20</xdr:col>
      <xdr:colOff>66000</xdr:colOff>
      <xdr:row>88</xdr:row>
      <xdr:rowOff>171000</xdr:rowOff>
    </xdr:to>
    <xdr:graphicFrame macro="">
      <xdr:nvGraphicFramePr>
        <xdr:cNvPr id="8" name="Graphique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0</xdr:colOff>
      <xdr:row>90</xdr:row>
      <xdr:rowOff>0</xdr:rowOff>
    </xdr:from>
    <xdr:to>
      <xdr:col>12</xdr:col>
      <xdr:colOff>66000</xdr:colOff>
      <xdr:row>108</xdr:row>
      <xdr:rowOff>171000</xdr:rowOff>
    </xdr:to>
    <xdr:graphicFrame macro="">
      <xdr:nvGraphicFramePr>
        <xdr:cNvPr id="9" name="Graphique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69</xdr:row>
      <xdr:rowOff>0</xdr:rowOff>
    </xdr:from>
    <xdr:to>
      <xdr:col>4</xdr:col>
      <xdr:colOff>626294</xdr:colOff>
      <xdr:row>87</xdr:row>
      <xdr:rowOff>171000</xdr:rowOff>
    </xdr:to>
    <xdr:graphicFrame macro="">
      <xdr:nvGraphicFramePr>
        <xdr:cNvPr id="11" name="Graphique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0</xdr:colOff>
      <xdr:row>90</xdr:row>
      <xdr:rowOff>0</xdr:rowOff>
    </xdr:from>
    <xdr:to>
      <xdr:col>20</xdr:col>
      <xdr:colOff>66000</xdr:colOff>
      <xdr:row>108</xdr:row>
      <xdr:rowOff>171000</xdr:rowOff>
    </xdr:to>
    <xdr:graphicFrame macro="">
      <xdr:nvGraphicFramePr>
        <xdr:cNvPr id="12" name="Graphique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0</xdr:colOff>
      <xdr:row>110</xdr:row>
      <xdr:rowOff>0</xdr:rowOff>
    </xdr:from>
    <xdr:to>
      <xdr:col>12</xdr:col>
      <xdr:colOff>66000</xdr:colOff>
      <xdr:row>128</xdr:row>
      <xdr:rowOff>171000</xdr:rowOff>
    </xdr:to>
    <xdr:graphicFrame macro="">
      <xdr:nvGraphicFramePr>
        <xdr:cNvPr id="13" name="Graphique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0</xdr:colOff>
      <xdr:row>110</xdr:row>
      <xdr:rowOff>0</xdr:rowOff>
    </xdr:from>
    <xdr:to>
      <xdr:col>20</xdr:col>
      <xdr:colOff>66000</xdr:colOff>
      <xdr:row>128</xdr:row>
      <xdr:rowOff>171000</xdr:rowOff>
    </xdr:to>
    <xdr:graphicFrame macro="">
      <xdr:nvGraphicFramePr>
        <xdr:cNvPr id="14" name="Graphique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25</xdr:col>
      <xdr:colOff>0</xdr:colOff>
      <xdr:row>35</xdr:row>
      <xdr:rowOff>0</xdr:rowOff>
    </xdr:from>
    <xdr:to>
      <xdr:col>32</xdr:col>
      <xdr:colOff>66000</xdr:colOff>
      <xdr:row>53</xdr:row>
      <xdr:rowOff>171000</xdr:rowOff>
    </xdr:to>
    <xdr:graphicFrame macro="">
      <xdr:nvGraphicFramePr>
        <xdr:cNvPr id="13" name="Graphique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25</xdr:col>
      <xdr:colOff>0</xdr:colOff>
      <xdr:row>15</xdr:row>
      <xdr:rowOff>0</xdr:rowOff>
    </xdr:from>
    <xdr:to>
      <xdr:col>32</xdr:col>
      <xdr:colOff>66000</xdr:colOff>
      <xdr:row>35</xdr:row>
      <xdr:rowOff>5313</xdr:rowOff>
    </xdr:to>
    <xdr:graphicFrame macro="">
      <xdr:nvGraphicFramePr>
        <xdr:cNvPr id="14" name="Graphique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33</xdr:col>
      <xdr:colOff>0</xdr:colOff>
      <xdr:row>15</xdr:row>
      <xdr:rowOff>0</xdr:rowOff>
    </xdr:from>
    <xdr:to>
      <xdr:col>40</xdr:col>
      <xdr:colOff>66000</xdr:colOff>
      <xdr:row>35</xdr:row>
      <xdr:rowOff>5313</xdr:rowOff>
    </xdr:to>
    <xdr:graphicFrame macro="">
      <xdr:nvGraphicFramePr>
        <xdr:cNvPr id="18" name="Graphique 1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41</xdr:col>
      <xdr:colOff>0</xdr:colOff>
      <xdr:row>15</xdr:row>
      <xdr:rowOff>0</xdr:rowOff>
    </xdr:from>
    <xdr:to>
      <xdr:col>48</xdr:col>
      <xdr:colOff>66000</xdr:colOff>
      <xdr:row>35</xdr:row>
      <xdr:rowOff>5313</xdr:rowOff>
    </xdr:to>
    <xdr:graphicFrame macro="">
      <xdr:nvGraphicFramePr>
        <xdr:cNvPr id="21" name="Graphique 2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11</xdr:col>
      <xdr:colOff>647700</xdr:colOff>
      <xdr:row>0</xdr:row>
      <xdr:rowOff>195262</xdr:rowOff>
    </xdr:from>
    <xdr:to>
      <xdr:col>13</xdr:col>
      <xdr:colOff>3057525</xdr:colOff>
      <xdr:row>2</xdr:row>
      <xdr:rowOff>633412</xdr:rowOff>
    </xdr:to>
    <xdr:graphicFrame macro="">
      <xdr:nvGraphicFramePr>
        <xdr:cNvPr id="2" name="Graphique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8</xdr:col>
      <xdr:colOff>417369</xdr:colOff>
      <xdr:row>8</xdr:row>
      <xdr:rowOff>175866</xdr:rowOff>
    </xdr:from>
    <xdr:to>
      <xdr:col>16</xdr:col>
      <xdr:colOff>473619</xdr:colOff>
      <xdr:row>27</xdr:row>
      <xdr:rowOff>156366</xdr:rowOff>
    </xdr:to>
    <xdr:graphicFrame macro="">
      <xdr:nvGraphicFramePr>
        <xdr:cNvPr id="2" name="Graphique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r:id="rId1" refreshedBy="Daniel" refreshedDate="44980.661922916668" createdVersion="5" refreshedVersion="5" minRefreshableVersion="3" recordCount="109">
  <cacheSource type="worksheet">
    <worksheetSource ref="A1:D110" sheet="OK liste signataires"/>
  </cacheSource>
  <cacheFields count="4">
    <cacheField name="ACTIVITES" numFmtId="0">
      <sharedItems/>
    </cacheField>
    <cacheField name="COMMUNE" numFmtId="0">
      <sharedItems/>
    </cacheField>
    <cacheField name="ENTREPRISES" numFmtId="0">
      <sharedItems count="106">
        <s v="ALBY-ECO"/>
        <s v="ALLIANCE CIVALLERO GIAIME PLOMBERIE RENOVATI"/>
        <s v="ALP'ISO RENOV"/>
        <s v="ALPP PLOMBERIE CHAUFFAGE"/>
        <s v="AMBIANCE ET FLAMME"/>
        <s v="ARC HABITAT"/>
        <s v="ART DE LA CHEMINEE"/>
        <s v="ATRE ET LOISIRS"/>
        <s v="AUDEYER PINEDE ENERGIE (AP ENERGIE)"/>
        <s v="BELLEDONNE PLOMBERIE SOLAIRE THERMIQUE"/>
        <s v="BIO CLIMATIC"/>
        <s v="BIO&amp;NERGIE"/>
        <s v="BOIS SOLEIL CHAUFFAGE (BSC)"/>
        <s v="C.R.A.C."/>
        <s v="CABESTAN"/>
        <s v="CCM CHAUFFAGE CONSEILS MAINTENANCE"/>
        <s v="CHALEUR BOIS"/>
        <s v="CHARTREUSE PLOMBERIE CHAUFFAGE"/>
        <s v="CHEMINEES CASTAN"/>
        <s v="CHEMINEES CATTARINA"/>
        <s v="CHEMINEES DES 2 SAVOIE"/>
        <s v="CHEMINEES JAY"/>
        <s v="CHEMINEES SVCD"/>
        <s v="CHEMINEES THIERRY PATOUX"/>
        <s v="CREATIVE POSE"/>
        <s v="ECO SYSTÈME CONSTRUCTION"/>
        <s v="EDMI"/>
        <s v="ENERGIES TRIEVES"/>
        <s v="ESPACE CONFORT VOIRONNAIS"/>
        <s v="EURL FRALOR"/>
        <s v="EURL NESSFRANCE"/>
        <s v="EURL PUR'TECH"/>
        <s v="EUROCONFORT"/>
        <s v="F.E.M SYNERGIE"/>
        <s v="FELLER CHAUFFAGE"/>
        <s v="FLAMME DE CHARTREUSE"/>
        <s v="FLAMME ISEROISE"/>
        <s v="GAZ SERVICES/ECO LOGIS"/>
        <s v="GERENTE PAQUET HERVE"/>
        <s v="GITEM (CARRE François)"/>
        <s v="HASE LA BOUTIQUE IGNIS DESIGN"/>
        <s v="HC TRADITION"/>
        <s v="ISO CHAUFF'CONFORT"/>
        <s v="J3L AGECEMENTS CHEMINEE POELE PHILIPPE"/>
        <s v="JACQU'CHEMINEES"/>
        <s v="KBANE"/>
        <s v="LA GLACE ET LE FEU"/>
        <s v="LAFORGE PLOMBERIE"/>
        <s v="LAMBERT MADISUN"/>
        <s v="L'ATRE DAUPHINOIS"/>
        <s v="LE MELEZE"/>
        <s v="LS RAMONAGE SERVICE"/>
        <s v="MONIN STEPHANE PLOMBERIE"/>
        <s v="NORDIFLAM 73"/>
        <s v="POÊLES ET CHAUDIERES SAVOIE MONT-BLANC"/>
        <s v="POELESGRANULES.FR - BIO BELLEDONNE GRANULES"/>
        <s v="RAMONAGE SERVICES"/>
        <s v="RAMONAGE TUBAGE PROS"/>
        <s v="SARL ALAIN TODESCHINI"/>
        <s v="SARL ALP'CONFORT"/>
        <s v="SARL ANDREOLETY/PINEL"/>
        <s v="SARL ATRE DECORATION  (GODIN)"/>
        <s v="SARL BOMPAS Cheminée et Pierre"/>
        <s v="SARL CHEMINEES BERTOLA"/>
        <s v="SARL DUO CHEMINEES"/>
        <s v="SARL R PLOMBERIE CHAUFFAGE"/>
        <s v="SARL ENERLOGIS"/>
        <s v="SARL RAMON'ALPES"/>
        <s v="SARL (V2Z)"/>
        <s v="TM ENTREPRISE EI"/>
        <s v="BATI ECO PLUS"/>
        <s v="SARL JD2C"/>
        <s v="SARL TECNIC'SERVICES"/>
        <s v="SAS CHARAT"/>
        <s v="SARL SERVEO"/>
        <s v="STEYO ENERGIE"/>
        <s v="TECHNI&amp;NATURE"/>
        <s v="VOUT et FILS"/>
        <s v="VESTA"/>
        <s v="VOIRON POELES A BOIS ET GRANULES"/>
        <s v="XB ENERGIES"/>
        <s v="WATT&amp;HOME"/>
        <s v="CHEMINEE PHILIPPE ROUILLE"/>
        <s v="ZPCV"/>
        <s v="AASGARD SAINT PRIEST"/>
        <s v="SAS FABIEN GUGLIELMI"/>
        <s v="ETS GABERT"/>
        <s v="FREVILLE ENTREPRISE"/>
        <s v="SARL ENERGIES"/>
        <s v="SARL PAB"/>
        <s v="SARL PASSION FLAMME"/>
        <s v="SERPOLET BIDAUD SAS"/>
        <s v="CHEMINEES BOISAUBERT"/>
        <s v="HAYDEE SARL"/>
        <s v="EURL PAT'RAMONAGE"/>
        <s v="EURL SARIAN"/>
        <s v="NRG SERVICES 73"/>
        <s v="AVIZ'ENERGIE"/>
        <s v="ERIC ENERGY"/>
        <s v="SARL KALORICE"/>
        <s v="SARL SANITAIRE PLOMBERIE CHAUFFAGE"/>
        <s v="SOLUTION DE CHAUFFAGE"/>
        <s v="TERREO ENERGIE"/>
        <s v="ENT QUILLET"/>
        <s v="OLIGER"/>
        <s v="SARL GLENAT PÈRE &amp; FILS"/>
      </sharedItems>
    </cacheField>
    <cacheField name="Territoires" numFmtId="49">
      <sharedItems count="6">
        <s v="Grenoble-Alpes-Métropole"/>
        <s v="CA du Pays Voironnais"/>
        <s v="Savoie"/>
        <s v="CC Le Grésivaudan"/>
        <s v="Isère (sauf GAM, CCG et CAPV)"/>
        <s v="autre département sauf Savoie (Ain, Drôme, Hautes-Alpes…)"/>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Daniel" refreshedDate="44980.661923263891" createdVersion="5" refreshedVersion="5" minRefreshableVersion="3" recordCount="526">
  <cacheSource type="worksheet">
    <worksheetSource ref="A1:AJ2428" sheet="1_BD questio brut"/>
  </cacheSource>
  <cacheFields count="36">
    <cacheField name="Questionnaire.N° dossier" numFmtId="0">
      <sharedItems containsBlank="1"/>
    </cacheField>
    <cacheField name="Questionnaire.Territoire" numFmtId="0">
      <sharedItems containsString="0" containsBlank="1" containsNumber="1" containsInteger="1" minValue="1" maxValue="3"/>
    </cacheField>
    <cacheField name="Questionnaire.Sit pro demandeur" numFmtId="0">
      <sharedItems containsString="0" containsBlank="1" containsNumber="1" containsInteger="1" minValue="1" maxValue="9"/>
    </cacheField>
    <cacheField name="Questionnaire.Sit pro conjoint" numFmtId="0">
      <sharedItems containsString="0" containsBlank="1" containsNumber="1" containsInteger="1" minValue="1" maxValue="9"/>
    </cacheField>
    <cacheField name="Age.Age" numFmtId="0">
      <sharedItems containsBlank="1"/>
    </cacheField>
    <cacheField name="Questionnaire.Nb pers ménage" numFmtId="0">
      <sharedItems containsString="0" containsBlank="1" containsNumber="1" containsInteger="1" minValue="1" maxValue="51"/>
    </cacheField>
    <cacheField name="Revenus.Revenus" numFmtId="0">
      <sharedItems containsBlank="1" count="11">
        <s v="Pas de réponse"/>
        <s v="30 000 à 40 000 €"/>
        <s v="50 000 à 60 000 €"/>
        <s v="Moins de 20 000 €"/>
        <s v="Plus de 100 000 €"/>
        <s v="20 000 à 30 000 €"/>
        <s v="40 000 à 50 000 €"/>
        <s v="60 000 à 70 000 €"/>
        <s v="70 000 à 80 000 €"/>
        <s v="80 000 à 90 000 €"/>
        <m/>
      </sharedItems>
    </cacheField>
    <cacheField name="Nature logement.N° Nature logement" numFmtId="0">
      <sharedItems containsString="0" containsBlank="1" containsNumber="1" containsInteger="1" minValue="1" maxValue="3"/>
    </cacheField>
    <cacheField name="Questionnaire.Surf chauff logement" numFmtId="0">
      <sharedItems containsString="0" containsBlank="1" containsNumber="1" minValue="0" maxValue="400"/>
    </cacheField>
    <cacheField name="Période construction.Période de construction" numFmtId="0">
      <sharedItems containsBlank="1"/>
    </cacheField>
    <cacheField name="Questionnaire.Travaux iso depuis 2005" numFmtId="0">
      <sharedItems containsBlank="1"/>
    </cacheField>
    <cacheField name="Classe énerg logement.Classe énergétique logement" numFmtId="0">
      <sharedItems containsBlank="1"/>
    </cacheField>
    <cacheField name="Occupation logement.Occupation logement" numFmtId="0">
      <sharedItems containsBlank="1" count="6">
        <s v="Propriétaire occupant"/>
        <s v="Propriétaire bailleur"/>
        <s v="Occupant à titre gratuit"/>
        <m/>
        <s v="Pas de réponse" u="1"/>
        <s v="Locataire" u="1"/>
      </sharedItems>
    </cacheField>
    <cacheField name="Ancien appareil.Type Ancien appareil" numFmtId="0">
      <sharedItems containsBlank="1"/>
    </cacheField>
    <cacheField name="Usage ancien materiel.Usage ancien matériel" numFmtId="0">
      <sharedItems containsBlank="1" count="6">
        <s v="Chauffage de base"/>
        <s v="Chauffage d'apoint"/>
        <s v="Plaisir/agrément"/>
        <s v="Pas de réponse"/>
        <m/>
        <s v="Chauffage d'appoint" u="1"/>
      </sharedItems>
    </cacheField>
    <cacheField name="Freq util période chauffe ancien matériel.Freq utilisation période chauffe" numFmtId="0">
      <sharedItems containsBlank="1"/>
    </cacheField>
    <cacheField name="Questionnaire.Période utilisation" numFmtId="0">
      <sharedItems containsBlank="1"/>
    </cacheField>
    <cacheField name="Année installation.Année installation" numFmtId="0">
      <sharedItems containsBlank="1"/>
    </cacheField>
    <cacheField name="Type combustible.Type combustible" numFmtId="0">
      <sharedItems containsBlank="1"/>
    </cacheField>
    <cacheField name="Questionnaire.Type combustible autre" numFmtId="0">
      <sharedItems containsBlank="1"/>
    </cacheField>
    <cacheField name="Questionnaire.Qtté bois consommée" numFmtId="0">
      <sharedItems containsBlank="1"/>
    </cacheField>
    <cacheField name="Questionnaire.Qtté bois unité" numFmtId="0">
      <sharedItems containsBlank="1"/>
    </cacheField>
    <cacheField name="Questionnaire.Approvisionnement" numFmtId="0">
      <sharedItems containsBlank="1"/>
    </cacheField>
    <cacheField name="Questionnaire.Appro autre" numFmtId="0">
      <sharedItems containsBlank="1"/>
    </cacheField>
    <cacheField name="Questionnaire.Origine bois" numFmtId="0">
      <sharedItems containsBlank="1"/>
    </cacheField>
    <cacheField name="Questionnaire.Stockage bois" numFmtId="0">
      <sharedItems containsBlank="1"/>
    </cacheField>
    <cacheField name="Durée séchage bois.Durée séchage bois" numFmtId="0">
      <sharedItems containsBlank="1"/>
    </cacheField>
    <cacheField name="Type de bois.Type de bois" numFmtId="0">
      <sharedItems containsBlank="1"/>
    </cacheField>
    <cacheField name="Questionnaire.Ramonage installation" numFmtId="0">
      <sharedItems containsBlank="1"/>
    </cacheField>
    <cacheField name="Fréquence ramonage.Fréquence ramonage" numFmtId="0">
      <sharedItems containsBlank="1"/>
    </cacheField>
    <cacheField name="Questionnaire.Fréquence ramonage autre" numFmtId="0">
      <sharedItems containsBlank="1"/>
    </cacheField>
    <cacheField name="Nouveau matériel.Nouveau matériel" numFmtId="0">
      <sharedItems containsBlank="1"/>
    </cacheField>
    <cacheField name="Questionnaire.Type combustible nouveau materiel" numFmtId="0">
      <sharedItems containsBlank="1"/>
    </cacheField>
    <cacheField name="Questionnaire.Type combustible nouveau matériel autre" numFmtId="0">
      <sharedItems containsBlank="1"/>
    </cacheField>
    <cacheField name="Usage nouveau matériel.Usage nouveau matériel" numFmtId="0">
      <sharedItems containsBlank="1"/>
    </cacheField>
    <cacheField name="Freq util période chauffe nouveau matériel.Fréquence utilisation période de chauffe nouveau matériel" numFmtId="0">
      <sharedItems containsBlank="1"/>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r:id="rId1" refreshedBy="Daniel" refreshedDate="44980.661925462962" createdVersion="5" refreshedVersion="5" minRefreshableVersion="3" recordCount="56">
  <cacheSource type="worksheet">
    <worksheetSource ref="A1:I100" sheet="4_questio satisfaction"/>
  </cacheSource>
  <cacheFields count="9">
    <cacheField name="Horodateur" numFmtId="0">
      <sharedItems containsNonDate="0" containsDate="1" containsString="0" containsBlank="1" minDate="2016-11-15T11:05:46" maxDate="2018-12-29T11:54:50"/>
    </cacheField>
    <cacheField name="Le lieu de l'atelier" numFmtId="0">
      <sharedItems containsBlank="1"/>
    </cacheField>
    <cacheField name="Connaissiez-vous l'Espace Info Energie (AGEDEN) avant de participer à cette animation ?" numFmtId="0">
      <sharedItems containsBlank="1"/>
    </cacheField>
    <cacheField name="L'atelier portait sur les poêles :" numFmtId="0">
      <sharedItems containsBlank="1"/>
    </cacheField>
    <cacheField name="Globalement, êtes-vous satisfait de l'atelier ?" numFmtId="0">
      <sharedItems containsString="0" containsBlank="1" containsNumber="1" containsInteger="1" minValue="3" maxValue="4"/>
    </cacheField>
    <cacheField name="Quelle partie vous a le plus intéressé dans cette atelier ?" numFmtId="0">
      <sharedItems containsBlank="1"/>
    </cacheField>
    <cacheField name="La présentation était :" numFmtId="0">
      <sharedItems containsBlank="1" count="4">
        <s v="adaptée à mon niveau"/>
        <s v="pas assez technique"/>
        <s v="trop technique"/>
        <m/>
      </sharedItems>
    </cacheField>
    <cacheField name="Remarques et suggestions d'amélioration" numFmtId="0">
      <sharedItems containsBlank="1" longText="1"/>
    </cacheField>
    <cacheField name="Vos nom et prénom (optionnel)" numFmtId="0">
      <sharedItems containsBlank="1"/>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r:id="rId1" refreshedBy="Daniel" refreshedDate="44984.454310532405" createdVersion="5" refreshedVersion="5" minRefreshableVersion="3" recordCount="582">
  <cacheSource type="worksheet">
    <worksheetSource ref="A1:BW6324" sheet="3_BD instruction total"/>
  </cacheSource>
  <cacheFields count="75">
    <cacheField name="Année" numFmtId="0">
      <sharedItems containsBlank="1" containsMixedTypes="1" containsNumber="1" containsInteger="1" minValue="1900" maxValue="2023" count="12">
        <e v="#VALUE!"/>
        <n v="2020"/>
        <n v="2021"/>
        <n v="1900"/>
        <n v="2022"/>
        <m/>
        <n v="2015" u="1"/>
        <n v="2018" u="1"/>
        <n v="2023" u="1"/>
        <n v="2016" u="1"/>
        <n v="2019" u="1"/>
        <n v="2017" u="1"/>
      </sharedItems>
    </cacheField>
    <cacheField name="Mois" numFmtId="0">
      <sharedItems containsBlank="1" containsMixedTypes="1" containsNumber="1" containsInteger="1" minValue="1" maxValue="12"/>
    </cacheField>
    <cacheField name="refusé (sur la totalité de l'instruction) ou dossier Région (Colonne BU)" numFmtId="0">
      <sharedItems containsBlank="1" count="6">
        <s v="oui région"/>
        <s v="NC"/>
        <s v="région"/>
        <s v="non"/>
        <s v="oui"/>
        <m/>
      </sharedItems>
    </cacheField>
    <cacheField name="maj / non_maj" numFmtId="0">
      <sharedItems containsDate="1" containsBlank="1" containsMixedTypes="1" minDate="1899-12-30T00:00:00" maxDate="1899-12-31T00:00:00" count="5">
        <s v="NC"/>
        <s v="non maj"/>
        <s v="maj"/>
        <d v="1899-12-30T00:00:00"/>
        <m/>
      </sharedItems>
    </cacheField>
    <cacheField name="CIE referent" numFmtId="0">
      <sharedItems containsBlank="1"/>
    </cacheField>
    <cacheField name="numero dossier" numFmtId="0">
      <sharedItems containsBlank="1"/>
    </cacheField>
    <cacheField name="montant d'aide" numFmtId="0">
      <sharedItems containsBlank="1" containsMixedTypes="1" containsNumber="1" containsInteger="1" minValue="400" maxValue="1000"/>
    </cacheField>
    <cacheField name="dossier recu" numFmtId="0">
      <sharedItems containsNonDate="0" containsDate="1" containsString="0" containsBlank="1" minDate="2020-01-07T00:00:00" maxDate="2023-02-10T00:00:00"/>
    </cacheField>
    <cacheField name="dossier recu2" numFmtId="0">
      <sharedItems containsDate="1" containsBlank="1" containsMixedTypes="1" minDate="1899-12-30T00:00:00" maxDate="2023-02-14T00:00:00"/>
    </cacheField>
    <cacheField name="dossier incomplet (option)" numFmtId="0">
      <sharedItems containsDate="1" containsBlank="1" containsMixedTypes="1" minDate="2020-01-09T00:00:00" maxDate="2023-02-15T00:00:00"/>
    </cacheField>
    <cacheField name="dossier incomplet pieces complementaires (option)" numFmtId="0">
      <sharedItems containsBlank="1"/>
    </cacheField>
    <cacheField name="dossier complet" numFmtId="0">
      <sharedItems containsDate="1" containsBlank="1" containsMixedTypes="1" minDate="2020-07-02T00:00:00" maxDate="2022-12-22T00:00:00"/>
    </cacheField>
    <cacheField name="transfert dossier complet epci" numFmtId="0">
      <sharedItems containsDate="1" containsBlank="1" containsMixedTypes="1" minDate="2020-07-02T00:00:00" maxDate="2022-12-22T00:00:00"/>
    </cacheField>
    <cacheField name="envoi arrete d attribution" numFmtId="0">
      <sharedItems containsDate="1" containsBlank="1" containsMixedTypes="1" minDate="2020-07-06T00:00:00" maxDate="2023-01-06T00:00:00"/>
    </cacheField>
    <cacheField name="-" numFmtId="0">
      <sharedItems containsNonDate="0" containsString="0" containsBlank="1"/>
    </cacheField>
    <cacheField name="facture recu" numFmtId="0">
      <sharedItems containsDate="1" containsBlank="1" containsMixedTypes="1" minDate="2020-07-22T00:00:00" maxDate="2023-02-10T00:00:00"/>
    </cacheField>
    <cacheField name="date de facture" numFmtId="0">
      <sharedItems containsDate="1" containsBlank="1" containsMixedTypes="1" minDate="2020-07-06T00:00:00" maxDate="2023-02-01T00:00:00"/>
    </cacheField>
    <cacheField name="facture incomplet (option)" numFmtId="0">
      <sharedItems containsDate="1" containsBlank="1" containsMixedTypes="1" minDate="2022-02-01T00:00:00" maxDate="2022-08-26T00:00:00"/>
    </cacheField>
    <cacheField name="facture complet demandeur" numFmtId="0">
      <sharedItems containsDate="1" containsBlank="1" containsMixedTypes="1" minDate="2020-08-13T00:00:00" maxDate="2023-02-18T00:00:00"/>
    </cacheField>
    <cacheField name="transfert facture facture complet epci" numFmtId="0">
      <sharedItems containsDate="1" containsBlank="1" containsMixedTypes="1" minDate="2020-08-13T00:00:00" maxDate="2023-02-18T00:00:00"/>
    </cacheField>
    <cacheField name="Envoi compta pour paiement" numFmtId="0">
      <sharedItems containsDate="1" containsBlank="1" containsMixedTypes="1" minDate="2020-08-31T00:00:00" maxDate="2023-01-07T00:00:00"/>
    </cacheField>
    <cacheField name="-2" numFmtId="0">
      <sharedItems containsNonDate="0" containsString="0" containsBlank="1"/>
    </cacheField>
    <cacheField name="dossier non eligible" numFmtId="0">
      <sharedItems containsDate="1" containsBlank="1" containsMixedTypes="1" minDate="1899-12-31T00:00:00" maxDate="2023-01-05T00:00:00"/>
    </cacheField>
    <cacheField name="rmq si non eligible" numFmtId="0">
      <sharedItems containsBlank="1"/>
    </cacheField>
    <cacheField name="nom" numFmtId="0">
      <sharedItems containsBlank="1"/>
    </cacheField>
    <cacheField name="prenom" numFmtId="0">
      <sharedItems containsBlank="1"/>
    </cacheField>
    <cacheField name="nb de pers" numFmtId="0">
      <sharedItems containsString="0" containsBlank="1" containsNumber="1" containsInteger="1" minValue="1" maxValue="6"/>
    </cacheField>
    <cacheField name="RFR" numFmtId="0">
      <sharedItems containsString="0" containsBlank="1" containsNumber="1" containsInteger="1" minValue="0" maxValue="181799"/>
    </cacheField>
    <cacheField name="adresse numero" numFmtId="0">
      <sharedItems containsBlank="1" containsMixedTypes="1" containsNumber="1" containsInteger="1" minValue="1" maxValue="6005"/>
    </cacheField>
    <cacheField name="adresse voie" numFmtId="0">
      <sharedItems containsBlank="1"/>
    </cacheField>
    <cacheField name="adresse CP" numFmtId="0">
      <sharedItems containsString="0" containsBlank="1" containsNumber="1" containsInteger="1" minValue="38134" maxValue="76680"/>
    </cacheField>
    <cacheField name="adresse ville" numFmtId="0">
      <sharedItems containsBlank="1" count="39">
        <s v="MASSIEU"/>
        <s v="VOIRON"/>
        <s v="MOIRANS"/>
        <s v="VOUREY"/>
        <s v="LA BUISSE"/>
        <s v="VILLAGES DU LAC DE PALADRU"/>
        <s v="RIVES"/>
        <s v="CHIRENS"/>
        <s v="LA MURETTE"/>
        <s v="BILIEU"/>
        <s v="REAUMONT"/>
        <s v="SAINT AUPRE"/>
        <s v="CHARNECLES"/>
        <s v="SAINT NICOLAS DE MACHERIN"/>
        <s v="SAINT BUEIL"/>
        <s v="TULLINS"/>
        <s v="MONTFERRAT"/>
        <s v="VOREPPE"/>
        <s v="COUBLEVIE"/>
        <s v="LE PIN"/>
        <s v="ISSOIRE"/>
        <s v="SAINT MARTIN OSMONVILLE SAINT SAENS"/>
        <s v="SAINT ETIENNE DE CROSSEY"/>
        <s v="LA SURE EN CHARTREUSE"/>
        <s v="CHARAVINES"/>
        <s v="SAINT PIERRE D'ENTREMONT"/>
        <s v="SAINT BLAISE DU BUIS"/>
        <s v="VELANNE"/>
        <s v="SAINT JEAN DE MOIRANS"/>
        <s v="VOISSANT"/>
        <s v="SAINT CASSIEN"/>
        <s v="SAINT GEOIRE EN VALDAINE"/>
        <s v="MERLAS"/>
        <s v="CHARANCIEU"/>
        <s v="SAINT SULPICE DES RIVOIRES"/>
        <s v="LES VILLAGES DU LAC DE PALADRU"/>
        <s v="PALADRU"/>
        <m/>
        <s v="RIVES " u="1"/>
      </sharedItems>
    </cacheField>
    <cacheField name="téléphone" numFmtId="0">
      <sharedItems containsBlank="1" containsMixedTypes="1" containsNumber="1" containsInteger="1" minValue="476053307" maxValue="789564956"/>
    </cacheField>
    <cacheField name="adresse mail" numFmtId="0">
      <sharedItems containsBlank="1"/>
    </cacheField>
    <cacheField name="statut PO/PB" numFmtId="0">
      <sharedItems containsBlank="1"/>
    </cacheField>
    <cacheField name="surface" numFmtId="0">
      <sharedItems containsNonDate="0" containsString="0" containsBlank="1"/>
    </cacheField>
    <cacheField name="date acquisition" numFmtId="0">
      <sharedItems containsNonDate="0" containsString="0" containsBlank="1"/>
    </cacheField>
    <cacheField name="adresse logement si PB_x000a_numero" numFmtId="0">
      <sharedItems containsBlank="1" containsMixedTypes="1" containsNumber="1" containsInteger="1" minValue="2" maxValue="1238"/>
    </cacheField>
    <cacheField name="adresse logement si PB_x000a_voie" numFmtId="0">
      <sharedItems containsBlank="1"/>
    </cacheField>
    <cacheField name="adresse logement si PB_x000a_CP" numFmtId="0">
      <sharedItems containsBlank="1" containsMixedTypes="1" containsNumber="1" containsInteger="1" minValue="38340" maxValue="38500"/>
    </cacheField>
    <cacheField name="adresse logement si PB_x000a_ville" numFmtId="0">
      <sharedItems containsBlank="1"/>
    </cacheField>
    <cacheField name="entreprise nom" numFmtId="0">
      <sharedItems containsBlank="1" count="76">
        <s v="SAS CARRE"/>
        <s v="FRALOR POELES ET CUISINERES PASSION"/>
        <s v="SARL DUO CHEMINEES"/>
        <s v="SARL FLAMME ISEROISE"/>
        <s v="OLIGER France"/>
        <s v="ATRE DECORATION"/>
        <s v="JACQU'CHEMINEES"/>
        <s v="TECHNI NATURE"/>
        <s v="WATT&amp;HOME"/>
        <s v="SARL PASSION FLAMME"/>
        <s v="BOIS SOLEIL CHAUFFAGE SARL"/>
        <s v="HASE LA BOUTIQUE"/>
        <s v="SARL PAB"/>
        <s v="VOIRON POELE A BOIS ET GRANULES"/>
        <s v="ESPACE CONFORT VOIRONNAIS"/>
        <s v="ENERLOGIS"/>
        <s v="CHEMINEE JAY"/>
        <s v="GLENAT PÈRE ET FILS"/>
        <s v="F.E.M. SYNERGIE"/>
        <s v="SERPOLET BIDAUD SAS"/>
        <s v="ALBY-ECO"/>
        <s v="SARL TECNIC Services"/>
        <s v="NESS France"/>
        <s v="KBANE"/>
        <s v="FELLER CHAUFFAGE"/>
        <s v="RAMONAGE TUBAGE PROS"/>
        <s v="POELESGRANULES.FR - BIO BELLEDONNES GRANULES"/>
        <s v="ATRE ET LOISIRS SARL"/>
        <s v="AVIZ ENERGIE"/>
        <s v="SARL ALAIN TODESCHINI"/>
        <s v="GERENTE PAQUET HERVE"/>
        <s v="ARC HABITAT"/>
        <s v="ALP'ISO RENOV"/>
        <s v="L'ATRE DAUPHINOIS"/>
        <s v="LA GLACE ET LE FEU"/>
        <s v="ALP'CONFORT"/>
        <s v="EURL PUR'TECH"/>
        <s v="CHEMINEE CATTARINA Turbo Fonte"/>
        <s v="TM'ENTREPRISE"/>
        <s v="J3L AGENCEMENTS"/>
        <s v="CHEMINEE SVCD"/>
        <s v="SARL ENERGIES BARD RAMONAGE"/>
        <s v="ENTREPRISE CHARAT"/>
        <s v="CHALEUR BOIS"/>
        <s v="CHARTREUSE PLOMBERIE CHAUFFAGE"/>
        <s v="Haydee SARL"/>
        <m/>
        <s v="SARL PAYRE"/>
        <s v="CASTORAMA GRENOBLE"/>
        <s v="SASU IGNIS DESIGN HASE LA BOUTIQUE"/>
        <s v="LEROY MERLIN"/>
        <s v="ALLIANCE CIVALLERO GIAIME PLOMBERIE RENOVATI"/>
        <s v="SARL ENERLOGIS"/>
        <s v="M ENERGIE"/>
        <s v="ENTREPOT DU BRICOLAGE"/>
        <s v="CARRE FRANCOIS"/>
        <s v="GITEM (SAS CARRE)"/>
        <s v="NORDIFLAM 73"/>
        <s v="SAS CHARAT"/>
        <s v="ALPP PLOMBERIE CHAUFFAGE"/>
        <s v="FLAMME DE CHARTREUSE"/>
        <s v="CHEMINEES CASTAN"/>
        <s v="HC TRADITION"/>
        <s v="ESPACE CONFORT " u="1"/>
        <s v="CHEMINEES JAY" u="1"/>
        <s v="RAMONAGE TUBAGE PRO" u="1"/>
        <s v="L atre Dauphinois" u="1"/>
        <s v="TODESCHINI" u="1"/>
        <s v="FLAMME ISEROISE" u="1"/>
        <s v="FRALOR POELES ET CUISINIERES PASSION" u="1"/>
        <s v="PASSION FLAMME" u="1"/>
        <s v="POELES GRANULES.FR" u="1"/>
        <s v="SARL ENERGIES" u="1"/>
        <s v="SARL ATRE&amp;LOISIRS" u="1"/>
        <s v="BOIS SOLEIL CHAUFFAGE" u="1"/>
        <s v="L ARTRE DAUPHINOIS" u="1"/>
      </sharedItems>
    </cacheField>
    <cacheField name="entreprise commune" numFmtId="0">
      <sharedItems containsBlank="1" count="53">
        <s v="LE PONT DE BEAUVOISIN"/>
        <s v="VOIRON"/>
        <s v="SAINT EGREVE"/>
        <s v="BOURGOIN JALLIEU"/>
        <s v="SAINT LOUIS"/>
        <s v="SAINT ALBAN DE ROCHE"/>
        <s v="MOIRANS"/>
        <s v="TULLINS"/>
        <s v="SAINT ANDRE LE GAZ"/>
        <s v="CHALLES LES EAUX"/>
        <s v="VOREPPE"/>
        <s v="SAINT BONNET DE MURE"/>
        <s v="RUY"/>
        <s v="EYBENS"/>
        <s v="SAINT BALDOPHE"/>
        <s v="LES AVENIERES"/>
        <s v="MARQUETTE LEZ LILLE"/>
        <s v="SAINT PIERRE D'ENTREMONT"/>
        <s v="SAINT JEAN DE BOURNAY"/>
        <s v="GONCELIN"/>
        <s v="SAINT MARTIN D'HERES"/>
        <s v="MEYRIE"/>
        <s v="RENAGE"/>
        <s v="SAINT LAURENT DU PONT"/>
        <s v="TENCIN"/>
        <s v="ECHIROLLES"/>
        <s v="SAINT ETIENNE DE SAINT GEOIR"/>
        <s v="GRENOBLE"/>
        <s v="CORBAS"/>
        <s v="DIE"/>
        <s v="CHARANCIEU"/>
        <s v="VIF"/>
        <s v="CHAMPIER"/>
        <s v="CHATTE"/>
        <s v="SAINT BLAISE DU BUIS"/>
        <s v="GAP"/>
        <s v="LA TOUR DU PIN"/>
        <s v="LA BATIE MONTGASCON"/>
        <m/>
        <s v="SAINT-JEAN-DE-BOURNAY"/>
        <s v="SAINT-ANDRE-LE-GAZ"/>
        <s v="SAINT-MARTIN D'HERES"/>
        <s v="ARBIN"/>
        <s v="DOMENE"/>
        <s v="SAINT ETIENNE DE SAINT GEOIRS"/>
        <s v="SAINT-EGREVE"/>
        <s v=" RUY MONTCEAU"/>
        <s v=" LE PONT DE BEAUVOISIN"/>
        <s v=" VOIRON"/>
        <s v="AINT ANDRE LE GAZ"/>
        <s v="LA BATHIE"/>
        <s v="SAINT PIERRE DE CHARTREUSE"/>
        <s v="LE CHEYLAS"/>
      </sharedItems>
    </cacheField>
    <cacheField name="entreprise signataire" numFmtId="0">
      <sharedItems containsBlank="1"/>
    </cacheField>
    <cacheField name="entreprise mail" numFmtId="0">
      <sharedItems containsBlank="1"/>
    </cacheField>
    <cacheField name="entreprise tel" numFmtId="0">
      <sharedItems containsBlank="1" containsMixedTypes="1" containsNumber="1" containsInteger="1" minValue="412042525" maxValue="972179856"/>
    </cacheField>
    <cacheField name="entreprise sous-traitance pose (Nom)" numFmtId="0">
      <sharedItems containsBlank="1"/>
    </cacheField>
    <cacheField name="installateur signataire de la charte" numFmtId="0">
      <sharedItems containsBlank="1"/>
    </cacheField>
    <cacheField name="Date de fin RGE de l'installateur" numFmtId="0">
      <sharedItems containsDate="1" containsBlank="1" containsMixedTypes="1" minDate="2020-08-25T00:00:00" maxDate="2023-11-19T00:00:00"/>
    </cacheField>
    <cacheField name="appareil ancien type" numFmtId="0">
      <sharedItems containsBlank="1"/>
    </cacheField>
    <cacheField name="appareil ancien annee acquisition" numFmtId="0">
      <sharedItems containsDate="1" containsBlank="1" containsMixedTypes="1" minDate="1900-01-02T10:38:04" maxDate="1900-01-02T22:40:04"/>
    </cacheField>
    <cacheField name="type" numFmtId="0">
      <sharedItems containsBlank="1" count="7">
        <s v="poêle"/>
        <s v="cuisinière"/>
        <s v="insert / foyer fermé"/>
        <s v="chaudière"/>
        <m/>
        <s v="-"/>
        <s v="Insert" u="1"/>
      </sharedItems>
    </cacheField>
    <cacheField name="combustible" numFmtId="0">
      <sharedItems containsBlank="1" count="5">
        <s v="granulé"/>
        <s v="bûche"/>
        <m/>
        <s v="-"/>
        <s v="mixte" u="1"/>
      </sharedItems>
    </cacheField>
    <cacheField name="marque" numFmtId="0">
      <sharedItems containsBlank="1"/>
    </cacheField>
    <cacheField name="modele" numFmtId="0">
      <sharedItems containsBlank="1" containsMixedTypes="1" containsNumber="1" containsInteger="1" minValue="650" maxValue="368102"/>
    </cacheField>
    <cacheField name="poussieres" numFmtId="0">
      <sharedItems containsBlank="1" containsMixedTypes="1" containsNumber="1" minValue="4" maxValue="133"/>
    </cacheField>
    <cacheField name="puissance" numFmtId="0">
      <sharedItems containsBlank="1" containsMixedTypes="1" containsNumber="1" minValue="4" maxValue="18"/>
    </cacheField>
    <cacheField name="rendement" numFmtId="0">
      <sharedItems containsBlank="1" containsMixedTypes="1" containsNumber="1" minValue="66" maxValue="98"/>
    </cacheField>
    <cacheField name="CO" numFmtId="0">
      <sharedItems containsBlank="1" containsMixedTypes="1" containsNumber="1" minValue="8.8000000000000003E-4" maxValue="1192"/>
    </cacheField>
    <cacheField name="FV ou registre" numFmtId="0">
      <sharedItems containsBlank="1"/>
    </cacheField>
    <cacheField name="cout appareil" numFmtId="0">
      <sharedItems containsNonDate="0" containsString="0" containsBlank="1"/>
    </cacheField>
    <cacheField name="cout fourniture" numFmtId="0">
      <sharedItems containsDate="1" containsString="0" containsBlank="1" containsMixedTypes="1" minDate="1899-12-31T00:00:00" maxDate="1899-12-30T00:00:00"/>
    </cacheField>
    <cacheField name="-3" numFmtId="0">
      <sharedItems containsString="0" containsBlank="1" containsNumber="1" minValue="525" maxValue="3729.62"/>
    </cacheField>
    <cacheField name="cout tubage" numFmtId="0">
      <sharedItems containsString="0" containsBlank="1" containsNumber="1" minValue="3729.62" maxValue="6924.64"/>
    </cacheField>
    <cacheField name="-4" numFmtId="0">
      <sharedItems containsString="0" containsBlank="1" containsNumber="1" minValue="380.85520000000002" maxValue="3729.62"/>
    </cacheField>
    <cacheField name="cout main œuvre" numFmtId="0">
      <sharedItems containsDate="1" containsString="0" containsBlank="1" containsMixedTypes="1" minDate="1899-12-31T11:35:12" maxDate="1900-01-06T02:41:04"/>
    </cacheField>
    <cacheField name="cout total HT" numFmtId="0">
      <sharedItems containsString="0" containsBlank="1" containsNumber="1" minValue="0" maxValue="45596.38"/>
    </cacheField>
    <cacheField name="cout TVA" numFmtId="0">
      <sharedItems containsString="0" containsBlank="1" containsNumber="1" minValue="0" maxValue="2507.8008999999997"/>
    </cacheField>
    <cacheField name="cout total TTC" numFmtId="0">
      <sharedItems containsString="0" containsBlank="1" containsNumber="1" minValue="0" maxValue="48104.180899999992"/>
    </cacheField>
    <cacheField name="cout total TTC2" numFmtId="0">
      <sharedItems containsDate="1" containsBlank="1" containsMixedTypes="1" minDate="1899-12-31T00:00:00" maxDate="1900-01-03T20:15:04"/>
    </cacheField>
    <cacheField name="ok pour communication" numFmtId="0">
      <sharedItems containsBlank="1"/>
    </cacheField>
    <cacheField name="invit ateliers bonnes pratiques papier" numFmtId="0">
      <sharedItems containsNonDate="0" containsString="0" containsBlank="1"/>
    </cacheField>
    <cacheField name="ateliers bonnes pratiques" numFmtId="0">
      <sharedItems containsNonDate="0" containsString="0" containsBlank="1"/>
    </cacheField>
    <cacheField name="Dispositif / Année comptable_x000a_Rempli par Daniel" numFmtId="0">
      <sharedItems containsBlank="1" containsMixedTypes="1" containsNumber="1" containsInteger="1" minValue="0" maxValue="0"/>
    </cacheField>
    <cacheField name="Année facturation AGEDEN (dossier validé stade demande initial)_x000a_Rempli par Daniel"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09">
  <r>
    <s v="Installateur"/>
    <s v="Eybens"/>
    <x v="0"/>
    <x v="0"/>
  </r>
  <r>
    <s v="Installateur"/>
    <s v="Domène"/>
    <x v="1"/>
    <x v="0"/>
  </r>
  <r>
    <s v="Installateur"/>
    <s v="Echirolles"/>
    <x v="2"/>
    <x v="0"/>
  </r>
  <r>
    <s v="Installateur"/>
    <s v="Voreppe"/>
    <x v="3"/>
    <x v="1"/>
  </r>
  <r>
    <s v="Installateur"/>
    <s v="La Ravoire"/>
    <x v="4"/>
    <x v="2"/>
  </r>
  <r>
    <s v="Installateur"/>
    <s v="Tencin"/>
    <x v="5"/>
    <x v="3"/>
  </r>
  <r>
    <s v="Installateur"/>
    <s v="Frontenex"/>
    <x v="6"/>
    <x v="2"/>
  </r>
  <r>
    <s v="Installateur"/>
    <s v="Arbin"/>
    <x v="7"/>
    <x v="2"/>
  </r>
  <r>
    <s v="Installateur"/>
    <s v="Vif"/>
    <x v="8"/>
    <x v="0"/>
  </r>
  <r>
    <s v="Installateur"/>
    <s v="La Chappelle du Bard"/>
    <x v="9"/>
    <x v="3"/>
  </r>
  <r>
    <s v="Installateur"/>
    <s v="Le Gua"/>
    <x v="10"/>
    <x v="0"/>
  </r>
  <r>
    <s v="Installateur"/>
    <s v="Vaulnaveys"/>
    <x v="11"/>
    <x v="0"/>
  </r>
  <r>
    <s v="Installateur"/>
    <s v="Voiron"/>
    <x v="12"/>
    <x v="1"/>
  </r>
  <r>
    <s v="Installateur"/>
    <s v="Domène"/>
    <x v="13"/>
    <x v="0"/>
  </r>
  <r>
    <s v="Installateur"/>
    <s v="Grenoble"/>
    <x v="14"/>
    <x v="0"/>
  </r>
  <r>
    <s v="Installateur"/>
    <s v="Réaumont"/>
    <x v="15"/>
    <x v="1"/>
  </r>
  <r>
    <s v="Installateur"/>
    <s v="Chatte"/>
    <x v="16"/>
    <x v="4"/>
  </r>
  <r>
    <s v="Installateur"/>
    <s v="Saint-Blaise-du-Buis"/>
    <x v="17"/>
    <x v="1"/>
  </r>
  <r>
    <s v="Installateur"/>
    <s v="Le Cheylas"/>
    <x v="18"/>
    <x v="3"/>
  </r>
  <r>
    <s v="Installateur"/>
    <s v="Echirolles"/>
    <x v="19"/>
    <x v="0"/>
  </r>
  <r>
    <s v="Installateur"/>
    <s v="Saint-Pierre-d'Albigny"/>
    <x v="20"/>
    <x v="2"/>
  </r>
  <r>
    <s v="Installateur"/>
    <s v="Voreppe"/>
    <x v="21"/>
    <x v="1"/>
  </r>
  <r>
    <s v="Installateur"/>
    <s v="Vif"/>
    <x v="22"/>
    <x v="0"/>
  </r>
  <r>
    <s v="Installateur"/>
    <s v="Grenoble"/>
    <x v="23"/>
    <x v="0"/>
  </r>
  <r>
    <s v="Installateur"/>
    <s v="Estrablin"/>
    <x v="24"/>
    <x v="4"/>
  </r>
  <r>
    <s v="Installateur"/>
    <s v="Grenoble"/>
    <x v="25"/>
    <x v="0"/>
  </r>
  <r>
    <s v="Installateur"/>
    <s v="Le Bourget du Lac"/>
    <x v="26"/>
    <x v="2"/>
  </r>
  <r>
    <s v="Installateur"/>
    <s v="Gresse-en-Vercors"/>
    <x v="27"/>
    <x v="4"/>
  </r>
  <r>
    <s v="Installateur"/>
    <s v="Voiron"/>
    <x v="28"/>
    <x v="1"/>
  </r>
  <r>
    <s v="Installateur"/>
    <s v="Voiron"/>
    <x v="29"/>
    <x v="1"/>
  </r>
  <r>
    <s v="Installateur"/>
    <s v="Les Avenière"/>
    <x v="30"/>
    <x v="4"/>
  </r>
  <r>
    <s v="Installateur"/>
    <s v="Corbas"/>
    <x v="31"/>
    <x v="5"/>
  </r>
  <r>
    <s v="Installateur"/>
    <s v="Saint-Martin-d'Hères"/>
    <x v="32"/>
    <x v="0"/>
  </r>
  <r>
    <s v="Installateur"/>
    <s v="Saint-Bonnet-de-Mure"/>
    <x v="33"/>
    <x v="5"/>
  </r>
  <r>
    <s v="Installateur"/>
    <s v="Saint Pierre d'Entremont"/>
    <x v="34"/>
    <x v="4"/>
  </r>
  <r>
    <s v="Installateur"/>
    <s v="Saint-Pierre-de-Chartreuse"/>
    <x v="35"/>
    <x v="4"/>
  </r>
  <r>
    <s v="Installateur"/>
    <s v="Bourgoin-Jallieu"/>
    <x v="36"/>
    <x v="4"/>
  </r>
  <r>
    <s v="Installateur"/>
    <s v="Crolles"/>
    <x v="37"/>
    <x v="3"/>
  </r>
  <r>
    <s v="Installateur"/>
    <s v="Saint-Laurent-du-Pont"/>
    <x v="38"/>
    <x v="4"/>
  </r>
  <r>
    <s v="Installateur"/>
    <s v="Le Pont de Beauvoison"/>
    <x v="39"/>
    <x v="4"/>
  </r>
  <r>
    <s v="Installateur"/>
    <s v="Saint-Egrève"/>
    <x v="40"/>
    <x v="0"/>
  </r>
  <r>
    <s v="Installateur"/>
    <s v="Chatuzange Le Goubet"/>
    <x v="41"/>
    <x v="5"/>
  </r>
  <r>
    <s v="Installateur"/>
    <s v="Villefranche sur Saone"/>
    <x v="42"/>
    <x v="5"/>
  </r>
  <r>
    <s v="Installateur"/>
    <s v="Charancieu"/>
    <x v="43"/>
    <x v="4"/>
  </r>
  <r>
    <s v="Installateur"/>
    <s v="Moirans"/>
    <x v="44"/>
    <x v="1"/>
  </r>
  <r>
    <s v="Installateur"/>
    <s v="Villeneuve d'Asq"/>
    <x v="45"/>
    <x v="5"/>
  </r>
  <r>
    <s v="Installateur"/>
    <s v="Grenoble"/>
    <x v="46"/>
    <x v="0"/>
  </r>
  <r>
    <s v="Installateur"/>
    <s v="Chapareillan"/>
    <x v="47"/>
    <x v="3"/>
  </r>
  <r>
    <s v="Installateur"/>
    <s v="Pontcharra"/>
    <x v="48"/>
    <x v="3"/>
  </r>
  <r>
    <s v="Installateur"/>
    <s v="St Etienne de St Geoirs"/>
    <x v="49"/>
    <x v="4"/>
  </r>
  <r>
    <s v="Installateur"/>
    <s v="Bourg de Péage"/>
    <x v="50"/>
    <x v="5"/>
  </r>
  <r>
    <s v="Installateur"/>
    <s v="Domène"/>
    <x v="51"/>
    <x v="0"/>
  </r>
  <r>
    <s v="Installateur"/>
    <s v="Saint Laurent du Pont"/>
    <x v="52"/>
    <x v="4"/>
  </r>
  <r>
    <s v="Installateur"/>
    <s v="La Bathie"/>
    <x v="53"/>
    <x v="2"/>
  </r>
  <r>
    <s v="Installateur"/>
    <s v="Chambéry"/>
    <x v="54"/>
    <x v="2"/>
  </r>
  <r>
    <s v="Installateur"/>
    <s v="Goncelin"/>
    <x v="55"/>
    <x v="3"/>
  </r>
  <r>
    <s v="Installateur"/>
    <s v="Domessin"/>
    <x v="56"/>
    <x v="2"/>
  </r>
  <r>
    <s v="Installateur"/>
    <s v="Saint-Jean-de-Bournay"/>
    <x v="57"/>
    <x v="4"/>
  </r>
  <r>
    <s v="Installateur"/>
    <s v="Renage"/>
    <x v="58"/>
    <x v="1"/>
  </r>
  <r>
    <s v="Installateur"/>
    <s v="Bourgoin-Jallieu"/>
    <x v="59"/>
    <x v="4"/>
  </r>
  <r>
    <s v="Installateur"/>
    <s v="Vaulnaveys"/>
    <x v="60"/>
    <x v="0"/>
  </r>
  <r>
    <s v="Installateur"/>
    <s v="Saint-Alban-de-Roche"/>
    <x v="61"/>
    <x v="4"/>
  </r>
  <r>
    <s v="Installateur"/>
    <s v="Saint-Egrève"/>
    <x v="61"/>
    <x v="0"/>
  </r>
  <r>
    <s v="Installateur"/>
    <s v="Albertville"/>
    <x v="62"/>
    <x v="2"/>
  </r>
  <r>
    <s v="Installateur"/>
    <s v="La Ravoire"/>
    <x v="62"/>
    <x v="2"/>
  </r>
  <r>
    <s v="Installateur"/>
    <s v="Saint-Martin-d'Hères"/>
    <x v="63"/>
    <x v="0"/>
  </r>
  <r>
    <s v="Installateur"/>
    <s v="Saint-Egrève"/>
    <x v="64"/>
    <x v="0"/>
  </r>
  <r>
    <s v="Installateur"/>
    <s v="Saint-Aupre"/>
    <x v="65"/>
    <x v="1"/>
  </r>
  <r>
    <s v="Installateur"/>
    <s v="Challes-Les-Eaux"/>
    <x v="66"/>
    <x v="2"/>
  </r>
  <r>
    <s v="Installateur"/>
    <s v="Le Touvet"/>
    <x v="67"/>
    <x v="3"/>
  </r>
  <r>
    <s v="Installateur"/>
    <s v="Saint-Maximin"/>
    <x v="68"/>
    <x v="3"/>
  </r>
  <r>
    <s v="Installateur"/>
    <s v="Die"/>
    <x v="69"/>
    <x v="5"/>
  </r>
  <r>
    <s v="Installateur"/>
    <s v="Chatillon sur Chalaronne"/>
    <x v="70"/>
    <x v="5"/>
  </r>
  <r>
    <s v="Installateur"/>
    <s v="Torchefelon"/>
    <x v="71"/>
    <x v="5"/>
  </r>
  <r>
    <s v="Installateur"/>
    <s v="Saint-Baldoph"/>
    <x v="72"/>
    <x v="2"/>
  </r>
  <r>
    <s v="Installateur"/>
    <s v="Voiron"/>
    <x v="73"/>
    <x v="1"/>
  </r>
  <r>
    <s v="Installateur"/>
    <s v="Le Sappey en Chartreuse"/>
    <x v="74"/>
    <x v="0"/>
  </r>
  <r>
    <s v="Installateur"/>
    <s v="Voglans"/>
    <x v="75"/>
    <x v="2"/>
  </r>
  <r>
    <s v="Installateur"/>
    <s v="Voiron"/>
    <x v="76"/>
    <x v="1"/>
  </r>
  <r>
    <s v="Installateur"/>
    <s v="Fontanil-Cornillon"/>
    <x v="77"/>
    <x v="0"/>
  </r>
  <r>
    <s v="Installateur"/>
    <s v="Saint-Martin-d'Uriage"/>
    <x v="78"/>
    <x v="3"/>
  </r>
  <r>
    <s v="Installateur"/>
    <s v="Voiron"/>
    <x v="79"/>
    <x v="1"/>
  </r>
  <r>
    <s v="Installateur"/>
    <s v="Saint-Martin d'Hères"/>
    <x v="80"/>
    <x v="0"/>
  </r>
  <r>
    <s v="Installateur"/>
    <s v="Tullins"/>
    <x v="81"/>
    <x v="1"/>
  </r>
  <r>
    <s v="Installateur"/>
    <s v="Varces"/>
    <x v="82"/>
    <x v="0"/>
  </r>
  <r>
    <s v="Installateur"/>
    <s v="Revel"/>
    <x v="83"/>
    <x v="3"/>
  </r>
  <r>
    <s v="Installateur"/>
    <s v="Saint-Priest"/>
    <x v="84"/>
    <x v="5"/>
  </r>
  <r>
    <s v="Installateur"/>
    <s v="Séchilienne"/>
    <x v="85"/>
    <x v="0"/>
  </r>
  <r>
    <s v="Installateur"/>
    <s v="Varces"/>
    <x v="82"/>
    <x v="0"/>
  </r>
  <r>
    <s v="Installateur"/>
    <s v="Vif"/>
    <x v="86"/>
    <x v="0"/>
  </r>
  <r>
    <s v="Installateur"/>
    <s v="Vaulnaveys"/>
    <x v="87"/>
    <x v="0"/>
  </r>
  <r>
    <s v="Installateur"/>
    <s v="Champier"/>
    <x v="88"/>
    <x v="4"/>
  </r>
  <r>
    <s v="Installateur"/>
    <s v="Saint André le Gaz"/>
    <x v="89"/>
    <x v="4"/>
  </r>
  <r>
    <s v="Installateur"/>
    <s v="La Bâtie-Montgascon"/>
    <x v="90"/>
    <x v="4"/>
  </r>
  <r>
    <s v="Installateur"/>
    <s v="Ruy Montceau"/>
    <x v="91"/>
    <x v="4"/>
  </r>
  <r>
    <s v="Installateur"/>
    <s v="Sablons"/>
    <x v="92"/>
    <x v="4"/>
  </r>
  <r>
    <s v="Installateur"/>
    <s v="La Tour du Pin"/>
    <x v="93"/>
    <x v="4"/>
  </r>
  <r>
    <s v="Installateur"/>
    <s v="Arbin"/>
    <x v="94"/>
    <x v="2"/>
  </r>
  <r>
    <s v="Installateur"/>
    <s v="Pontcharra"/>
    <x v="95"/>
    <x v="3"/>
  </r>
  <r>
    <s v="Installateur"/>
    <s v="Lescheraines"/>
    <x v="96"/>
    <x v="2"/>
  </r>
  <r>
    <s v="Installateur"/>
    <s v="Meyrie"/>
    <x v="97"/>
    <x v="4"/>
  </r>
  <r>
    <s v="Installateur"/>
    <s v="Drumettaz-Clarafond"/>
    <x v="98"/>
    <x v="2"/>
  </r>
  <r>
    <s v="Installateur"/>
    <s v="Scionzier"/>
    <x v="99"/>
    <x v="5"/>
  </r>
  <r>
    <s v="Installateur"/>
    <s v="Saint-Jorioz"/>
    <x v="100"/>
    <x v="5"/>
  </r>
  <r>
    <s v="Installateur"/>
    <s v="Theys"/>
    <x v="101"/>
    <x v="3"/>
  </r>
  <r>
    <s v="Installateur"/>
    <s v="Plan"/>
    <x v="102"/>
    <x v="4"/>
  </r>
  <r>
    <s v="Installateur"/>
    <s v="Le Sappey en Chartreuse"/>
    <x v="103"/>
    <x v="0"/>
  </r>
  <r>
    <s v="Fabricant/Installateur"/>
    <s v="Saint-Louis"/>
    <x v="104"/>
    <x v="5"/>
  </r>
  <r>
    <s v="Installateur"/>
    <s v="Tullins"/>
    <x v="105"/>
    <x v="1"/>
  </r>
</pivotCacheRecords>
</file>

<file path=xl/pivotCache/pivotCacheRecords2.xml><?xml version="1.0" encoding="utf-8"?>
<pivotCacheRecords xmlns="http://schemas.openxmlformats.org/spreadsheetml/2006/main" xmlns:r="http://schemas.openxmlformats.org/officeDocument/2006/relationships" count="526">
  <r>
    <s v="VRB0001"/>
    <n v="3"/>
    <n v="2"/>
    <n v="8"/>
    <s v="35 à 49 ans"/>
    <n v="5"/>
    <x v="0"/>
    <n v="1"/>
    <n v="108"/>
    <s v="1975-1990"/>
    <s v="6"/>
    <s v="Pas de réponse"/>
    <x v="0"/>
    <s v="Insert / foyer fermé"/>
    <x v="0"/>
    <s v="Tous les jours"/>
    <s v="6"/>
    <s v="Avant 1990"/>
    <s v="Bois bûche"/>
    <s v=""/>
    <s v="12"/>
    <s v="stères"/>
    <s v="1"/>
    <s v=""/>
    <s v="5"/>
    <s v="2"/>
    <s v="1 à 2 ans"/>
    <s v="Les deux"/>
    <s v="2"/>
    <s v="1 fois par an"/>
    <s v=""/>
    <s v="Poêle"/>
    <s v="2"/>
    <s v=""/>
    <s v="Chauffage de base"/>
    <s v="Pas de réponse"/>
  </r>
  <r>
    <s v="VRB0002"/>
    <n v="3"/>
    <n v="4"/>
    <n v="3"/>
    <s v="50 à 64 ans"/>
    <n v="4"/>
    <x v="0"/>
    <n v="1"/>
    <n v="125"/>
    <s v="1990-2005"/>
    <s v="6"/>
    <s v="Ne sait pas"/>
    <x v="0"/>
    <s v="Insert / foyer fermé"/>
    <x v="1"/>
    <s v="3 à 4 jours/semaine"/>
    <s v="3; 4; 6"/>
    <s v="1996-2002"/>
    <s v="Bois bûche"/>
    <s v=""/>
    <s v="12"/>
    <s v="stères"/>
    <s v="1"/>
    <s v=""/>
    <s v="6"/>
    <s v="2"/>
    <s v="&gt; 2 ans"/>
    <s v="Feuillus"/>
    <s v="2"/>
    <s v="1 fois par an"/>
    <s v=""/>
    <s v="Poêle"/>
    <s v="1"/>
    <s v=""/>
    <s v="Chauffage d'appoint"/>
    <s v="Pas de réponse"/>
  </r>
  <r>
    <s v="VRB0003"/>
    <n v="3"/>
    <n v="3"/>
    <n v="9"/>
    <s v="50 à 64 ans"/>
    <n v="2"/>
    <x v="0"/>
    <n v="1"/>
    <n v="90"/>
    <s v="1975-1990"/>
    <s v="6"/>
    <s v="Pas de réponse"/>
    <x v="0"/>
    <s v="Insert / foyer fermé"/>
    <x v="0"/>
    <s v="Tous les jours"/>
    <s v="1; 2; 6"/>
    <s v="Avant 1990"/>
    <s v="Bois bûche"/>
    <s v=""/>
    <s v="10"/>
    <s v="m3"/>
    <s v="2"/>
    <s v=""/>
    <s v="5"/>
    <s v="2"/>
    <s v="&gt; 2 ans"/>
    <s v="Feuillus"/>
    <s v="1"/>
    <s v="1 fois par an"/>
    <s v=""/>
    <s v="Poêle"/>
    <s v="2"/>
    <s v=""/>
    <s v="Chauffage de base"/>
    <s v="Pas de réponse"/>
  </r>
  <r>
    <s v="VRB0004"/>
    <n v="3"/>
    <n v="6"/>
    <n v="7"/>
    <s v="50 à 64 ans"/>
    <n v="2"/>
    <x v="0"/>
    <n v="1"/>
    <n v="88"/>
    <s v="1975-1990"/>
    <s v="1"/>
    <s v="Ne sait pas"/>
    <x v="0"/>
    <s v="Insert / foyer fermé"/>
    <x v="0"/>
    <s v="Tous les jours"/>
    <s v="2; 3"/>
    <s v="Avant 1990"/>
    <s v="Bois bûche"/>
    <s v=""/>
    <s v="12"/>
    <s v="stères"/>
    <s v="3"/>
    <s v=""/>
    <s v="5"/>
    <s v="2"/>
    <s v="1 à 2 ans"/>
    <s v="Feuillus"/>
    <s v="2"/>
    <s v="2 fois par an"/>
    <s v=""/>
    <s v="Poêle"/>
    <s v="1"/>
    <s v=""/>
    <s v="Chauffage de base"/>
    <s v="Pas de réponse"/>
  </r>
  <r>
    <s v="VRB0005"/>
    <n v="3"/>
    <n v="7"/>
    <n v="7"/>
    <s v="65 ans et plus"/>
    <n v="2"/>
    <x v="0"/>
    <n v="1"/>
    <n v="120"/>
    <s v="1975-1990"/>
    <s v="4"/>
    <s v="Pas de réponse"/>
    <x v="0"/>
    <s v="Insert / foyer fermé"/>
    <x v="1"/>
    <s v="Tous les jours"/>
    <s v="2; 4"/>
    <s v="1990-1995"/>
    <s v="Bois bûche"/>
    <s v=""/>
    <s v="8"/>
    <s v="stères"/>
    <s v="2"/>
    <s v=""/>
    <s v="1"/>
    <s v="2"/>
    <s v="1 à 2 ans"/>
    <s v="Feuillus"/>
    <s v="2"/>
    <s v="1 fois par an"/>
    <s v=""/>
    <s v="Poêle"/>
    <s v="2"/>
    <s v=""/>
    <s v="Chauffage de base"/>
    <s v="Pas de réponse"/>
  </r>
  <r>
    <s v="VRB0006"/>
    <n v="3"/>
    <n v="5"/>
    <n v="9"/>
    <s v="50 à 64 ans"/>
    <n v="3"/>
    <x v="0"/>
    <n v="1"/>
    <n v="120"/>
    <s v="Avant 1949"/>
    <s v="4"/>
    <s v="Ne sait pas"/>
    <x v="0"/>
    <s v="Insert / foyer fermé"/>
    <x v="2"/>
    <s v="Tous les jours"/>
    <s v="1; 2; 3; 4; 5; 6"/>
    <s v="1990-1995"/>
    <s v="Bois bûche"/>
    <s v=""/>
    <s v="10"/>
    <s v="stères"/>
    <s v="2"/>
    <s v=""/>
    <s v="2"/>
    <s v="2"/>
    <s v="1 à 2 ans"/>
    <s v="Feuillus"/>
    <s v="2"/>
    <s v="1 fois par an"/>
    <s v=""/>
    <s v="Cuisinière"/>
    <s v="1"/>
    <s v=""/>
    <s v="Chauffage de base"/>
    <s v="Pas de réponse"/>
  </r>
  <r>
    <s v="VRB0007"/>
    <n v="3"/>
    <n v="7"/>
    <n v="7"/>
    <s v="65 ans et plus"/>
    <n v="2"/>
    <x v="0"/>
    <n v="1"/>
    <n v="138"/>
    <s v="1975-1990"/>
    <s v="1"/>
    <s v="D"/>
    <x v="0"/>
    <s v="Foyer ouvert"/>
    <x v="0"/>
    <s v="Tous les jours"/>
    <s v="4; 5; 6"/>
    <s v="1990-1995"/>
    <s v="Bois bûche"/>
    <s v=""/>
    <s v="12"/>
    <s v="stères"/>
    <s v="2"/>
    <s v=""/>
    <s v="2"/>
    <s v="2"/>
    <s v="&gt; 2 ans"/>
    <s v="Feuillus"/>
    <s v="2"/>
    <s v="2 fois par an"/>
    <s v=""/>
    <s v="Insert cheminée"/>
    <s v="1"/>
    <s v=""/>
    <s v="Chauffage de base"/>
    <s v="Pas de réponse"/>
  </r>
  <r>
    <s v="VRB0012"/>
    <n v="3"/>
    <n v="5"/>
    <n v="5"/>
    <s v="35 à 49 ans"/>
    <n v="4"/>
    <x v="0"/>
    <n v="1"/>
    <n v="130"/>
    <s v="1990-2005"/>
    <s v="1"/>
    <s v="D"/>
    <x v="0"/>
    <s v="Insert / foyer fermé"/>
    <x v="0"/>
    <s v="Tous les jours"/>
    <s v="1; 2; 4; 5; 6"/>
    <s v="1996-2002"/>
    <s v="Bois bûche"/>
    <s v=""/>
    <s v="12"/>
    <s v="stères"/>
    <s v="2"/>
    <s v=""/>
    <s v="2"/>
    <s v="2"/>
    <s v="&gt; 2 ans"/>
    <s v="Les deux"/>
    <s v="2"/>
    <s v="1 fois par an"/>
    <s v=""/>
    <s v="Poêle"/>
    <s v="2"/>
    <s v=""/>
    <s v="Chauffage de base"/>
    <s v="Pas de réponse"/>
  </r>
  <r>
    <s v="VRB0013"/>
    <n v="3"/>
    <n v="5"/>
    <n v="2"/>
    <s v="35 à 49 ans"/>
    <n v="2"/>
    <x v="0"/>
    <n v="1"/>
    <n v="120"/>
    <s v="1975-1990"/>
    <s v="7"/>
    <s v="Pas de réponse"/>
    <x v="0"/>
    <s v="Foyer ouvert"/>
    <x v="1"/>
    <s v="1 à 2 jours/semaine"/>
    <s v="2"/>
    <s v="Avant 1990"/>
    <s v="Bois bûche"/>
    <s v=""/>
    <s v="5"/>
    <s v="stères"/>
    <s v="2"/>
    <s v=""/>
    <s v="5"/>
    <s v="2"/>
    <s v="&gt; 2 ans"/>
    <s v="Les deux"/>
    <s v="2"/>
    <s v="1 fois par an"/>
    <s v=""/>
    <s v="Poêle"/>
    <s v="2"/>
    <s v=""/>
    <s v="Chauffage de base"/>
    <s v="Pas de réponse"/>
  </r>
  <r>
    <s v="VRB0014"/>
    <n v="3"/>
    <n v="6"/>
    <n v="9"/>
    <s v="50 à 64 ans"/>
    <n v="1"/>
    <x v="0"/>
    <n v="1"/>
    <n v="113"/>
    <s v="1975-1990"/>
    <s v="6"/>
    <s v="E"/>
    <x v="0"/>
    <s v="Insert / foyer fermé"/>
    <x v="1"/>
    <s v="3 à 4 jours/semaine"/>
    <s v="4; 5; 6"/>
    <s v="Avant 1990"/>
    <s v="Bois bûche"/>
    <s v=""/>
    <s v="8"/>
    <s v="stères"/>
    <s v="2"/>
    <s v=""/>
    <s v="2"/>
    <s v="2"/>
    <s v="&gt; 2 ans"/>
    <s v="Feuillus"/>
    <s v="2"/>
    <s v="1 fois par an"/>
    <s v=""/>
    <s v="Poêle"/>
    <s v="1"/>
    <s v=""/>
    <s v="Chauffage de base"/>
    <s v="Pas de réponse"/>
  </r>
  <r>
    <s v="VRB0015"/>
    <n v="3"/>
    <n v="7"/>
    <n v="7"/>
    <s v="50 à 64 ans"/>
    <n v="2"/>
    <x v="0"/>
    <n v="1"/>
    <n v="150"/>
    <s v="1975-1990"/>
    <s v="1"/>
    <s v="Pas de réponse"/>
    <x v="0"/>
    <s v="Insert / foyer fermé"/>
    <x v="0"/>
    <s v="Tous les jours"/>
    <s v="4; 5; 6"/>
    <s v="Avant 1990"/>
    <s v="Bois bûche"/>
    <s v=""/>
    <s v="9,6"/>
    <s v="m3"/>
    <s v="2"/>
    <s v=""/>
    <s v="5"/>
    <s v="1"/>
    <s v="&gt; 2 ans"/>
    <s v="Feuillus"/>
    <s v="2"/>
    <s v="1 fois par an"/>
    <s v=""/>
    <s v="Poêle"/>
    <s v="2"/>
    <s v=""/>
    <s v="Chauffage de base"/>
    <s v="Pas de réponse"/>
  </r>
  <r>
    <s v="VRB0016"/>
    <n v="3"/>
    <n v="5"/>
    <n v="5"/>
    <s v="35 à 49 ans"/>
    <n v="2"/>
    <x v="0"/>
    <n v="1"/>
    <n v="114"/>
    <s v="1975-1990"/>
    <s v="6"/>
    <s v="D"/>
    <x v="0"/>
    <s v="Insert / foyer fermé"/>
    <x v="0"/>
    <s v="Tous les jours"/>
    <s v="4"/>
    <s v="Avant 1990"/>
    <s v="Bois bûche"/>
    <s v=""/>
    <s v="12"/>
    <s v="stères"/>
    <s v="2"/>
    <s v=""/>
    <s v="5"/>
    <s v="2"/>
    <s v="1 à 2 ans"/>
    <s v="Feuillus"/>
    <s v="2"/>
    <s v="1 fois par an"/>
    <s v=""/>
    <s v="Poêle"/>
    <s v="2"/>
    <s v=""/>
    <s v="Chauffage de base"/>
    <s v="Pas de réponse"/>
  </r>
  <r>
    <s v="VRB0017"/>
    <n v="3"/>
    <n v="7"/>
    <n v="7"/>
    <s v="65 ans et plus"/>
    <n v="2"/>
    <x v="0"/>
    <n v="1"/>
    <n v="114"/>
    <s v="1975-1990"/>
    <s v="6"/>
    <s v="Pas de réponse"/>
    <x v="0"/>
    <s v="Poêle"/>
    <x v="0"/>
    <s v="Tous les jours"/>
    <s v="4"/>
    <s v="Avant 1990"/>
    <s v="Bois bûche"/>
    <s v=""/>
    <s v="10"/>
    <s v="stères"/>
    <s v="2"/>
    <s v=""/>
    <s v="5"/>
    <s v="2"/>
    <s v="&lt; 1 an"/>
    <s v="Feuillus"/>
    <s v="1"/>
    <s v="2 fois par an"/>
    <s v=""/>
    <s v="Poêle"/>
    <s v="2"/>
    <s v=""/>
    <s v="Chauffage de base"/>
    <s v="Pas de réponse"/>
  </r>
  <r>
    <s v="VRB0018"/>
    <n v="3"/>
    <n v="7"/>
    <n v="3"/>
    <s v="50 à 64 ans"/>
    <n v="1"/>
    <x v="0"/>
    <n v="1"/>
    <n v="120"/>
    <s v="1975-1990"/>
    <s v="1"/>
    <s v="Pas de réponse"/>
    <x v="0"/>
    <s v="Insert / foyer fermé"/>
    <x v="0"/>
    <s v="Tous les jours"/>
    <s v="6"/>
    <s v="Avant 1990"/>
    <s v="Bois bûche"/>
    <s v=""/>
    <s v="10"/>
    <s v="stères"/>
    <s v="5"/>
    <s v=""/>
    <s v="6"/>
    <s v="2"/>
    <s v="&gt; 2 ans"/>
    <s v="Pas de réponse"/>
    <s v="2"/>
    <s v="1 fois par an"/>
    <s v=""/>
    <s v="Poêle"/>
    <s v="2"/>
    <s v=""/>
    <s v="Chauffage de base"/>
    <s v="Pas de réponse"/>
  </r>
  <r>
    <s v="VRB0019"/>
    <n v="3"/>
    <n v="7"/>
    <n v="7"/>
    <s v="65 ans et plus"/>
    <n v="2"/>
    <x v="0"/>
    <n v="1"/>
    <n v="80"/>
    <s v="1975-1990"/>
    <s v="1"/>
    <s v="Pas de réponse"/>
    <x v="0"/>
    <s v="Poêle"/>
    <x v="0"/>
    <s v="Tous les jours"/>
    <s v="4"/>
    <s v="Après 2002"/>
    <s v="Bois bûche"/>
    <s v=""/>
    <s v="6"/>
    <s v="stères"/>
    <s v="2"/>
    <s v=""/>
    <s v="1"/>
    <s v="2"/>
    <s v="&gt; 2 ans"/>
    <s v="Les deux"/>
    <s v="2"/>
    <s v="1 fois par an"/>
    <s v=""/>
    <s v="Poêle"/>
    <s v="2"/>
    <s v=""/>
    <s v="Chauffage de base"/>
    <s v="Pas de réponse"/>
  </r>
  <r>
    <s v="VRB0020"/>
    <n v="3"/>
    <n v="5"/>
    <n v="3"/>
    <s v="50 à 64 ans"/>
    <n v="2"/>
    <x v="0"/>
    <n v="1"/>
    <n v="150"/>
    <s v="1990-2005"/>
    <s v="1"/>
    <s v="Pas de réponse"/>
    <x v="0"/>
    <s v="Insert / foyer fermé"/>
    <x v="1"/>
    <s v="1 à 3 jours/mois"/>
    <s v="2; 3; 6"/>
    <s v="1996-2002"/>
    <s v="Bois bûche"/>
    <s v=""/>
    <s v="3"/>
    <s v="m3"/>
    <s v="2"/>
    <s v=""/>
    <s v="2"/>
    <s v="2"/>
    <s v="&gt; 2 ans"/>
    <s v="Feuillus"/>
    <s v="2"/>
    <s v="1 fois par an"/>
    <s v=""/>
    <s v="Poêle"/>
    <s v="1"/>
    <s v=""/>
    <s v="Chauffage de base"/>
    <s v="Pas de réponse"/>
  </r>
  <r>
    <s v="VRB0021"/>
    <n v="3"/>
    <n v="4"/>
    <n v="2"/>
    <s v="35 à 49 ans"/>
    <n v="4"/>
    <x v="0"/>
    <n v="1"/>
    <n v="100"/>
    <s v="Avant 1949"/>
    <s v="1"/>
    <s v="Pas de réponse"/>
    <x v="0"/>
    <s v="Foyer ouvert"/>
    <x v="0"/>
    <s v="Tous les jours"/>
    <s v="4; 5"/>
    <s v="Avant 1990"/>
    <s v="Bois bûche"/>
    <s v=""/>
    <s v="10"/>
    <s v="m3"/>
    <s v="2"/>
    <s v=""/>
    <s v="2"/>
    <s v="1; 2"/>
    <s v="&gt; 2 ans"/>
    <s v="Feuillus"/>
    <s v="2"/>
    <s v="2 fois par an"/>
    <s v=""/>
    <s v="Poêle"/>
    <s v="1"/>
    <s v=""/>
    <s v="Chauffage de base"/>
    <s v="Pas de réponse"/>
  </r>
  <r>
    <s v="VRB0022"/>
    <n v="3"/>
    <n v="7"/>
    <n v="9"/>
    <s v="65 ans et plus"/>
    <n v="1"/>
    <x v="0"/>
    <n v="1"/>
    <n v="90"/>
    <s v="1975-1990"/>
    <s v="4"/>
    <s v="Pas de réponse"/>
    <x v="0"/>
    <s v="Insert / foyer fermé"/>
    <x v="0"/>
    <s v="Tous les jours"/>
    <s v="1; 2; 4; 6"/>
    <s v="1996-2002"/>
    <s v="Bois bûche"/>
    <s v=""/>
    <s v="18"/>
    <s v="stères"/>
    <s v="1"/>
    <s v=""/>
    <s v="1"/>
    <s v="1"/>
    <s v="1 à 2 ans"/>
    <s v="Feuillus"/>
    <s v="2"/>
    <s v="1 fois par an"/>
    <s v=""/>
    <s v="Poêle"/>
    <s v="2"/>
    <s v=""/>
    <s v="Chauffage de base"/>
    <s v="Pas de réponse"/>
  </r>
  <r>
    <s v="VRB0023"/>
    <n v="3"/>
    <n v="5"/>
    <n v="6"/>
    <s v="35 à 49 ans"/>
    <n v="4"/>
    <x v="0"/>
    <n v="1"/>
    <n v="122"/>
    <s v="1975-1990"/>
    <s v="7"/>
    <s v="E"/>
    <x v="0"/>
    <s v="Insert / foyer fermé"/>
    <x v="0"/>
    <s v="Tous les jours"/>
    <s v="1; 2; 4; 5"/>
    <s v="Avant 1990"/>
    <s v="Bois bûche"/>
    <s v=""/>
    <s v="15"/>
    <s v="stères"/>
    <s v="1"/>
    <s v=""/>
    <s v="2"/>
    <s v="2"/>
    <s v="&gt; 2 ans"/>
    <s v="Les deux"/>
    <s v="2"/>
    <s v="1 fois par an"/>
    <s v=""/>
    <s v="Poêle"/>
    <s v="1; 2"/>
    <s v=""/>
    <s v="Chauffage de base"/>
    <s v="Pas de réponse"/>
  </r>
  <r>
    <s v="VRB0024"/>
    <n v="3"/>
    <n v="2"/>
    <n v="2"/>
    <s v="50 à 64 ans"/>
    <n v="3"/>
    <x v="0"/>
    <n v="1"/>
    <n v="120"/>
    <s v="1990-2005"/>
    <s v="7"/>
    <s v="C"/>
    <x v="0"/>
    <s v="Insert / foyer fermé"/>
    <x v="2"/>
    <s v="1 à 3 jours/mois"/>
    <s v="2; 3; 6"/>
    <s v="1996-2002"/>
    <s v="Bois bûche"/>
    <s v=""/>
    <s v="3"/>
    <s v="stères"/>
    <s v="2"/>
    <s v=""/>
    <s v="2"/>
    <s v="2"/>
    <s v="1 à 2 ans"/>
    <s v="Les deux"/>
    <s v="2"/>
    <s v="1 fois par an"/>
    <s v=""/>
    <s v="Poêle"/>
    <s v="2"/>
    <s v=""/>
    <s v="Chauffage de base"/>
    <s v="Pas de réponse"/>
  </r>
  <r>
    <s v="VRB0025"/>
    <n v="3"/>
    <n v="3"/>
    <n v="9"/>
    <s v="50 à 64 ans"/>
    <n v="1"/>
    <x v="0"/>
    <n v="1"/>
    <n v="110"/>
    <s v="Avant 1949"/>
    <s v="6"/>
    <s v="Pas de réponse"/>
    <x v="0"/>
    <s v="Insert / foyer fermé"/>
    <x v="0"/>
    <s v="Moins de 15 fois par an"/>
    <s v="3; 6"/>
    <s v="Avant 1990"/>
    <s v="Bois bûche"/>
    <s v=""/>
    <s v=""/>
    <s v=""/>
    <s v="1"/>
    <s v=""/>
    <s v="5"/>
    <s v="1"/>
    <s v="1 à 2 ans"/>
    <s v="Les deux"/>
    <s v="3"/>
    <s v="Autre, à préciser"/>
    <s v="ne sais pas"/>
    <s v="Poêle"/>
    <s v="2"/>
    <s v=""/>
    <s v="Chauffage de base"/>
    <s v="Pas de réponse"/>
  </r>
  <r>
    <s v="VRB0026"/>
    <n v="3"/>
    <n v="7"/>
    <n v="9"/>
    <s v="65 ans et plus"/>
    <n v="1"/>
    <x v="0"/>
    <n v="1"/>
    <n v="70"/>
    <s v="1949-1975"/>
    <s v="6"/>
    <s v="Pas de réponse"/>
    <x v="0"/>
    <s v="Poêle"/>
    <x v="0"/>
    <s v="Tous les jours"/>
    <s v="2"/>
    <s v="Avant 1990"/>
    <s v="Bois bûche"/>
    <s v=""/>
    <s v="8"/>
    <s v="m3"/>
    <s v="2"/>
    <s v=""/>
    <s v="2"/>
    <s v="2"/>
    <s v="&gt; 2 ans"/>
    <s v="Feuillus"/>
    <s v="2"/>
    <s v="1 fois par an"/>
    <s v=""/>
    <s v="Poêle"/>
    <s v="1"/>
    <s v=""/>
    <s v="Chauffage de base"/>
    <s v="Pas de réponse"/>
  </r>
  <r>
    <s v="VRB0027"/>
    <n v="3"/>
    <n v="7"/>
    <n v="9"/>
    <s v="65 ans et plus"/>
    <n v="1"/>
    <x v="0"/>
    <n v="2"/>
    <n v="61"/>
    <s v="1975-1990"/>
    <s v="6"/>
    <s v="Pas de réponse"/>
    <x v="0"/>
    <s v="Insert / foyer fermé"/>
    <x v="0"/>
    <s v="Pas de réponse"/>
    <s v="7"/>
    <s v="Avant 1990"/>
    <s v="Bois bûche"/>
    <s v=""/>
    <s v="13"/>
    <s v="stère"/>
    <s v="3"/>
    <s v=""/>
    <s v="1"/>
    <s v="1"/>
    <s v="1 à 2 ans"/>
    <s v="Feuillus"/>
    <s v="1"/>
    <s v="2 fois par an"/>
    <s v=""/>
    <s v="Poêle"/>
    <s v="1"/>
    <s v=""/>
    <s v="Chauffage de base"/>
    <s v="Pas de réponse"/>
  </r>
  <r>
    <s v="VRB0028"/>
    <n v="3"/>
    <n v="7"/>
    <n v="8"/>
    <s v="65 ans et plus"/>
    <n v="2"/>
    <x v="0"/>
    <n v="1"/>
    <n v="60"/>
    <s v="1990-2005"/>
    <s v="1"/>
    <s v="Pas de réponse"/>
    <x v="0"/>
    <s v="Insert / foyer fermé"/>
    <x v="1"/>
    <s v="3 à 4 jours/semaine"/>
    <s v="2; 3"/>
    <s v="1990-1995"/>
    <s v="Bois bûche"/>
    <s v=""/>
    <s v="2"/>
    <s v="stères"/>
    <s v="5"/>
    <s v=""/>
    <s v="5"/>
    <s v="2"/>
    <s v="1 à 2 ans"/>
    <s v="Les deux"/>
    <s v="1"/>
    <s v="1 fois par an"/>
    <s v=""/>
    <s v="Poêle"/>
    <s v="1"/>
    <s v=""/>
    <s v="Chauffage d'appoint"/>
    <s v="Pas de réponse"/>
  </r>
  <r>
    <s v="VRB0029"/>
    <n v="3"/>
    <n v="7"/>
    <n v="6"/>
    <s v="65 ans et plus"/>
    <n v="2"/>
    <x v="0"/>
    <n v="1"/>
    <n v="158"/>
    <s v="1975-1990"/>
    <s v="6"/>
    <s v="D"/>
    <x v="0"/>
    <s v="Foyer ouvert"/>
    <x v="1"/>
    <s v="Pas de réponse"/>
    <s v="3; 4"/>
    <s v="Avant 1990"/>
    <s v="Bois bûche"/>
    <s v=""/>
    <s v=""/>
    <s v=""/>
    <s v="2"/>
    <s v=""/>
    <s v="5"/>
    <s v="2"/>
    <s v="&gt; 2 ans"/>
    <s v="Feuillus"/>
    <s v="2"/>
    <s v="1 fois par an"/>
    <s v=""/>
    <s v="Poêle"/>
    <s v="1"/>
    <s v=""/>
    <s v="Chauffage d'appoint"/>
    <s v="Pas de réponse"/>
  </r>
  <r>
    <s v="VRB0030"/>
    <n v="3"/>
    <n v="7"/>
    <n v="7"/>
    <s v="65 ans et plus"/>
    <n v="2"/>
    <x v="0"/>
    <n v="1"/>
    <n v="90"/>
    <s v="1975-1990"/>
    <s v="1"/>
    <s v="Pas de réponse"/>
    <x v="0"/>
    <s v="Poêle"/>
    <x v="0"/>
    <s v="Tous les jours"/>
    <s v="4; 5"/>
    <s v="Avant 1990"/>
    <s v="Bois bûche"/>
    <s v=""/>
    <s v="10"/>
    <s v="stères"/>
    <s v="2"/>
    <s v=""/>
    <s v="2"/>
    <s v="2"/>
    <s v="1 à 2 ans"/>
    <s v="Feuillus"/>
    <s v="1"/>
    <s v="2 fois par an"/>
    <s v=""/>
    <s v="Poêle"/>
    <s v="2"/>
    <s v=""/>
    <s v="Chauffage d'appoint"/>
    <s v="Pas de réponse"/>
  </r>
  <r>
    <s v="VRB0031"/>
    <n v="3"/>
    <n v="7"/>
    <n v="7"/>
    <s v="65 ans et plus"/>
    <n v="2"/>
    <x v="0"/>
    <n v="1"/>
    <n v="100"/>
    <s v="1975-1990"/>
    <s v="6"/>
    <s v="Pas de réponse"/>
    <x v="0"/>
    <s v="Insert / foyer fermé"/>
    <x v="0"/>
    <s v="Tous les jours"/>
    <s v="4; 5"/>
    <s v="Avant 1990"/>
    <s v="Bois bûche"/>
    <s v=""/>
    <s v="9"/>
    <s v="stères"/>
    <s v="2"/>
    <s v=""/>
    <s v="6"/>
    <s v="2"/>
    <s v="1 à 2 ans"/>
    <s v="Feuillus"/>
    <s v="2"/>
    <s v="1 fois par an"/>
    <s v=""/>
    <s v="Poêle"/>
    <s v="1"/>
    <s v=""/>
    <s v="Chauffage de base"/>
    <s v="Pas de réponse"/>
  </r>
  <r>
    <s v="VRB0032"/>
    <n v="3"/>
    <n v="5"/>
    <n v="7"/>
    <s v="50 à 64 ans"/>
    <n v="2"/>
    <x v="0"/>
    <n v="1"/>
    <n v="150"/>
    <s v="1975-1990"/>
    <s v="6"/>
    <s v="D"/>
    <x v="1"/>
    <s v="Foyer ouvert"/>
    <x v="1"/>
    <s v="3 à 4 jours/semaine"/>
    <s v="2; 3; 6"/>
    <s v="1990-1995"/>
    <s v="Bois bûche"/>
    <s v=""/>
    <s v="3"/>
    <s v="stères"/>
    <s v="1"/>
    <s v=""/>
    <s v="2"/>
    <s v="1; 2"/>
    <s v="&gt; 2 ans"/>
    <s v="Feuillus"/>
    <s v="1"/>
    <s v="1 fois par an"/>
    <s v=""/>
    <s v="Insert cheminée"/>
    <s v="1"/>
    <s v=""/>
    <s v="Chauffage d'appoint"/>
    <s v="Pas de réponse"/>
  </r>
  <r>
    <s v="VRB0033"/>
    <n v="3"/>
    <n v="5"/>
    <n v="9"/>
    <s v="50 à 64 ans"/>
    <n v="3"/>
    <x v="0"/>
    <n v="1"/>
    <n v="180"/>
    <s v="Avant 1949"/>
    <s v="6"/>
    <s v="Pas de réponse"/>
    <x v="0"/>
    <s v="Insert / foyer fermé"/>
    <x v="1"/>
    <s v="3 à 4 jours/semaine"/>
    <s v="2; 3"/>
    <s v="1990-1995"/>
    <s v="Bois bûche"/>
    <s v=""/>
    <s v="8"/>
    <s v="stère"/>
    <s v="1; 2"/>
    <s v=""/>
    <s v="5"/>
    <s v="4"/>
    <s v="&gt; 2 ans"/>
    <s v="Feuillus"/>
    <s v="2"/>
    <s v="1 fois tous les 2 ans"/>
    <s v=""/>
    <s v="Poêle"/>
    <s v="1"/>
    <s v=""/>
    <s v="Chauffage d'appoint"/>
    <s v="Pas de réponse"/>
  </r>
  <r>
    <s v="VRB0034"/>
    <n v="3"/>
    <n v="7"/>
    <n v="7"/>
    <s v="65 ans et plus"/>
    <n v="2"/>
    <x v="0"/>
    <n v="1"/>
    <n v="115"/>
    <s v="1975-1990"/>
    <s v="1; 4"/>
    <s v="Pas de réponse"/>
    <x v="0"/>
    <s v="Insert / foyer fermé"/>
    <x v="1"/>
    <s v="3 à 4 jours/semaine"/>
    <s v="3"/>
    <s v="1990-1995"/>
    <s v="Bois bûche"/>
    <s v=""/>
    <s v="4"/>
    <s v="stères"/>
    <s v="1"/>
    <s v=""/>
    <s v="2"/>
    <s v="2"/>
    <s v="&gt; 2 ans"/>
    <s v="Feuillus"/>
    <s v="2"/>
    <s v="1 fois par an"/>
    <s v=""/>
    <s v="Poêle"/>
    <s v="2"/>
    <s v=""/>
    <s v="Chauffage d'appoint"/>
    <s v="Pas de réponse"/>
  </r>
  <r>
    <s v="VRB0035"/>
    <n v="3"/>
    <n v="3"/>
    <n v="4"/>
    <s v="50 à 64 ans"/>
    <n v="3"/>
    <x v="0"/>
    <n v="1"/>
    <n v="180"/>
    <s v="Avant 1949"/>
    <s v="6"/>
    <s v="Pas de réponse"/>
    <x v="0"/>
    <s v="Poêle"/>
    <x v="1"/>
    <s v="3 à 4 jours/semaine"/>
    <s v="2; 3"/>
    <s v="1996-2002"/>
    <s v="Bois bûche"/>
    <s v=""/>
    <s v="5"/>
    <s v="stères"/>
    <s v="2"/>
    <s v=""/>
    <s v="5"/>
    <s v="2"/>
    <s v="&gt; 2 ans"/>
    <s v="Feuillus"/>
    <s v="1"/>
    <s v="1 fois par an"/>
    <s v=""/>
    <s v="Poêle"/>
    <s v="1"/>
    <s v=""/>
    <s v="Chauffage d'appoint"/>
    <s v="Pas de réponse"/>
  </r>
  <r>
    <s v="VRB0036"/>
    <n v="3"/>
    <n v="3"/>
    <n v="3"/>
    <s v="35 à 49 ans"/>
    <n v="4"/>
    <x v="0"/>
    <n v="1"/>
    <n v="120"/>
    <s v="1975-1990"/>
    <s v="6"/>
    <s v="Pas de réponse"/>
    <x v="0"/>
    <s v="Insert / foyer fermé"/>
    <x v="0"/>
    <s v="Tous les jours"/>
    <s v="4"/>
    <s v="Avant 1990"/>
    <s v="Bois bûche"/>
    <s v=""/>
    <s v="7"/>
    <s v="stères"/>
    <s v="2"/>
    <s v=""/>
    <s v="2"/>
    <s v="2"/>
    <s v="1 à 2 ans"/>
    <s v="Feuillus"/>
    <s v="2"/>
    <s v="1 fois par an"/>
    <s v=""/>
    <s v="Poêle"/>
    <s v="1"/>
    <s v=""/>
    <s v="Chauffage de base"/>
    <s v="Pas de réponse"/>
  </r>
  <r>
    <s v="VRB0037"/>
    <n v="3"/>
    <n v="7"/>
    <n v="7"/>
    <s v="65 ans et plus"/>
    <n v="2"/>
    <x v="0"/>
    <n v="1"/>
    <n v="100"/>
    <s v="1949-1975"/>
    <s v="1"/>
    <s v="Pas de réponse"/>
    <x v="0"/>
    <s v="Insert / foyer fermé"/>
    <x v="1"/>
    <s v="Tous les jours"/>
    <s v="2; 4"/>
    <s v="Avant 1990"/>
    <s v="Bois bûche"/>
    <s v=""/>
    <s v="15"/>
    <s v="stères"/>
    <s v="2"/>
    <s v=""/>
    <s v="1"/>
    <s v="2"/>
    <s v="1 à 2 ans"/>
    <s v="Feuillus"/>
    <s v="2"/>
    <s v="2 fois par an"/>
    <s v=""/>
    <s v="Poêle"/>
    <s v="2"/>
    <s v=""/>
    <s v="Chauffage de base"/>
    <s v="Pas de réponse"/>
  </r>
  <r>
    <s v="VRB0038"/>
    <n v="3"/>
    <n v="3"/>
    <n v="2"/>
    <s v="35 à 49 ans"/>
    <n v="3"/>
    <x v="0"/>
    <n v="1"/>
    <n v="99"/>
    <s v="1975-1990"/>
    <s v="1"/>
    <s v="Pas de réponse"/>
    <x v="0"/>
    <s v="Insert / foyer fermé"/>
    <x v="1"/>
    <s v="Tous les jours"/>
    <s v="4"/>
    <s v="1990-1995"/>
    <s v="Bois bûche"/>
    <s v=""/>
    <s v="7"/>
    <s v="stères"/>
    <s v="2"/>
    <s v=""/>
    <s v="5"/>
    <s v="3"/>
    <s v="&lt; 1 an"/>
    <s v="Les deux"/>
    <s v="2"/>
    <s v="1 fois par an"/>
    <s v=""/>
    <s v="Poêle"/>
    <s v="2"/>
    <s v=""/>
    <s v="Chauffage de base"/>
    <s v="Pas de réponse"/>
  </r>
  <r>
    <s v="VRB0039"/>
    <n v="3"/>
    <n v="4"/>
    <n v="5"/>
    <s v="35 à 49 ans"/>
    <n v="5"/>
    <x v="0"/>
    <n v="1"/>
    <n v="130"/>
    <s v="1990-2005"/>
    <s v="6"/>
    <s v="Ne sait pas"/>
    <x v="0"/>
    <s v="Poêle"/>
    <x v="1"/>
    <s v="3 à 4 jours/semaine"/>
    <s v="3; 6"/>
    <s v="1996-2002"/>
    <s v="Bois bûche"/>
    <s v=""/>
    <s v="5"/>
    <s v="stères"/>
    <s v="2"/>
    <s v=""/>
    <s v="1"/>
    <s v="2"/>
    <s v="&gt; 2 ans"/>
    <s v="Feuillus"/>
    <s v="2"/>
    <s v="1 fois par an"/>
    <s v=""/>
    <s v="Poêle"/>
    <s v="2"/>
    <s v=""/>
    <s v="Chauffage de base"/>
    <s v="Pas de réponse"/>
  </r>
  <r>
    <s v="VRB0040"/>
    <n v="3"/>
    <n v="3"/>
    <n v="7"/>
    <s v="50 à 64 ans"/>
    <n v="3"/>
    <x v="0"/>
    <n v="1"/>
    <n v="0"/>
    <s v="1975-1990"/>
    <s v="6"/>
    <s v="Pas de réponse"/>
    <x v="0"/>
    <s v="Insert / foyer fermé"/>
    <x v="0"/>
    <s v="Pas de réponse"/>
    <s v="2; 4; 6"/>
    <s v="Avant 1990"/>
    <s v="Bois bûche"/>
    <s v=""/>
    <s v="8"/>
    <s v="stères"/>
    <s v="2"/>
    <s v=""/>
    <s v="5"/>
    <s v="2"/>
    <s v="1 à 2 ans"/>
    <s v="Les deux"/>
    <s v="2"/>
    <s v="1 fois par an"/>
    <s v=""/>
    <s v="Poêle"/>
    <s v="1"/>
    <s v=""/>
    <s v="Chauffage de base"/>
    <s v="Pas de réponse"/>
  </r>
  <r>
    <s v="VRB0041"/>
    <n v="3"/>
    <n v="5"/>
    <n v="8"/>
    <s v="35 à 49 ans"/>
    <n v="4"/>
    <x v="0"/>
    <n v="1"/>
    <n v="95"/>
    <s v="1975-1990"/>
    <s v="1"/>
    <s v="Pas de réponse"/>
    <x v="0"/>
    <s v="Insert / foyer fermé"/>
    <x v="1"/>
    <s v="3 à 4 jours/semaine"/>
    <s v="4"/>
    <s v="Avant 1990"/>
    <s v="Bois bûche"/>
    <s v=""/>
    <s v="5"/>
    <s v="stères"/>
    <s v="2"/>
    <s v=""/>
    <s v="1"/>
    <s v="1"/>
    <s v="&gt; 2 ans"/>
    <s v="Feuillus"/>
    <s v="1"/>
    <s v="2 fois par an"/>
    <s v=""/>
    <s v="poêle de masse"/>
    <s v="1"/>
    <s v=""/>
    <s v="Chauffage d'appoint"/>
    <s v="Pas de réponse"/>
  </r>
  <r>
    <s v="VRB0042"/>
    <n v="3"/>
    <n v="7"/>
    <n v="9"/>
    <s v="65 ans et plus"/>
    <n v="1"/>
    <x v="0"/>
    <n v="1"/>
    <n v="140"/>
    <s v="1949-1975"/>
    <s v="1"/>
    <s v="Pas de réponse"/>
    <x v="0"/>
    <s v="Poêle"/>
    <x v="0"/>
    <s v="Tous les jours"/>
    <s v="1; 2; 3; 4"/>
    <s v="Après 2002"/>
    <s v="Bois bûche"/>
    <s v=""/>
    <s v="10"/>
    <s v="stères"/>
    <s v="2"/>
    <s v=""/>
    <s v="1"/>
    <s v="2"/>
    <s v="1 à 2 ans"/>
    <s v="Feuillus"/>
    <s v="2"/>
    <s v="1 fois par an"/>
    <s v=""/>
    <s v="Poêle"/>
    <s v="2"/>
    <s v=""/>
    <s v="Chauffage de base"/>
    <s v="Pas de réponse"/>
  </r>
  <r>
    <s v="VRB0043"/>
    <n v="3"/>
    <n v="5"/>
    <n v="7"/>
    <s v="50 à 64 ans"/>
    <n v="2"/>
    <x v="0"/>
    <n v="1"/>
    <n v="160"/>
    <s v="1975-1990"/>
    <s v="1; 3"/>
    <s v="Pas de réponse"/>
    <x v="0"/>
    <s v="Insert / foyer fermé"/>
    <x v="1"/>
    <s v="Tous les jours"/>
    <s v="1; 2; 4"/>
    <s v="Avant 1990"/>
    <s v="Bois bûche"/>
    <s v=""/>
    <s v="7"/>
    <s v="stères"/>
    <s v="2"/>
    <s v=""/>
    <s v="2"/>
    <s v="1; 2"/>
    <s v="&gt; 2 ans"/>
    <s v="Feuillus"/>
    <s v="2"/>
    <s v="1 fois par an"/>
    <s v=""/>
    <s v="Insert cheminée"/>
    <s v="1"/>
    <s v=""/>
    <s v="Chauffage d'appoint"/>
    <s v="Pas de réponse"/>
  </r>
  <r>
    <s v="VRB0044"/>
    <n v="3"/>
    <n v="7"/>
    <n v="9"/>
    <s v="65 ans et plus"/>
    <n v="1"/>
    <x v="0"/>
    <n v="1"/>
    <n v="100"/>
    <s v="Avant 1949"/>
    <s v="4"/>
    <s v="Pas de réponse"/>
    <x v="0"/>
    <s v="Cuisinière"/>
    <x v="0"/>
    <s v="Tous les jours"/>
    <s v="1; 2; 3; 4; 5; 6"/>
    <s v="Avant 1990"/>
    <s v="Bois bûche"/>
    <s v=""/>
    <s v="4"/>
    <s v="Tonnes"/>
    <s v="1"/>
    <s v=""/>
    <s v="2"/>
    <s v="1"/>
    <s v="Pas de réponse"/>
    <s v="Feuillus"/>
    <s v="2"/>
    <s v="1 fois par an"/>
    <s v=""/>
    <s v="Cuisinière"/>
    <s v="1"/>
    <s v=""/>
    <s v="Chauffage de base"/>
    <s v="Pas de réponse"/>
  </r>
  <r>
    <s v="VRB0045"/>
    <n v="3"/>
    <n v="3"/>
    <n v="8"/>
    <s v="25 à 34 ans"/>
    <n v="3"/>
    <x v="0"/>
    <n v="1"/>
    <n v="90"/>
    <s v="1975-1990"/>
    <s v="1"/>
    <s v="Pas de réponse"/>
    <x v="0"/>
    <s v="Insert / foyer fermé"/>
    <x v="0"/>
    <s v="Tous les jours"/>
    <s v="1; 2"/>
    <s v="Avant 1990"/>
    <s v="Bois bûche"/>
    <s v=""/>
    <s v="4"/>
    <s v="stères"/>
    <s v="1"/>
    <s v=""/>
    <s v="2"/>
    <s v="2"/>
    <s v="&gt; 2 ans"/>
    <s v="Feuillus"/>
    <s v="2"/>
    <s v="1 fois par an"/>
    <s v=""/>
    <s v="Poêle"/>
    <s v="1"/>
    <s v=""/>
    <s v="Chauffage de base"/>
    <s v="Pas de réponse"/>
  </r>
  <r>
    <s v="VRB0046"/>
    <n v="3"/>
    <n v="7"/>
    <n v="8"/>
    <s v="50 à 64 ans"/>
    <n v="2"/>
    <x v="0"/>
    <n v="1"/>
    <n v="120"/>
    <s v="1975-1990"/>
    <s v="6"/>
    <s v="Pas de réponse"/>
    <x v="0"/>
    <s v="Chaudière"/>
    <x v="0"/>
    <s v="Tous les jours"/>
    <s v="5"/>
    <s v="Avant 1990"/>
    <s v="Bois bûche"/>
    <s v=""/>
    <s v="16"/>
    <s v="stères"/>
    <s v="1"/>
    <s v=""/>
    <s v="3"/>
    <s v="2"/>
    <s v="&gt; 2 ans"/>
    <s v="Feuillus"/>
    <s v="1"/>
    <s v="2 fois par an"/>
    <s v=""/>
    <s v="Chaudière"/>
    <s v="2"/>
    <s v=""/>
    <s v="Chauffage d'appoint"/>
    <s v="Pas de réponse"/>
  </r>
  <r>
    <s v="VRB0047"/>
    <n v="3"/>
    <n v="5"/>
    <n v="5"/>
    <s v="35 à 49 ans"/>
    <n v="6"/>
    <x v="0"/>
    <n v="1"/>
    <n v="150"/>
    <s v="Avant 1949"/>
    <s v="1"/>
    <s v="Pas de réponse"/>
    <x v="0"/>
    <s v="Insert / foyer fermé"/>
    <x v="1"/>
    <s v="1 à 2 jours/semaine"/>
    <s v="2; 3; 6"/>
    <s v="Avant 1990"/>
    <s v="Bois bûche"/>
    <s v=""/>
    <s v="2"/>
    <s v="stères"/>
    <s v="2"/>
    <s v=""/>
    <s v="1"/>
    <s v="2"/>
    <s v="&lt; 1 an"/>
    <s v="Les deux"/>
    <s v="1"/>
    <s v="1 fois par an"/>
    <s v=""/>
    <s v="Insert cheminée"/>
    <s v="1"/>
    <s v=""/>
    <s v="Chauffage de base"/>
    <s v="Pas de réponse"/>
  </r>
  <r>
    <s v="VRB0048"/>
    <n v="3"/>
    <n v="3"/>
    <n v="3"/>
    <s v="35 à 49 ans"/>
    <n v="4"/>
    <x v="0"/>
    <n v="1"/>
    <n v="200"/>
    <s v="Avant 1949"/>
    <s v="4"/>
    <s v="Pas de réponse"/>
    <x v="0"/>
    <s v="Insert / foyer fermé"/>
    <x v="0"/>
    <s v="Tous les jours"/>
    <s v="1; 2; 6"/>
    <s v="1996-2002"/>
    <s v="Bois bûche"/>
    <s v=""/>
    <s v="10"/>
    <s v="stères"/>
    <s v="1"/>
    <s v=""/>
    <s v="3"/>
    <s v="2"/>
    <s v="&gt; 2 ans"/>
    <s v="Les deux"/>
    <s v="1"/>
    <s v="2 fois par an"/>
    <s v=""/>
    <s v="Poêle"/>
    <s v="1"/>
    <s v=""/>
    <s v="Chauffage de base"/>
    <s v="Pas de réponse"/>
  </r>
  <r>
    <s v="VRB0049"/>
    <n v="3"/>
    <n v="3"/>
    <n v="3"/>
    <s v="50 à 64 ans"/>
    <n v="2"/>
    <x v="0"/>
    <n v="1"/>
    <n v="110"/>
    <s v="1975-1990"/>
    <s v="4"/>
    <s v="Pas de réponse"/>
    <x v="0"/>
    <s v="Insert / foyer fermé"/>
    <x v="0"/>
    <s v="3 à 4 jours/semaine"/>
    <s v="4"/>
    <s v="1990-1995"/>
    <s v="Bois bûche"/>
    <s v=""/>
    <s v="7"/>
    <s v="stères"/>
    <s v="1"/>
    <s v=""/>
    <s v="6"/>
    <s v="2"/>
    <s v="1 à 2 ans"/>
    <s v="Feuillus"/>
    <s v="1"/>
    <s v="2 fois par an"/>
    <s v=""/>
    <s v="Poêle"/>
    <s v="1"/>
    <s v=""/>
    <s v="Chauffage d'appoint"/>
    <s v="Pas de réponse"/>
  </r>
  <r>
    <s v="VRB0050"/>
    <n v="3"/>
    <n v="6"/>
    <m/>
    <s v="50 à 64 ans"/>
    <n v="1"/>
    <x v="0"/>
    <n v="1"/>
    <n v="90"/>
    <s v="1975-1990"/>
    <s v="1"/>
    <s v="Pas de réponse"/>
    <x v="0"/>
    <s v="Insert / foyer fermé"/>
    <x v="0"/>
    <s v="Tous les jours"/>
    <s v="4"/>
    <s v="1990-1995"/>
    <s v="Bois bûche"/>
    <s v=""/>
    <s v="8"/>
    <s v="stères"/>
    <s v="2"/>
    <s v=""/>
    <s v="1"/>
    <s v="3"/>
    <s v="&gt; 2 ans"/>
    <s v="Feuillus"/>
    <s v="2"/>
    <s v="1 fois par an"/>
    <s v=""/>
    <s v="Poêle"/>
    <s v="2"/>
    <s v=""/>
    <s v="Chauffage de base"/>
    <s v="Pas de réponse"/>
  </r>
  <r>
    <s v="VRB0051"/>
    <n v="3"/>
    <n v="5"/>
    <n v="5"/>
    <s v="35 à 49 ans"/>
    <n v="3"/>
    <x v="0"/>
    <n v="1"/>
    <n v="70"/>
    <s v="Avant 1949"/>
    <s v="6"/>
    <s v="Pas de réponse"/>
    <x v="1"/>
    <s v="Insert / foyer fermé"/>
    <x v="1"/>
    <s v="3 à 4 jours/semaine"/>
    <s v="1; 2; 3; 4; 5; 6"/>
    <s v="1996-2002"/>
    <s v="Bois bûche"/>
    <s v=""/>
    <s v="5"/>
    <s v="stères"/>
    <s v="1; 2"/>
    <s v=""/>
    <s v="3"/>
    <s v="1"/>
    <s v="1 à 2 ans"/>
    <s v="Feuillus"/>
    <s v="2"/>
    <s v="1 fois tous les 2 ans"/>
    <s v=""/>
    <s v="Poêle"/>
    <s v="1"/>
    <s v=""/>
    <s v="Chauffage de base"/>
    <s v="Pas de réponse"/>
  </r>
  <r>
    <s v="VRB0052"/>
    <n v="3"/>
    <n v="7"/>
    <n v="5"/>
    <s v="50 à 64 ans"/>
    <n v="2"/>
    <x v="0"/>
    <n v="1"/>
    <n v="95"/>
    <s v="1975-1990"/>
    <s v="4"/>
    <s v="Pas de réponse"/>
    <x v="0"/>
    <s v="Insert / foyer fermé"/>
    <x v="0"/>
    <s v="Tous les jours"/>
    <s v="4"/>
    <s v="Avant 1990"/>
    <s v="Bois bûche"/>
    <s v=""/>
    <s v="6"/>
    <s v="stères"/>
    <s v="2"/>
    <s v=""/>
    <s v="2"/>
    <s v="2"/>
    <s v="&gt; 2 ans"/>
    <s v="Feuillus"/>
    <s v="1"/>
    <s v="2 fois par an"/>
    <s v=""/>
    <s v="Poêle"/>
    <s v="1"/>
    <s v=""/>
    <s v="Chauffage de base"/>
    <s v="Pas de réponse"/>
  </r>
  <r>
    <s v="VRB0053"/>
    <n v="3"/>
    <n v="7"/>
    <n v="7"/>
    <s v="50 à 64 ans"/>
    <n v="2"/>
    <x v="0"/>
    <n v="1"/>
    <n v="150"/>
    <s v="Avant 1949"/>
    <s v="1"/>
    <s v="Pas de réponse"/>
    <x v="0"/>
    <s v="Insert / foyer fermé"/>
    <x v="1"/>
    <s v="Tous les jours"/>
    <s v="3; 4; 6"/>
    <s v="1990-1995"/>
    <s v="Bois bûche"/>
    <s v=""/>
    <s v="5"/>
    <s v="stères"/>
    <s v="1"/>
    <s v=""/>
    <s v="2"/>
    <s v="2"/>
    <s v="&gt; 2 ans"/>
    <s v="Les deux"/>
    <s v="2"/>
    <s v="1 fois par an"/>
    <s v=""/>
    <s v="Poêle"/>
    <s v="2"/>
    <s v=""/>
    <s v="Chauffage de base"/>
    <s v="Pas de réponse"/>
  </r>
  <r>
    <s v="VRB0054"/>
    <n v="3"/>
    <n v="4"/>
    <n v="8"/>
    <s v="35 à 49 ans"/>
    <n v="4"/>
    <x v="0"/>
    <n v="1"/>
    <n v="110"/>
    <s v="1949-1975"/>
    <s v="4"/>
    <s v="Ne sait pas"/>
    <x v="0"/>
    <s v="Foyer ouvert"/>
    <x v="3"/>
    <s v="Pas de réponse"/>
    <s v="7"/>
    <s v="Avant 1990"/>
    <s v="Bois bûche"/>
    <s v=""/>
    <s v=""/>
    <s v=""/>
    <s v="5"/>
    <s v=""/>
    <s v="6"/>
    <s v="4"/>
    <s v="Pas de réponse"/>
    <s v="Pas de réponse"/>
    <s v="3"/>
    <s v="Pas de réponse"/>
    <s v=""/>
    <s v="Poêle"/>
    <s v="2"/>
    <s v=""/>
    <s v="Chauffage de base"/>
    <s v="Pas de réponse"/>
  </r>
  <r>
    <s v="VRB0055"/>
    <n v="3"/>
    <n v="3"/>
    <n v="2"/>
    <s v="25 à 34 ans"/>
    <n v="3"/>
    <x v="0"/>
    <n v="1"/>
    <n v="97"/>
    <s v="1990-2005"/>
    <s v="1"/>
    <s v="Pas de réponse"/>
    <x v="0"/>
    <s v="Poêle"/>
    <x v="0"/>
    <s v="Tous les jours"/>
    <s v="1; 2; 4; 5; 6"/>
    <s v="Après 2002"/>
    <s v="Bois bûche"/>
    <s v=""/>
    <s v="4"/>
    <s v="stères"/>
    <s v="2"/>
    <s v=""/>
    <s v="2"/>
    <s v="2"/>
    <s v="&gt; 2 ans"/>
    <s v="Les deux"/>
    <s v="2"/>
    <s v="1 fois par an"/>
    <s v=""/>
    <s v="Poêle"/>
    <s v="2"/>
    <s v=""/>
    <s v="Chauffage de base"/>
    <s v="Pas de réponse"/>
  </r>
  <r>
    <s v="VRB0056"/>
    <n v="3"/>
    <n v="3"/>
    <n v="3"/>
    <s v="50 à 64 ans"/>
    <n v="4"/>
    <x v="0"/>
    <n v="1"/>
    <n v="110"/>
    <s v="1990-2005"/>
    <s v="6"/>
    <s v="Pas de réponse"/>
    <x v="0"/>
    <s v="Poêle"/>
    <x v="0"/>
    <s v="Tous les jours"/>
    <s v="4; 5"/>
    <s v="1996-2002"/>
    <s v="Bois bûche"/>
    <s v=""/>
    <s v="10"/>
    <s v="stères"/>
    <s v="2"/>
    <s v=""/>
    <s v="1"/>
    <s v="2"/>
    <s v="1 à 2 ans"/>
    <s v="Les deux"/>
    <s v="2"/>
    <s v="1 fois par an"/>
    <s v=""/>
    <s v="Poêle"/>
    <s v="2"/>
    <s v=""/>
    <s v="Chauffage de base"/>
    <s v="Pas de réponse"/>
  </r>
  <r>
    <s v="VRB0057"/>
    <n v="3"/>
    <n v="2"/>
    <n v="3"/>
    <s v="35 à 49 ans"/>
    <n v="3"/>
    <x v="0"/>
    <n v="1"/>
    <n v="140"/>
    <s v="Avant 1949"/>
    <s v="2; 4"/>
    <s v="Pas de réponse"/>
    <x v="0"/>
    <s v="Insert / foyer fermé"/>
    <x v="0"/>
    <s v="Tous les jours"/>
    <s v="1; 2; 4; 5"/>
    <s v="1990-1995"/>
    <s v="Bois bûche"/>
    <s v=""/>
    <s v="8"/>
    <s v="stères"/>
    <s v="2"/>
    <s v=""/>
    <s v="5"/>
    <s v="2"/>
    <s v="1 à 2 ans"/>
    <s v="Les deux"/>
    <s v="2"/>
    <s v="1 fois par an"/>
    <s v=""/>
    <s v="Poêle"/>
    <s v="2"/>
    <s v=""/>
    <s v="Chauffage de base"/>
    <s v="Pas de réponse"/>
  </r>
  <r>
    <s v="VRB0058"/>
    <n v="3"/>
    <n v="8"/>
    <n v="6"/>
    <s v="35 à 49 ans"/>
    <n v="6"/>
    <x v="0"/>
    <n v="1"/>
    <n v="140"/>
    <s v="1990-2005"/>
    <s v="6"/>
    <s v="D"/>
    <x v="0"/>
    <s v="Poêle"/>
    <x v="0"/>
    <s v="Tous les jours"/>
    <s v="1; 2; 4"/>
    <s v="Après 2002"/>
    <s v="Granulés/pellets"/>
    <s v=""/>
    <s v="1"/>
    <s v="Palette"/>
    <s v="3"/>
    <s v=""/>
    <s v="3"/>
    <s v="1"/>
    <s v="Pas de réponse"/>
    <s v="Pas de réponse"/>
    <s v="2"/>
    <s v="2 fois par an"/>
    <s v=""/>
    <s v="Poêle"/>
    <s v="2"/>
    <s v=""/>
    <s v="Chauffage de base"/>
    <s v="Pas de réponse"/>
  </r>
  <r>
    <s v="VRB0059"/>
    <n v="3"/>
    <n v="4"/>
    <n v="2"/>
    <s v="35 à 49 ans"/>
    <n v="4"/>
    <x v="0"/>
    <n v="1"/>
    <n v="126"/>
    <s v="1975-1990"/>
    <s v="4"/>
    <s v="D"/>
    <x v="0"/>
    <s v="Insert / foyer fermé"/>
    <x v="0"/>
    <s v="Tous les jours"/>
    <s v="4; 5"/>
    <s v="Avant 1990"/>
    <s v="Bois bûche"/>
    <s v=""/>
    <s v="8"/>
    <s v="Tonnes"/>
    <s v="2"/>
    <s v=""/>
    <s v="5"/>
    <s v="1"/>
    <s v="1 à 2 ans"/>
    <s v="Feuillus"/>
    <s v="2"/>
    <s v="1 fois par an"/>
    <s v=""/>
    <s v="Poêle"/>
    <s v="1"/>
    <s v=""/>
    <s v="Chauffage de base"/>
    <s v="Pas de réponse"/>
  </r>
  <r>
    <s v="VRB0061"/>
    <n v="2"/>
    <n v="3"/>
    <n v="3"/>
    <s v="25 à 34 ans"/>
    <n v="4"/>
    <x v="0"/>
    <n v="1"/>
    <n v="95"/>
    <s v="Avant 1949"/>
    <s v="4"/>
    <s v="Pas de réponse"/>
    <x v="0"/>
    <s v="Insert / foyer fermé"/>
    <x v="1"/>
    <s v="3 à 4 jours/semaine"/>
    <s v="2; 4; 6"/>
    <s v="Avant 1990"/>
    <s v="Bois bûche"/>
    <s v=""/>
    <s v="5"/>
    <s v="m3"/>
    <s v="2"/>
    <s v=""/>
    <s v="1"/>
    <s v="2"/>
    <s v="1 à 2 ans"/>
    <s v="Feuillus"/>
    <s v="2"/>
    <s v="1 fois par an"/>
    <s v=""/>
    <s v="Poêle"/>
    <s v="1"/>
    <s v=""/>
    <s v="Chauffage d'appoint"/>
    <s v="Pas de réponse"/>
  </r>
  <r>
    <s v="VRB0062"/>
    <n v="3"/>
    <n v="2"/>
    <n v="3"/>
    <s v="35 à 49 ans"/>
    <n v="5"/>
    <x v="0"/>
    <n v="1"/>
    <n v="120"/>
    <s v="1949-1975"/>
    <s v="1"/>
    <s v="Pas de réponse"/>
    <x v="0"/>
    <s v="Insert / foyer fermé"/>
    <x v="1"/>
    <s v="1 à 2 jours/semaine"/>
    <s v="6"/>
    <s v="1996-2002"/>
    <s v="Bois bûche"/>
    <s v=""/>
    <s v="4"/>
    <s v="stères"/>
    <s v="2"/>
    <s v=""/>
    <s v="5"/>
    <s v="2"/>
    <s v="1 à 2 ans"/>
    <s v="Feuillus"/>
    <s v="2"/>
    <s v="1 fois par an"/>
    <s v=""/>
    <s v="Insert cheminée"/>
    <s v="1"/>
    <s v=""/>
    <s v="Chauffage de base"/>
    <s v="Pas de réponse"/>
  </r>
  <r>
    <s v="VRB0063"/>
    <n v="3"/>
    <n v="3"/>
    <n v="3"/>
    <s v="25 à 34 ans"/>
    <n v="3"/>
    <x v="0"/>
    <n v="1"/>
    <n v="150"/>
    <s v="Avant 1949"/>
    <s v="1; 4"/>
    <s v="D"/>
    <x v="0"/>
    <s v="Poêle"/>
    <x v="0"/>
    <s v="Tous les jours"/>
    <s v="4"/>
    <s v="Pas de réponse"/>
    <s v="Bois bûche"/>
    <s v=""/>
    <s v="10"/>
    <s v="stères"/>
    <s v="2"/>
    <s v=""/>
    <s v="5"/>
    <s v="3"/>
    <s v="1 à 2 ans"/>
    <s v="Les deux"/>
    <s v="2"/>
    <s v="1 fois par an"/>
    <s v=""/>
    <s v="Poêle"/>
    <s v="2"/>
    <s v=""/>
    <s v="Chauffage de base"/>
    <s v="Pas de réponse"/>
  </r>
  <r>
    <s v="VRB0064"/>
    <n v="3"/>
    <n v="3"/>
    <n v="3"/>
    <s v="35 à 49 ans"/>
    <n v="2"/>
    <x v="0"/>
    <n v="1"/>
    <n v="80"/>
    <s v="1975-1990"/>
    <s v="6"/>
    <s v="E"/>
    <x v="0"/>
    <s v="Insert / foyer fermé"/>
    <x v="0"/>
    <s v="Tous les jours"/>
    <s v="2; 4"/>
    <s v="Avant 1990"/>
    <s v="Bois bûche"/>
    <s v=""/>
    <s v="4"/>
    <s v="stères"/>
    <s v="2"/>
    <s v=""/>
    <s v="5"/>
    <s v="2"/>
    <s v="1 à 2 ans"/>
    <s v="Feuillus"/>
    <s v="2"/>
    <s v="2 fois par an"/>
    <s v=""/>
    <s v="Insert cheminée"/>
    <s v="1"/>
    <s v=""/>
    <s v="Chauffage de base"/>
    <s v="Pas de réponse"/>
  </r>
  <r>
    <s v="VRB0065"/>
    <n v="3"/>
    <n v="7"/>
    <n v="7"/>
    <s v="65 ans et plus"/>
    <n v="2"/>
    <x v="0"/>
    <n v="1"/>
    <n v="110"/>
    <s v="1975-1990"/>
    <s v="1; 4"/>
    <s v="Ne sait pas"/>
    <x v="0"/>
    <s v="Insert / foyer fermé"/>
    <x v="1"/>
    <s v="3 à 4 jours/semaine"/>
    <s v="3; 4; 6"/>
    <s v="Avant 1990"/>
    <s v="Bois bûche"/>
    <s v=""/>
    <s v="6"/>
    <s v="m3"/>
    <s v="1"/>
    <s v=""/>
    <s v="5"/>
    <s v="1"/>
    <s v="&gt; 2 ans"/>
    <s v="Les deux"/>
    <s v="2"/>
    <s v="1 fois tous les 2 ans"/>
    <s v=""/>
    <s v="Poêle"/>
    <s v="1"/>
    <s v=""/>
    <s v="Chauffage d'appoint"/>
    <s v="Pas de réponse"/>
  </r>
  <r>
    <s v="VRB0066"/>
    <n v="3"/>
    <n v="5"/>
    <n v="5"/>
    <s v="25 à 34 ans"/>
    <n v="4"/>
    <x v="0"/>
    <n v="1"/>
    <n v="200"/>
    <s v="1975-1990"/>
    <s v="1"/>
    <s v="E"/>
    <x v="0"/>
    <s v="Foyer ouvert"/>
    <x v="1"/>
    <s v="3 à 4 jours/semaine"/>
    <s v="3; 4; 6"/>
    <s v="Avant 1990"/>
    <s v="Bois bûche"/>
    <s v=""/>
    <s v=""/>
    <s v=""/>
    <s v="5"/>
    <s v=""/>
    <s v="6"/>
    <s v="2"/>
    <s v="Pas de réponse"/>
    <s v="Pas de réponse"/>
    <s v="3"/>
    <s v="Pas de réponse"/>
    <s v=""/>
    <s v="Poêle"/>
    <s v="1"/>
    <s v=""/>
    <s v="Chauffage d'appoint"/>
    <s v="Pas de réponse"/>
  </r>
  <r>
    <s v="VRB0067"/>
    <n v="3"/>
    <n v="7"/>
    <n v="9"/>
    <s v="65 ans et plus"/>
    <n v="1"/>
    <x v="0"/>
    <n v="1"/>
    <n v="85"/>
    <s v="Avant 1949"/>
    <s v="1; 2"/>
    <s v="Pas de réponse"/>
    <x v="0"/>
    <s v="Cuisinière"/>
    <x v="0"/>
    <s v="Tous les jours"/>
    <s v="2"/>
    <s v="1990-1995"/>
    <s v="Bois bûche"/>
    <s v=""/>
    <s v="12"/>
    <s v="stères"/>
    <s v="2"/>
    <s v=""/>
    <s v="5"/>
    <s v="2"/>
    <s v="&gt; 2 ans"/>
    <s v="Les deux"/>
    <s v="2"/>
    <s v="1 fois par an"/>
    <s v=""/>
    <s v="Poêle"/>
    <s v="1"/>
    <s v=""/>
    <s v="Chauffage de base"/>
    <s v="Pas de réponse"/>
  </r>
  <r>
    <s v="VRB0068"/>
    <n v="3"/>
    <n v="3"/>
    <n v="4"/>
    <s v="35 à 49 ans"/>
    <n v="3"/>
    <x v="0"/>
    <n v="1"/>
    <n v="136"/>
    <s v="1975-1990"/>
    <s v="1"/>
    <s v="Pas de réponse"/>
    <x v="0"/>
    <s v="Foyer ouvert"/>
    <x v="1"/>
    <s v="Tous les jours"/>
    <s v="2; 3; 6"/>
    <s v="Avant 1990"/>
    <s v="Bois bûche"/>
    <s v=""/>
    <s v="6"/>
    <s v="stères"/>
    <s v="2"/>
    <s v=""/>
    <s v="5"/>
    <s v="2"/>
    <s v="1 à 2 ans"/>
    <s v="Feuillus"/>
    <s v="2"/>
    <s v="1 fois par an"/>
    <s v=""/>
    <s v="Insert cheminée"/>
    <s v="1"/>
    <s v=""/>
    <s v="Chauffage de base"/>
    <s v="Pas de réponse"/>
  </r>
  <r>
    <s v="VRB0069"/>
    <n v="3"/>
    <n v="5"/>
    <n v="3"/>
    <s v="35 à 49 ans"/>
    <n v="4"/>
    <x v="0"/>
    <n v="1"/>
    <n v="140"/>
    <s v="1975-1990"/>
    <s v="6"/>
    <s v="Pas de réponse"/>
    <x v="0"/>
    <s v="Foyer ouvert"/>
    <x v="1"/>
    <s v="Pas de réponse"/>
    <s v="7"/>
    <s v="Avant 1990"/>
    <s v="Bois bûche"/>
    <s v=""/>
    <s v=""/>
    <s v=""/>
    <s v="5"/>
    <s v=""/>
    <s v="5"/>
    <s v="2"/>
    <s v="Ne sait pas"/>
    <s v="Les deux"/>
    <s v="2"/>
    <s v="Pas de réponse"/>
    <s v=""/>
    <s v="Poêle"/>
    <s v="2"/>
    <s v=""/>
    <s v="Pas de réponse"/>
    <s v="Pas de réponse"/>
  </r>
  <r>
    <s v="VRB0070"/>
    <n v="3"/>
    <n v="3"/>
    <n v="3"/>
    <s v="25 à 34 ans"/>
    <n v="2"/>
    <x v="0"/>
    <n v="1"/>
    <n v="108"/>
    <s v="1990-2005"/>
    <s v="6"/>
    <s v="D"/>
    <x v="0"/>
    <s v="Poêle"/>
    <x v="0"/>
    <s v="Tous les jours"/>
    <s v="1; 2; 3; 5"/>
    <s v="Pas de réponse"/>
    <s v="Bois bûche"/>
    <s v=""/>
    <s v=""/>
    <s v=""/>
    <s v="2"/>
    <s v=""/>
    <s v="5"/>
    <s v="2"/>
    <s v="Pas de réponse"/>
    <s v="Les deux"/>
    <s v="1"/>
    <s v="1 fois par an"/>
    <s v=""/>
    <s v="Poêle"/>
    <s v="2"/>
    <s v=""/>
    <s v="Chauffage de base"/>
    <s v="Pas de réponse"/>
  </r>
  <r>
    <s v="VRB0071"/>
    <n v="3"/>
    <n v="5"/>
    <n v="3"/>
    <s v="35 à 49 ans"/>
    <n v="6"/>
    <x v="0"/>
    <n v="1"/>
    <n v="230"/>
    <s v="Avant 1949"/>
    <s v="3; 4"/>
    <s v="Pas de réponse"/>
    <x v="0"/>
    <s v="Insert / foyer fermé"/>
    <x v="0"/>
    <s v="Tous les jours"/>
    <s v="1; 2; 4; 5"/>
    <s v="1996-2002"/>
    <s v="Bois bûche"/>
    <s v=""/>
    <s v="12"/>
    <s v="stères"/>
    <s v="3"/>
    <s v=""/>
    <s v="5"/>
    <s v="2"/>
    <s v="1 à 2 ans"/>
    <s v="Feuillus"/>
    <s v="2"/>
    <s v="1 fois par an"/>
    <s v=""/>
    <s v="Poêle"/>
    <s v="2"/>
    <s v=""/>
    <s v="Chauffage de base"/>
    <s v="Pas de réponse"/>
  </r>
  <r>
    <s v="VRB0072"/>
    <n v="3"/>
    <n v="7"/>
    <n v="7"/>
    <s v="65 ans et plus"/>
    <n v="2"/>
    <x v="0"/>
    <n v="1"/>
    <n v="90"/>
    <s v="1990-2005"/>
    <s v="4"/>
    <s v="Pas de réponse"/>
    <x v="0"/>
    <s v="Poêle"/>
    <x v="1"/>
    <s v="Tous les jours"/>
    <s v="2"/>
    <s v="Avant 1990"/>
    <s v="Bois bûche"/>
    <s v=""/>
    <s v="6"/>
    <s v="stères"/>
    <s v="4"/>
    <s v=""/>
    <s v="5"/>
    <s v="3"/>
    <s v="1 à 2 ans"/>
    <s v="Les deux"/>
    <s v="1"/>
    <s v="1 fois tous les 2 ans"/>
    <s v=""/>
    <s v="Poêle"/>
    <s v="2"/>
    <s v=""/>
    <s v="Chauffage de base"/>
    <s v="Pas de réponse"/>
  </r>
  <r>
    <s v="VRB0073"/>
    <n v="3"/>
    <n v="7"/>
    <n v="7"/>
    <s v="65 ans et plus"/>
    <n v="2"/>
    <x v="0"/>
    <n v="1"/>
    <n v="120"/>
    <s v="1949-1975"/>
    <s v="6"/>
    <s v="Pas de réponse"/>
    <x v="0"/>
    <s v="Foyer ouvert"/>
    <x v="1"/>
    <s v="1 à 2 jours/semaine"/>
    <s v="4"/>
    <s v="Avant 1990"/>
    <s v="Bois bûche"/>
    <s v=""/>
    <s v="2"/>
    <s v="stères"/>
    <s v="2"/>
    <s v=""/>
    <s v="2"/>
    <s v="2"/>
    <s v="&gt; 2 ans"/>
    <s v="Feuillus"/>
    <s v="1"/>
    <s v="1 fois par an"/>
    <s v=""/>
    <s v="Insert cheminée"/>
    <s v="1"/>
    <s v=""/>
    <s v="Chauffage d'appoint"/>
    <s v="Pas de réponse"/>
  </r>
  <r>
    <s v="VRB0075"/>
    <n v="1"/>
    <n v="5"/>
    <n v="6"/>
    <s v="50 à 64 ans"/>
    <n v="1"/>
    <x v="0"/>
    <n v="1"/>
    <n v="149"/>
    <s v="1949-1975"/>
    <s v="4"/>
    <s v="E"/>
    <x v="0"/>
    <s v="Cuisinière"/>
    <x v="1"/>
    <s v="3 à 4 jours/semaine"/>
    <s v="3; 5"/>
    <s v="Avant 1990"/>
    <s v="Bois bûche"/>
    <s v=""/>
    <s v="7"/>
    <s v="stères"/>
    <s v="2"/>
    <s v=""/>
    <s v="5"/>
    <s v="2"/>
    <s v="1 à 2 ans"/>
    <s v="Les deux"/>
    <s v="2"/>
    <s v="1 fois par an"/>
    <s v=""/>
    <s v="Poêle"/>
    <s v="1"/>
    <s v=""/>
    <s v="Chauffage de base"/>
    <s v="Pas de réponse"/>
  </r>
  <r>
    <s v="VRB0076"/>
    <n v="3"/>
    <n v="7"/>
    <n v="7"/>
    <s v="50 à 64 ans"/>
    <n v="2"/>
    <x v="0"/>
    <n v="1"/>
    <n v="100"/>
    <s v="1975-1990"/>
    <s v="6"/>
    <s v="Pas de réponse"/>
    <x v="0"/>
    <s v="Insert / foyer fermé"/>
    <x v="0"/>
    <s v="Tous les jours"/>
    <s v="4; 5; 6"/>
    <s v="Avant 1990"/>
    <s v="Bois bûche"/>
    <s v=""/>
    <s v="14"/>
    <s v="tonne"/>
    <s v="1"/>
    <s v=""/>
    <s v="5"/>
    <s v="2"/>
    <s v="1 à 2 ans"/>
    <s v="Feuillus"/>
    <s v="1"/>
    <s v="1 fois par an"/>
    <s v=""/>
    <s v="Poêle"/>
    <s v="2"/>
    <s v=""/>
    <s v="Chauffage de base"/>
    <s v="Pas de réponse"/>
  </r>
  <r>
    <s v="VRB0077"/>
    <n v="3"/>
    <n v="5"/>
    <n v="5"/>
    <s v="50 à 64 ans"/>
    <n v="2"/>
    <x v="0"/>
    <n v="1"/>
    <n v="92.2"/>
    <s v="1990-2005"/>
    <s v="4"/>
    <s v="E"/>
    <x v="0"/>
    <s v="Insert / foyer fermé"/>
    <x v="0"/>
    <s v="Tous les jours"/>
    <s v="4"/>
    <s v="1996-2002"/>
    <s v="Bois bûche"/>
    <s v=""/>
    <s v="7"/>
    <s v="stères"/>
    <s v="2"/>
    <s v=""/>
    <s v="5"/>
    <s v="2"/>
    <s v="1 à 2 ans"/>
    <s v="Les deux"/>
    <s v="2"/>
    <s v="1 fois par an"/>
    <s v=""/>
    <s v="Poêle"/>
    <s v="2"/>
    <s v=""/>
    <s v="Chauffage de base"/>
    <s v="Pas de réponse"/>
  </r>
  <r>
    <s v="VRB0078"/>
    <n v="3"/>
    <n v="7"/>
    <n v="9"/>
    <s v="65 ans et plus"/>
    <n v="1"/>
    <x v="0"/>
    <n v="1"/>
    <n v="130"/>
    <s v="1975-1990"/>
    <s v="6"/>
    <s v="Pas de réponse"/>
    <x v="0"/>
    <s v="Foyer ouvert"/>
    <x v="1"/>
    <s v="1 à 2 jours/semaine"/>
    <s v="3; 6"/>
    <s v="Avant 1990"/>
    <s v="Bois de récupération, à préciser"/>
    <s v=""/>
    <s v="3"/>
    <s v="stères"/>
    <s v="1"/>
    <s v=""/>
    <s v="6"/>
    <s v="2"/>
    <s v="&gt; 2 ans"/>
    <s v="Les deux"/>
    <s v="2"/>
    <s v="1 fois par an"/>
    <s v=""/>
    <s v="Insert cheminée"/>
    <s v="1"/>
    <s v=""/>
    <s v="Chauffage d'appoint"/>
    <s v="Pas de réponse"/>
  </r>
  <r>
    <s v="VRB0079"/>
    <n v="3"/>
    <n v="5"/>
    <n v="3"/>
    <s v="50 à 64 ans"/>
    <n v="5"/>
    <x v="0"/>
    <n v="1"/>
    <n v="1"/>
    <s v="Pas de réponse"/>
    <s v="6"/>
    <s v="Pas de réponse"/>
    <x v="0"/>
    <s v="Poêle"/>
    <x v="3"/>
    <s v="Tous les jours"/>
    <s v="1; 2; 3"/>
    <s v="1996-2002"/>
    <s v="Bois bûche"/>
    <s v=""/>
    <s v="4"/>
    <s v="stères"/>
    <s v="2"/>
    <s v=""/>
    <s v="5"/>
    <s v="2"/>
    <s v="1 à 2 ans"/>
    <s v="Feuillus"/>
    <s v="1"/>
    <s v="1 fois par an"/>
    <s v=""/>
    <s v="Poêle"/>
    <s v="2"/>
    <s v=""/>
    <s v="Chauffage de base"/>
    <s v="Pas de réponse"/>
  </r>
  <r>
    <s v="VRB0080"/>
    <n v="3"/>
    <n v="5"/>
    <n v="5"/>
    <s v="25 à 34 ans"/>
    <n v="2"/>
    <x v="0"/>
    <n v="1"/>
    <n v="170"/>
    <s v="1949-1975"/>
    <s v="1; 3; 4"/>
    <s v="Pas de réponse"/>
    <x v="0"/>
    <s v="Poêle"/>
    <x v="1"/>
    <s v="Moins de 15 fois par an"/>
    <s v="6"/>
    <s v="Avant 1990"/>
    <s v="Bois bûche"/>
    <s v=""/>
    <s v=""/>
    <s v=""/>
    <s v="1"/>
    <s v=""/>
    <s v="5"/>
    <s v="1"/>
    <s v="&lt; 1 an"/>
    <s v="Les deux"/>
    <s v="2"/>
    <s v="1 fois par an"/>
    <s v=""/>
    <s v="Poêle"/>
    <s v="1"/>
    <s v=""/>
    <s v="Chauffage d'appoint"/>
    <s v="Pas de réponse"/>
  </r>
  <r>
    <s v="VRB0081"/>
    <n v="3"/>
    <n v="4"/>
    <n v="8"/>
    <s v="25 à 34 ans"/>
    <n v="4"/>
    <x v="0"/>
    <n v="1"/>
    <n v="180"/>
    <s v="Avant 1949"/>
    <s v="4"/>
    <s v="Pas de réponse"/>
    <x v="0"/>
    <s v="Poêle"/>
    <x v="1"/>
    <s v="3 à 4 jours/semaine"/>
    <s v="3"/>
    <s v="Avant 1990"/>
    <s v="Bois bûche"/>
    <s v=""/>
    <s v="3"/>
    <s v="stères"/>
    <s v="1"/>
    <s v=""/>
    <s v="5"/>
    <s v="1"/>
    <s v="&gt; 2 ans"/>
    <s v="Feuillus"/>
    <s v="1"/>
    <s v="1 fois par an"/>
    <s v=""/>
    <s v="Poêle"/>
    <s v="1"/>
    <s v=""/>
    <s v="Chauffage d'appoint"/>
    <s v="Pas de réponse"/>
  </r>
  <r>
    <s v="VRB0082"/>
    <n v="3"/>
    <n v="5"/>
    <n v="3"/>
    <s v="35 à 49 ans"/>
    <n v="5"/>
    <x v="0"/>
    <n v="1"/>
    <n v="1"/>
    <s v="1975-1990"/>
    <s v="5"/>
    <s v="F"/>
    <x v="0"/>
    <s v="Insert / foyer fermé"/>
    <x v="0"/>
    <s v="3 à 4 jours/semaine"/>
    <s v="1; 2; 4; 6"/>
    <s v="1996-2002"/>
    <s v="Bois bûche"/>
    <s v=""/>
    <s v="13"/>
    <s v="stères"/>
    <s v="2"/>
    <s v=""/>
    <s v="1"/>
    <s v="2"/>
    <s v="&gt; 2 ans"/>
    <s v="Les deux"/>
    <s v="1"/>
    <s v="2 fois par an"/>
    <s v=""/>
    <s v="Poêle"/>
    <s v="2"/>
    <s v=""/>
    <s v="Chauffage de base"/>
    <s v="Pas de réponse"/>
  </r>
  <r>
    <s v="VRB0083"/>
    <n v="3"/>
    <n v="4"/>
    <n v="4"/>
    <s v="50 à 64 ans"/>
    <n v="2"/>
    <x v="0"/>
    <n v="1"/>
    <n v="96"/>
    <s v="1975-1990"/>
    <s v="7"/>
    <s v="Ne sait pas"/>
    <x v="0"/>
    <s v="Insert / foyer fermé"/>
    <x v="1"/>
    <s v="1 à 2 jours/semaine"/>
    <s v="2; 3"/>
    <s v="1990-1995"/>
    <s v="Bois bûche"/>
    <s v=""/>
    <s v="10"/>
    <s v="stères"/>
    <s v="2"/>
    <s v=""/>
    <s v="2"/>
    <s v="2"/>
    <s v="&gt; 2 ans"/>
    <s v="Les deux"/>
    <s v="2"/>
    <s v="2 fois par an"/>
    <s v=""/>
    <s v="Poêle"/>
    <s v="2"/>
    <s v=""/>
    <s v="Chauffage de base"/>
    <s v="Pas de réponse"/>
  </r>
  <r>
    <s v="VRB0084"/>
    <n v="3"/>
    <n v="5"/>
    <n v="5"/>
    <s v="35 à 49 ans"/>
    <n v="4"/>
    <x v="0"/>
    <n v="1"/>
    <n v="148"/>
    <s v="1990-2005"/>
    <s v="6"/>
    <s v="Pas de réponse"/>
    <x v="0"/>
    <s v="Insert / foyer fermé"/>
    <x v="1"/>
    <s v="3 à 4 jours/semaine"/>
    <s v="2; 3"/>
    <s v="1996-2002"/>
    <s v="Bois bûche"/>
    <s v=""/>
    <s v="4"/>
    <s v="stères"/>
    <s v="2"/>
    <s v=""/>
    <s v="5"/>
    <s v="3"/>
    <s v="1 à 2 ans"/>
    <s v="Feuillus"/>
    <s v="2"/>
    <s v="1 fois par an"/>
    <s v=""/>
    <s v="Insert cheminée"/>
    <s v="1"/>
    <s v=""/>
    <s v="Chauffage d'appoint"/>
    <s v="Pas de réponse"/>
  </r>
  <r>
    <s v="VRB0085"/>
    <n v="3"/>
    <n v="7"/>
    <n v="9"/>
    <s v="65 ans et plus"/>
    <n v="1"/>
    <x v="0"/>
    <n v="1"/>
    <n v="90"/>
    <s v="1990-2005"/>
    <s v="1"/>
    <s v="Pas de réponse"/>
    <x v="0"/>
    <s v="Insert / foyer fermé"/>
    <x v="0"/>
    <s v="Tous les jours"/>
    <s v="4; 5"/>
    <s v="1996-2002"/>
    <s v="Bois bûche"/>
    <s v=""/>
    <s v="10"/>
    <s v="stères"/>
    <s v="2"/>
    <s v=""/>
    <s v="5"/>
    <s v="2"/>
    <s v="1 à 2 ans"/>
    <s v="Les deux"/>
    <s v="2"/>
    <s v="1 fois par an"/>
    <s v=""/>
    <s v="Insert cheminée"/>
    <s v="2"/>
    <s v=""/>
    <s v="Chauffage de base"/>
    <s v="Pas de réponse"/>
  </r>
  <r>
    <s v="VRB0086"/>
    <n v="3"/>
    <n v="4"/>
    <n v="8"/>
    <s v="50 à 64 ans"/>
    <n v="4"/>
    <x v="0"/>
    <n v="1"/>
    <n v="120"/>
    <s v="Avant 1949"/>
    <s v="1; 3; 4"/>
    <s v="Pas de réponse"/>
    <x v="0"/>
    <s v="Poêle"/>
    <x v="0"/>
    <s v="Tous les jours"/>
    <s v="4; 5; 6"/>
    <s v="1996-2002"/>
    <s v="Bois bûche"/>
    <s v=""/>
    <s v="8"/>
    <s v="Tonnes"/>
    <s v="2"/>
    <s v=""/>
    <s v="5"/>
    <s v="3"/>
    <s v="1 à 2 ans"/>
    <s v="Les deux"/>
    <s v="2"/>
    <s v="1 fois par an"/>
    <s v=""/>
    <s v="Poêle"/>
    <s v="2"/>
    <s v=""/>
    <s v="Chauffage de base"/>
    <s v="Pas de réponse"/>
  </r>
  <r>
    <s v="VRB0087"/>
    <n v="3"/>
    <n v="7"/>
    <n v="7"/>
    <s v="65 ans et plus"/>
    <n v="2"/>
    <x v="0"/>
    <n v="1"/>
    <n v="146"/>
    <s v="1975-1990"/>
    <s v="4"/>
    <s v="E"/>
    <x v="0"/>
    <s v="Cuisinière"/>
    <x v="0"/>
    <s v="Tous les jours"/>
    <s v="4; 5"/>
    <s v="Avant 1990"/>
    <s v="Bois bûche"/>
    <s v=""/>
    <s v="400"/>
    <s v="kg"/>
    <s v="4"/>
    <s v=""/>
    <s v="6"/>
    <s v="4"/>
    <s v="Pas de réponse"/>
    <s v="Pas de réponse"/>
    <s v="2"/>
    <s v="2 fois par an"/>
    <s v=""/>
    <s v="Poêle"/>
    <s v="2"/>
    <s v=""/>
    <s v="Chauffage de base"/>
    <s v="Pas de réponse"/>
  </r>
  <r>
    <s v="VRB0088"/>
    <n v="3"/>
    <n v="7"/>
    <n v="7"/>
    <s v="65 ans et plus"/>
    <n v="2"/>
    <x v="0"/>
    <n v="1"/>
    <n v="160"/>
    <s v="1949-1975"/>
    <s v="4"/>
    <s v="Ne sait pas"/>
    <x v="0"/>
    <s v="Foyer ouvert"/>
    <x v="1"/>
    <s v="3 à 4 jours/semaine"/>
    <s v="3; 4; 5; 6"/>
    <s v="Avant 1990"/>
    <s v="Bois bûche"/>
    <s v=""/>
    <s v=""/>
    <s v=""/>
    <s v="1"/>
    <s v=""/>
    <s v="6"/>
    <s v="2"/>
    <s v="&gt; 2 ans"/>
    <s v="Les deux"/>
    <s v="1"/>
    <s v="1 fois par an"/>
    <s v=""/>
    <s v="Poêle"/>
    <s v="1"/>
    <s v=""/>
    <s v="Chauffage d'appoint"/>
    <s v="Pas de réponse"/>
  </r>
  <r>
    <s v="VRB0089"/>
    <n v="3"/>
    <n v="3"/>
    <n v="3"/>
    <s v="35 à 49 ans"/>
    <n v="3"/>
    <x v="0"/>
    <n v="1"/>
    <n v="85"/>
    <s v="1990-2005"/>
    <s v="7"/>
    <s v="D"/>
    <x v="0"/>
    <s v="Poêle"/>
    <x v="1"/>
    <s v="Tous les jours"/>
    <s v="4"/>
    <s v="1996-2002"/>
    <s v="Bois bûche"/>
    <s v=""/>
    <s v="7"/>
    <s v="stères"/>
    <s v="2"/>
    <s v=""/>
    <s v="2"/>
    <s v="3"/>
    <s v="1 à 2 ans"/>
    <s v="Les deux"/>
    <s v="2"/>
    <s v="1 fois par an"/>
    <s v=""/>
    <s v="Poêle"/>
    <s v="2"/>
    <s v=""/>
    <s v="Chauffage de base"/>
    <s v="Pas de réponse"/>
  </r>
  <r>
    <s v="VRB0090"/>
    <n v="3"/>
    <n v="7"/>
    <n v="9"/>
    <s v="65 ans et plus"/>
    <n v="1"/>
    <x v="0"/>
    <n v="1"/>
    <n v="70"/>
    <s v="Avant 1949"/>
    <s v="1; 3; 4"/>
    <s v="Ne sait pas"/>
    <x v="0"/>
    <s v="Cuisinière"/>
    <x v="1"/>
    <s v="Tous les jours"/>
    <s v="4"/>
    <s v="Avant 1990"/>
    <s v="Bois bûche"/>
    <s v=""/>
    <s v=""/>
    <s v=""/>
    <s v="1"/>
    <s v=""/>
    <s v="1"/>
    <s v="2"/>
    <s v="1 à 2 ans"/>
    <s v="Les deux"/>
    <s v="2"/>
    <s v="1 fois par an"/>
    <s v=""/>
    <s v="Poêle"/>
    <s v="1"/>
    <s v=""/>
    <s v="Chauffage d'appoint"/>
    <s v="Pas de réponse"/>
  </r>
  <r>
    <s v="VRB0091"/>
    <n v="3"/>
    <n v="3"/>
    <n v="2"/>
    <s v="35 à 49 ans"/>
    <n v="5"/>
    <x v="0"/>
    <n v="1"/>
    <n v="210"/>
    <s v="1949-1975"/>
    <s v="6"/>
    <s v="G"/>
    <x v="0"/>
    <s v="Foyer ouvert"/>
    <x v="1"/>
    <s v="Tous les jours"/>
    <s v="2; 6"/>
    <s v="Avant 1990"/>
    <s v="Bois bûche"/>
    <s v=""/>
    <s v="10"/>
    <s v="stères"/>
    <s v="4"/>
    <s v="agriculteur"/>
    <s v="2"/>
    <s v="2"/>
    <s v="&gt; 2 ans"/>
    <s v="Feuillus"/>
    <s v="2"/>
    <s v="1 fois par an"/>
    <s v=""/>
    <s v="Insert cheminée"/>
    <s v="1"/>
    <s v=""/>
    <s v="Chauffage d'appoint"/>
    <s v="Pas de réponse"/>
  </r>
  <r>
    <s v="VRB0092"/>
    <n v="3"/>
    <n v="3"/>
    <n v="9"/>
    <s v="35 à 49 ans"/>
    <n v="2"/>
    <x v="0"/>
    <n v="1"/>
    <n v="100"/>
    <s v="Avant 1949"/>
    <s v="1; 2"/>
    <s v="Pas de réponse"/>
    <x v="0"/>
    <s v="Insert / foyer fermé"/>
    <x v="1"/>
    <s v="Pas de réponse"/>
    <s v="7"/>
    <s v="Avant 1990"/>
    <s v="Bois bûche"/>
    <s v=""/>
    <s v=""/>
    <s v=""/>
    <s v="5"/>
    <s v=""/>
    <s v="6"/>
    <s v="4"/>
    <s v="Pas de réponse"/>
    <s v="Pas de réponse"/>
    <s v="3"/>
    <s v="Pas de réponse"/>
    <s v=""/>
    <s v="Poêle"/>
    <s v="1"/>
    <s v=""/>
    <s v="Chauffage de base"/>
    <s v="Pas de réponse"/>
  </r>
  <r>
    <s v="VRB0093"/>
    <n v="3"/>
    <n v="7"/>
    <n v="7"/>
    <s v="65 ans et plus"/>
    <n v="2"/>
    <x v="0"/>
    <n v="1"/>
    <n v="145"/>
    <s v="1975-1990"/>
    <s v="6"/>
    <s v="Pas de réponse"/>
    <x v="0"/>
    <s v="Foyer ouvert"/>
    <x v="2"/>
    <s v="1 à 2 jours/semaine"/>
    <s v="2; 4"/>
    <s v="Avant 1990"/>
    <s v="Bois bûche"/>
    <s v=""/>
    <s v="8"/>
    <s v="m3"/>
    <s v="2"/>
    <s v=""/>
    <s v="2"/>
    <s v="2"/>
    <s v="1 à 2 ans"/>
    <s v="Les deux"/>
    <s v="2"/>
    <s v="1 fois par an"/>
    <s v=""/>
    <s v="Insert cheminée"/>
    <s v="1"/>
    <s v=""/>
    <s v="Chauffage de base"/>
    <s v="Pas de réponse"/>
  </r>
  <r>
    <s v="VRB0094"/>
    <n v="3"/>
    <n v="2"/>
    <n v="3"/>
    <s v="35 à 49 ans"/>
    <n v="6"/>
    <x v="0"/>
    <n v="1"/>
    <n v="130"/>
    <s v="1975-1990"/>
    <s v="1"/>
    <s v="Ne sait pas"/>
    <x v="0"/>
    <s v="Foyer ouvert"/>
    <x v="1"/>
    <s v="3 à 4 jours/semaine"/>
    <s v="2; 3"/>
    <s v="Avant 1990"/>
    <s v="Bois bûche"/>
    <s v=""/>
    <s v="5"/>
    <s v="stères"/>
    <s v="1; 2"/>
    <s v=""/>
    <s v="2"/>
    <s v="1"/>
    <s v="1 à 2 ans"/>
    <s v="Les deux"/>
    <s v="1"/>
    <s v="1 fois par an"/>
    <s v=""/>
    <s v="Poêle"/>
    <s v="2"/>
    <s v=""/>
    <s v="Chauffage d'appoint"/>
    <s v="Pas de réponse"/>
  </r>
  <r>
    <s v="VRB0095"/>
    <n v="3"/>
    <n v="7"/>
    <n v="7"/>
    <s v="65 ans et plus"/>
    <n v="3"/>
    <x v="0"/>
    <n v="1"/>
    <n v="107"/>
    <s v="1975-1990"/>
    <s v="1"/>
    <s v="Pas de réponse"/>
    <x v="0"/>
    <s v="Insert / foyer fermé"/>
    <x v="0"/>
    <s v="Tous les jours"/>
    <s v="4"/>
    <s v="Avant 1990"/>
    <s v="Bois bûche"/>
    <s v=""/>
    <s v="10"/>
    <s v="stères"/>
    <s v="2"/>
    <s v=""/>
    <s v="5"/>
    <s v="2"/>
    <s v="1 à 2 ans"/>
    <s v="Les deux"/>
    <s v="2"/>
    <s v="1 fois tous les 2 ans"/>
    <s v=""/>
    <s v="Poêle"/>
    <s v="2"/>
    <s v=""/>
    <s v="Chauffage de base"/>
    <s v="Pas de réponse"/>
  </r>
  <r>
    <s v="VRB0096"/>
    <n v="3"/>
    <n v="7"/>
    <n v="7"/>
    <s v="65 ans et plus"/>
    <n v="2"/>
    <x v="0"/>
    <n v="1"/>
    <n v="120"/>
    <s v="Avant 1949"/>
    <s v="4"/>
    <s v="Ne sait pas"/>
    <x v="0"/>
    <s v="Poêle"/>
    <x v="1"/>
    <s v="3 à 4 jours/semaine"/>
    <s v="4; 6"/>
    <s v="1996-2002"/>
    <s v="Bois bûche"/>
    <s v=""/>
    <s v=""/>
    <s v=""/>
    <s v="1"/>
    <s v=""/>
    <s v="5"/>
    <s v="2"/>
    <s v="&gt; 2 ans"/>
    <s v="Les deux"/>
    <s v="2"/>
    <s v="1 fois par an"/>
    <s v=""/>
    <s v="Poêle"/>
    <s v="2"/>
    <s v=""/>
    <s v="Chauffage de base"/>
    <s v="Pas de réponse"/>
  </r>
  <r>
    <s v="VRB0097"/>
    <n v="3"/>
    <n v="7"/>
    <n v="9"/>
    <s v="65 ans et plus"/>
    <n v="1"/>
    <x v="0"/>
    <n v="1"/>
    <n v="10"/>
    <s v="1990-2005"/>
    <s v="3"/>
    <s v="Pas de réponse"/>
    <x v="0"/>
    <s v="Poêle"/>
    <x v="0"/>
    <s v="Tous les jours"/>
    <s v="4; 5; 6"/>
    <s v="1996-2002"/>
    <s v="Bois bûche"/>
    <s v=""/>
    <s v="9"/>
    <s v="stères"/>
    <s v="2"/>
    <s v=""/>
    <s v="5"/>
    <s v="2"/>
    <s v="&gt; 2 ans"/>
    <s v="Les deux"/>
    <s v="2"/>
    <s v="1 fois par an"/>
    <s v=""/>
    <s v="Poêle"/>
    <s v="1"/>
    <s v=""/>
    <s v="Chauffage de base"/>
    <s v="Pas de réponse"/>
  </r>
  <r>
    <s v="VRB0098"/>
    <n v="3"/>
    <n v="5"/>
    <n v="6"/>
    <s v="50 à 64 ans"/>
    <n v="6"/>
    <x v="0"/>
    <n v="1"/>
    <n v="240"/>
    <s v="1949-1975"/>
    <s v="4"/>
    <s v="Ne sait pas"/>
    <x v="0"/>
    <s v="Foyer ouvert"/>
    <x v="1"/>
    <s v="1 à 3 jours/mois"/>
    <s v="3; 6"/>
    <s v="Avant 1990"/>
    <s v="Bois bûche"/>
    <s v=""/>
    <s v="3"/>
    <s v="stères"/>
    <s v="1"/>
    <s v=""/>
    <s v="5"/>
    <s v="2"/>
    <s v="&gt; 2 ans"/>
    <s v="Feuillus"/>
    <s v="2"/>
    <s v="1 fois tous les 2 ans"/>
    <s v=""/>
    <s v="Poêle"/>
    <s v="1"/>
    <s v=""/>
    <s v="Chauffage d'appoint"/>
    <s v="Pas de réponse"/>
  </r>
  <r>
    <s v="VRB0099"/>
    <n v="3"/>
    <n v="3"/>
    <n v="3"/>
    <s v="25 à 34 ans"/>
    <n v="2"/>
    <x v="0"/>
    <n v="1"/>
    <n v="160"/>
    <s v="Avant 1949"/>
    <s v="3; 4"/>
    <s v="Pas de réponse"/>
    <x v="0"/>
    <s v="Foyer ouvert"/>
    <x v="1"/>
    <s v="1 à 3 jours/mois"/>
    <s v="3; 6"/>
    <s v="Avant 1990"/>
    <s v="Bois bûche"/>
    <s v=""/>
    <s v="2"/>
    <s v="stères"/>
    <s v="1"/>
    <s v=""/>
    <s v="5"/>
    <s v="1"/>
    <s v="&gt; 2 ans"/>
    <s v="Feuillus"/>
    <s v="1"/>
    <s v="2 fois par an"/>
    <s v=""/>
    <s v="Poêle"/>
    <s v="1"/>
    <s v=""/>
    <s v="Chauffage d'appoint"/>
    <s v="Pas de réponse"/>
  </r>
  <r>
    <s v="VRB0100"/>
    <n v="3"/>
    <n v="3"/>
    <n v="5"/>
    <s v="Pas de réponse"/>
    <n v="4"/>
    <x v="0"/>
    <n v="1"/>
    <n v="90"/>
    <s v="1975-1990"/>
    <s v="1"/>
    <s v="D"/>
    <x v="0"/>
    <s v="Foyer ouvert"/>
    <x v="1"/>
    <s v="Pas de réponse"/>
    <s v="7"/>
    <s v="Avant 1990"/>
    <s v="Bois bûche"/>
    <s v=""/>
    <s v=""/>
    <s v=""/>
    <s v="5"/>
    <s v=""/>
    <s v="6"/>
    <s v="4"/>
    <s v="Pas de réponse"/>
    <s v="Pas de réponse"/>
    <s v="3"/>
    <s v="Pas de réponse"/>
    <s v=""/>
    <s v="Poêle"/>
    <s v="1"/>
    <s v=""/>
    <s v="Chauffage d'appoint"/>
    <s v="Pas de réponse"/>
  </r>
  <r>
    <s v="VRB0101"/>
    <n v="3"/>
    <n v="7"/>
    <n v="9"/>
    <s v="65 ans et plus"/>
    <n v="1"/>
    <x v="0"/>
    <n v="1"/>
    <n v="100"/>
    <s v="1975-1990"/>
    <s v="6"/>
    <s v="Pas de réponse"/>
    <x v="0"/>
    <s v="Insert / foyer fermé"/>
    <x v="1"/>
    <s v="Tous les jours"/>
    <s v="3"/>
    <s v="Avant 1990"/>
    <s v="Bois bûche"/>
    <s v=""/>
    <s v="6"/>
    <s v="stères"/>
    <s v="1"/>
    <s v=""/>
    <s v="1"/>
    <s v="2"/>
    <s v="&gt; 2 ans"/>
    <s v="Feuillus"/>
    <s v="1"/>
    <s v="1 fois par an"/>
    <s v=""/>
    <s v="Insert cheminée"/>
    <s v="1"/>
    <s v=""/>
    <s v="Chauffage d'appoint"/>
    <s v="Pas de réponse"/>
  </r>
  <r>
    <s v="VRB0102"/>
    <n v="3"/>
    <n v="7"/>
    <n v="3"/>
    <s v="50 à 64 ans"/>
    <n v="2"/>
    <x v="0"/>
    <n v="1"/>
    <n v="99"/>
    <s v="1990-2005"/>
    <s v="4"/>
    <s v="Pas de réponse"/>
    <x v="0"/>
    <s v="Poêle"/>
    <x v="0"/>
    <s v="Tous les jours"/>
    <s v="4; 5"/>
    <s v="Avant 1990"/>
    <s v="Bois bûche"/>
    <s v=""/>
    <s v="12"/>
    <s v="stères"/>
    <s v="2"/>
    <s v=""/>
    <s v="1"/>
    <s v="2"/>
    <s v="&gt; 2 ans"/>
    <s v="Les deux"/>
    <s v="1"/>
    <s v="1 fois par an"/>
    <s v=""/>
    <s v="Poêle"/>
    <s v="2"/>
    <s v=""/>
    <s v="Chauffage de base"/>
    <s v="Pas de réponse"/>
  </r>
  <r>
    <s v="VRB0103"/>
    <n v="3"/>
    <n v="7"/>
    <n v="8"/>
    <s v="50 à 64 ans"/>
    <n v="2"/>
    <x v="0"/>
    <n v="1"/>
    <n v="130"/>
    <s v="1975-1990"/>
    <s v="4"/>
    <s v="Ne sait pas"/>
    <x v="0"/>
    <s v="Insert / foyer fermé"/>
    <x v="1"/>
    <s v="1 à 2 jours/semaine"/>
    <s v="4; 6"/>
    <s v="Avant 1990"/>
    <s v="Bois bûche"/>
    <s v=""/>
    <s v="3,2"/>
    <s v="stères"/>
    <s v="2"/>
    <s v=""/>
    <s v="5"/>
    <s v="2"/>
    <s v="&gt; 2 ans"/>
    <s v="Feuillus"/>
    <s v="2"/>
    <s v="1 fois par an"/>
    <s v=""/>
    <s v="Poêle"/>
    <s v="1"/>
    <s v=""/>
    <s v="Chauffage de base"/>
    <s v="Pas de réponse"/>
  </r>
  <r>
    <s v="VRB0104"/>
    <n v="3"/>
    <n v="7"/>
    <n v="9"/>
    <s v="65 ans et plus"/>
    <n v="1"/>
    <x v="0"/>
    <n v="1"/>
    <n v="130"/>
    <s v="1975-1990"/>
    <s v="1; 4"/>
    <s v="Pas de réponse"/>
    <x v="0"/>
    <s v="Foyer ouvert"/>
    <x v="1"/>
    <s v="3 à 4 jours/semaine"/>
    <s v="3"/>
    <s v="Avant 1990"/>
    <s v="Bois bûche"/>
    <s v=""/>
    <s v="3"/>
    <s v="stères"/>
    <s v="1; 2"/>
    <s v=""/>
    <s v="5"/>
    <s v="2"/>
    <s v="&gt; 2 ans"/>
    <s v="Feuillus"/>
    <s v="2"/>
    <s v="1 fois par an"/>
    <s v=""/>
    <s v="Insert cheminée"/>
    <s v="1"/>
    <s v=""/>
    <s v="Chauffage d'appoint"/>
    <s v="Pas de réponse"/>
  </r>
  <r>
    <s v="VRB0106"/>
    <n v="3"/>
    <n v="5"/>
    <n v="5"/>
    <s v="35 à 49 ans"/>
    <n v="4"/>
    <x v="0"/>
    <n v="1"/>
    <n v="250"/>
    <s v="1949-1975"/>
    <s v="1"/>
    <s v="Pas de réponse"/>
    <x v="0"/>
    <s v="Foyer ouvert"/>
    <x v="1"/>
    <s v="Tous les jours"/>
    <s v="2"/>
    <s v="Avant 1990"/>
    <s v="Bois bûche"/>
    <s v=""/>
    <s v="6"/>
    <s v="stères"/>
    <s v="2"/>
    <s v=""/>
    <s v="2"/>
    <s v="2"/>
    <s v="&gt; 2 ans"/>
    <s v="Feuillus"/>
    <s v="1; 2"/>
    <s v="2 fois par an"/>
    <s v=""/>
    <s v="Poêle"/>
    <s v="1"/>
    <s v=""/>
    <s v="Chauffage de base"/>
    <s v="Pas de réponse"/>
  </r>
  <r>
    <s v="VRB0107"/>
    <n v="3"/>
    <n v="5"/>
    <n v="3"/>
    <s v="50 à 64 ans"/>
    <n v="4"/>
    <x v="0"/>
    <n v="1"/>
    <n v="150"/>
    <s v="1975-1990"/>
    <s v="4"/>
    <s v="Ne sait pas"/>
    <x v="0"/>
    <s v="Foyer ouvert"/>
    <x v="1"/>
    <s v="3 à 4 jours/semaine"/>
    <s v="2; 4; 6"/>
    <s v="1990-1995"/>
    <s v="Bois bûche"/>
    <s v=""/>
    <s v="5"/>
    <s v="stères"/>
    <s v="2"/>
    <s v=""/>
    <s v="2"/>
    <s v="2"/>
    <s v="1 à 2 ans"/>
    <s v="Les deux"/>
    <s v="2"/>
    <s v="1 fois par an"/>
    <s v=""/>
    <s v="Poêle"/>
    <s v="2"/>
    <s v=""/>
    <s v="Chauffage de base"/>
    <s v="Pas de réponse"/>
  </r>
  <r>
    <s v="VRB0108"/>
    <n v="3"/>
    <n v="3"/>
    <n v="3"/>
    <s v="50 à 64 ans"/>
    <n v="2"/>
    <x v="0"/>
    <n v="1"/>
    <n v="130"/>
    <s v="1990-2005"/>
    <s v="5"/>
    <s v="Ne sait pas"/>
    <x v="0"/>
    <s v="Foyer ouvert"/>
    <x v="1"/>
    <s v="1 à 2 jours/semaine"/>
    <s v="2"/>
    <s v="1996-2002"/>
    <s v="Bois bûche"/>
    <s v=""/>
    <s v="3"/>
    <s v="stères"/>
    <s v="2"/>
    <s v=""/>
    <s v="5"/>
    <s v="2"/>
    <s v="1 à 2 ans"/>
    <s v="Feuillus"/>
    <s v="2"/>
    <s v="1 fois tous les 2 ans"/>
    <s v=""/>
    <s v="Poêle"/>
    <s v="2"/>
    <s v=""/>
    <s v="Chauffage d'appoint"/>
    <s v="Pas de réponse"/>
  </r>
  <r>
    <s v="VRB0109"/>
    <n v="3"/>
    <n v="5"/>
    <n v="3"/>
    <s v="25 à 34 ans"/>
    <n v="51"/>
    <x v="0"/>
    <n v="1"/>
    <n v="130"/>
    <s v="1975-1990"/>
    <s v="6"/>
    <s v="D"/>
    <x v="0"/>
    <s v="Insert / foyer fermé"/>
    <x v="0"/>
    <s v="3 à 4 jours/semaine"/>
    <s v="1; 2; 4"/>
    <s v="1996-2002"/>
    <s v="Bois bûche"/>
    <s v=""/>
    <s v=""/>
    <s v=""/>
    <s v="5"/>
    <s v=""/>
    <s v="5"/>
    <s v="2"/>
    <s v="Ne sait pas"/>
    <s v="Ne sait pas"/>
    <s v="2"/>
    <s v="1 fois par an"/>
    <s v=""/>
    <s v="Poêle"/>
    <s v="1"/>
    <s v=""/>
    <s v="Chauffage de base"/>
    <s v="Pas de réponse"/>
  </r>
  <r>
    <s v="VRB0110"/>
    <n v="3"/>
    <n v="5"/>
    <n v="9"/>
    <s v="35 à 49 ans"/>
    <n v="1"/>
    <x v="0"/>
    <n v="1"/>
    <n v="110"/>
    <s v="1975-1990"/>
    <s v="7"/>
    <s v="Pas de réponse"/>
    <x v="0"/>
    <s v="Insert / foyer fermé"/>
    <x v="1"/>
    <s v="1 à 2 jours/semaine"/>
    <s v="2"/>
    <s v="Avant 1990"/>
    <s v="Bois bûche"/>
    <s v=""/>
    <s v="2"/>
    <s v="stères"/>
    <s v="2"/>
    <s v=""/>
    <s v="5"/>
    <s v="2"/>
    <s v="1 à 2 ans"/>
    <s v="Feuillus"/>
    <s v="2"/>
    <s v="1 fois par an"/>
    <s v=""/>
    <s v="Poêle"/>
    <s v="1"/>
    <s v=""/>
    <s v="Chauffage d'appoint"/>
    <s v="Pas de réponse"/>
  </r>
  <r>
    <s v="VRB0111"/>
    <n v="3"/>
    <n v="5"/>
    <n v="5"/>
    <s v="50 à 64 ans"/>
    <n v="5"/>
    <x v="0"/>
    <n v="1"/>
    <n v="150"/>
    <s v="1975-1990"/>
    <s v="6"/>
    <s v="Ne sait pas"/>
    <x v="0"/>
    <s v="Poêle"/>
    <x v="1"/>
    <s v="3 à 4 jours/semaine"/>
    <s v="2; 3"/>
    <s v="Avant 1990"/>
    <s v="Bois bûche"/>
    <s v=""/>
    <s v="3"/>
    <s v="stères"/>
    <s v="2"/>
    <s v=""/>
    <s v="1"/>
    <s v="2"/>
    <s v="&gt; 2 ans"/>
    <s v="Les deux"/>
    <s v="1"/>
    <s v="2 fois par an"/>
    <s v=""/>
    <s v="Poêle"/>
    <s v="1"/>
    <s v=""/>
    <s v="Chauffage d'appoint"/>
    <s v="Pas de réponse"/>
  </r>
  <r>
    <s v="VRB0112"/>
    <n v="3"/>
    <n v="4"/>
    <n v="3"/>
    <s v="35 à 49 ans"/>
    <n v="4"/>
    <x v="0"/>
    <n v="2"/>
    <n v="72"/>
    <s v="Avant 1949"/>
    <s v="4"/>
    <s v="Pas de réponse"/>
    <x v="0"/>
    <s v="Insert / foyer fermé"/>
    <x v="1"/>
    <s v="3 à 4 jours/semaine"/>
    <s v="2"/>
    <s v="Avant 1990"/>
    <s v="Bois bûche"/>
    <s v=""/>
    <s v="8"/>
    <s v="stères"/>
    <s v="2"/>
    <s v=""/>
    <s v="3"/>
    <s v="1"/>
    <s v="1 à 2 ans"/>
    <s v="Les deux"/>
    <s v="2"/>
    <s v="1 fois par an"/>
    <s v=""/>
    <s v="Poêle"/>
    <s v="2"/>
    <s v=""/>
    <s v="Chauffage de base"/>
    <s v="Pas de réponse"/>
  </r>
  <r>
    <s v="VRB0113"/>
    <n v="3"/>
    <n v="6"/>
    <n v="7"/>
    <s v="50 à 64 ans"/>
    <n v="3"/>
    <x v="0"/>
    <n v="1"/>
    <n v="140"/>
    <s v="1975-1990"/>
    <s v="4"/>
    <s v="Pas de réponse"/>
    <x v="0"/>
    <s v="Poêle"/>
    <x v="0"/>
    <s v="Tous les jours"/>
    <s v="4; 5"/>
    <s v="1990-1995"/>
    <s v="Bois bûche"/>
    <s v=""/>
    <s v="9"/>
    <s v="stères"/>
    <s v="2"/>
    <s v=""/>
    <s v="2"/>
    <s v="2"/>
    <s v="1 à 2 ans"/>
    <s v="Feuillus"/>
    <s v="1"/>
    <s v="2 fois par an"/>
    <s v=""/>
    <s v="Poêle"/>
    <s v="2"/>
    <s v=""/>
    <s v="Chauffage de base"/>
    <s v="Pas de réponse"/>
  </r>
  <r>
    <s v="VRB0114"/>
    <n v="3"/>
    <n v="5"/>
    <n v="9"/>
    <s v="50 à 64 ans"/>
    <n v="1"/>
    <x v="0"/>
    <n v="1"/>
    <n v="84"/>
    <s v="1975-1990"/>
    <s v="1"/>
    <s v="Ne sait pas"/>
    <x v="0"/>
    <s v="Insert / foyer fermé"/>
    <x v="0"/>
    <s v="Tous les jours"/>
    <s v="2; 4"/>
    <s v="1996-2002"/>
    <s v="Bois bûche"/>
    <s v=""/>
    <s v="10"/>
    <s v="stères"/>
    <s v="2"/>
    <s v=""/>
    <s v="5"/>
    <s v="2"/>
    <s v="&gt; 2 ans"/>
    <s v="Les deux"/>
    <s v="2"/>
    <s v="1 fois par an"/>
    <s v=""/>
    <s v="Poêle"/>
    <s v="1"/>
    <s v=""/>
    <s v="Chauffage de base"/>
    <s v="Pas de réponse"/>
  </r>
  <r>
    <s v="VRB0115"/>
    <n v="3"/>
    <n v="5"/>
    <n v="3"/>
    <s v="35 à 49 ans"/>
    <n v="4"/>
    <x v="0"/>
    <n v="1"/>
    <n v="104"/>
    <s v="1975-1990"/>
    <s v="6"/>
    <s v="E"/>
    <x v="0"/>
    <s v="Foyer ouvert"/>
    <x v="1"/>
    <s v="1 à 2 jours/semaine"/>
    <s v="6"/>
    <s v="Avant 1990"/>
    <s v="Bois bûche"/>
    <s v=""/>
    <s v="8"/>
    <s v="stères"/>
    <s v="2"/>
    <s v=""/>
    <s v="5"/>
    <s v="2"/>
    <s v="&gt; 2 ans"/>
    <s v="Les deux"/>
    <s v="2"/>
    <s v="1 fois par an"/>
    <s v=""/>
    <s v="Poêle"/>
    <s v="1; 2"/>
    <s v=""/>
    <s v="Chauffage de base"/>
    <s v="Pas de réponse"/>
  </r>
  <r>
    <s v="VRB0116"/>
    <n v="3"/>
    <n v="3"/>
    <n v="4"/>
    <s v="50 à 64 ans"/>
    <n v="3"/>
    <x v="0"/>
    <n v="1"/>
    <n v="0"/>
    <s v="1949-1975"/>
    <s v="1"/>
    <s v="Ne sait pas"/>
    <x v="0"/>
    <s v="Insert / foyer fermé"/>
    <x v="0"/>
    <s v="Tous les jours"/>
    <s v="1; 2"/>
    <s v="1990-1995"/>
    <s v="Bois bûche"/>
    <s v=""/>
    <s v="10"/>
    <s v="stères"/>
    <s v="2"/>
    <s v=""/>
    <s v="5"/>
    <s v="2"/>
    <s v="1 à 2 ans"/>
    <s v="Les deux"/>
    <s v="1"/>
    <s v="1 fois par an"/>
    <s v=""/>
    <s v="Poêle"/>
    <s v="2"/>
    <s v=""/>
    <s v="Chauffage de base"/>
    <s v="Pas de réponse"/>
  </r>
  <r>
    <s v="VRB0117"/>
    <n v="3"/>
    <n v="7"/>
    <n v="8"/>
    <s v="65 ans et plus"/>
    <n v="2"/>
    <x v="0"/>
    <n v="1"/>
    <n v="155"/>
    <s v="1975-1990"/>
    <s v="4"/>
    <s v="Pas de réponse"/>
    <x v="0"/>
    <s v="Insert / foyer fermé"/>
    <x v="0"/>
    <s v="Tous les jours"/>
    <s v="4; 5"/>
    <s v="Avant 1990"/>
    <s v="Bois bûche"/>
    <s v=""/>
    <s v="7"/>
    <s v="stères"/>
    <s v="2"/>
    <s v=""/>
    <s v="2"/>
    <s v="2"/>
    <s v="1 à 2 ans"/>
    <s v="Feuillus"/>
    <s v="1"/>
    <s v="1 fois par an"/>
    <s v=""/>
    <s v="Poêle"/>
    <s v="2"/>
    <s v=""/>
    <s v="Chauffage de base"/>
    <s v="Pas de réponse"/>
  </r>
  <r>
    <s v="VRB0118"/>
    <n v="3"/>
    <n v="5"/>
    <n v="5"/>
    <s v="35 à 49 ans"/>
    <n v="2"/>
    <x v="0"/>
    <n v="1"/>
    <n v="100"/>
    <s v="1990-2005"/>
    <s v="1"/>
    <s v="F"/>
    <x v="0"/>
    <s v="Insert / foyer fermé"/>
    <x v="1"/>
    <s v="3 à 4 jours/semaine"/>
    <s v="2"/>
    <s v="1990-1995"/>
    <s v="Bois bûche"/>
    <s v=""/>
    <s v="5"/>
    <s v="stères"/>
    <s v="2"/>
    <s v=""/>
    <s v="5"/>
    <s v="2"/>
    <s v="1 à 2 ans"/>
    <s v="Feuillus"/>
    <s v="1"/>
    <s v="1 fois par an"/>
    <s v=""/>
    <s v="Insert cheminée"/>
    <s v="1"/>
    <s v=""/>
    <s v="Chauffage de base"/>
    <s v="Pas de réponse"/>
  </r>
  <r>
    <s v="VRB0119"/>
    <n v="3"/>
    <n v="6"/>
    <n v="3"/>
    <s v="50 à 64 ans"/>
    <n v="2"/>
    <x v="0"/>
    <n v="1"/>
    <n v="160"/>
    <s v="1990-2005"/>
    <s v="6"/>
    <s v="D"/>
    <x v="0"/>
    <s v="Insert / foyer fermé"/>
    <x v="1"/>
    <s v="3 à 4 jours/semaine"/>
    <s v="2; 3"/>
    <s v="1990-1995"/>
    <s v="Bois bûche"/>
    <s v=""/>
    <s v="3"/>
    <s v="stères"/>
    <s v="2"/>
    <s v=""/>
    <s v="2"/>
    <s v="2"/>
    <s v="1 à 2 ans"/>
    <s v="Feuillus"/>
    <s v="2"/>
    <s v="Autre, à préciser"/>
    <s v="1 fois tous les 3 ans"/>
    <s v="Poêle"/>
    <s v="1"/>
    <s v=""/>
    <s v="Chauffage d'appoint"/>
    <s v="Pas de réponse"/>
  </r>
  <r>
    <s v="VRB0120"/>
    <n v="3"/>
    <n v="5"/>
    <n v="2"/>
    <s v="35 à 49 ans"/>
    <n v="6"/>
    <x v="0"/>
    <n v="1"/>
    <n v="180"/>
    <s v="1975-1990"/>
    <s v="1; 4"/>
    <s v="Pas de réponse"/>
    <x v="0"/>
    <s v="Foyer ouvert"/>
    <x v="2"/>
    <s v="1 à 2 jours/semaine"/>
    <s v="2"/>
    <s v="Avant 1990"/>
    <s v="Bois bûche"/>
    <s v=""/>
    <s v="0,5"/>
    <s v="stères"/>
    <s v="1"/>
    <s v=""/>
    <s v="2"/>
    <s v="2"/>
    <s v="1 à 2 ans"/>
    <s v="Feuillus"/>
    <s v="2"/>
    <s v="1 fois par an"/>
    <s v=""/>
    <s v="Poêle"/>
    <s v="1"/>
    <s v=""/>
    <s v="Chauffage d'appoint"/>
    <s v="Pas de réponse"/>
  </r>
  <r>
    <s v="VRB0121"/>
    <n v="3"/>
    <n v="3"/>
    <n v="4"/>
    <s v="50 à 64 ans"/>
    <n v="4"/>
    <x v="0"/>
    <n v="1"/>
    <n v="105"/>
    <s v="Après 2005"/>
    <s v="2"/>
    <s v="Ne sait pas"/>
    <x v="0"/>
    <s v="Poêle"/>
    <x v="0"/>
    <s v="Tous les jours"/>
    <s v="2"/>
    <s v="Après 2002"/>
    <s v="Bois bûche"/>
    <s v=""/>
    <s v="5"/>
    <s v="stères"/>
    <s v="2"/>
    <s v=""/>
    <s v="5"/>
    <s v="1"/>
    <s v="&gt; 2 ans"/>
    <s v="Feuillus"/>
    <s v="1"/>
    <s v="2 fois par an"/>
    <s v=""/>
    <s v="poêle de masse"/>
    <s v="2"/>
    <s v=""/>
    <s v="Chauffage de base"/>
    <s v="Pas de réponse"/>
  </r>
  <r>
    <s v="VRB0122"/>
    <n v="3"/>
    <n v="4"/>
    <n v="3"/>
    <s v="35 à 49 ans"/>
    <n v="4"/>
    <x v="0"/>
    <n v="1"/>
    <n v="107"/>
    <s v="1990-2005"/>
    <s v="6"/>
    <s v="D"/>
    <x v="0"/>
    <s v="Insert / foyer fermé"/>
    <x v="0"/>
    <s v="Tous les jours"/>
    <s v="1; 2; 3; 4; 5; 6"/>
    <s v="1990-1995"/>
    <s v="Bois bûche"/>
    <s v=""/>
    <s v="6"/>
    <s v="stères"/>
    <s v="1"/>
    <s v=""/>
    <s v="5"/>
    <s v="2"/>
    <s v="1 à 2 ans"/>
    <s v="Feuillus"/>
    <s v="2"/>
    <s v="1 fois par an"/>
    <s v=""/>
    <s v="Poêle"/>
    <s v="1"/>
    <s v=""/>
    <s v="Chauffage de base"/>
    <s v="Pas de réponse"/>
  </r>
  <r>
    <s v="VRB0123"/>
    <n v="3"/>
    <n v="3"/>
    <n v="3"/>
    <s v="35 à 49 ans"/>
    <n v="3"/>
    <x v="0"/>
    <n v="1"/>
    <n v="100"/>
    <s v="Avant 1949"/>
    <s v="1"/>
    <s v="E"/>
    <x v="0"/>
    <s v="Foyer ouvert"/>
    <x v="3"/>
    <s v="Pas de réponse"/>
    <s v=""/>
    <s v="Avant 1990"/>
    <s v="Bois bûche"/>
    <s v=""/>
    <s v=""/>
    <s v=""/>
    <s v="5"/>
    <s v=""/>
    <s v="6"/>
    <s v="4"/>
    <s v="Pas de réponse"/>
    <s v="Pas de réponse"/>
    <s v="3"/>
    <s v="Pas de réponse"/>
    <s v=""/>
    <s v="Poêle"/>
    <s v="2"/>
    <s v=""/>
    <s v="Chauffage de base"/>
    <s v="Pas de réponse"/>
  </r>
  <r>
    <s v="VRB0124"/>
    <n v="1"/>
    <n v="7"/>
    <n v="7"/>
    <s v="50 à 64 ans"/>
    <n v="2"/>
    <x v="0"/>
    <n v="1"/>
    <n v="160"/>
    <s v="1949-1975"/>
    <s v="1"/>
    <s v="E"/>
    <x v="0"/>
    <s v="Foyer ouvert"/>
    <x v="1"/>
    <s v="3 à 4 jours/semaine"/>
    <s v="3"/>
    <s v="Avant 1990"/>
    <s v="Bois bûche"/>
    <s v=""/>
    <s v="4"/>
    <s v="stères"/>
    <s v="2"/>
    <s v=""/>
    <s v="5"/>
    <s v="2"/>
    <s v="1 à 2 ans"/>
    <s v="Feuillus"/>
    <s v="1"/>
    <s v="1 fois par an"/>
    <s v=""/>
    <s v="Insert cheminée"/>
    <s v="1"/>
    <s v=""/>
    <s v="Chauffage d'appoint"/>
    <s v="Pas de réponse"/>
  </r>
  <r>
    <s v="VRB0125"/>
    <n v="3"/>
    <n v="7"/>
    <n v="7"/>
    <s v="65 ans et plus"/>
    <n v="2"/>
    <x v="0"/>
    <n v="1"/>
    <n v="100"/>
    <s v="1975-1990"/>
    <s v="4"/>
    <s v="Ne sait pas"/>
    <x v="0"/>
    <s v="Insert / foyer fermé"/>
    <x v="1"/>
    <s v="3 à 4 jours/semaine"/>
    <s v="2; 3; 4; 6"/>
    <s v="Avant 1990"/>
    <s v="Bois bûche"/>
    <s v=""/>
    <s v="4"/>
    <s v="stères"/>
    <s v="1; 2"/>
    <s v=""/>
    <s v="6"/>
    <s v="1"/>
    <s v="&gt; 2 ans"/>
    <s v="Feuillus"/>
    <s v="1"/>
    <s v="1 fois par an"/>
    <s v=""/>
    <s v="Poêle"/>
    <s v="1"/>
    <s v=""/>
    <s v="Chauffage de base"/>
    <s v="Pas de réponse"/>
  </r>
  <r>
    <s v="VRB0126"/>
    <n v="3"/>
    <n v="7"/>
    <n v="8"/>
    <s v="65 ans et plus"/>
    <n v="2"/>
    <x v="0"/>
    <n v="1"/>
    <n v="120"/>
    <s v="1975-1990"/>
    <s v="1"/>
    <s v="Pas de réponse"/>
    <x v="0"/>
    <s v="Insert / foyer fermé"/>
    <x v="0"/>
    <s v="Tous les jours"/>
    <s v="4"/>
    <s v="Avant 1990"/>
    <s v="Bois bûche"/>
    <s v=""/>
    <s v="10"/>
    <s v="stères"/>
    <s v="2"/>
    <s v=""/>
    <s v="1"/>
    <s v="2"/>
    <s v="&gt; 2 ans"/>
    <s v="Feuillus"/>
    <s v="2"/>
    <s v="1 fois par an"/>
    <s v=""/>
    <s v="Poêle"/>
    <s v="1"/>
    <s v=""/>
    <s v="Chauffage de base"/>
    <s v="Pas de réponse"/>
  </r>
  <r>
    <s v="VRB0127"/>
    <n v="3"/>
    <n v="7"/>
    <n v="7"/>
    <s v="65 ans et plus"/>
    <n v="2"/>
    <x v="0"/>
    <n v="1"/>
    <n v="97"/>
    <s v="1975-1990"/>
    <s v="1; 4"/>
    <s v="Ne sait pas"/>
    <x v="0"/>
    <s v="Insert / foyer fermé"/>
    <x v="1"/>
    <s v="1 à 2 jours/semaine"/>
    <s v="2"/>
    <s v="1996-2002"/>
    <s v="Bois bûche"/>
    <s v=""/>
    <s v="3"/>
    <s v="stères"/>
    <s v="2"/>
    <s v=""/>
    <s v="5"/>
    <s v="1"/>
    <s v="1 à 2 ans"/>
    <s v="Feuillus"/>
    <s v="2"/>
    <s v="1 fois par an"/>
    <s v=""/>
    <s v="Poêle"/>
    <s v="2"/>
    <s v=""/>
    <s v="Chauffage de base"/>
    <s v="Pas de réponse"/>
  </r>
  <r>
    <s v="VRB0128"/>
    <n v="3"/>
    <n v="7"/>
    <n v="9"/>
    <s v="65 ans et plus"/>
    <n v="2"/>
    <x v="0"/>
    <n v="1"/>
    <n v="110"/>
    <s v="Avant 1949"/>
    <s v="6"/>
    <s v="Pas de réponse"/>
    <x v="0"/>
    <s v="Insert / foyer fermé"/>
    <x v="1"/>
    <s v="Tous les jours"/>
    <s v="2; 3; 6"/>
    <s v="1996-2002"/>
    <s v="Bois bûche"/>
    <s v=""/>
    <s v="3"/>
    <s v="stères"/>
    <s v="2"/>
    <s v=""/>
    <s v="1"/>
    <s v="2"/>
    <s v="1 à 2 ans"/>
    <s v="Feuillus"/>
    <s v="1"/>
    <s v="1 fois par an"/>
    <s v=""/>
    <s v="Insert cheminée"/>
    <s v="1"/>
    <s v=""/>
    <s v="Chauffage d'appoint"/>
    <s v="Pas de réponse"/>
  </r>
  <r>
    <s v="VRB0129"/>
    <n v="3"/>
    <n v="4"/>
    <n v="9"/>
    <s v="35 à 49 ans"/>
    <n v="1"/>
    <x v="0"/>
    <n v="1"/>
    <n v="110"/>
    <s v="Avant 1949"/>
    <s v="4"/>
    <s v="Pas de réponse"/>
    <x v="0"/>
    <s v="Poêle"/>
    <x v="0"/>
    <s v="Tous les jours"/>
    <s v="1; 2"/>
    <s v="1996-2002"/>
    <s v="Bois bûche"/>
    <s v=""/>
    <s v="4"/>
    <s v="m3"/>
    <s v="1"/>
    <s v=""/>
    <s v="6"/>
    <s v="2"/>
    <s v="1 à 2 ans"/>
    <s v="Feuillus"/>
    <s v="1"/>
    <s v="2 fois par an"/>
    <s v=""/>
    <s v="Poêle"/>
    <s v="2"/>
    <s v=""/>
    <s v="Chauffage de base"/>
    <s v="Pas de réponse"/>
  </r>
  <r>
    <s v="VRB0130"/>
    <n v="3"/>
    <n v="5"/>
    <n v="3"/>
    <s v="50 à 64 ans"/>
    <n v="3"/>
    <x v="0"/>
    <n v="1"/>
    <n v="108"/>
    <s v="1990-2005"/>
    <s v="4"/>
    <s v="Pas de réponse"/>
    <x v="0"/>
    <s v="Poêle"/>
    <x v="1"/>
    <s v="3 à 4 jours/semaine"/>
    <s v="2; 3; 4"/>
    <s v="1996-2002"/>
    <s v="Bois bûche"/>
    <s v=""/>
    <s v="3"/>
    <s v="stères"/>
    <s v="3"/>
    <s v=""/>
    <s v="5"/>
    <s v="2"/>
    <s v="1 à 2 ans"/>
    <s v="Feuillus"/>
    <s v="2"/>
    <s v="2 fois par an"/>
    <s v=""/>
    <s v="Poêle"/>
    <s v="1"/>
    <s v=""/>
    <s v="Chauffage d'appoint"/>
    <s v="Pas de réponse"/>
  </r>
  <r>
    <s v="VRB0131"/>
    <n v="3"/>
    <n v="3"/>
    <n v="7"/>
    <s v="50 à 64 ans"/>
    <n v="3"/>
    <x v="0"/>
    <n v="1"/>
    <n v="90"/>
    <s v="1990-2005"/>
    <s v="4"/>
    <s v="Ne sait pas"/>
    <x v="0"/>
    <s v="Insert / foyer fermé"/>
    <x v="1"/>
    <s v="Tous les jours"/>
    <s v="4"/>
    <s v="1996-2002"/>
    <s v="Bois bûche"/>
    <s v=""/>
    <s v="3"/>
    <s v="stères"/>
    <s v="2"/>
    <s v=""/>
    <s v="5"/>
    <s v="2"/>
    <s v="1 à 2 ans"/>
    <s v="Les deux"/>
    <s v="2"/>
    <s v="1 fois par an"/>
    <s v=""/>
    <s v="Insert cheminée"/>
    <s v="1"/>
    <s v=""/>
    <s v="Chauffage d'appoint"/>
    <s v="Pas de réponse"/>
  </r>
  <r>
    <s v="VRB0132"/>
    <n v="3"/>
    <n v="5"/>
    <n v="3"/>
    <s v="50 à 64 ans"/>
    <n v="2"/>
    <x v="0"/>
    <n v="1"/>
    <n v="150"/>
    <s v="Avant 1949"/>
    <s v="1; 2; 4"/>
    <s v="Pas de réponse"/>
    <x v="0"/>
    <s v="Insert / foyer fermé"/>
    <x v="1"/>
    <s v="1 à 2 jours/semaine"/>
    <s v="3; 4; 6"/>
    <s v="1990-1995"/>
    <s v="Bois bûche"/>
    <s v=""/>
    <s v="6"/>
    <s v="stères"/>
    <s v="2"/>
    <s v=""/>
    <s v="2"/>
    <s v="2"/>
    <s v="&gt; 2 ans"/>
    <s v="Feuillus"/>
    <s v="2"/>
    <s v="1 fois par an"/>
    <s v=""/>
    <s v="Poêle"/>
    <s v="1"/>
    <s v=""/>
    <s v="Chauffage de base"/>
    <s v="Pas de réponse"/>
  </r>
  <r>
    <s v="VRB0133"/>
    <n v="3"/>
    <n v="7"/>
    <n v="9"/>
    <s v="65 ans et plus"/>
    <n v="1"/>
    <x v="0"/>
    <n v="1"/>
    <n v="120"/>
    <s v="1975-1990"/>
    <s v="6"/>
    <s v="Pas de réponse"/>
    <x v="0"/>
    <s v="Insert / foyer fermé"/>
    <x v="1"/>
    <s v="Tous les jours"/>
    <s v="2"/>
    <s v="Avant 1990"/>
    <s v="Bois bûche"/>
    <s v=""/>
    <s v="6"/>
    <s v="stères"/>
    <s v="2"/>
    <s v=""/>
    <s v="5"/>
    <s v="1"/>
    <s v="1 à 2 ans"/>
    <s v="Feuillus"/>
    <s v="2"/>
    <s v="1 fois par an"/>
    <s v=""/>
    <s v="Poêle"/>
    <s v="1"/>
    <s v=""/>
    <s v="Chauffage de base"/>
    <s v="Pas de réponse"/>
  </r>
  <r>
    <s v="VRB0134"/>
    <n v="3"/>
    <n v="2"/>
    <n v="2"/>
    <s v="50 à 64 ans"/>
    <n v="2"/>
    <x v="0"/>
    <n v="1"/>
    <n v="110"/>
    <s v="1990-2005"/>
    <s v="6"/>
    <s v="Pas de réponse"/>
    <x v="0"/>
    <s v="Insert / foyer fermé"/>
    <x v="1"/>
    <s v="1 à 2 jours/semaine"/>
    <s v="2; 6"/>
    <s v="1996-2002"/>
    <s v="Bois bûche"/>
    <s v=""/>
    <s v="4"/>
    <s v="m3"/>
    <s v="1"/>
    <s v=""/>
    <s v="6"/>
    <s v="2"/>
    <s v="&gt; 2 ans"/>
    <s v="Feuillus"/>
    <s v="1"/>
    <s v="2 fois par an"/>
    <s v=""/>
    <s v="Poêle"/>
    <s v="1"/>
    <s v=""/>
    <s v="Chauffage d'appoint"/>
    <s v="Pas de réponse"/>
  </r>
  <r>
    <s v="VRB0135"/>
    <n v="3"/>
    <n v="3"/>
    <n v="9"/>
    <s v="50 à 64 ans"/>
    <n v="1"/>
    <x v="0"/>
    <n v="1"/>
    <n v="100"/>
    <s v="1975-1990"/>
    <s v="4"/>
    <s v="Pas de réponse"/>
    <x v="0"/>
    <s v="Insert / foyer fermé"/>
    <x v="0"/>
    <s v="Tous les jours"/>
    <s v="4"/>
    <s v="1990-1995"/>
    <s v="Bois bûche"/>
    <s v=""/>
    <s v="8"/>
    <s v="stères"/>
    <s v="2"/>
    <s v=""/>
    <s v="5"/>
    <s v="1"/>
    <s v="1 à 2 ans"/>
    <s v="Les deux"/>
    <s v="2"/>
    <s v="1 fois par an"/>
    <s v=""/>
    <s v="Poêle"/>
    <s v="2"/>
    <s v=""/>
    <s v="Chauffage de base"/>
    <s v="Pas de réponse"/>
  </r>
  <r>
    <s v="VRB0136"/>
    <n v="3"/>
    <n v="3"/>
    <n v="3"/>
    <s v="50 à 64 ans"/>
    <n v="2"/>
    <x v="0"/>
    <n v="1"/>
    <n v="120"/>
    <s v="1990-2005"/>
    <s v="6"/>
    <s v="Pas de réponse"/>
    <x v="0"/>
    <s v="Insert / foyer fermé"/>
    <x v="0"/>
    <s v="Tous les jours"/>
    <s v="4; 6"/>
    <s v="1990-1995"/>
    <s v="Bois bûche"/>
    <s v=""/>
    <s v="8"/>
    <s v="stères"/>
    <s v="1"/>
    <s v=""/>
    <s v="1"/>
    <s v="2"/>
    <s v="1 à 2 ans"/>
    <s v="Feuillus"/>
    <s v="1"/>
    <s v="1 fois par an"/>
    <s v=""/>
    <s v="Poêle"/>
    <s v="1"/>
    <s v=""/>
    <s v="Chauffage de base"/>
    <s v="Pas de réponse"/>
  </r>
  <r>
    <s v="VRB0137"/>
    <n v="3"/>
    <n v="7"/>
    <n v="7"/>
    <s v="65 ans et plus"/>
    <n v="2"/>
    <x v="0"/>
    <n v="1"/>
    <n v="120"/>
    <s v="1975-1990"/>
    <s v="4"/>
    <s v="Pas de réponse"/>
    <x v="0"/>
    <s v="Insert / foyer fermé"/>
    <x v="1"/>
    <s v="3 à 4 jours/semaine"/>
    <s v="2"/>
    <s v="Avant 1990"/>
    <s v="Bois bûche"/>
    <s v=""/>
    <s v="16"/>
    <s v="stères"/>
    <s v="2"/>
    <s v=""/>
    <s v="5"/>
    <s v="2"/>
    <s v="&gt; 2 ans"/>
    <s v="Feuillus"/>
    <s v="2"/>
    <s v="2 fois par an"/>
    <s v=""/>
    <s v="Poêle"/>
    <s v="1"/>
    <s v=""/>
    <s v="Chauffage d'appoint"/>
    <s v="Pas de réponse"/>
  </r>
  <r>
    <s v="VRB0138"/>
    <n v="3"/>
    <n v="7"/>
    <n v="3"/>
    <s v="65 ans et plus"/>
    <n v="2"/>
    <x v="0"/>
    <n v="1"/>
    <n v="37"/>
    <s v="1975-1990"/>
    <s v="4"/>
    <s v="Pas de réponse"/>
    <x v="0"/>
    <s v="Insert / foyer fermé"/>
    <x v="0"/>
    <s v="Tous les jours"/>
    <s v="4; 5"/>
    <s v="1990-1995"/>
    <s v="Bois bûche"/>
    <s v=""/>
    <s v="10"/>
    <s v="stères"/>
    <s v="2"/>
    <s v=""/>
    <s v="1"/>
    <s v="2"/>
    <s v="1 à 2 ans"/>
    <s v="Les deux"/>
    <s v="1"/>
    <s v="2 fois par an"/>
    <s v=""/>
    <s v="Poêle"/>
    <s v="1"/>
    <s v=""/>
    <s v="Chauffage de base"/>
    <s v="Pas de réponse"/>
  </r>
  <r>
    <s v="VRB0139"/>
    <n v="3"/>
    <n v="3"/>
    <n v="5"/>
    <s v="25 à 34 ans"/>
    <n v="4"/>
    <x v="0"/>
    <n v="1"/>
    <n v="135"/>
    <s v="1975-1990"/>
    <s v="4"/>
    <s v="E"/>
    <x v="0"/>
    <s v="Foyer ouvert"/>
    <x v="1"/>
    <s v="Moins de 15 fois par an"/>
    <s v="2; 6"/>
    <s v="Avant 1990"/>
    <s v="Bois bûche"/>
    <s v=""/>
    <s v=""/>
    <s v=""/>
    <s v="5"/>
    <s v=""/>
    <s v="5"/>
    <s v="2"/>
    <s v="&gt; 2 ans"/>
    <s v="Feuillus"/>
    <s v="2"/>
    <s v="2 fois par an"/>
    <s v=""/>
    <s v="Insert cheminée"/>
    <s v="1"/>
    <s v=""/>
    <s v="Chauffage d'appoint"/>
    <s v="Pas de réponse"/>
  </r>
  <r>
    <s v="VRB0140"/>
    <n v="3"/>
    <n v="7"/>
    <n v="3"/>
    <s v="65 ans et plus"/>
    <n v="2"/>
    <x v="0"/>
    <n v="1"/>
    <n v="108"/>
    <s v="1975-1990"/>
    <s v="4"/>
    <s v="E"/>
    <x v="0"/>
    <s v="Insert / foyer fermé"/>
    <x v="0"/>
    <s v="Tous les jours"/>
    <s v="4; 5"/>
    <s v="1990-1995"/>
    <s v="Bois bûche"/>
    <s v=""/>
    <s v="8"/>
    <s v="m3"/>
    <s v="2"/>
    <s v=""/>
    <s v="2"/>
    <s v="2"/>
    <s v="&gt; 2 ans"/>
    <s v="Les deux"/>
    <s v="2"/>
    <s v="2 fois par an"/>
    <s v=""/>
    <s v="Poêle"/>
    <s v="2"/>
    <s v=""/>
    <s v="Chauffage de base"/>
    <s v="Pas de réponse"/>
  </r>
  <r>
    <s v="VRB0141"/>
    <n v="3"/>
    <n v="7"/>
    <n v="7"/>
    <s v="50 à 64 ans"/>
    <n v="2"/>
    <x v="0"/>
    <n v="1"/>
    <n v="180"/>
    <s v="Avant 1949"/>
    <s v="1; 4"/>
    <s v="Pas de réponse"/>
    <x v="0"/>
    <s v="Insert / foyer fermé"/>
    <x v="0"/>
    <s v="Tous les jours"/>
    <s v="4"/>
    <s v="1996-2002"/>
    <s v="Bois bûche"/>
    <s v=""/>
    <s v="15"/>
    <s v="stères"/>
    <s v="2"/>
    <s v=""/>
    <s v="1"/>
    <s v="2"/>
    <s v="&gt; 2 ans"/>
    <s v="Feuillus"/>
    <s v="2"/>
    <s v="2 fois par an"/>
    <s v=""/>
    <s v="Poêle"/>
    <s v="2"/>
    <s v=""/>
    <s v="Chauffage de base"/>
    <s v="Pas de réponse"/>
  </r>
  <r>
    <s v="VRB0142"/>
    <n v="3"/>
    <n v="7"/>
    <n v="9"/>
    <s v="65 ans et plus"/>
    <n v="1"/>
    <x v="0"/>
    <n v="1"/>
    <n v="100"/>
    <s v="1990-2005"/>
    <s v="6"/>
    <s v="Pas de réponse"/>
    <x v="0"/>
    <s v="Poêle"/>
    <x v="1"/>
    <s v="1 à 2 jours/semaine"/>
    <s v="4"/>
    <s v="1990-1995"/>
    <s v="Bois bûche"/>
    <s v=""/>
    <s v="4"/>
    <s v="stères"/>
    <s v="1"/>
    <s v=""/>
    <s v="5"/>
    <s v="2"/>
    <s v="&gt; 2 ans"/>
    <s v="Feuillus"/>
    <s v="2"/>
    <s v="1 fois par an"/>
    <s v=""/>
    <s v="Poêle"/>
    <s v="2"/>
    <s v=""/>
    <s v="Chauffage d'appoint"/>
    <s v="Pas de réponse"/>
  </r>
  <r>
    <s v="VRB0143"/>
    <n v="3"/>
    <n v="6"/>
    <n v="9"/>
    <s v="35 à 49 ans"/>
    <n v="3"/>
    <x v="0"/>
    <n v="1"/>
    <n v="140"/>
    <s v="1949-1975"/>
    <s v="6"/>
    <s v="E"/>
    <x v="0"/>
    <s v="Insert / foyer fermé"/>
    <x v="1"/>
    <s v="1 à 2 jours/semaine"/>
    <s v="2; 3"/>
    <s v="Avant 1990"/>
    <s v="Bois bûche"/>
    <s v=""/>
    <s v="5"/>
    <s v="stères"/>
    <s v="2"/>
    <s v=""/>
    <s v="2"/>
    <s v="2"/>
    <s v="1 à 2 ans"/>
    <s v="Les deux"/>
    <s v="2"/>
    <s v="1 fois par an"/>
    <s v=""/>
    <s v="Poêle"/>
    <s v="1"/>
    <s v=""/>
    <s v="Chauffage d'appoint"/>
    <s v="Pas de réponse"/>
  </r>
  <r>
    <s v="VRB0144"/>
    <n v="3"/>
    <n v="4"/>
    <n v="3"/>
    <s v="25 à 34 ans"/>
    <n v="2"/>
    <x v="0"/>
    <n v="1"/>
    <n v="70"/>
    <s v="1975-1990"/>
    <s v="6"/>
    <s v="Ne sait pas"/>
    <x v="0"/>
    <s v="Insert / foyer fermé"/>
    <x v="0"/>
    <s v="Tous les jours"/>
    <s v="2"/>
    <s v="Avant 1990"/>
    <s v="Bois bûche"/>
    <s v=""/>
    <s v="8"/>
    <s v="stères"/>
    <s v="2"/>
    <s v=""/>
    <s v="1"/>
    <s v="2"/>
    <s v="&gt; 2 ans"/>
    <s v="Feuillus"/>
    <s v="2"/>
    <s v="2 fois par an"/>
    <s v=""/>
    <s v="poêle de masse"/>
    <s v="1"/>
    <s v=""/>
    <s v="Chauffage d'appoint"/>
    <s v="Pas de réponse"/>
  </r>
  <r>
    <s v="VRB0145"/>
    <n v="3"/>
    <n v="7"/>
    <n v="5"/>
    <s v="50 à 64 ans"/>
    <n v="2"/>
    <x v="0"/>
    <n v="1"/>
    <n v="140"/>
    <s v="1975-1990"/>
    <s v="1"/>
    <s v="Pas de réponse"/>
    <x v="0"/>
    <s v="Insert / foyer fermé"/>
    <x v="1"/>
    <s v="1 à 2 jours/semaine"/>
    <s v="2"/>
    <s v="Avant 1990"/>
    <s v="Bois bûche"/>
    <s v=""/>
    <s v="1"/>
    <s v="stère"/>
    <s v="2"/>
    <s v=""/>
    <s v="5"/>
    <s v="2"/>
    <s v="1 à 2 ans"/>
    <s v="Les deux"/>
    <s v="2"/>
    <s v="1 fois par an"/>
    <s v=""/>
    <s v="Poêle"/>
    <s v="1"/>
    <s v=""/>
    <s v="Chauffage d'appoint"/>
    <s v="Pas de réponse"/>
  </r>
  <r>
    <s v="VRB0146"/>
    <n v="3"/>
    <n v="5"/>
    <n v="5"/>
    <s v="35 à 49 ans"/>
    <n v="4"/>
    <x v="0"/>
    <n v="1"/>
    <n v="100"/>
    <s v="1949-1975"/>
    <s v="2"/>
    <s v="Ne sait pas"/>
    <x v="0"/>
    <s v="Poêle"/>
    <x v="0"/>
    <s v="Tous les jours"/>
    <s v="4; 5"/>
    <s v="Pas de réponse"/>
    <s v="Bois bûche"/>
    <s v=""/>
    <s v="12"/>
    <s v="stères"/>
    <s v="2"/>
    <s v=""/>
    <s v="5"/>
    <s v="2"/>
    <s v="1 à 2 ans"/>
    <s v="Les deux"/>
    <s v="2"/>
    <s v="1 fois par an"/>
    <s v=""/>
    <s v="Chaudière"/>
    <s v="2"/>
    <s v=""/>
    <s v="Chauffage de base"/>
    <s v="Pas de réponse"/>
  </r>
  <r>
    <s v="VRB0147"/>
    <n v="3"/>
    <n v="5"/>
    <n v="5"/>
    <s v="50 à 64 ans"/>
    <n v="4"/>
    <x v="0"/>
    <n v="1"/>
    <n v="140"/>
    <s v="1990-2005"/>
    <s v="6"/>
    <s v="Ne sait pas"/>
    <x v="0"/>
    <s v="Insert / foyer fermé"/>
    <x v="1"/>
    <s v="Tous les jours"/>
    <s v="1; 2"/>
    <s v="1996-2002"/>
    <s v="Bois bûche"/>
    <s v=""/>
    <s v="5"/>
    <s v="stères"/>
    <s v="2"/>
    <s v=""/>
    <s v="2"/>
    <s v="2"/>
    <s v="1 à 2 ans"/>
    <s v="Feuillus"/>
    <s v="2"/>
    <s v="1 fois par an"/>
    <s v=""/>
    <s v="Poêle"/>
    <s v="1"/>
    <s v=""/>
    <s v="Chauffage d'appoint"/>
    <s v="Pas de réponse"/>
  </r>
  <r>
    <s v="VRB0148"/>
    <n v="3"/>
    <n v="2"/>
    <n v="3"/>
    <s v="50 à 64 ans"/>
    <n v="2"/>
    <x v="0"/>
    <n v="1"/>
    <n v="120"/>
    <s v="Avant 1949"/>
    <s v="1"/>
    <s v="Ne sait pas"/>
    <x v="0"/>
    <s v="Insert / foyer fermé"/>
    <x v="0"/>
    <s v="Tous les jours"/>
    <s v="4; 5"/>
    <s v="Avant 1990"/>
    <s v="Bois bûche"/>
    <s v=""/>
    <s v="12"/>
    <s v="stères"/>
    <s v="1"/>
    <s v=""/>
    <s v="2"/>
    <s v="2"/>
    <s v="&gt; 2 ans"/>
    <s v="Feuillus"/>
    <s v="1"/>
    <s v="1 fois par an"/>
    <s v=""/>
    <s v="Poêle"/>
    <s v="1"/>
    <s v=""/>
    <s v="Chauffage de base"/>
    <s v="Pas de réponse"/>
  </r>
  <r>
    <s v="VRB0149"/>
    <n v="3"/>
    <n v="8"/>
    <n v="8"/>
    <s v="25 à 34 ans"/>
    <n v="4"/>
    <x v="0"/>
    <n v="2"/>
    <n v="120"/>
    <s v="Avant 1949"/>
    <s v="1"/>
    <s v="Pas de réponse"/>
    <x v="0"/>
    <s v="Insert / foyer fermé"/>
    <x v="0"/>
    <s v="Tous les jours"/>
    <s v="6"/>
    <s v="Après 2002"/>
    <s v="Bois bûche"/>
    <s v=""/>
    <s v="3,5"/>
    <s v="stères"/>
    <s v="5"/>
    <s v=""/>
    <s v="5"/>
    <s v="1"/>
    <s v="Ne sait pas"/>
    <s v="Les deux"/>
    <s v="2"/>
    <s v="2 fois par an"/>
    <s v=""/>
    <s v="Poêle"/>
    <s v="1"/>
    <s v=""/>
    <s v="Chauffage de base"/>
    <s v="Pas de réponse"/>
  </r>
  <r>
    <s v="VRB0150"/>
    <n v="3"/>
    <n v="3"/>
    <n v="5"/>
    <s v="25 à 34 ans"/>
    <n v="4"/>
    <x v="0"/>
    <n v="1"/>
    <n v="90"/>
    <s v="1975-1990"/>
    <s v="4"/>
    <s v="D"/>
    <x v="0"/>
    <s v="Foyer ouvert"/>
    <x v="2"/>
    <s v="1 à 2 jours/semaine"/>
    <s v="2"/>
    <s v="1996-2002"/>
    <s v="Bois bûche"/>
    <s v=""/>
    <s v="8"/>
    <s v="stères"/>
    <s v="5"/>
    <s v=""/>
    <s v="1"/>
    <s v="4"/>
    <s v="1 à 2 ans"/>
    <s v="Feuillus"/>
    <s v="2"/>
    <s v="1 fois par an"/>
    <s v=""/>
    <s v="Poêle"/>
    <s v="2"/>
    <s v=""/>
    <s v="Chauffage de base"/>
    <s v="Pas de réponse"/>
  </r>
  <r>
    <s v="VRB0151"/>
    <n v="3"/>
    <n v="7"/>
    <n v="9"/>
    <s v="65 ans et plus"/>
    <n v="1"/>
    <x v="0"/>
    <n v="1"/>
    <n v="60"/>
    <s v="Avant 1949"/>
    <s v="6"/>
    <s v="Ne sait pas"/>
    <x v="0"/>
    <s v="Insert / foyer fermé"/>
    <x v="0"/>
    <s v="Tous les jours"/>
    <s v="1; 2; 3; 6"/>
    <s v="Avant 1990"/>
    <s v="Bois bûche"/>
    <s v=""/>
    <s v="6"/>
    <s v="stères"/>
    <s v="2"/>
    <s v=""/>
    <s v="6"/>
    <s v="1"/>
    <s v="&gt; 2 ans"/>
    <s v="Les deux"/>
    <s v="2"/>
    <s v="1 fois par an"/>
    <s v=""/>
    <s v="Poêle"/>
    <s v="1"/>
    <s v=""/>
    <s v="Chauffage de base"/>
    <s v="Pas de réponse"/>
  </r>
  <r>
    <s v="VRB0152"/>
    <n v="3"/>
    <n v="2"/>
    <n v="6"/>
    <s v="50 à 64 ans"/>
    <n v="3"/>
    <x v="0"/>
    <n v="1"/>
    <n v="90"/>
    <s v="Avant 1949"/>
    <s v="6"/>
    <s v="Pas de réponse"/>
    <x v="0"/>
    <s v="Insert / foyer fermé"/>
    <x v="0"/>
    <s v="Tous les jours"/>
    <s v="4"/>
    <s v="Avant 1990"/>
    <s v="Bois bûche"/>
    <s v=""/>
    <s v="10"/>
    <s v="stères"/>
    <s v="2"/>
    <s v=""/>
    <s v="2"/>
    <s v="3"/>
    <s v="&gt; 2 ans"/>
    <s v="Feuillus"/>
    <s v="2"/>
    <s v="2 fois par an"/>
    <s v=""/>
    <s v="Poêle"/>
    <s v="1"/>
    <s v=""/>
    <s v="Chauffage de base"/>
    <s v="Pas de réponse"/>
  </r>
  <r>
    <s v="VRB0153"/>
    <n v="3"/>
    <n v="3"/>
    <n v="9"/>
    <s v="50 à 64 ans"/>
    <n v="3"/>
    <x v="0"/>
    <n v="1"/>
    <n v="94"/>
    <s v="Pas de réponse"/>
    <s v="6"/>
    <s v="Ne sait pas"/>
    <x v="0"/>
    <s v="Poêle"/>
    <x v="1"/>
    <s v="3 à 4 jours/semaine"/>
    <s v="4"/>
    <s v="1996-2002"/>
    <s v="Bois bûche"/>
    <s v=""/>
    <s v="3"/>
    <s v="stères"/>
    <s v="2"/>
    <s v=""/>
    <s v="5"/>
    <s v="3"/>
    <s v="1 à 2 ans"/>
    <s v="Feuillus"/>
    <s v="2"/>
    <s v="Pas de réponse"/>
    <s v=""/>
    <s v="Poêle"/>
    <s v="2"/>
    <s v=""/>
    <s v="Chauffage de base"/>
    <s v="Pas de réponse"/>
  </r>
  <r>
    <s v="VRB0154"/>
    <n v="3"/>
    <n v="6"/>
    <n v="6"/>
    <s v="50 à 64 ans"/>
    <n v="4"/>
    <x v="0"/>
    <n v="1"/>
    <n v="170"/>
    <s v="1949-1975"/>
    <s v="1; 4"/>
    <s v="Ne sait pas"/>
    <x v="0"/>
    <s v="Insert / foyer fermé"/>
    <x v="0"/>
    <s v="Tous les jours"/>
    <s v="4; 5"/>
    <s v="1996-2002"/>
    <s v="Bois de récupération, à préciser"/>
    <s v=""/>
    <s v="10"/>
    <s v="stères"/>
    <s v="2"/>
    <s v=""/>
    <s v="5"/>
    <s v="2"/>
    <s v="1 à 2 ans"/>
    <s v="Les deux"/>
    <s v="2"/>
    <s v="2 fois par an"/>
    <s v=""/>
    <s v="Poêle"/>
    <s v="2"/>
    <s v=""/>
    <s v="Chauffage de base"/>
    <s v="Pas de réponse"/>
  </r>
  <r>
    <s v="VRB0155"/>
    <n v="3"/>
    <n v="5"/>
    <n v="5"/>
    <s v="35 à 49 ans"/>
    <n v="2"/>
    <x v="0"/>
    <n v="1"/>
    <n v="139"/>
    <s v="1990-2005"/>
    <s v="6"/>
    <s v="Pas de réponse"/>
    <x v="0"/>
    <s v="Insert / foyer fermé"/>
    <x v="1"/>
    <s v="Jamais"/>
    <s v="7"/>
    <s v="1990-1995"/>
    <s v="Bois bûche"/>
    <s v=""/>
    <s v=""/>
    <s v=""/>
    <s v="5"/>
    <s v=""/>
    <s v="5"/>
    <s v="2"/>
    <s v="Ne sait pas"/>
    <s v="Ne sait pas"/>
    <s v="2"/>
    <s v="Pas de réponse"/>
    <s v=""/>
    <s v="Poêle"/>
    <s v="1"/>
    <s v=""/>
    <s v="Chauffage d'appoint"/>
    <s v="Pas de réponse"/>
  </r>
  <r>
    <s v="VRB0156"/>
    <n v="3"/>
    <n v="7"/>
    <n v="9"/>
    <s v="65 ans et plus"/>
    <n v="1"/>
    <x v="0"/>
    <n v="1"/>
    <n v="100"/>
    <s v="1975-1990"/>
    <s v="1; 2; 3; 4"/>
    <s v="Pas de réponse"/>
    <x v="0"/>
    <s v="Insert / foyer fermé"/>
    <x v="1"/>
    <s v="1 à 2 jours/semaine"/>
    <s v="2"/>
    <s v="1990-1995"/>
    <s v="Bois bûche"/>
    <s v=""/>
    <s v="2"/>
    <s v="stères"/>
    <s v="4"/>
    <s v=""/>
    <s v="5"/>
    <s v="2"/>
    <s v="&gt; 2 ans"/>
    <s v="Feuillus"/>
    <s v="2"/>
    <s v="1 fois tous les 2 ans"/>
    <s v=""/>
    <s v="Insert cheminée"/>
    <s v="1"/>
    <s v=""/>
    <s v="Chauffage d'appoint"/>
    <s v="Pas de réponse"/>
  </r>
  <r>
    <s v="VRB0157"/>
    <n v="3"/>
    <n v="5"/>
    <n v="3"/>
    <s v="35 à 49 ans"/>
    <n v="3"/>
    <x v="0"/>
    <n v="1"/>
    <n v="137.76"/>
    <s v="1975-1990"/>
    <s v="6"/>
    <s v="C"/>
    <x v="0"/>
    <s v="Foyer ouvert"/>
    <x v="1"/>
    <s v="Moins de 15 fois par an"/>
    <s v="6"/>
    <s v="Avant 1990"/>
    <s v="Bois bûche"/>
    <s v=""/>
    <s v=""/>
    <s v=""/>
    <s v="1"/>
    <s v=""/>
    <s v="5"/>
    <s v="2"/>
    <s v="1 à 2 ans"/>
    <s v="Les deux"/>
    <s v="2"/>
    <s v="1 fois par an"/>
    <s v=""/>
    <s v="Poêle"/>
    <s v="2"/>
    <s v=""/>
    <s v="Chauffage d'appoint"/>
    <s v="Pas de réponse"/>
  </r>
  <r>
    <s v="VRB0158"/>
    <n v="3"/>
    <n v="7"/>
    <n v="3"/>
    <s v="50 à 64 ans"/>
    <n v="3"/>
    <x v="0"/>
    <n v="1"/>
    <n v="140"/>
    <s v="1975-1990"/>
    <s v="4"/>
    <s v="Pas de réponse"/>
    <x v="0"/>
    <s v="Insert / foyer fermé"/>
    <x v="1"/>
    <s v="3 à 4 jours/semaine"/>
    <s v="1; 2"/>
    <s v="Avant 1990"/>
    <s v="Bois bûche"/>
    <s v=""/>
    <s v="6"/>
    <s v="stères"/>
    <s v="2"/>
    <s v=""/>
    <s v="2"/>
    <s v="2"/>
    <s v="1 à 2 ans"/>
    <s v="Les deux"/>
    <s v="1"/>
    <s v="1 fois par an"/>
    <s v=""/>
    <s v="Poêle"/>
    <s v="2"/>
    <s v=""/>
    <s v="Chauffage de base"/>
    <s v="Pas de réponse"/>
  </r>
  <r>
    <s v="VRB0159"/>
    <n v="3"/>
    <n v="5"/>
    <n v="9"/>
    <s v="50 à 64 ans"/>
    <n v="2"/>
    <x v="0"/>
    <n v="1"/>
    <n v="150"/>
    <s v="1975-1990"/>
    <s v="1"/>
    <s v="Pas de réponse"/>
    <x v="0"/>
    <s v="Foyer ouvert"/>
    <x v="1"/>
    <s v="Tous les jours"/>
    <s v="2; 3"/>
    <s v="Avant 1990"/>
    <s v="Bois bûche"/>
    <s v=""/>
    <s v="2"/>
    <s v="stères"/>
    <s v="2"/>
    <s v=""/>
    <s v="1"/>
    <s v="2"/>
    <s v="&gt; 2 ans"/>
    <s v="Les deux"/>
    <s v="2"/>
    <s v="1 fois par an"/>
    <s v=""/>
    <s v="Poêle"/>
    <s v="1"/>
    <s v=""/>
    <s v="Chauffage d'appoint"/>
    <s v="Pas de réponse"/>
  </r>
  <r>
    <s v="VRB0160"/>
    <n v="3"/>
    <n v="7"/>
    <n v="7"/>
    <s v="65 ans et plus"/>
    <n v="2"/>
    <x v="0"/>
    <n v="1"/>
    <n v="400"/>
    <s v="Avant 1949"/>
    <s v="4"/>
    <s v="Pas de réponse"/>
    <x v="0"/>
    <s v="Foyer ouvert"/>
    <x v="1"/>
    <s v="3 à 4 jours/semaine"/>
    <s v="4; 5; 6"/>
    <s v="Avant 1990"/>
    <s v="Bois bûche"/>
    <s v=""/>
    <s v="5"/>
    <s v="stères"/>
    <s v="1"/>
    <s v=""/>
    <s v="6"/>
    <s v="2"/>
    <s v="1 à 2 ans"/>
    <s v="Les deux"/>
    <s v="2"/>
    <s v="1 fois tous les 2 ans"/>
    <s v=""/>
    <s v="Poêle"/>
    <s v="1"/>
    <s v=""/>
    <s v="Chauffage d'appoint"/>
    <s v="Pas de réponse"/>
  </r>
  <r>
    <s v="VRB0161"/>
    <n v="3"/>
    <n v="7"/>
    <n v="7"/>
    <s v="65 ans et plus"/>
    <n v="3"/>
    <x v="0"/>
    <n v="1"/>
    <n v="110"/>
    <s v="1990-2005"/>
    <s v="6"/>
    <s v="Pas de réponse"/>
    <x v="0"/>
    <s v="Insert / foyer fermé"/>
    <x v="1"/>
    <s v="Tous les jours"/>
    <s v="4"/>
    <s v="1990-1995"/>
    <s v="Bois bûche"/>
    <s v=""/>
    <s v="8"/>
    <s v="stères"/>
    <s v="2"/>
    <s v=""/>
    <s v="5"/>
    <s v="2"/>
    <s v="&gt; 2 ans"/>
    <s v="Feuillus"/>
    <s v="2"/>
    <s v="1 fois par an"/>
    <s v=""/>
    <s v="Insert cheminée"/>
    <s v="1"/>
    <s v=""/>
    <s v="Chauffage d'appoint"/>
    <s v="Pas de réponse"/>
  </r>
  <r>
    <s v="VRB0162"/>
    <n v="3"/>
    <n v="7"/>
    <n v="7"/>
    <s v="50 à 64 ans"/>
    <n v="2"/>
    <x v="0"/>
    <n v="1"/>
    <n v="100"/>
    <s v="Avant 1949"/>
    <s v="6"/>
    <s v="Pas de réponse"/>
    <x v="0"/>
    <s v="Poêle"/>
    <x v="0"/>
    <s v="Tous les jours"/>
    <s v="4; 5"/>
    <s v="Pas de réponse"/>
    <s v="Bois bûche"/>
    <s v=""/>
    <s v="20"/>
    <s v="stères"/>
    <s v="2"/>
    <s v=""/>
    <s v="5"/>
    <s v="2"/>
    <s v="1 à 2 ans"/>
    <s v="Feuillus"/>
    <s v="2"/>
    <s v="1 fois par an"/>
    <s v=""/>
    <s v="Poêle"/>
    <s v="1"/>
    <s v=""/>
    <s v="Chauffage de base"/>
    <s v="Pas de réponse"/>
  </r>
  <r>
    <s v="VRB0163"/>
    <n v="3"/>
    <n v="7"/>
    <n v="7"/>
    <s v="50 à 64 ans"/>
    <n v="2"/>
    <x v="0"/>
    <n v="1"/>
    <n v="100"/>
    <s v="Après 2005"/>
    <s v="6"/>
    <s v="Pas de réponse"/>
    <x v="0"/>
    <s v="Insert / foyer fermé"/>
    <x v="0"/>
    <s v="Tous les jours"/>
    <s v="4; 5; 6"/>
    <s v="Après 2002"/>
    <s v="Bois bûche"/>
    <s v=""/>
    <s v="10"/>
    <s v="stères"/>
    <s v="2"/>
    <s v=""/>
    <s v="1"/>
    <s v="2"/>
    <s v="&gt; 2 ans"/>
    <s v="Les deux"/>
    <s v="1"/>
    <s v="1 fois par an"/>
    <s v=""/>
    <s v="Poêle"/>
    <s v="2"/>
    <s v=""/>
    <s v="Chauffage de base"/>
    <s v="Pas de réponse"/>
  </r>
  <r>
    <s v="VRB0164"/>
    <n v="3"/>
    <n v="7"/>
    <n v="7"/>
    <s v="65 ans et plus"/>
    <n v="2"/>
    <x v="0"/>
    <n v="1"/>
    <n v="65"/>
    <s v="1990-2005"/>
    <s v="3"/>
    <s v="Pas de réponse"/>
    <x v="0"/>
    <s v="Insert / foyer fermé"/>
    <x v="0"/>
    <s v="Tous les jours"/>
    <s v="1; 2; 4"/>
    <s v="1990-1995"/>
    <s v="Bois bûche"/>
    <s v=""/>
    <s v="12"/>
    <s v="stères"/>
    <s v="2"/>
    <s v=""/>
    <s v="2"/>
    <s v="1"/>
    <s v="1 à 2 ans"/>
    <s v="Feuillus"/>
    <s v="1"/>
    <s v="2 fois par an"/>
    <s v=""/>
    <s v="Poêle"/>
    <s v="1"/>
    <s v=""/>
    <s v="Chauffage de base"/>
    <s v="Pas de réponse"/>
  </r>
  <r>
    <s v="VRB0165"/>
    <n v="3"/>
    <n v="5"/>
    <n v="3"/>
    <s v="25 à 34 ans"/>
    <n v="2"/>
    <x v="0"/>
    <n v="1"/>
    <n v="89"/>
    <s v="1990-2005"/>
    <s v="6"/>
    <s v="C"/>
    <x v="0"/>
    <s v="Insert / foyer fermé"/>
    <x v="1"/>
    <s v="Jamais"/>
    <s v="7"/>
    <s v="1996-2002"/>
    <s v="Bois bûche"/>
    <s v=""/>
    <s v="0"/>
    <s v=""/>
    <s v="5"/>
    <s v=""/>
    <s v="6"/>
    <s v="2"/>
    <s v="Pas de réponse"/>
    <s v="Pas de réponse"/>
    <s v="3"/>
    <s v="Pas de réponse"/>
    <s v=""/>
    <s v="poêle de masse"/>
    <s v="1"/>
    <s v=""/>
    <s v="Chauffage d'appoint"/>
    <s v="Pas de réponse"/>
  </r>
  <r>
    <s v="VRB0166"/>
    <n v="3"/>
    <n v="7"/>
    <n v="7"/>
    <s v="50 à 64 ans"/>
    <n v="2"/>
    <x v="0"/>
    <n v="1"/>
    <n v="85"/>
    <s v="Après 2005"/>
    <s v="6"/>
    <s v="D"/>
    <x v="0"/>
    <s v="Pas de réponse"/>
    <x v="3"/>
    <s v="Pas de réponse"/>
    <s v="7"/>
    <s v="Pas de réponse"/>
    <s v="Bois bûche"/>
    <s v=""/>
    <s v="3"/>
    <s v="stères"/>
    <s v="2; 3; 4"/>
    <s v="Point de vente spécialisé"/>
    <s v="3"/>
    <s v="1"/>
    <s v="Pas de réponse"/>
    <s v="Les deux"/>
    <s v="2"/>
    <s v="1 fois par an"/>
    <s v=""/>
    <s v="Poêle"/>
    <s v="3"/>
    <s v="Bûches densifiés"/>
    <s v="Chauffage de base"/>
    <s v="Pas de réponse"/>
  </r>
  <r>
    <s v="VRB0167"/>
    <n v="3"/>
    <n v="7"/>
    <n v="7"/>
    <s v="65 ans et plus"/>
    <n v="3"/>
    <x v="0"/>
    <n v="1"/>
    <n v="120"/>
    <s v="1975-1990"/>
    <s v="4"/>
    <s v="Pas de réponse"/>
    <x v="0"/>
    <s v="Insert / foyer fermé"/>
    <x v="0"/>
    <s v="Tous les jours"/>
    <s v="4"/>
    <s v="1996-2002"/>
    <s v="Bois bûche"/>
    <s v=""/>
    <s v="12"/>
    <s v="stères"/>
    <s v="2"/>
    <s v=""/>
    <s v="1"/>
    <s v="2"/>
    <s v="1 à 2 ans"/>
    <s v="Feuillus"/>
    <s v="1"/>
    <s v="2 fois par an"/>
    <s v=""/>
    <s v="Insert cheminée"/>
    <s v="1"/>
    <s v=""/>
    <s v="Chauffage d'appoint"/>
    <s v="Pas de réponse"/>
  </r>
  <r>
    <s v="VRB0168"/>
    <n v="3"/>
    <n v="5"/>
    <n v="3"/>
    <s v="35 à 49 ans"/>
    <n v="4"/>
    <x v="0"/>
    <n v="1"/>
    <n v="150"/>
    <s v="Avant 1949"/>
    <s v="6"/>
    <s v="Pas de réponse"/>
    <x v="0"/>
    <s v="Insert / foyer fermé"/>
    <x v="0"/>
    <s v="Tous les jours"/>
    <s v="4; 5"/>
    <s v="Avant 1990"/>
    <s v="Bois bûche"/>
    <s v=""/>
    <s v="10,5"/>
    <s v="stères"/>
    <s v="2"/>
    <s v=""/>
    <s v="5"/>
    <s v="2"/>
    <s v="&gt; 2 ans"/>
    <s v="Les deux"/>
    <s v="2"/>
    <s v="Autre, à préciser"/>
    <s v="1 fois par an par ancien propriétaire"/>
    <s v="Poêle"/>
    <s v="1"/>
    <s v=""/>
    <s v="Chauffage de base"/>
    <s v="Pas de réponse"/>
  </r>
  <r>
    <s v="VRB0169"/>
    <n v="3"/>
    <n v="8"/>
    <n v="3"/>
    <s v="50 à 64 ans"/>
    <n v="2"/>
    <x v="0"/>
    <n v="1"/>
    <n v="80"/>
    <s v="1975-1990"/>
    <s v="4"/>
    <s v="Pas de réponse"/>
    <x v="0"/>
    <s v="Insert / foyer fermé"/>
    <x v="0"/>
    <s v="Tous les jours"/>
    <s v="4"/>
    <s v="1990-1995"/>
    <s v="Bois bûche"/>
    <s v=""/>
    <s v="10"/>
    <s v="stères"/>
    <s v="1"/>
    <s v=""/>
    <s v="3"/>
    <s v="2"/>
    <s v="1 à 2 ans"/>
    <s v="Feuillus"/>
    <s v="1"/>
    <s v="2 fois par an"/>
    <s v=""/>
    <s v="Poêle"/>
    <s v="1"/>
    <s v=""/>
    <s v="Chauffage de base"/>
    <s v="Pas de réponse"/>
  </r>
  <r>
    <s v="VRB0170"/>
    <n v="3"/>
    <n v="3"/>
    <n v="3"/>
    <s v="25 à 34 ans"/>
    <n v="4"/>
    <x v="0"/>
    <n v="1"/>
    <n v="86"/>
    <s v="1990-2005"/>
    <s v="1"/>
    <s v="Pas de réponse"/>
    <x v="0"/>
    <s v="Insert / foyer fermé"/>
    <x v="1"/>
    <s v="3 à 4 jours/semaine"/>
    <s v="2; 3; 4; 6"/>
    <s v="1996-2002"/>
    <s v="Bois bûche"/>
    <s v=""/>
    <s v="6"/>
    <s v="stères"/>
    <s v="4"/>
    <s v=""/>
    <s v="5"/>
    <s v="1"/>
    <s v="1 à 2 ans"/>
    <s v="Les deux"/>
    <s v="2"/>
    <s v="1 fois par an"/>
    <s v=""/>
    <s v="Poêle"/>
    <s v="1"/>
    <s v=""/>
    <s v="Chauffage de base"/>
    <s v="Pas de réponse"/>
  </r>
  <r>
    <s v="VRB0171"/>
    <n v="3"/>
    <n v="4"/>
    <n v="9"/>
    <s v="50 à 64 ans"/>
    <n v="1"/>
    <x v="0"/>
    <n v="1"/>
    <n v="110"/>
    <s v="1975-1990"/>
    <s v="4"/>
    <s v="Pas de réponse"/>
    <x v="0"/>
    <s v="Insert / foyer fermé"/>
    <x v="0"/>
    <s v="Tous les jours"/>
    <s v="2; 5"/>
    <s v="Avant 1990"/>
    <s v="Bois bûche"/>
    <s v=""/>
    <s v="10"/>
    <s v="stères"/>
    <s v="1"/>
    <s v=""/>
    <s v="1"/>
    <s v="2"/>
    <s v="1 à 2 ans"/>
    <s v="Feuillus"/>
    <s v="1"/>
    <s v="2 fois par an"/>
    <s v=""/>
    <s v="Poêle"/>
    <s v="1"/>
    <s v=""/>
    <s v="Chauffage de base"/>
    <s v="Pas de réponse"/>
  </r>
  <r>
    <s v="VRB0172"/>
    <n v="3"/>
    <n v="5"/>
    <n v="9"/>
    <s v="35 à 49 ans"/>
    <n v="4"/>
    <x v="0"/>
    <n v="1"/>
    <n v="150"/>
    <s v="Avant 1949"/>
    <s v="6"/>
    <s v="Pas de réponse"/>
    <x v="0"/>
    <s v="Foyer ouvert"/>
    <x v="0"/>
    <s v="Tous les jours"/>
    <s v="1; 2; 3; 4; 5; 6"/>
    <s v="1990-1995"/>
    <s v="Bois bûche"/>
    <s v=""/>
    <s v="15"/>
    <s v="stères"/>
    <s v="2"/>
    <s v=""/>
    <s v="5"/>
    <s v="2"/>
    <s v="&gt; 2 ans"/>
    <s v="Feuillus"/>
    <s v="1"/>
    <s v="1 fois par an"/>
    <s v=""/>
    <s v="Poêle"/>
    <s v="1; 2"/>
    <s v=""/>
    <s v="Chauffage de base"/>
    <s v="Pas de réponse"/>
  </r>
  <r>
    <s v="VRB0173"/>
    <n v="3"/>
    <n v="7"/>
    <n v="7"/>
    <s v="50 à 64 ans"/>
    <n v="2"/>
    <x v="0"/>
    <n v="1"/>
    <n v="160"/>
    <s v="1949-1975"/>
    <s v="2"/>
    <s v="Pas de réponse"/>
    <x v="0"/>
    <s v="Insert / foyer fermé"/>
    <x v="1"/>
    <s v="Pas de réponse"/>
    <s v="4"/>
    <s v="Avant 1990"/>
    <s v="Bois bûche"/>
    <s v=""/>
    <s v="5"/>
    <s v="stères"/>
    <s v="2"/>
    <s v=""/>
    <s v="2"/>
    <s v="2"/>
    <s v="&gt; 2 ans"/>
    <s v="Feuillus"/>
    <s v="2"/>
    <s v="1 fois par an"/>
    <s v=""/>
    <s v="Insert cheminée"/>
    <s v="1"/>
    <s v=""/>
    <s v="Chauffage d'appoint"/>
    <s v="Pas de réponse"/>
  </r>
  <r>
    <s v="VRB0174"/>
    <n v="3"/>
    <n v="5"/>
    <n v="9"/>
    <s v="50 à 64 ans"/>
    <n v="2"/>
    <x v="0"/>
    <n v="1"/>
    <n v="100"/>
    <s v="1949-1975"/>
    <s v="1"/>
    <s v="Pas de réponse"/>
    <x v="0"/>
    <s v="Insert / foyer fermé"/>
    <x v="3"/>
    <s v="3 à 4 jours/semaine"/>
    <s v="2; 6"/>
    <s v="Avant 1990"/>
    <s v="Bois bûche"/>
    <s v=""/>
    <s v="6"/>
    <s v="stères"/>
    <s v="2"/>
    <s v=""/>
    <s v="1"/>
    <s v="2"/>
    <s v="1 à 2 ans"/>
    <s v="Les deux"/>
    <s v="2"/>
    <s v="1 fois par an"/>
    <s v=""/>
    <s v="Poêle"/>
    <s v="2"/>
    <s v=""/>
    <s v="Chauffage de base"/>
    <s v="Pas de réponse"/>
  </r>
  <r>
    <s v="VRB0175"/>
    <n v="3"/>
    <n v="8"/>
    <n v="9"/>
    <s v="50 à 64 ans"/>
    <n v="3"/>
    <x v="0"/>
    <n v="1"/>
    <n v="100"/>
    <s v="1990-2005"/>
    <s v="6"/>
    <s v="Pas de réponse"/>
    <x v="0"/>
    <s v="Insert / foyer fermé"/>
    <x v="0"/>
    <s v="Tous les jours"/>
    <s v="4"/>
    <s v="1996-2002"/>
    <s v="Bois bûche"/>
    <s v=""/>
    <s v="6"/>
    <s v="stères"/>
    <s v="2"/>
    <s v=""/>
    <s v="2"/>
    <s v="3"/>
    <s v="&gt; 2 ans"/>
    <s v="Feuillus"/>
    <s v="2"/>
    <s v="1 fois par an"/>
    <s v=""/>
    <s v="Poêle"/>
    <s v="1"/>
    <s v=""/>
    <s v="Chauffage de base"/>
    <s v="Pas de réponse"/>
  </r>
  <r>
    <s v="VRB0176"/>
    <n v="3"/>
    <n v="8"/>
    <n v="9"/>
    <s v="35 à 49 ans"/>
    <n v="3"/>
    <x v="0"/>
    <n v="1"/>
    <n v="100"/>
    <s v="Avant 1949"/>
    <s v="1; 2; 3; 4"/>
    <s v="Pas de réponse"/>
    <x v="0"/>
    <s v="Poêle"/>
    <x v="0"/>
    <s v="Tous les jours"/>
    <s v="1; 2; 4"/>
    <s v="1996-2002"/>
    <s v="Bois bûche"/>
    <s v=""/>
    <s v=""/>
    <s v=""/>
    <s v="2"/>
    <s v=""/>
    <s v="5"/>
    <s v="2"/>
    <s v="1 à 2 ans"/>
    <s v="Les deux"/>
    <s v="1"/>
    <s v="1 fois par an"/>
    <s v=""/>
    <s v="Poêle"/>
    <s v="2"/>
    <s v=""/>
    <s v="Chauffage de base"/>
    <s v="Pas de réponse"/>
  </r>
  <r>
    <s v="VRB0177"/>
    <n v="3"/>
    <n v="2"/>
    <n v="3"/>
    <s v="25 à 34 ans"/>
    <n v="2"/>
    <x v="0"/>
    <n v="1"/>
    <n v="110"/>
    <s v="1975-1990"/>
    <s v="4"/>
    <s v="Ne sait pas"/>
    <x v="0"/>
    <s v="Insert / foyer fermé"/>
    <x v="0"/>
    <s v="Tous les jours"/>
    <s v="1; 2; 3; 4; 5; 6"/>
    <s v="1990-1995"/>
    <s v="Bois bûche"/>
    <s v=""/>
    <s v="10"/>
    <s v="stères"/>
    <s v="2"/>
    <s v=""/>
    <s v="2"/>
    <s v="2"/>
    <s v="&gt; 2 ans"/>
    <s v="Feuillus"/>
    <s v="2"/>
    <s v="2 fois par an"/>
    <s v=""/>
    <s v="Poêle"/>
    <s v="1"/>
    <s v=""/>
    <s v="Chauffage de base"/>
    <s v="Pas de réponse"/>
  </r>
  <r>
    <s v="VRB0178"/>
    <n v="3"/>
    <n v="3"/>
    <n v="3"/>
    <s v="25 à 34 ans"/>
    <n v="2"/>
    <x v="0"/>
    <n v="1"/>
    <n v="140"/>
    <s v="Avant 1949"/>
    <s v="6"/>
    <s v="Pas de réponse"/>
    <x v="0"/>
    <s v="Insert / foyer fermé"/>
    <x v="0"/>
    <s v="Tous les jours"/>
    <s v="1; 2"/>
    <s v="Avant 1990"/>
    <s v="Bois bûche"/>
    <s v=""/>
    <s v=""/>
    <s v=""/>
    <s v="5"/>
    <s v=""/>
    <s v="5"/>
    <s v="2"/>
    <s v="Ne sait pas"/>
    <s v="Ne sait pas"/>
    <s v="2"/>
    <s v="1 fois par an"/>
    <s v=""/>
    <s v="Chaudière"/>
    <s v="2"/>
    <s v=""/>
    <s v="Chauffage de base"/>
    <s v="Pas de réponse"/>
  </r>
  <r>
    <s v="VRB0179"/>
    <n v="3"/>
    <n v="7"/>
    <n v="7"/>
    <s v="65 ans et plus"/>
    <n v="2"/>
    <x v="0"/>
    <n v="1"/>
    <n v="60"/>
    <s v="1949-1975"/>
    <s v="1; 2; 4"/>
    <s v="Pas de réponse"/>
    <x v="0"/>
    <s v="Insert / foyer fermé"/>
    <x v="1"/>
    <s v="3 à 4 jours/semaine"/>
    <s v="2; 3; 4"/>
    <s v="Avant 1990"/>
    <s v="Bois bûche"/>
    <s v=""/>
    <s v="3"/>
    <s v="stères"/>
    <s v="1"/>
    <s v=""/>
    <s v="3"/>
    <s v="2"/>
    <s v="1 à 2 ans"/>
    <s v="Les deux"/>
    <s v="1"/>
    <s v="1 fois tous les 2 ans"/>
    <s v=""/>
    <s v="Poêle"/>
    <s v="1"/>
    <s v=""/>
    <s v="Chauffage d'appoint"/>
    <s v="Pas de réponse"/>
  </r>
  <r>
    <s v="VRB0181"/>
    <n v="3"/>
    <n v="5"/>
    <n v="3"/>
    <s v="35 à 49 ans"/>
    <n v="5"/>
    <x v="0"/>
    <n v="1"/>
    <n v="110"/>
    <s v="Avant 1949"/>
    <s v="1"/>
    <s v="Pas de réponse"/>
    <x v="0"/>
    <s v="Insert / foyer fermé"/>
    <x v="0"/>
    <s v="Tous les jours"/>
    <s v="4; 5"/>
    <s v="1996-2002"/>
    <s v="Bois bûche"/>
    <s v=""/>
    <s v="10"/>
    <s v="m3"/>
    <s v="2"/>
    <s v=""/>
    <s v="2"/>
    <s v="2"/>
    <s v="1 à 2 ans"/>
    <s v="Les deux"/>
    <s v="2"/>
    <s v="1 fois par an"/>
    <s v=""/>
    <s v="Insert cheminée"/>
    <s v="1"/>
    <s v=""/>
    <s v="Chauffage de base"/>
    <s v="Pas de réponse"/>
  </r>
  <r>
    <s v="VRB0182"/>
    <n v="3"/>
    <n v="5"/>
    <n v="3"/>
    <s v="50 à 64 ans"/>
    <n v="2"/>
    <x v="0"/>
    <n v="1"/>
    <n v="100"/>
    <s v="1990-2005"/>
    <s v="6"/>
    <s v="Pas de réponse"/>
    <x v="0"/>
    <s v="Insert / foyer fermé"/>
    <x v="0"/>
    <s v="Tous les jours"/>
    <s v="4"/>
    <s v="1996-2002"/>
    <s v="Bois bûche"/>
    <s v=""/>
    <s v="12"/>
    <s v="stères"/>
    <s v="2"/>
    <s v=""/>
    <s v="1"/>
    <s v="2"/>
    <s v="&gt; 2 ans"/>
    <s v="Feuillus"/>
    <s v="1"/>
    <s v="2 fois par an"/>
    <s v=""/>
    <s v="Poêle"/>
    <s v="2"/>
    <s v=""/>
    <s v="Chauffage de base"/>
    <s v="Pas de réponse"/>
  </r>
  <r>
    <s v="VRB0183"/>
    <n v="3"/>
    <n v="2"/>
    <n v="2"/>
    <s v="25 à 34 ans"/>
    <n v="2"/>
    <x v="0"/>
    <n v="1"/>
    <n v="150"/>
    <s v="1990-2005"/>
    <s v="6"/>
    <s v="C"/>
    <x v="0"/>
    <s v="Insert / foyer fermé"/>
    <x v="2"/>
    <s v="Moins de 15 fois par an"/>
    <s v="4"/>
    <s v="1990-1995"/>
    <s v="Bois bûche"/>
    <s v=""/>
    <s v=""/>
    <s v=""/>
    <s v="1"/>
    <s v=""/>
    <s v="5"/>
    <s v="1"/>
    <s v="1 à 2 ans"/>
    <s v="Les deux"/>
    <s v="2"/>
    <s v="1 fois par an"/>
    <s v=""/>
    <s v="Poêle"/>
    <s v="1"/>
    <s v=""/>
    <s v="Chauffage d'appoint"/>
    <s v="Pas de réponse"/>
  </r>
  <r>
    <s v="VRB0184"/>
    <n v="3"/>
    <n v="3"/>
    <n v="3"/>
    <s v="35 à 49 ans"/>
    <n v="4"/>
    <x v="0"/>
    <n v="1"/>
    <n v="0"/>
    <s v="1990-2005"/>
    <s v="6"/>
    <s v="Pas de réponse"/>
    <x v="0"/>
    <s v="Insert / foyer fermé"/>
    <x v="0"/>
    <s v="Tous les jours"/>
    <s v="4"/>
    <s v="1996-2002"/>
    <s v="Bois bûche"/>
    <s v=""/>
    <s v="10"/>
    <s v="stères"/>
    <s v="2"/>
    <s v=""/>
    <s v="1"/>
    <s v="2"/>
    <s v="&gt; 2 ans"/>
    <s v="Les deux"/>
    <s v="2"/>
    <s v="1 fois par an"/>
    <s v=""/>
    <s v="Poêle"/>
    <s v="1"/>
    <s v=""/>
    <s v="Chauffage de base"/>
    <s v="Pas de réponse"/>
  </r>
  <r>
    <s v="VRB0185"/>
    <n v="3"/>
    <n v="3"/>
    <n v="3"/>
    <s v="50 à 64 ans"/>
    <n v="2"/>
    <x v="0"/>
    <n v="1"/>
    <n v="106"/>
    <s v="1990-2005"/>
    <s v="6"/>
    <s v="Pas de réponse"/>
    <x v="0"/>
    <s v="Foyer ouvert"/>
    <x v="0"/>
    <s v="Tous les jours"/>
    <s v="4; 5; 6"/>
    <s v="1996-2002"/>
    <s v="Bois bûche"/>
    <s v=""/>
    <s v="10"/>
    <s v="stères"/>
    <s v="2"/>
    <s v=""/>
    <s v="5"/>
    <s v="2"/>
    <s v="1 à 2 ans"/>
    <s v="Les deux"/>
    <s v="1"/>
    <s v="1 fois par an"/>
    <s v=""/>
    <s v="Poêle"/>
    <s v="2"/>
    <s v=""/>
    <s v="Chauffage de base"/>
    <s v="Pas de réponse"/>
  </r>
  <r>
    <s v="VRB0186"/>
    <n v="3"/>
    <n v="7"/>
    <n v="7"/>
    <s v="65 ans et plus"/>
    <n v="2"/>
    <x v="0"/>
    <n v="1"/>
    <n v="120"/>
    <s v="Après 2005"/>
    <s v="6"/>
    <s v="Pas de réponse"/>
    <x v="0"/>
    <s v="Poêle"/>
    <x v="0"/>
    <s v="Tous les jours"/>
    <s v="1; 2; 3"/>
    <s v="Avant 1990"/>
    <s v="Bois bûche"/>
    <s v=""/>
    <s v="6"/>
    <s v="stères"/>
    <s v="2"/>
    <s v=""/>
    <s v="1"/>
    <s v="1"/>
    <s v="&gt; 2 ans"/>
    <s v="Feuillus"/>
    <s v="2"/>
    <s v="1 fois par an"/>
    <s v=""/>
    <s v="Poêle"/>
    <s v="2"/>
    <s v=""/>
    <s v="Chauffage de base"/>
    <s v="Pas de réponse"/>
  </r>
  <r>
    <s v="VRB0187"/>
    <n v="3"/>
    <n v="7"/>
    <n v="7"/>
    <s v="50 à 64 ans"/>
    <n v="3"/>
    <x v="0"/>
    <n v="1"/>
    <n v="161"/>
    <s v="Pas de réponse"/>
    <s v="6"/>
    <s v="Pas de réponse"/>
    <x v="0"/>
    <s v="Cuisinière"/>
    <x v="0"/>
    <s v="Tous les jours"/>
    <s v="1"/>
    <s v="Avant 1990"/>
    <s v="Bois bûche"/>
    <s v=""/>
    <s v="7"/>
    <s v="stères"/>
    <s v="2"/>
    <s v=""/>
    <s v="2"/>
    <s v="2"/>
    <s v="&gt; 2 ans"/>
    <s v="Feuillus"/>
    <s v="2"/>
    <s v="1 fois par an"/>
    <s v=""/>
    <s v="Cuisinière"/>
    <s v="1"/>
    <s v=""/>
    <s v="Chauffage de base"/>
    <s v="Pas de réponse"/>
  </r>
  <r>
    <s v="VRB0188"/>
    <n v="3"/>
    <n v="7"/>
    <n v="8"/>
    <s v="65 ans et plus"/>
    <n v="2"/>
    <x v="0"/>
    <n v="1"/>
    <n v="95"/>
    <s v="1975-1990"/>
    <s v="1; 4"/>
    <s v="Pas de réponse"/>
    <x v="0"/>
    <s v="Insert / foyer fermé"/>
    <x v="1"/>
    <s v="Tous les jours"/>
    <s v="4"/>
    <s v="Avant 1990"/>
    <s v="Bois bûche"/>
    <s v=""/>
    <s v="8"/>
    <s v="stères"/>
    <s v="2"/>
    <s v=""/>
    <s v="1"/>
    <s v="2"/>
    <s v="&gt; 2 ans"/>
    <s v="Feuillus"/>
    <s v="2"/>
    <s v="1 fois par an"/>
    <s v=""/>
    <s v="Poêle"/>
    <s v="1"/>
    <s v=""/>
    <s v="Chauffage d'appoint"/>
    <s v="Pas de réponse"/>
  </r>
  <r>
    <s v="VRB0189"/>
    <n v="3"/>
    <n v="7"/>
    <n v="7"/>
    <s v="65 ans et plus"/>
    <n v="2"/>
    <x v="0"/>
    <n v="1"/>
    <n v="100"/>
    <s v="Après 2005"/>
    <s v="6"/>
    <s v="Pas de réponse"/>
    <x v="0"/>
    <s v="Poêle"/>
    <x v="0"/>
    <s v="Tous les jours"/>
    <s v="4; 5; 6"/>
    <s v="1996-2002"/>
    <s v="Bois bûche"/>
    <s v=""/>
    <s v="10"/>
    <s v="stères"/>
    <s v="1"/>
    <s v=""/>
    <s v="1"/>
    <s v="2"/>
    <s v="&gt; 2 ans"/>
    <s v="Feuillus"/>
    <s v="1"/>
    <s v="2 fois par an"/>
    <s v=""/>
    <s v="Poêle"/>
    <s v="2"/>
    <s v=""/>
    <s v="Chauffage de base"/>
    <s v="Pas de réponse"/>
  </r>
  <r>
    <s v="VRB0190"/>
    <n v="3"/>
    <n v="7"/>
    <n v="9"/>
    <s v="65 ans et plus"/>
    <n v="1"/>
    <x v="0"/>
    <n v="1"/>
    <n v="110"/>
    <s v="1975-1990"/>
    <s v="1"/>
    <s v="Pas de réponse"/>
    <x v="0"/>
    <s v="Insert / foyer fermé"/>
    <x v="0"/>
    <s v="Tous les jours"/>
    <s v="2"/>
    <s v="1990-1995"/>
    <s v="Bois bûche"/>
    <s v=""/>
    <s v="10"/>
    <s v="stères"/>
    <s v="1"/>
    <s v=""/>
    <s v="6"/>
    <s v="2"/>
    <s v="&gt; 2 ans"/>
    <s v="Feuillus"/>
    <s v="1"/>
    <s v="2 fois par an"/>
    <s v=""/>
    <s v="Insert cheminée"/>
    <s v="1"/>
    <s v=""/>
    <s v="Chauffage de base"/>
    <s v="Pas de réponse"/>
  </r>
  <r>
    <s v="VRB0191"/>
    <n v="3"/>
    <n v="7"/>
    <n v="7"/>
    <s v="65 ans et plus"/>
    <n v="2"/>
    <x v="0"/>
    <n v="1"/>
    <n v="100"/>
    <s v="1949-1975"/>
    <s v="4"/>
    <s v="Pas de réponse"/>
    <x v="0"/>
    <s v="Poêle"/>
    <x v="0"/>
    <s v="Tous les jours"/>
    <s v="1; 4"/>
    <s v="Avant 1990"/>
    <s v="Bois bûche"/>
    <s v=""/>
    <s v="10"/>
    <s v="stères"/>
    <s v="2"/>
    <s v=""/>
    <s v="5"/>
    <s v="2"/>
    <s v="1 à 2 ans"/>
    <s v="Feuillus"/>
    <s v="1"/>
    <s v="1 fois par an"/>
    <s v=""/>
    <s v="Poêle"/>
    <s v="2"/>
    <s v=""/>
    <s v="Chauffage de base"/>
    <s v="Pas de réponse"/>
  </r>
  <r>
    <s v="VRB0192"/>
    <n v="3"/>
    <n v="7"/>
    <n v="9"/>
    <s v="65 ans et plus"/>
    <n v="1"/>
    <x v="0"/>
    <n v="1"/>
    <n v="120"/>
    <s v="1990-2005"/>
    <s v="6"/>
    <s v="Pas de réponse"/>
    <x v="0"/>
    <s v="Insert / foyer fermé"/>
    <x v="0"/>
    <s v="Tous les jours"/>
    <s v="2"/>
    <s v="1990-1995"/>
    <s v="Bois bûche"/>
    <s v=""/>
    <s v="5"/>
    <s v="stères"/>
    <s v="2"/>
    <s v=""/>
    <s v="1"/>
    <s v="1; 2"/>
    <s v="&gt; 2 ans"/>
    <s v="Feuillus"/>
    <s v="2"/>
    <s v="1 fois par an"/>
    <s v=""/>
    <s v="Insert cheminée"/>
    <s v="1"/>
    <s v=""/>
    <s v="Chauffage de base"/>
    <s v="Pas de réponse"/>
  </r>
  <r>
    <s v="VRB0193"/>
    <n v="3"/>
    <n v="7"/>
    <n v="9"/>
    <s v="65 ans et plus"/>
    <n v="1"/>
    <x v="0"/>
    <n v="1"/>
    <n v="120"/>
    <s v="1975-1990"/>
    <s v="6"/>
    <s v="Pas de réponse"/>
    <x v="0"/>
    <s v="Insert / foyer fermé"/>
    <x v="0"/>
    <s v="Tous les jours"/>
    <s v="1; 2; 3; 4; 5; 6"/>
    <s v="Avant 1990"/>
    <s v="Bois bûche"/>
    <s v=""/>
    <s v="18"/>
    <s v="stères"/>
    <s v="1"/>
    <s v=""/>
    <s v="1"/>
    <s v="2"/>
    <s v="&gt; 2 ans"/>
    <s v="Feuillus"/>
    <s v="2"/>
    <s v="1 fois par an"/>
    <s v=""/>
    <s v="Insert cheminée"/>
    <s v="1"/>
    <s v=""/>
    <s v="Chauffage de base"/>
    <s v="Pas de réponse"/>
  </r>
  <r>
    <s v="VRB0194"/>
    <n v="3"/>
    <n v="7"/>
    <n v="9"/>
    <s v="65 ans et plus"/>
    <n v="1"/>
    <x v="0"/>
    <n v="1"/>
    <n v="120"/>
    <s v="1975-1990"/>
    <s v="6"/>
    <s v="Pas de réponse"/>
    <x v="0"/>
    <s v="Insert / foyer fermé"/>
    <x v="0"/>
    <s v="Tous les jours"/>
    <s v="1; 2; 5"/>
    <s v="1996-2002"/>
    <s v="Bois bûche"/>
    <s v=""/>
    <s v="8"/>
    <s v="stères"/>
    <s v="2"/>
    <s v=""/>
    <s v="1"/>
    <s v="2"/>
    <s v="1 à 2 ans"/>
    <s v="Les deux"/>
    <s v="1"/>
    <s v="1 fois par an"/>
    <s v=""/>
    <s v="Poêle"/>
    <s v="2"/>
    <s v=""/>
    <s v="Chauffage de base"/>
    <s v="Pas de réponse"/>
  </r>
  <r>
    <s v="VRB0195"/>
    <n v="3"/>
    <n v="9"/>
    <n v="9"/>
    <s v="50 à 64 ans"/>
    <n v="3"/>
    <x v="0"/>
    <n v="1"/>
    <n v="100"/>
    <s v="1949-1975"/>
    <s v="6"/>
    <s v="Pas de réponse"/>
    <x v="0"/>
    <s v="Insert / foyer fermé"/>
    <x v="1"/>
    <s v="3 à 4 jours/semaine"/>
    <s v="2"/>
    <s v="1990-1995"/>
    <s v="Bois bûche"/>
    <s v=""/>
    <s v="6"/>
    <s v="stères"/>
    <s v="1; 2"/>
    <s v=""/>
    <s v="5"/>
    <s v="2"/>
    <s v="&gt; 2 ans"/>
    <s v="Les deux"/>
    <s v="2"/>
    <s v="1 fois par an"/>
    <s v=""/>
    <s v="Poêle"/>
    <s v="1"/>
    <s v=""/>
    <s v="Chauffage d'appoint"/>
    <s v="Pas de réponse"/>
  </r>
  <r>
    <s v="VRB0196"/>
    <n v="3"/>
    <n v="1"/>
    <n v="9"/>
    <s v="50 à 64 ans"/>
    <n v="1"/>
    <x v="0"/>
    <n v="1"/>
    <n v="80"/>
    <s v="Avant 1949"/>
    <s v="4"/>
    <s v="Pas de réponse"/>
    <x v="0"/>
    <s v="Poêle"/>
    <x v="0"/>
    <s v="Tous les jours"/>
    <s v="4"/>
    <s v="1996-2002"/>
    <s v="Bois bûche"/>
    <s v=""/>
    <s v="25"/>
    <s v="stères"/>
    <s v="1"/>
    <s v=""/>
    <s v="1"/>
    <s v="2"/>
    <s v="&gt; 2 ans"/>
    <s v="Feuillus"/>
    <s v="1"/>
    <s v="2 fois par an"/>
    <s v=""/>
    <s v="Poêle"/>
    <s v="1"/>
    <s v=""/>
    <s v="Chauffage de base"/>
    <s v="Pas de réponse"/>
  </r>
  <r>
    <s v="VRB0197"/>
    <n v="3"/>
    <n v="7"/>
    <n v="9"/>
    <s v="65 ans et plus"/>
    <n v="1"/>
    <x v="0"/>
    <n v="1"/>
    <n v="32"/>
    <s v="Avant 1949"/>
    <s v="6"/>
    <s v="Pas de réponse"/>
    <x v="0"/>
    <s v="Cuisinière"/>
    <x v="1"/>
    <s v="1 à 2 jours/semaine"/>
    <s v="4"/>
    <s v="1990-1995"/>
    <s v="Bois bûche"/>
    <s v=""/>
    <s v=""/>
    <s v=""/>
    <s v="1"/>
    <s v=""/>
    <s v="6"/>
    <s v="1; 2"/>
    <s v="Pas de réponse"/>
    <s v="Les deux"/>
    <s v="1; 2"/>
    <s v="1 fois par an"/>
    <s v=""/>
    <s v="Poêle"/>
    <s v="1"/>
    <s v=""/>
    <s v="Chauffage d'appoint"/>
    <s v="Pas de réponse"/>
  </r>
  <r>
    <s v="VRB0198"/>
    <n v="3"/>
    <n v="7"/>
    <n v="9"/>
    <s v="65 ans et plus"/>
    <n v="1"/>
    <x v="0"/>
    <n v="1"/>
    <n v="120"/>
    <s v="1975-1990"/>
    <s v="6"/>
    <s v="Pas de réponse"/>
    <x v="0"/>
    <s v="Insert / foyer fermé"/>
    <x v="1"/>
    <s v="Tous les jours"/>
    <s v="4"/>
    <s v="Avant 1990"/>
    <s v="Bois bûche"/>
    <s v=""/>
    <s v="8"/>
    <s v="stères"/>
    <s v="1"/>
    <s v=""/>
    <s v="6"/>
    <s v="1"/>
    <s v="&gt; 2 ans"/>
    <s v="Feuillus"/>
    <s v="1"/>
    <s v="2 fois par an"/>
    <s v=""/>
    <s v="Insert cheminée"/>
    <s v="1"/>
    <s v=""/>
    <s v="Chauffage d'appoint"/>
    <s v="Pas de réponse"/>
  </r>
  <r>
    <s v="VRB0199"/>
    <n v="3"/>
    <n v="7"/>
    <n v="9"/>
    <s v="50 à 64 ans"/>
    <n v="1"/>
    <x v="0"/>
    <n v="1"/>
    <n v="88"/>
    <s v="1990-2005"/>
    <s v="6"/>
    <s v="Pas de réponse"/>
    <x v="0"/>
    <s v="Insert / foyer fermé"/>
    <x v="0"/>
    <s v="Tous les jours"/>
    <s v="1; 2; 3; 4; 5"/>
    <s v="1990-1995"/>
    <s v="Bois bûche"/>
    <s v=""/>
    <s v="8"/>
    <s v="stères"/>
    <s v="2"/>
    <s v=""/>
    <s v="5"/>
    <s v="2"/>
    <s v="&gt; 2 ans"/>
    <s v="Feuillus"/>
    <s v="1"/>
    <s v="1 fois par an"/>
    <s v=""/>
    <s v="Poêle"/>
    <s v="2"/>
    <s v=""/>
    <s v="Chauffage de base"/>
    <s v="Pas de réponse"/>
  </r>
  <r>
    <s v="VRB0200"/>
    <n v="3"/>
    <n v="3"/>
    <n v="3"/>
    <s v="25 à 34 ans"/>
    <n v="3"/>
    <x v="0"/>
    <n v="1"/>
    <n v="90"/>
    <s v="1990-2005"/>
    <s v="4"/>
    <s v="Pas de réponse"/>
    <x v="0"/>
    <s v="Poêle"/>
    <x v="0"/>
    <s v="Tous les jours"/>
    <s v="4; 6"/>
    <s v="1996-2002"/>
    <s v="Bois bûche"/>
    <s v=""/>
    <s v="5"/>
    <s v="stères"/>
    <s v="2"/>
    <s v=""/>
    <s v="5"/>
    <s v="2"/>
    <s v="&lt; 1 an"/>
    <s v="Résineux"/>
    <s v="2"/>
    <s v="1 fois par an"/>
    <s v=""/>
    <s v="Poêle"/>
    <s v="2"/>
    <s v=""/>
    <s v="Chauffage de base"/>
    <s v="Pas de réponse"/>
  </r>
  <r>
    <s v="VRB0201"/>
    <n v="3"/>
    <n v="7"/>
    <n v="7"/>
    <s v="65 ans et plus"/>
    <n v="2"/>
    <x v="0"/>
    <n v="1"/>
    <n v="130"/>
    <s v="1975-1990"/>
    <s v="4"/>
    <s v="D"/>
    <x v="0"/>
    <s v="Poêle"/>
    <x v="1"/>
    <s v="3 à 4 jours/semaine"/>
    <s v="2; 6"/>
    <s v="Avant 1990"/>
    <s v="Bois bûche"/>
    <s v=""/>
    <s v="5"/>
    <s v="stères"/>
    <s v="2"/>
    <s v=""/>
    <s v="2"/>
    <s v="2"/>
    <s v="&lt; 1 an"/>
    <s v="Feuillus"/>
    <s v="2"/>
    <s v="1 fois par an"/>
    <s v=""/>
    <s v="Poêle"/>
    <s v="1"/>
    <s v=""/>
    <s v="Chauffage d'appoint"/>
    <s v="Pas de réponse"/>
  </r>
  <r>
    <s v="VRB0202"/>
    <n v="3"/>
    <n v="7"/>
    <n v="7"/>
    <s v="65 ans et plus"/>
    <n v="1"/>
    <x v="0"/>
    <n v="1"/>
    <n v="120"/>
    <s v="Avant 1949"/>
    <s v="4"/>
    <s v="Ne sait pas"/>
    <x v="0"/>
    <s v="Poêle"/>
    <x v="0"/>
    <s v="Tous les jours"/>
    <s v="4"/>
    <s v="Avant 1990"/>
    <s v="Bois bûche"/>
    <s v=""/>
    <s v="14"/>
    <s v="m3"/>
    <s v="1"/>
    <s v=""/>
    <s v="6"/>
    <s v="2"/>
    <s v="1 à 2 ans"/>
    <s v="Feuillus"/>
    <s v="1"/>
    <s v="2 fois par an"/>
    <s v=""/>
    <s v="Poêle"/>
    <s v="2"/>
    <s v=""/>
    <s v="Chauffage de base"/>
    <s v="Pas de réponse"/>
  </r>
  <r>
    <s v="VRB0203"/>
    <n v="3"/>
    <n v="3"/>
    <n v="2"/>
    <s v="35 à 49 ans"/>
    <n v="3"/>
    <x v="0"/>
    <n v="1"/>
    <n v="115"/>
    <s v="1949-1975"/>
    <s v="3; 4"/>
    <s v="Pas de réponse"/>
    <x v="0"/>
    <s v="Insert / foyer fermé"/>
    <x v="0"/>
    <s v="Tous les jours"/>
    <s v="2; 4"/>
    <s v="1996-2002"/>
    <s v="Bois bûche"/>
    <s v=""/>
    <s v="5"/>
    <s v="stères"/>
    <s v="2"/>
    <s v=""/>
    <s v="5"/>
    <s v="2"/>
    <s v="&gt; 2 ans"/>
    <s v="Les deux"/>
    <s v="2"/>
    <s v="1 fois par an"/>
    <s v=""/>
    <s v="Poêle"/>
    <s v="2"/>
    <s v=""/>
    <s v="Chauffage de base"/>
    <s v="Pas de réponse"/>
  </r>
  <r>
    <s v="VRB0204"/>
    <n v="3"/>
    <n v="3"/>
    <n v="3"/>
    <s v="Pas de réponse"/>
    <n v="3"/>
    <x v="0"/>
    <n v="1"/>
    <n v="150"/>
    <s v="Avant 1949"/>
    <s v="4"/>
    <s v="Pas de réponse"/>
    <x v="0"/>
    <s v="Insert / foyer fermé"/>
    <x v="0"/>
    <s v="Tous les jours"/>
    <s v="1; 2; 5"/>
    <s v="1996-2002"/>
    <s v="Bois bûche"/>
    <s v=""/>
    <s v="10"/>
    <s v="m3"/>
    <s v="2"/>
    <s v=""/>
    <s v="1"/>
    <s v="2"/>
    <s v="1 à 2 ans"/>
    <s v="Feuillus"/>
    <s v="2"/>
    <s v="1 fois par an"/>
    <s v=""/>
    <s v="Poêle"/>
    <s v="2"/>
    <s v=""/>
    <s v="Chauffage de base"/>
    <s v="Pas de réponse"/>
  </r>
  <r>
    <s v="VRB0205"/>
    <n v="3"/>
    <n v="3"/>
    <n v="3"/>
    <s v="Pas de réponse"/>
    <n v="4"/>
    <x v="0"/>
    <n v="1"/>
    <n v="100"/>
    <s v="Avant 1949"/>
    <s v="4"/>
    <s v="Pas de réponse"/>
    <x v="0"/>
    <s v="Poêle"/>
    <x v="0"/>
    <s v="Tous les jours"/>
    <s v="1; 2; 3; 4; 5; 6"/>
    <s v="Avant 1990"/>
    <s v="Bois bûche"/>
    <s v=""/>
    <s v="14"/>
    <s v="stères"/>
    <s v="1"/>
    <s v=""/>
    <s v="1"/>
    <s v="1"/>
    <s v="&gt; 2 ans"/>
    <s v="Feuillus"/>
    <s v="2"/>
    <s v="2 fois par an"/>
    <s v=""/>
    <s v="Poêle"/>
    <s v="1"/>
    <s v=""/>
    <s v="Chauffage de base"/>
    <s v="Pas de réponse"/>
  </r>
  <r>
    <s v="VRB0206"/>
    <n v="3"/>
    <n v="2"/>
    <n v="3"/>
    <s v="35 à 49 ans"/>
    <n v="2"/>
    <x v="0"/>
    <n v="1"/>
    <n v="85"/>
    <s v="1949-1975"/>
    <s v="4"/>
    <s v="Pas de réponse"/>
    <x v="0"/>
    <s v="Foyer ouvert"/>
    <x v="1"/>
    <s v="3 à 4 jours/semaine"/>
    <s v="4"/>
    <s v="Avant 1990"/>
    <s v="Bois bûche"/>
    <s v=""/>
    <s v="7"/>
    <s v="stères"/>
    <s v="2"/>
    <s v=""/>
    <s v="5"/>
    <s v="2"/>
    <s v="1 à 2 ans"/>
    <s v="Feuillus"/>
    <s v="2"/>
    <s v="1 fois par an"/>
    <s v=""/>
    <s v="Poêle"/>
    <s v="1"/>
    <s v=""/>
    <s v="Chauffage de base"/>
    <s v="Pas de réponse"/>
  </r>
  <r>
    <s v="VRB0207"/>
    <n v="3"/>
    <n v="7"/>
    <n v="7"/>
    <s v="50 à 64 ans"/>
    <n v="2"/>
    <x v="0"/>
    <n v="1"/>
    <n v="120"/>
    <s v="1975-1990"/>
    <s v="4"/>
    <s v="Pas de réponse"/>
    <x v="0"/>
    <s v="Foyer ouvert"/>
    <x v="1"/>
    <s v="3 à 4 jours/semaine"/>
    <s v="3; 4"/>
    <s v="Avant 1990"/>
    <s v="Bois bûche"/>
    <s v=""/>
    <s v="2"/>
    <s v="stères"/>
    <s v="2"/>
    <s v=""/>
    <s v="2"/>
    <s v="2"/>
    <s v="&gt; 2 ans"/>
    <s v="Pas de réponse"/>
    <s v="2"/>
    <s v="1 fois par an"/>
    <s v=""/>
    <s v="Poêle"/>
    <s v="1"/>
    <s v=""/>
    <s v="Chauffage d'appoint"/>
    <s v="Pas de réponse"/>
  </r>
  <r>
    <s v="VRB0208"/>
    <n v="3"/>
    <n v="7"/>
    <n v="7"/>
    <s v="50 à 64 ans"/>
    <n v="2"/>
    <x v="0"/>
    <n v="1"/>
    <n v="85"/>
    <s v="Avant 1949"/>
    <s v="1; 2; 4"/>
    <s v="Pas de réponse"/>
    <x v="0"/>
    <s v="Poêle"/>
    <x v="0"/>
    <s v="Tous les jours"/>
    <s v="1; 2; 3; 4; 5; 6"/>
    <s v="1996-2002"/>
    <s v="Bois bûche"/>
    <s v=""/>
    <s v="9"/>
    <s v="Tonnes"/>
    <s v="1"/>
    <s v=""/>
    <s v="5"/>
    <s v="2"/>
    <s v="&gt; 2 ans"/>
    <s v="Feuillus"/>
    <s v="1; 2"/>
    <s v="1 fois par an"/>
    <s v=""/>
    <s v="Poêle"/>
    <s v="2"/>
    <s v=""/>
    <s v="Chauffage de base"/>
    <s v="Pas de réponse"/>
  </r>
  <r>
    <s v="VRB0209"/>
    <n v="3"/>
    <n v="5"/>
    <n v="6"/>
    <s v="25 à 34 ans"/>
    <n v="2"/>
    <x v="0"/>
    <n v="1"/>
    <n v="82"/>
    <s v="1975-1990"/>
    <s v="4"/>
    <s v="E"/>
    <x v="0"/>
    <s v="Foyer ouvert"/>
    <x v="2"/>
    <s v="Pas de réponse"/>
    <s v="7"/>
    <s v="Avant 1990"/>
    <s v="Bois bûche"/>
    <s v=""/>
    <s v=""/>
    <s v=""/>
    <s v="5"/>
    <s v=""/>
    <s v="5"/>
    <s v="4"/>
    <s v="Pas de réponse"/>
    <s v="Pas de réponse"/>
    <s v="3"/>
    <s v="Pas de réponse"/>
    <s v=""/>
    <s v="Poêle"/>
    <s v="2"/>
    <s v=""/>
    <s v="Chauffage de base"/>
    <s v="Pas de réponse"/>
  </r>
  <r>
    <s v="VRB0210"/>
    <n v="3"/>
    <n v="5"/>
    <n v="3"/>
    <s v="35 à 49 ans"/>
    <n v="4"/>
    <x v="0"/>
    <n v="1"/>
    <n v="120"/>
    <s v="Avant 1949"/>
    <s v="2; 3; 4"/>
    <s v="Pas de réponse"/>
    <x v="0"/>
    <s v="Poêle"/>
    <x v="0"/>
    <s v="Tous les jours"/>
    <s v="4"/>
    <s v="1996-2002"/>
    <s v="Bois bûche"/>
    <s v=""/>
    <s v="15"/>
    <s v="stères"/>
    <s v="1"/>
    <s v=""/>
    <s v="1"/>
    <s v="2"/>
    <s v="&gt; 2 ans"/>
    <s v="Feuillus"/>
    <s v="1"/>
    <s v="1 fois par an"/>
    <s v=""/>
    <s v="Poêle"/>
    <s v="1"/>
    <s v=""/>
    <s v="Chauffage de base"/>
    <s v="Pas de réponse"/>
  </r>
  <r>
    <s v="VRB0211"/>
    <n v="3"/>
    <n v="3"/>
    <n v="3"/>
    <s v="25 à 34 ans"/>
    <n v="2"/>
    <x v="0"/>
    <n v="1"/>
    <n v="102"/>
    <s v="1990-2005"/>
    <s v="6"/>
    <s v="E"/>
    <x v="0"/>
    <s v="Foyer ouvert"/>
    <x v="1"/>
    <s v="Tous les jours"/>
    <s v="4; 5; 6"/>
    <s v="1996-2002"/>
    <s v="Bois bûche"/>
    <s v=""/>
    <s v="9"/>
    <s v="stères"/>
    <s v="2"/>
    <s v=""/>
    <s v="5"/>
    <s v="2"/>
    <s v="1 à 2 ans"/>
    <s v="Feuillus"/>
    <s v="2"/>
    <s v="1 fois par an"/>
    <s v=""/>
    <s v="Poêle"/>
    <s v="1"/>
    <s v=""/>
    <s v="Chauffage d'appoint"/>
    <s v="Pas de réponse"/>
  </r>
  <r>
    <s v="VRB0212"/>
    <n v="3"/>
    <n v="2"/>
    <n v="2"/>
    <s v="25 à 34 ans"/>
    <n v="2"/>
    <x v="0"/>
    <n v="2"/>
    <n v="113"/>
    <s v="1975-1990"/>
    <s v="6"/>
    <s v="D"/>
    <x v="0"/>
    <s v="Insert / foyer fermé"/>
    <x v="0"/>
    <s v="3 à 4 jours/semaine"/>
    <s v="2"/>
    <s v="Avant 1990"/>
    <s v="Bois bûche"/>
    <s v=""/>
    <s v="6"/>
    <s v="stères"/>
    <s v="1"/>
    <s v=""/>
    <s v="2"/>
    <s v="2"/>
    <s v="1 à 2 ans"/>
    <s v="Feuillus"/>
    <s v="2"/>
    <s v="1 fois par an"/>
    <s v=""/>
    <s v="Poêle"/>
    <s v="2"/>
    <s v=""/>
    <s v="Chauffage de base"/>
    <s v="Pas de réponse"/>
  </r>
  <r>
    <s v="VRB0213"/>
    <n v="3"/>
    <n v="4"/>
    <n v="8"/>
    <s v="25 à 34 ans"/>
    <n v="5"/>
    <x v="0"/>
    <n v="1"/>
    <n v="110"/>
    <s v="Avant 1949"/>
    <s v="4"/>
    <s v="Pas de réponse"/>
    <x v="0"/>
    <s v="Poêle"/>
    <x v="0"/>
    <s v="Tous les jours"/>
    <s v="7"/>
    <s v="1996-2002"/>
    <s v="Bois bûche"/>
    <s v=""/>
    <s v="3"/>
    <s v="stères"/>
    <s v="1"/>
    <s v=""/>
    <s v="1"/>
    <s v="2"/>
    <s v="1 à 2 ans"/>
    <s v="Les deux"/>
    <s v="1"/>
    <s v="1 fois par an"/>
    <s v=""/>
    <s v="Poêle"/>
    <s v="2"/>
    <s v=""/>
    <s v="Chauffage de base"/>
    <s v="Pas de réponse"/>
  </r>
  <r>
    <s v="VRB0214"/>
    <n v="3"/>
    <n v="6"/>
    <n v="5"/>
    <s v="35 à 49 ans"/>
    <n v="3"/>
    <x v="0"/>
    <n v="1"/>
    <n v="90"/>
    <s v="Avant 1949"/>
    <s v="1; 4"/>
    <s v="Pas de réponse"/>
    <x v="0"/>
    <s v="Poêle"/>
    <x v="0"/>
    <s v="Tous les jours"/>
    <s v="2; 4"/>
    <s v="1996-2002"/>
    <s v="Bois bûche"/>
    <s v=""/>
    <s v="7"/>
    <s v="m3"/>
    <s v="2"/>
    <s v=""/>
    <s v="2"/>
    <s v="2"/>
    <s v="&gt; 2 ans"/>
    <s v="Les deux"/>
    <s v="2"/>
    <s v="1 fois par an"/>
    <s v=""/>
    <s v="Poêle"/>
    <s v="2"/>
    <s v=""/>
    <s v="Chauffage de base"/>
    <s v="Pas de réponse"/>
  </r>
  <r>
    <s v="VRB0216"/>
    <n v="3"/>
    <n v="7"/>
    <n v="9"/>
    <s v="65 ans et plus"/>
    <n v="1"/>
    <x v="0"/>
    <n v="1"/>
    <n v="100"/>
    <s v="Avant 1949"/>
    <s v="4"/>
    <s v="Pas de réponse"/>
    <x v="0"/>
    <s v="Poêle"/>
    <x v="0"/>
    <s v="Tous les jours"/>
    <s v="1; 2; 3; 4; 5"/>
    <s v="1990-1995"/>
    <s v="Bois bûche"/>
    <s v=""/>
    <s v="30"/>
    <s v="m3"/>
    <s v="1"/>
    <s v=""/>
    <s v="1"/>
    <s v="2"/>
    <s v="&gt; 2 ans"/>
    <s v="Les deux"/>
    <s v="2"/>
    <s v="1 fois par an"/>
    <s v=""/>
    <s v="Pôele hydro"/>
    <s v="2"/>
    <s v=""/>
    <s v="Chauffage de base"/>
    <s v="Pas de réponse"/>
  </r>
  <r>
    <s v="VRB0217"/>
    <n v="3"/>
    <n v="5"/>
    <n v="9"/>
    <s v="50 à 64 ans"/>
    <n v="2"/>
    <x v="0"/>
    <n v="1"/>
    <n v="130"/>
    <s v="1975-1990"/>
    <s v="1"/>
    <s v="Pas de réponse"/>
    <x v="0"/>
    <s v="Poêle"/>
    <x v="0"/>
    <s v="Tous les jours"/>
    <s v="1; 2; 3; 4; 5; 6"/>
    <s v="1996-2002"/>
    <s v="Bois bûche"/>
    <s v=""/>
    <s v="6"/>
    <s v="stères"/>
    <s v="2"/>
    <s v=""/>
    <s v="1"/>
    <s v="2"/>
    <s v="1 à 2 ans"/>
    <s v="Feuillus"/>
    <s v="2"/>
    <s v="1 fois par an"/>
    <s v=""/>
    <s v="Poêle"/>
    <s v="2"/>
    <s v=""/>
    <s v="Chauffage de base"/>
    <s v="Pas de réponse"/>
  </r>
  <r>
    <s v="VRB0218"/>
    <n v="3"/>
    <n v="3"/>
    <n v="2"/>
    <s v="35 à 49 ans"/>
    <n v="3"/>
    <x v="0"/>
    <n v="1"/>
    <n v="92"/>
    <s v="1975-1990"/>
    <s v="6"/>
    <s v="Ne sait pas"/>
    <x v="0"/>
    <s v="Insert / foyer fermé"/>
    <x v="0"/>
    <s v="Tous les jours"/>
    <s v="1; 2; 3"/>
    <s v="Avant 1990"/>
    <s v="Bois bûche"/>
    <s v=""/>
    <s v="11"/>
    <s v="stère"/>
    <s v="2"/>
    <s v=""/>
    <s v="5"/>
    <s v="2"/>
    <s v="1 à 2 ans"/>
    <s v="Les deux"/>
    <s v="2"/>
    <s v="1 fois par an"/>
    <s v=""/>
    <s v="Poêle"/>
    <s v="2"/>
    <s v=""/>
    <s v="Chauffage de base"/>
    <s v="Pas de réponse"/>
  </r>
  <r>
    <s v="VRB0219"/>
    <n v="3"/>
    <n v="5"/>
    <n v="5"/>
    <s v="35 à 49 ans"/>
    <n v="5"/>
    <x v="0"/>
    <n v="1"/>
    <n v="127"/>
    <s v="1949-1975"/>
    <s v="1; 4"/>
    <s v="Pas de réponse"/>
    <x v="0"/>
    <s v="Insert / foyer fermé"/>
    <x v="1"/>
    <s v="Tous les jours"/>
    <s v="2; 4; 6"/>
    <s v="1996-2002"/>
    <s v="Bois bûche"/>
    <s v=""/>
    <s v="4"/>
    <s v="stère"/>
    <s v="1; 2"/>
    <s v=""/>
    <s v="2"/>
    <s v="2"/>
    <s v="&gt; 2 ans"/>
    <s v="Feuillus"/>
    <s v="1"/>
    <s v="1 fois par an"/>
    <s v=""/>
    <s v="Insert cheminée"/>
    <s v="1"/>
    <s v=""/>
    <s v="Chauffage d'appoint"/>
    <s v="Pas de réponse"/>
  </r>
  <r>
    <s v="VRB0220"/>
    <n v="3"/>
    <n v="3"/>
    <n v="9"/>
    <s v="35 à 49 ans"/>
    <n v="2"/>
    <x v="0"/>
    <n v="3"/>
    <n v="95"/>
    <s v="Avant 1949"/>
    <s v="6"/>
    <s v="E"/>
    <x v="0"/>
    <s v="Insert / foyer fermé"/>
    <x v="1"/>
    <s v="Jamais"/>
    <s v="7"/>
    <s v="1990-1995"/>
    <s v="Bois bûche"/>
    <s v=""/>
    <s v=""/>
    <s v=""/>
    <s v="3"/>
    <s v=""/>
    <s v="1"/>
    <s v="3"/>
    <s v="Pas de réponse"/>
    <s v="Feuillus"/>
    <s v="2"/>
    <s v="Autre, à préciser"/>
    <s v="pas fait depuis 12 ans"/>
    <s v="Poêle"/>
    <s v="2"/>
    <s v=""/>
    <s v="Chauffage de base"/>
    <s v="Pas de réponse"/>
  </r>
  <r>
    <s v="VRB0221"/>
    <n v="3"/>
    <n v="3"/>
    <n v="9"/>
    <s v="35 à 49 ans"/>
    <n v="3"/>
    <x v="0"/>
    <n v="1"/>
    <n v="125"/>
    <s v="1975-1990"/>
    <s v="6"/>
    <s v="Ne sait pas"/>
    <x v="0"/>
    <s v="Insert / foyer fermé"/>
    <x v="0"/>
    <s v="Tous les jours"/>
    <s v="2"/>
    <s v="Avant 1990"/>
    <s v="Bois bûche"/>
    <s v=""/>
    <s v="3"/>
    <s v="tonne"/>
    <s v="2"/>
    <s v=""/>
    <s v="5"/>
    <s v="2"/>
    <s v="&lt; 1 an"/>
    <s v="Feuillus"/>
    <s v="2"/>
    <s v="1 fois par an"/>
    <s v=""/>
    <s v="Poêle"/>
    <s v="2"/>
    <s v=""/>
    <s v="Chauffage de base"/>
    <s v="Pas de réponse"/>
  </r>
  <r>
    <s v="VRB0222"/>
    <n v="3"/>
    <n v="7"/>
    <n v="9"/>
    <s v="65 ans et plus"/>
    <n v="1"/>
    <x v="0"/>
    <n v="1"/>
    <n v="110"/>
    <s v="Avant 1949"/>
    <s v="4"/>
    <s v="Pas de réponse"/>
    <x v="0"/>
    <s v="Chaudière"/>
    <x v="0"/>
    <s v="Tous les jours"/>
    <s v="1; 2; 3"/>
    <s v="1990-1995"/>
    <s v="Bois bûche"/>
    <s v="+ charbon"/>
    <s v="8"/>
    <s v="stère"/>
    <s v="5"/>
    <s v=""/>
    <s v="1"/>
    <s v="2"/>
    <s v="&gt; 2 ans"/>
    <s v="Résineux"/>
    <s v="2"/>
    <s v="1 fois par an"/>
    <s v=""/>
    <s v="Chaudière"/>
    <s v="2"/>
    <s v=""/>
    <s v="Chauffage de base"/>
    <s v="Pas de réponse"/>
  </r>
  <r>
    <s v="VRB0223"/>
    <n v="3"/>
    <n v="2"/>
    <n v="5"/>
    <s v="35 à 49 ans"/>
    <n v="4"/>
    <x v="0"/>
    <n v="1"/>
    <n v="190"/>
    <s v="1990-2005"/>
    <s v="6"/>
    <s v="C"/>
    <x v="0"/>
    <s v="Insert / foyer fermé"/>
    <x v="1"/>
    <s v="1 à 2 jours/semaine"/>
    <s v="2"/>
    <s v="1990-1995"/>
    <s v="Bois bûche"/>
    <s v=""/>
    <s v="3"/>
    <s v="stère"/>
    <s v="2"/>
    <s v=""/>
    <s v="5"/>
    <s v="2"/>
    <s v="1 à 2 ans"/>
    <s v="Feuillus"/>
    <s v="2"/>
    <s v="1 fois par an"/>
    <s v=""/>
    <s v="Poêle"/>
    <s v="1"/>
    <s v=""/>
    <s v="Chauffage d'appoint"/>
    <s v="Pas de réponse"/>
  </r>
  <r>
    <s v="VRB0224"/>
    <n v="3"/>
    <n v="3"/>
    <n v="9"/>
    <s v="25 à 34 ans"/>
    <n v="1"/>
    <x v="0"/>
    <n v="1"/>
    <n v="110"/>
    <s v="Avant 1949"/>
    <s v="6"/>
    <s v="Pas de réponse"/>
    <x v="0"/>
    <s v="Insert / foyer fermé"/>
    <x v="0"/>
    <s v="Tous les jours"/>
    <s v="1; 2; 3; 4"/>
    <s v="1990-1995"/>
    <s v="Bois bûche"/>
    <s v=""/>
    <s v="13"/>
    <s v="stère"/>
    <s v="2"/>
    <s v=""/>
    <s v="2"/>
    <s v="2"/>
    <s v="1 à 2 ans"/>
    <s v="Feuillus"/>
    <s v="1"/>
    <s v="2 fois par an"/>
    <s v=""/>
    <s v="Poêle"/>
    <s v="1"/>
    <s v=""/>
    <s v="Chauffage de base"/>
    <s v="Pas de réponse"/>
  </r>
  <r>
    <s v="VRB0226"/>
    <n v="3"/>
    <n v="7"/>
    <n v="7"/>
    <s v="65 ans et plus"/>
    <n v="2"/>
    <x v="0"/>
    <n v="1"/>
    <n v="115"/>
    <s v="1990-2005"/>
    <s v="1"/>
    <s v="Pas de réponse"/>
    <x v="0"/>
    <s v="Insert / foyer fermé"/>
    <x v="0"/>
    <s v="Tous les jours"/>
    <s v="4; 6"/>
    <s v="1996-2002"/>
    <s v="Bois bûche"/>
    <s v=""/>
    <s v="7"/>
    <s v="stère"/>
    <s v="2"/>
    <s v=""/>
    <s v="5"/>
    <s v="2"/>
    <s v="1 à 2 ans"/>
    <s v="Feuillus"/>
    <s v="2"/>
    <s v="1 fois par an"/>
    <s v=""/>
    <s v="Poêle"/>
    <s v="1"/>
    <s v=""/>
    <s v="Chauffage de base"/>
    <s v="Pas de réponse"/>
  </r>
  <r>
    <s v="VRB0227"/>
    <n v="3"/>
    <n v="7"/>
    <n v="7"/>
    <s v="65 ans et plus"/>
    <n v="2"/>
    <x v="0"/>
    <n v="1"/>
    <n v="108"/>
    <s v="1975-1990"/>
    <s v="4"/>
    <s v="Pas de réponse"/>
    <x v="0"/>
    <s v="Insert / foyer fermé"/>
    <x v="0"/>
    <s v="Tous les jours"/>
    <s v="4"/>
    <s v="Avant 1990"/>
    <s v="Bois bûche"/>
    <s v=""/>
    <s v="8"/>
    <s v="m²"/>
    <s v="4"/>
    <s v="achat de coupe de bois"/>
    <s v="2"/>
    <s v="2"/>
    <s v="&gt; 2 ans"/>
    <s v="Feuillus"/>
    <s v="2"/>
    <s v="1 fois par an"/>
    <s v=""/>
    <s v="Poêle"/>
    <s v="1"/>
    <s v=""/>
    <s v="Chauffage de base"/>
    <s v="Pas de réponse"/>
  </r>
  <r>
    <s v="VRB0228"/>
    <n v="3"/>
    <n v="7"/>
    <n v="9"/>
    <s v="65 ans et plus"/>
    <n v="1"/>
    <x v="0"/>
    <n v="1"/>
    <n v="150"/>
    <s v="Avant 1949"/>
    <s v="1; 4"/>
    <s v="Ne sait pas"/>
    <x v="0"/>
    <s v="Poêle"/>
    <x v="1"/>
    <s v="Tous les jours"/>
    <s v="1; 2; 4"/>
    <s v="Pas de réponse"/>
    <s v="Bois bûche"/>
    <s v=""/>
    <s v="3"/>
    <s v=""/>
    <s v="2"/>
    <s v=""/>
    <s v="5"/>
    <s v="1"/>
    <s v="1 à 2 ans"/>
    <s v="Les deux"/>
    <s v="2"/>
    <s v="1 fois tous les 2 ans"/>
    <s v=""/>
    <s v="Poêle"/>
    <s v="2"/>
    <s v=""/>
    <s v="Chauffage d'appoint"/>
    <s v="Pas de réponse"/>
  </r>
  <r>
    <s v="VRB0229"/>
    <n v="3"/>
    <n v="5"/>
    <n v="4"/>
    <s v="35 à 49 ans"/>
    <n v="3"/>
    <x v="0"/>
    <n v="1"/>
    <n v="98"/>
    <s v="1975-1990"/>
    <s v="2; 4"/>
    <s v="E"/>
    <x v="0"/>
    <s v="Insert / foyer fermé"/>
    <x v="0"/>
    <s v="Tous les jours"/>
    <s v="1; 2; 3; 4; 6"/>
    <s v="1990-1995"/>
    <s v="Bois bûche"/>
    <s v=""/>
    <s v="5"/>
    <s v="stères"/>
    <s v="2"/>
    <s v=""/>
    <s v="5"/>
    <s v="2"/>
    <s v="&gt; 2 ans"/>
    <s v="Feuillus"/>
    <s v="2"/>
    <s v="1 fois par an"/>
    <s v=""/>
    <s v="Insert cheminée"/>
    <s v="1"/>
    <s v=""/>
    <s v="Chauffage de base"/>
    <s v="Pas de réponse"/>
  </r>
  <r>
    <s v="VRB0230"/>
    <n v="3"/>
    <n v="7"/>
    <n v="7"/>
    <s v="65 ans et plus"/>
    <n v="2"/>
    <x v="0"/>
    <n v="1"/>
    <n v="160"/>
    <s v="1975-1990"/>
    <s v="6"/>
    <s v="Pas de réponse"/>
    <x v="0"/>
    <s v="Insert / foyer fermé"/>
    <x v="0"/>
    <s v="Tous les jours"/>
    <s v="4"/>
    <s v="1996-2002"/>
    <s v="Bois bûche"/>
    <s v=""/>
    <s v="8"/>
    <s v="m3"/>
    <s v="2"/>
    <s v=""/>
    <s v="6"/>
    <s v="2"/>
    <s v="&gt; 2 ans"/>
    <s v="Feuillus"/>
    <s v="1"/>
    <s v="2 fois par an"/>
    <s v=""/>
    <s v="Insert cheminée"/>
    <s v="2"/>
    <s v=""/>
    <s v="Chauffage de base"/>
    <s v="Pas de réponse"/>
  </r>
  <r>
    <s v="VRB0232"/>
    <n v="3"/>
    <n v="3"/>
    <n v="2"/>
    <s v="35 à 49 ans"/>
    <n v="6"/>
    <x v="0"/>
    <n v="1"/>
    <n v="0"/>
    <s v="1949-1975"/>
    <s v="4"/>
    <s v="Pas de réponse"/>
    <x v="0"/>
    <s v="Poêle"/>
    <x v="0"/>
    <s v="Tous les jours"/>
    <s v="4; 5; 6"/>
    <s v="Après 2002"/>
    <s v="Bois bûche"/>
    <s v=""/>
    <s v=""/>
    <s v=""/>
    <s v="5"/>
    <s v=""/>
    <s v="6"/>
    <s v="4"/>
    <s v="Pas de réponse"/>
    <s v="Pas de réponse"/>
    <s v="3"/>
    <s v="Pas de réponse"/>
    <s v=""/>
    <s v="Poêle"/>
    <s v="2"/>
    <s v=""/>
    <s v="Chauffage de base"/>
    <s v="Pas de réponse"/>
  </r>
  <r>
    <s v="VRB0233"/>
    <n v="3"/>
    <n v="7"/>
    <n v="7"/>
    <s v="50 à 64 ans"/>
    <n v="2"/>
    <x v="0"/>
    <n v="1"/>
    <n v="200"/>
    <s v="Avant 1949"/>
    <s v="6"/>
    <s v="Pas de réponse"/>
    <x v="0"/>
    <s v="Cuisinière"/>
    <x v="1"/>
    <s v="Tous les jours"/>
    <s v="4; 5; 6"/>
    <s v="Avant 1990"/>
    <s v="Bois bûche"/>
    <s v=""/>
    <s v="4,5"/>
    <s v="stère"/>
    <s v="1"/>
    <s v=""/>
    <s v="6"/>
    <s v="2"/>
    <s v="1 à 2 ans"/>
    <s v="Les deux"/>
    <s v="2"/>
    <s v="1 fois par an"/>
    <s v=""/>
    <s v="Cuisinière"/>
    <s v="1"/>
    <s v=""/>
    <s v="Chauffage d'appoint"/>
    <s v="Pas de réponse"/>
  </r>
  <r>
    <s v="VRB0234"/>
    <n v="3"/>
    <n v="3"/>
    <n v="3"/>
    <s v="50 à 64 ans"/>
    <n v="3"/>
    <x v="0"/>
    <n v="1"/>
    <n v="140"/>
    <s v="Avant 1949"/>
    <s v="4"/>
    <s v="Pas de réponse"/>
    <x v="0"/>
    <s v="Insert / foyer fermé"/>
    <x v="0"/>
    <s v="Tous les jours"/>
    <s v="1; 2; 3"/>
    <s v="Avant 1990"/>
    <s v="Bois bûche"/>
    <s v=""/>
    <s v="3"/>
    <s v="stere"/>
    <s v="1"/>
    <s v=""/>
    <s v="6"/>
    <s v="1"/>
    <s v="1 à 2 ans"/>
    <s v="Feuillus"/>
    <s v="2"/>
    <s v="2 fois par an"/>
    <s v=""/>
    <s v="Poêle"/>
    <s v="2"/>
    <s v=""/>
    <s v="Chauffage de base"/>
    <s v="Pas de réponse"/>
  </r>
  <r>
    <s v="VRB0235"/>
    <n v="3"/>
    <n v="4"/>
    <n v="4"/>
    <s v="25 à 34 ans"/>
    <n v="4"/>
    <x v="0"/>
    <n v="1"/>
    <n v="145"/>
    <s v="1990-2005"/>
    <s v="6"/>
    <s v="Pas de réponse"/>
    <x v="0"/>
    <s v="Insert / foyer fermé"/>
    <x v="0"/>
    <s v="Tous les jours"/>
    <s v="1; 2"/>
    <s v="1990-1995"/>
    <s v="Bois bûche"/>
    <s v=""/>
    <s v="7"/>
    <s v="m3"/>
    <s v="5"/>
    <s v=""/>
    <s v="1"/>
    <s v="2"/>
    <s v="1 à 2 ans"/>
    <s v="Les deux"/>
    <s v="2"/>
    <s v="1 fois par an"/>
    <s v=""/>
    <s v="Poêle"/>
    <s v="1"/>
    <s v=""/>
    <s v="Chauffage de base"/>
    <s v="Pas de réponse"/>
  </r>
  <r>
    <s v="VRB0236"/>
    <n v="3"/>
    <n v="4"/>
    <n v="8"/>
    <s v="50 à 64 ans"/>
    <n v="4"/>
    <x v="0"/>
    <n v="1"/>
    <n v="90"/>
    <s v="Avant 1949"/>
    <s v="6"/>
    <s v="Pas de réponse"/>
    <x v="0"/>
    <s v="Poêle"/>
    <x v="0"/>
    <s v="Tous les jours"/>
    <s v="4"/>
    <s v="1996-2002"/>
    <s v="Bois bûche"/>
    <s v=""/>
    <s v="12"/>
    <s v="stère"/>
    <s v="2"/>
    <s v=""/>
    <s v="5"/>
    <s v="2"/>
    <s v="1 à 2 ans"/>
    <s v="Feuillus"/>
    <s v="2"/>
    <s v="2 fois par an"/>
    <s v=""/>
    <s v="Poêle"/>
    <s v="2"/>
    <s v=""/>
    <s v="Chauffage de base"/>
    <s v="Pas de réponse"/>
  </r>
  <r>
    <s v="VRB0237"/>
    <n v="3"/>
    <n v="7"/>
    <n v="9"/>
    <s v="65 ans et plus"/>
    <n v="1"/>
    <x v="0"/>
    <n v="1"/>
    <n v="130"/>
    <s v="Avant 1949"/>
    <s v="6"/>
    <s v="Pas de réponse"/>
    <x v="2"/>
    <s v="Cuisinière"/>
    <x v="0"/>
    <s v="Tous les jours"/>
    <s v="4; 5"/>
    <s v="Avant 1990"/>
    <s v="Bois bûche"/>
    <s v=""/>
    <s v="7,5"/>
    <s v="stère"/>
    <s v="1; 2"/>
    <s v=""/>
    <s v="2"/>
    <s v="2"/>
    <s v="&gt; 2 ans"/>
    <s v="Feuillus"/>
    <s v="2"/>
    <s v="1 fois par an"/>
    <s v=""/>
    <s v="Poêle"/>
    <s v="1"/>
    <s v=""/>
    <s v="Chauffage de base"/>
    <s v="Pas de réponse"/>
  </r>
  <r>
    <s v="VRB0238"/>
    <n v="3"/>
    <n v="3"/>
    <n v="9"/>
    <s v="35 à 49 ans"/>
    <n v="2"/>
    <x v="0"/>
    <n v="1"/>
    <n v="78"/>
    <s v="Avant 1949"/>
    <s v="4"/>
    <s v="G"/>
    <x v="0"/>
    <s v="Foyer ouvert"/>
    <x v="1"/>
    <s v="Moins de 15 fois par an"/>
    <s v="1"/>
    <s v="Avant 1990"/>
    <s v="Bois bûche"/>
    <s v=""/>
    <s v="5"/>
    <s v="stère"/>
    <s v="1"/>
    <s v=""/>
    <s v="2"/>
    <s v="1"/>
    <s v="&lt; 1 an"/>
    <s v="Résineux"/>
    <s v="1"/>
    <s v="1 fois tous les 2 ans"/>
    <s v=""/>
    <s v="Pas de réponse"/>
    <s v="2"/>
    <s v=""/>
    <s v="Chauffage de base"/>
    <s v="Pas de réponse"/>
  </r>
  <r>
    <s v="VRB0239"/>
    <n v="3"/>
    <n v="7"/>
    <n v="9"/>
    <s v="50 à 64 ans"/>
    <n v="1"/>
    <x v="0"/>
    <n v="1"/>
    <n v="150"/>
    <s v="Avant 1949"/>
    <s v="1; 3; 4"/>
    <s v="Pas de réponse"/>
    <x v="0"/>
    <s v="Insert / foyer fermé"/>
    <x v="0"/>
    <s v="Tous les jours"/>
    <s v="1; 2"/>
    <s v="Avant 1990"/>
    <s v="Bois bûche"/>
    <s v=""/>
    <s v="10"/>
    <s v="stère"/>
    <s v="5"/>
    <s v=""/>
    <s v="1; 3"/>
    <s v="2"/>
    <s v="&gt; 2 ans"/>
    <s v="Feuillus"/>
    <s v="2"/>
    <s v="1 fois par an"/>
    <s v=""/>
    <s v="Poêle"/>
    <s v="1"/>
    <s v=""/>
    <s v="Chauffage de base"/>
    <s v="Pas de réponse"/>
  </r>
  <r>
    <s v="VRB0240"/>
    <n v="3"/>
    <n v="3"/>
    <n v="3"/>
    <s v="35 à 49 ans"/>
    <n v="4"/>
    <x v="0"/>
    <n v="1"/>
    <n v="150"/>
    <s v="1949-1975"/>
    <s v="4"/>
    <s v="Pas de réponse"/>
    <x v="0"/>
    <s v="Cuisinière"/>
    <x v="0"/>
    <s v="Pas de réponse"/>
    <s v="7"/>
    <s v="Avant 1990"/>
    <s v="Bois bûche"/>
    <s v=""/>
    <s v=""/>
    <s v=""/>
    <s v="5"/>
    <s v=""/>
    <s v="6"/>
    <s v="4"/>
    <s v="Pas de réponse"/>
    <s v="Pas de réponse"/>
    <s v="3"/>
    <s v="Autre, à préciser"/>
    <s v="nouveau propriétaire aout 2021"/>
    <s v="Chaudière"/>
    <s v="2"/>
    <s v=""/>
    <s v="Chauffage de base"/>
    <s v="Pas de réponse"/>
  </r>
  <r>
    <s v="VRB0241"/>
    <n v="3"/>
    <n v="4"/>
    <n v="9"/>
    <s v="35 à 49 ans"/>
    <n v="4"/>
    <x v="0"/>
    <n v="1"/>
    <n v="129"/>
    <s v="1949-1975"/>
    <s v="4"/>
    <s v="Pas de réponse"/>
    <x v="0"/>
    <s v="Cuisinière"/>
    <x v="0"/>
    <s v="Tous les jours"/>
    <s v="1; 2; 3"/>
    <s v="1996-2002"/>
    <s v="Bois bûche"/>
    <s v="et charbon"/>
    <s v="8"/>
    <s v=""/>
    <s v="2"/>
    <s v=""/>
    <s v="1"/>
    <s v="1"/>
    <s v="&gt; 2 ans"/>
    <s v="Les deux"/>
    <s v="1"/>
    <s v="2 fois par an"/>
    <s v=""/>
    <s v="Poêle"/>
    <s v="2"/>
    <s v=""/>
    <s v="Chauffage de base"/>
    <s v="Pas de réponse"/>
  </r>
  <r>
    <s v="VRB0242"/>
    <n v="3"/>
    <n v="5"/>
    <n v="6"/>
    <s v="35 à 49 ans"/>
    <n v="4"/>
    <x v="0"/>
    <n v="1"/>
    <n v="120"/>
    <s v="Avant 1949"/>
    <s v="6"/>
    <s v="E"/>
    <x v="0"/>
    <s v="Poêle"/>
    <x v="1"/>
    <s v="3 à 4 jours/semaine"/>
    <s v="2"/>
    <s v="Après 2002"/>
    <s v="Bois de récupération, à préciser"/>
    <s v="fagots"/>
    <s v="4"/>
    <s v="m3"/>
    <s v="1"/>
    <s v=""/>
    <s v="6"/>
    <s v="2"/>
    <s v="1 à 2 ans"/>
    <s v="Les deux"/>
    <s v="1"/>
    <s v="1 fois par an"/>
    <s v=""/>
    <s v="Poêle"/>
    <s v="2"/>
    <s v=""/>
    <s v="Chauffage de base"/>
    <s v="Pas de réponse"/>
  </r>
  <r>
    <s v="VRB0243"/>
    <n v="3"/>
    <n v="7"/>
    <n v="9"/>
    <s v="65 ans et plus"/>
    <n v="1"/>
    <x v="0"/>
    <n v="1"/>
    <n v="200"/>
    <s v="1990-2005"/>
    <s v="6"/>
    <s v="Pas de réponse"/>
    <x v="0"/>
    <s v="Insert / foyer fermé"/>
    <x v="0"/>
    <s v="Tous les jours"/>
    <s v="1; 2; 4; 5"/>
    <s v="1996-2002"/>
    <s v="Bois bûche"/>
    <s v=""/>
    <s v="2"/>
    <s v="m3"/>
    <s v="1"/>
    <s v=""/>
    <s v="1"/>
    <s v="2"/>
    <s v="1 à 2 ans"/>
    <s v="Les deux"/>
    <s v="2"/>
    <s v="1 fois par an"/>
    <s v=""/>
    <s v="Poêle"/>
    <s v="1"/>
    <s v=""/>
    <s v="Chauffage de base"/>
    <s v="Pas de réponse"/>
  </r>
  <r>
    <s v="VRB0244"/>
    <n v="3"/>
    <n v="7"/>
    <n v="8"/>
    <s v="50 à 64 ans"/>
    <n v="2"/>
    <x v="0"/>
    <n v="1"/>
    <n v="120"/>
    <s v="1975-1990"/>
    <s v="4"/>
    <s v="Pas de réponse"/>
    <x v="0"/>
    <s v="Insert / foyer fermé"/>
    <x v="0"/>
    <s v="Tous les jours"/>
    <s v="4; 5"/>
    <s v="1990-1995"/>
    <s v="Bois bûche"/>
    <s v=""/>
    <s v="7 à 8"/>
    <s v="stères"/>
    <s v="1"/>
    <s v=""/>
    <s v="5"/>
    <s v="2"/>
    <s v="&gt; 2 ans"/>
    <s v="Les deux"/>
    <s v="2"/>
    <s v="1 fois par an"/>
    <s v=""/>
    <s v="Poêle"/>
    <s v="2"/>
    <s v=""/>
    <s v="Chauffage de base"/>
    <s v="Pas de réponse"/>
  </r>
  <r>
    <s v="VRB0245"/>
    <n v="3"/>
    <n v="3"/>
    <n v="5"/>
    <s v="25 à 34 ans"/>
    <n v="3"/>
    <x v="0"/>
    <n v="1"/>
    <n v="110"/>
    <s v="1975-1990"/>
    <s v="6"/>
    <s v="D"/>
    <x v="0"/>
    <s v="Insert / foyer fermé"/>
    <x v="0"/>
    <s v="Tous les jours"/>
    <s v="1; 2; 6"/>
    <s v="Avant 1990"/>
    <s v="Bois bûche"/>
    <s v=""/>
    <s v="3"/>
    <s v="m3"/>
    <s v="4"/>
    <s v="NE SAIT PAS"/>
    <s v="5"/>
    <s v="2"/>
    <s v="1 à 2 ans"/>
    <s v="Les deux"/>
    <s v="2"/>
    <s v="Autre, à préciser"/>
    <s v="NE SAIT PAS"/>
    <s v="Poêle"/>
    <s v="2"/>
    <s v=""/>
    <s v="Chauffage de base"/>
    <s v="Pas de réponse"/>
  </r>
  <r>
    <s v="VRB0246"/>
    <n v="3"/>
    <n v="7"/>
    <n v="7"/>
    <s v="65 ans et plus"/>
    <n v="2"/>
    <x v="0"/>
    <n v="1"/>
    <n v="130"/>
    <s v="Avant 1949"/>
    <s v="6"/>
    <s v="Pas de réponse"/>
    <x v="0"/>
    <s v="Insert / foyer fermé"/>
    <x v="0"/>
    <s v="Tous les jours"/>
    <s v="1; 4"/>
    <s v="1996-2002"/>
    <s v="Bois bûche"/>
    <s v=""/>
    <s v="6"/>
    <s v="STERES"/>
    <s v="1"/>
    <s v=""/>
    <s v="6"/>
    <s v="2"/>
    <s v="&gt; 2 ans"/>
    <s v="Les deux"/>
    <s v="2"/>
    <s v="1 fois par an"/>
    <s v=""/>
    <s v="Poêle"/>
    <s v="1"/>
    <s v=""/>
    <s v="Chauffage de base"/>
    <s v="Pas de réponse"/>
  </r>
  <r>
    <s v="VRB0247"/>
    <n v="3"/>
    <n v="3"/>
    <n v="3"/>
    <s v="25 à 34 ans"/>
    <n v="3"/>
    <x v="0"/>
    <n v="1"/>
    <n v="100"/>
    <s v="1949-1975"/>
    <s v="4"/>
    <s v="Pas de réponse"/>
    <x v="0"/>
    <s v="Poêle"/>
    <x v="0"/>
    <s v="Tous les jours"/>
    <s v="4; 6"/>
    <s v="Avant 1990"/>
    <s v="Bois bûche"/>
    <s v=""/>
    <s v="5"/>
    <s v="STERES"/>
    <s v="2"/>
    <s v=""/>
    <s v="5"/>
    <s v="2"/>
    <s v="&lt; 1 an"/>
    <s v="Feuillus"/>
    <s v="2"/>
    <s v="2 fois par an"/>
    <s v=""/>
    <s v="Poêle"/>
    <s v="2"/>
    <s v=""/>
    <s v="Chauffage de base"/>
    <s v="Pas de réponse"/>
  </r>
  <r>
    <s v="VRB0248"/>
    <n v="3"/>
    <n v="3"/>
    <n v="9"/>
    <s v="35 à 49 ans"/>
    <n v="4"/>
    <x v="0"/>
    <n v="1"/>
    <n v="113"/>
    <s v="1975-1990"/>
    <s v="6"/>
    <s v="E"/>
    <x v="0"/>
    <s v="Insert / foyer fermé"/>
    <x v="1"/>
    <s v="Pas de réponse"/>
    <s v="7"/>
    <s v="Avant 1990"/>
    <s v="Bois bûche"/>
    <s v=""/>
    <s v=""/>
    <s v=""/>
    <s v="5"/>
    <s v=""/>
    <s v="6"/>
    <s v="4"/>
    <s v="Pas de réponse"/>
    <s v="Pas de réponse"/>
    <s v="3"/>
    <s v="Pas de réponse"/>
    <s v=""/>
    <s v="Poêle"/>
    <s v="2"/>
    <s v=""/>
    <s v="Chauffage de base"/>
    <s v="Pas de réponse"/>
  </r>
  <r>
    <s v="VRB0249"/>
    <n v="3"/>
    <n v="7"/>
    <n v="7"/>
    <s v="65 ans et plus"/>
    <n v="2"/>
    <x v="0"/>
    <n v="1"/>
    <n v="116"/>
    <s v="1990-2005"/>
    <s v="6"/>
    <s v="Pas de réponse"/>
    <x v="0"/>
    <s v="Insert / foyer fermé"/>
    <x v="0"/>
    <s v="Tous les jours"/>
    <s v="3"/>
    <s v="1990-1995"/>
    <s v="Bois bûche"/>
    <s v=""/>
    <s v="5"/>
    <s v="STERES"/>
    <s v="2"/>
    <s v=""/>
    <s v="1"/>
    <s v="2"/>
    <s v="1 à 2 ans"/>
    <s v="Feuillus"/>
    <s v="1; 2"/>
    <s v="1 fois par an"/>
    <s v=""/>
    <s v="Insert cheminée"/>
    <s v="1"/>
    <s v=""/>
    <s v="Chauffage de base"/>
    <s v="Pas de réponse"/>
  </r>
  <r>
    <s v="VRB0250"/>
    <n v="3"/>
    <n v="3"/>
    <n v="8"/>
    <s v="25 à 34 ans"/>
    <n v="2"/>
    <x v="0"/>
    <n v="1"/>
    <n v="150"/>
    <s v="1990-2005"/>
    <s v="6"/>
    <s v="C"/>
    <x v="0"/>
    <s v="Foyer ouvert"/>
    <x v="1"/>
    <s v="Tous les jours"/>
    <s v="2; 3"/>
    <s v="1996-2002"/>
    <s v="Bois bûche"/>
    <s v=""/>
    <s v="7"/>
    <s v="m3"/>
    <s v="2"/>
    <s v=""/>
    <s v="1"/>
    <s v="2"/>
    <s v="&gt; 2 ans"/>
    <s v="Feuillus"/>
    <s v="2"/>
    <s v="1 fois par an"/>
    <s v=""/>
    <s v="Poêle"/>
    <s v="1"/>
    <s v=""/>
    <s v="Chauffage d'appoint"/>
    <s v="Pas de réponse"/>
  </r>
  <r>
    <s v="VRB0251"/>
    <n v="3"/>
    <n v="3"/>
    <n v="3"/>
    <s v="25 à 34 ans"/>
    <n v="2"/>
    <x v="0"/>
    <n v="1"/>
    <n v="100"/>
    <s v="1949-1975"/>
    <s v="6"/>
    <s v="E"/>
    <x v="0"/>
    <s v="Poêle"/>
    <x v="0"/>
    <s v="Tous les jours"/>
    <s v="3; 4"/>
    <s v="Avant 1990"/>
    <s v="Bois bûche"/>
    <s v=""/>
    <s v=""/>
    <s v=""/>
    <s v="4"/>
    <s v=""/>
    <s v="5"/>
    <s v="1"/>
    <s v="Pas de réponse"/>
    <s v="Pas de réponse"/>
    <s v="2"/>
    <s v="1 fois par an"/>
    <s v=""/>
    <s v="Poêle"/>
    <s v="2"/>
    <s v=""/>
    <s v="Chauffage de base"/>
    <s v="Pas de réponse"/>
  </r>
  <r>
    <s v="VRB0252"/>
    <n v="3"/>
    <n v="7"/>
    <n v="7"/>
    <s v="65 ans et plus"/>
    <n v="2"/>
    <x v="0"/>
    <n v="1"/>
    <n v="130"/>
    <s v="Avant 1949"/>
    <s v="1"/>
    <s v="Pas de réponse"/>
    <x v="0"/>
    <s v="Poêle"/>
    <x v="0"/>
    <s v="Tous les jours"/>
    <s v="3; 6"/>
    <s v="1996-2002"/>
    <s v="Bois bûche"/>
    <s v=""/>
    <s v=""/>
    <s v=""/>
    <s v="1"/>
    <s v=""/>
    <s v="5"/>
    <s v="2"/>
    <s v="&gt; 2 ans"/>
    <s v="Les deux"/>
    <s v="2"/>
    <s v="1 fois par an"/>
    <s v=""/>
    <s v="Poêle"/>
    <s v="2"/>
    <s v=""/>
    <s v="Chauffage de base"/>
    <s v="Pas de réponse"/>
  </r>
  <r>
    <s v="VRB0253"/>
    <n v="3"/>
    <n v="3"/>
    <n v="8"/>
    <s v="35 à 49 ans"/>
    <n v="5"/>
    <x v="0"/>
    <n v="1"/>
    <n v="58.86"/>
    <s v="Avant 1949"/>
    <s v="3; 4"/>
    <s v="E"/>
    <x v="0"/>
    <s v="Poêle"/>
    <x v="0"/>
    <s v="Tous les jours"/>
    <s v="1; 2; 3; 4; 5; 6"/>
    <s v="Pas de réponse"/>
    <s v="Bois bûche"/>
    <s v=""/>
    <s v="12"/>
    <s v="STERES"/>
    <s v="1"/>
    <s v=""/>
    <s v="2"/>
    <s v="2"/>
    <s v="&gt; 2 ans"/>
    <s v="Feuillus"/>
    <s v="2"/>
    <s v="1 fois par an"/>
    <s v=""/>
    <s v="Poêle"/>
    <s v="1"/>
    <s v=""/>
    <s v="Chauffage de base"/>
    <s v="Pas de réponse"/>
  </r>
  <r>
    <s v="VRB0255"/>
    <n v="3"/>
    <n v="7"/>
    <n v="7"/>
    <s v="65 ans et plus"/>
    <n v="2"/>
    <x v="0"/>
    <n v="1"/>
    <n v="111"/>
    <s v="1990-2005"/>
    <s v="2"/>
    <s v="D"/>
    <x v="0"/>
    <s v="Foyer ouvert"/>
    <x v="1"/>
    <s v="1 à 2 jours/semaine"/>
    <s v="1; 2"/>
    <s v="1990-1995"/>
    <s v="Bois bûche"/>
    <s v=""/>
    <s v="3"/>
    <s v="STERES"/>
    <s v="2"/>
    <s v=""/>
    <s v="5"/>
    <s v="2"/>
    <s v="&gt; 2 ans"/>
    <s v="Feuillus"/>
    <s v="2"/>
    <s v="1 fois tous les 2 ans"/>
    <s v=""/>
    <s v="Poêle"/>
    <s v="1"/>
    <s v=""/>
    <s v="Chauffage d'appoint"/>
    <s v="Pas de réponse"/>
  </r>
  <r>
    <s v="VRB0256"/>
    <n v="3"/>
    <n v="2"/>
    <n v="3"/>
    <s v="50 à 64 ans"/>
    <n v="3"/>
    <x v="0"/>
    <n v="1"/>
    <n v="50"/>
    <s v="1975-1990"/>
    <s v="6"/>
    <s v="Ne sait pas"/>
    <x v="0"/>
    <s v="Foyer ouvert"/>
    <x v="1"/>
    <s v="3 à 4 jours/semaine"/>
    <s v="2; 4; 6"/>
    <s v="Après 2002"/>
    <s v="Bois bûche"/>
    <s v=""/>
    <s v="5"/>
    <s v="STERES"/>
    <s v="3"/>
    <s v=""/>
    <s v="5"/>
    <s v="2"/>
    <s v="&lt; 1 an"/>
    <s v="Résineux"/>
    <s v="2"/>
    <s v="1 fois par an"/>
    <s v=""/>
    <s v="Poêle"/>
    <s v="2"/>
    <s v=""/>
    <s v="Chauffage de base"/>
    <s v="Pas de réponse"/>
  </r>
  <r>
    <s v="VRB0257"/>
    <n v="3"/>
    <n v="7"/>
    <n v="9"/>
    <s v="65 ans et plus"/>
    <n v="1"/>
    <x v="0"/>
    <n v="1"/>
    <n v="130"/>
    <s v="1975-1990"/>
    <s v="1; 4"/>
    <s v="Pas de réponse"/>
    <x v="0"/>
    <s v="Insert / foyer fermé"/>
    <x v="0"/>
    <s v="Tous les jours"/>
    <s v="4; 5"/>
    <s v="1990-1995"/>
    <s v="Granulés/pellets"/>
    <s v=""/>
    <s v="5"/>
    <s v=""/>
    <s v="1"/>
    <s v=""/>
    <s v="5"/>
    <s v="1"/>
    <s v="&gt; 2 ans"/>
    <s v="Résineux"/>
    <s v="2"/>
    <s v="1 fois par an"/>
    <s v=""/>
    <s v="Poêle"/>
    <s v="2"/>
    <s v=""/>
    <s v="Chauffage de base"/>
    <s v="Pas de réponse"/>
  </r>
  <r>
    <s v="VRB0258"/>
    <n v="3"/>
    <n v="7"/>
    <n v="9"/>
    <s v="65 ans et plus"/>
    <n v="1"/>
    <x v="0"/>
    <n v="1"/>
    <n v="60"/>
    <s v="1975-1990"/>
    <s v="1; 4"/>
    <s v="Ne sait pas"/>
    <x v="0"/>
    <s v="Foyer ouvert"/>
    <x v="1"/>
    <s v="1 à 2 jours/semaine"/>
    <s v="3; 6"/>
    <s v="Avant 1990"/>
    <s v="Bois bûche"/>
    <s v=""/>
    <s v=""/>
    <s v=""/>
    <s v="1"/>
    <s v=""/>
    <s v="6"/>
    <s v="2"/>
    <s v="&gt; 2 ans"/>
    <s v="Feuillus"/>
    <s v="2"/>
    <s v="1 fois par an"/>
    <s v=""/>
    <s v="Insert cheminée"/>
    <s v="1"/>
    <s v=""/>
    <s v="Chauffage d'appoint"/>
    <s v="Pas de réponse"/>
  </r>
  <r>
    <s v="VRB0259"/>
    <n v="3"/>
    <n v="5"/>
    <n v="5"/>
    <s v="50 à 64 ans"/>
    <n v="2"/>
    <x v="0"/>
    <n v="1"/>
    <n v="0"/>
    <s v="1949-1975"/>
    <s v="4"/>
    <s v="Pas de réponse"/>
    <x v="0"/>
    <s v="Poêle"/>
    <x v="0"/>
    <s v="Tous les jours"/>
    <s v="1; 2; 4; 5"/>
    <s v="Avant 1990"/>
    <s v="Bois bûche"/>
    <s v=""/>
    <s v="11"/>
    <s v="8,8"/>
    <s v="5"/>
    <s v=""/>
    <s v="1"/>
    <s v="2"/>
    <s v="1 à 2 ans"/>
    <s v="Les deux"/>
    <s v="2"/>
    <s v="1 fois par an"/>
    <s v=""/>
    <s v="Poêle"/>
    <s v="2"/>
    <s v=""/>
    <s v="Chauffage de base"/>
    <s v="Pas de réponse"/>
  </r>
  <r>
    <s v="VRB0260"/>
    <n v="3"/>
    <n v="8"/>
    <n v="5"/>
    <s v="25 à 34 ans"/>
    <n v="2"/>
    <x v="0"/>
    <n v="1"/>
    <n v="240"/>
    <s v="Avant 1949"/>
    <s v="1; 2"/>
    <s v="C"/>
    <x v="0"/>
    <s v="Insert / foyer fermé"/>
    <x v="0"/>
    <s v="Tous les jours"/>
    <s v="1; 2; 4"/>
    <s v="1996-2002"/>
    <s v="Bois bûche"/>
    <s v=""/>
    <s v="6"/>
    <s v="STERES"/>
    <s v="2"/>
    <s v=""/>
    <s v="5"/>
    <s v="2"/>
    <s v="&gt; 2 ans"/>
    <s v="Feuillus"/>
    <s v="2"/>
    <s v="1 fois par an"/>
    <s v=""/>
    <s v="Poêle"/>
    <s v="2"/>
    <s v=""/>
    <s v="Chauffage de base"/>
    <s v="Pas de réponse"/>
  </r>
  <r>
    <s v="VRB0261"/>
    <n v="3"/>
    <n v="3"/>
    <n v="3"/>
    <s v="35 à 49 ans"/>
    <n v="2"/>
    <x v="0"/>
    <n v="1"/>
    <n v="110"/>
    <s v="1949-1975"/>
    <s v="1; 4"/>
    <s v="Pas de réponse"/>
    <x v="0"/>
    <s v="Insert / foyer fermé"/>
    <x v="0"/>
    <s v="3 à 4 jours/semaine"/>
    <s v="2; 6"/>
    <s v="Avant 1990"/>
    <s v="Bois bûche"/>
    <s v=""/>
    <s v="5"/>
    <s v="50CM"/>
    <s v="1"/>
    <s v=""/>
    <s v="2"/>
    <s v="2"/>
    <s v="1 à 2 ans"/>
    <s v="Les deux"/>
    <s v="2"/>
    <s v="1 fois par an"/>
    <s v=""/>
    <s v="Poêle"/>
    <s v="1"/>
    <s v=""/>
    <s v="Chauffage d'appoint"/>
    <s v="Pas de réponse"/>
  </r>
  <r>
    <s v="VRB0262"/>
    <n v="3"/>
    <n v="2"/>
    <n v="5"/>
    <s v="35 à 49 ans"/>
    <n v="4"/>
    <x v="0"/>
    <n v="1"/>
    <n v="130"/>
    <s v="Avant 1949"/>
    <s v="1"/>
    <s v="Pas de réponse"/>
    <x v="0"/>
    <s v="Poêle"/>
    <x v="0"/>
    <s v="3 à 4 jours/semaine"/>
    <s v="2; 6"/>
    <s v="1996-2002"/>
    <s v="Bois bûche"/>
    <s v=""/>
    <s v="6"/>
    <s v="STERES"/>
    <s v="1; 2"/>
    <s v=""/>
    <s v="5"/>
    <s v="2"/>
    <s v="1 à 2 ans"/>
    <s v="Les deux"/>
    <s v="1"/>
    <s v="1 fois par an"/>
    <s v=""/>
    <s v="Poêle"/>
    <s v="2"/>
    <s v=""/>
    <s v="Chauffage de base"/>
    <s v="Pas de réponse"/>
  </r>
  <r>
    <s v="VRB0263"/>
    <n v="3"/>
    <n v="6"/>
    <n v="9"/>
    <s v="50 à 64 ans"/>
    <n v="1"/>
    <x v="0"/>
    <n v="1"/>
    <n v="130"/>
    <s v="1990-2005"/>
    <s v="1"/>
    <s v="Pas de réponse"/>
    <x v="0"/>
    <s v="Poêle"/>
    <x v="0"/>
    <s v="Tous les jours"/>
    <s v="4; 5"/>
    <s v="1996-2002"/>
    <s v="Bois bûche"/>
    <s v=""/>
    <s v="13"/>
    <s v=""/>
    <s v="2"/>
    <s v=""/>
    <s v="5"/>
    <s v="2"/>
    <s v="1 à 2 ans"/>
    <s v="Feuillus"/>
    <s v="2"/>
    <s v="1 fois par an"/>
    <s v=""/>
    <s v="Poêle"/>
    <s v="1"/>
    <s v=""/>
    <s v="Chauffage de base"/>
    <s v="Pas de réponse"/>
  </r>
  <r>
    <s v="VRB0265"/>
    <n v="3"/>
    <n v="2"/>
    <n v="3"/>
    <s v="25 à 34 ans"/>
    <n v="2"/>
    <x v="0"/>
    <n v="1"/>
    <n v="127"/>
    <s v="Avant 1949"/>
    <s v="7"/>
    <s v="D"/>
    <x v="0"/>
    <s v="Insert / foyer fermé"/>
    <x v="0"/>
    <s v="Tous les jours"/>
    <s v="1; 2; 3; 4; 6"/>
    <s v="1990-1995"/>
    <s v="Bois bûche"/>
    <s v=""/>
    <s v="8"/>
    <s v="STERES"/>
    <s v="2"/>
    <s v=""/>
    <s v="5"/>
    <s v="2"/>
    <s v="1 à 2 ans"/>
    <s v="Feuillus"/>
    <s v="2"/>
    <s v="1 fois par an"/>
    <s v=""/>
    <s v="Poêle"/>
    <s v="2"/>
    <s v=""/>
    <s v="Chauffage de base"/>
    <s v="Pas de réponse"/>
  </r>
  <r>
    <s v="VRB0266"/>
    <n v="3"/>
    <n v="4"/>
    <n v="3"/>
    <s v="25 à 34 ans"/>
    <n v="2"/>
    <x v="0"/>
    <n v="1"/>
    <n v="100"/>
    <s v="1975-1990"/>
    <s v="4"/>
    <s v="E"/>
    <x v="0"/>
    <s v="Insert / foyer fermé"/>
    <x v="0"/>
    <s v="Tous les jours"/>
    <s v="3"/>
    <s v="Avant 1990"/>
    <s v="Bois bûche"/>
    <s v=""/>
    <s v="10"/>
    <s v="STERES"/>
    <s v="1"/>
    <s v=""/>
    <s v="1"/>
    <s v="2"/>
    <s v="1 à 2 ans"/>
    <s v="Les deux"/>
    <s v="2"/>
    <s v="1 fois par an"/>
    <s v=""/>
    <s v="Poêle"/>
    <s v="1"/>
    <s v=""/>
    <s v="Chauffage de base"/>
    <s v="Pas de réponse"/>
  </r>
  <r>
    <s v="VRB0267"/>
    <n v="3"/>
    <n v="3"/>
    <n v="3"/>
    <s v="35 à 49 ans"/>
    <n v="4"/>
    <x v="0"/>
    <n v="1"/>
    <n v="111"/>
    <s v="1975-1990"/>
    <s v="1; 4"/>
    <s v="Ne sait pas"/>
    <x v="0"/>
    <s v="Insert / foyer fermé"/>
    <x v="0"/>
    <s v="Tous les jours"/>
    <s v="1; 2; 3; 4; 5; 6"/>
    <s v="Avant 1990"/>
    <s v="Bois bûche"/>
    <s v=""/>
    <s v="15"/>
    <s v="STERES"/>
    <s v="1; 2"/>
    <s v=""/>
    <s v="5"/>
    <s v="2"/>
    <s v="&gt; 2 ans"/>
    <s v="Les deux"/>
    <s v="1"/>
    <s v="2 fois par an"/>
    <s v=""/>
    <s v="Insert cheminée"/>
    <s v="1"/>
    <s v=""/>
    <s v="Chauffage de base"/>
    <s v="Pas de réponse"/>
  </r>
  <r>
    <s v="VRB0268"/>
    <n v="2"/>
    <n v="3"/>
    <n v="4"/>
    <s v="35 à 49 ans"/>
    <n v="3"/>
    <x v="0"/>
    <n v="1"/>
    <n v="110"/>
    <s v="1949-1975"/>
    <s v="4"/>
    <s v="F"/>
    <x v="0"/>
    <s v="Foyer ouvert"/>
    <x v="1"/>
    <s v="Tous les jours"/>
    <s v="1; 2; 3; 4; 5; 6"/>
    <s v="Avant 1990"/>
    <s v="Bois bûche"/>
    <s v=""/>
    <s v="10"/>
    <s v="STERES"/>
    <s v="2"/>
    <s v=""/>
    <s v="2"/>
    <s v="2"/>
    <s v="1 à 2 ans"/>
    <s v="Feuillus"/>
    <s v="1"/>
    <s v="2 fois par an"/>
    <s v=""/>
    <s v="Poêle"/>
    <s v="1"/>
    <s v=""/>
    <s v="Chauffage de base"/>
    <s v="Pas de réponse"/>
  </r>
  <r>
    <s v="VRB0269"/>
    <n v="3"/>
    <n v="7"/>
    <n v="7"/>
    <s v="65 ans et plus"/>
    <n v="2"/>
    <x v="0"/>
    <n v="1"/>
    <n v="140"/>
    <s v="1975-1990"/>
    <s v="6"/>
    <s v="Pas de réponse"/>
    <x v="0"/>
    <s v="Foyer ouvert"/>
    <x v="3"/>
    <s v="1 à 3 jours/mois"/>
    <s v="2; 3; 6"/>
    <s v="Avant 1990"/>
    <s v="Bois bûche"/>
    <s v=""/>
    <s v="0,8"/>
    <s v="50CM"/>
    <s v="2"/>
    <s v=""/>
    <s v="1"/>
    <s v="2"/>
    <s v="1 à 2 ans"/>
    <s v="Feuillus"/>
    <s v="2"/>
    <s v="1 fois par an"/>
    <s v=""/>
    <s v="Insert cheminée"/>
    <s v="1"/>
    <s v=""/>
    <s v="Chauffage d'appoint"/>
    <s v="Pas de réponse"/>
  </r>
  <r>
    <s v="VRB0270"/>
    <n v="3"/>
    <n v="3"/>
    <n v="3"/>
    <s v="25 à 34 ans"/>
    <n v="4"/>
    <x v="0"/>
    <n v="1"/>
    <n v="190"/>
    <s v="Avant 1949"/>
    <s v="1; 4"/>
    <s v="D"/>
    <x v="0"/>
    <s v="Foyer ouvert"/>
    <x v="1"/>
    <s v="3 à 4 jours/semaine"/>
    <s v="2; 3; 4; 6"/>
    <s v="1990-1995"/>
    <s v="Bois bûche"/>
    <s v=""/>
    <s v="4"/>
    <s v="STERES"/>
    <s v="1"/>
    <s v=""/>
    <s v="5"/>
    <s v="2"/>
    <s v="&gt; 2 ans"/>
    <s v="Les deux"/>
    <s v="2"/>
    <s v="1 fois tous les 2 ans"/>
    <s v=""/>
    <s v="Poêle"/>
    <s v="1"/>
    <s v=""/>
    <s v="Chauffage d'appoint"/>
    <s v="Pas de réponse"/>
  </r>
  <r>
    <s v="VRB0271"/>
    <n v="3"/>
    <n v="2"/>
    <n v="3"/>
    <s v="35 à 49 ans"/>
    <n v="2"/>
    <x v="0"/>
    <n v="1"/>
    <n v="140"/>
    <s v="Avant 1949"/>
    <s v="6"/>
    <s v="Pas de réponse"/>
    <x v="0"/>
    <s v="Foyer ouvert"/>
    <x v="1"/>
    <s v="1 à 3 jours/mois"/>
    <s v="6"/>
    <s v="Avant 1990"/>
    <s v="Bois bûche"/>
    <s v=""/>
    <s v="5"/>
    <s v="STERES"/>
    <s v="4"/>
    <s v="INTERNET"/>
    <s v="5"/>
    <s v="2"/>
    <s v="1 à 2 ans"/>
    <s v="Les deux"/>
    <s v="2"/>
    <s v="1 fois par an"/>
    <s v=""/>
    <s v="Insert cheminée"/>
    <s v="1"/>
    <s v=""/>
    <s v="Chauffage de base"/>
    <s v="Pas de réponse"/>
  </r>
  <r>
    <s v="VRB0272"/>
    <n v="3"/>
    <n v="3"/>
    <n v="1"/>
    <s v="50 à 64 ans"/>
    <n v="2"/>
    <x v="0"/>
    <n v="1"/>
    <n v="100"/>
    <s v="1975-1990"/>
    <s v="1"/>
    <s v="Pas de réponse"/>
    <x v="0"/>
    <s v="Poêle"/>
    <x v="0"/>
    <s v="Tous les jours"/>
    <s v="4; 5; 6"/>
    <s v="1990-1995"/>
    <s v="Bois bûche"/>
    <s v=""/>
    <s v=""/>
    <s v=""/>
    <s v="1"/>
    <s v=""/>
    <s v="6"/>
    <s v="2"/>
    <s v="&gt; 2 ans"/>
    <s v="Les deux"/>
    <s v="2"/>
    <s v="2 fois par an"/>
    <s v=""/>
    <s v="Poêle"/>
    <s v="1"/>
    <s v=""/>
    <s v="Chauffage de base"/>
    <s v="Pas de réponse"/>
  </r>
  <r>
    <s v="VRB0273"/>
    <n v="3"/>
    <n v="7"/>
    <n v="7"/>
    <s v="65 ans et plus"/>
    <n v="2"/>
    <x v="0"/>
    <n v="1"/>
    <n v="180"/>
    <s v="1975-1990"/>
    <s v="1; 2; 4"/>
    <s v="Ne sait pas"/>
    <x v="0"/>
    <s v="Foyer ouvert"/>
    <x v="2"/>
    <s v="3 à 4 jours/semaine"/>
    <s v="2"/>
    <s v="Avant 1990"/>
    <s v="Bois bûche"/>
    <s v=""/>
    <s v="1"/>
    <s v="m3"/>
    <s v="1"/>
    <s v=""/>
    <s v="6"/>
    <s v="2"/>
    <s v="1 à 2 ans"/>
    <s v="Feuillus"/>
    <s v="2"/>
    <s v="1 fois par an"/>
    <s v=""/>
    <s v="Poêle"/>
    <s v="1"/>
    <s v=""/>
    <s v="Chauffage d'appoint"/>
    <s v="Pas de réponse"/>
  </r>
  <r>
    <s v="VRB0274"/>
    <n v="3"/>
    <n v="2"/>
    <n v="3"/>
    <s v="35 à 49 ans"/>
    <n v="2"/>
    <x v="0"/>
    <n v="1"/>
    <n v="140"/>
    <s v="Avant 1949"/>
    <s v="1; 4"/>
    <s v="Pas de réponse"/>
    <x v="0"/>
    <s v="Poêle"/>
    <x v="1"/>
    <s v="Tous les jours"/>
    <s v="2"/>
    <s v="1996-2002"/>
    <s v="Bois bûche"/>
    <s v=""/>
    <s v="8,25"/>
    <s v="m3"/>
    <s v="2"/>
    <s v=""/>
    <s v="5"/>
    <s v="2"/>
    <s v="1 à 2 ans"/>
    <s v="Les deux"/>
    <s v="2"/>
    <s v="1 fois par an"/>
    <s v=""/>
    <s v="Poêle"/>
    <s v="1"/>
    <s v=""/>
    <s v="Chauffage d'appoint"/>
    <s v="Pas de réponse"/>
  </r>
  <r>
    <s v="VRB0275"/>
    <n v="3"/>
    <n v="3"/>
    <n v="2"/>
    <s v="50 à 64 ans"/>
    <n v="2"/>
    <x v="0"/>
    <n v="1"/>
    <n v="125"/>
    <s v="Avant 1949"/>
    <s v="6"/>
    <s v="Ne sait pas"/>
    <x v="0"/>
    <s v="Cuisinière"/>
    <x v="0"/>
    <s v="Tous les jours"/>
    <s v="4; 6"/>
    <s v="Avant 1990"/>
    <s v="Bois bûche"/>
    <s v=""/>
    <s v="10"/>
    <s v=""/>
    <s v="1"/>
    <s v=""/>
    <s v="2"/>
    <s v="2"/>
    <s v="1 à 2 ans"/>
    <s v="Feuillus"/>
    <s v="2"/>
    <s v="1 fois par an"/>
    <s v=""/>
    <s v="Poêle"/>
    <s v="2"/>
    <s v=""/>
    <s v="Chauffage de base"/>
    <s v="Pas de réponse"/>
  </r>
  <r>
    <s v="VRB0276"/>
    <n v="3"/>
    <n v="3"/>
    <n v="3"/>
    <s v="35 à 49 ans"/>
    <n v="4"/>
    <x v="0"/>
    <n v="1"/>
    <n v="145"/>
    <s v="1990-2005"/>
    <s v="6"/>
    <s v="Pas de réponse"/>
    <x v="0"/>
    <s v="Poêle"/>
    <x v="0"/>
    <s v="Tous les jours"/>
    <s v="1; 2; 3; 4; 5; 6"/>
    <s v="1996-2002"/>
    <s v="Bois bûche"/>
    <s v=""/>
    <s v="9"/>
    <s v="STERES"/>
    <s v="2"/>
    <s v=""/>
    <s v="2"/>
    <s v="2"/>
    <s v="&gt; 2 ans"/>
    <s v="Feuillus"/>
    <s v="2"/>
    <s v="1 fois par an"/>
    <s v=""/>
    <s v="Insert cheminée"/>
    <s v="1"/>
    <s v=""/>
    <s v="Chauffage de base"/>
    <s v="Pas de réponse"/>
  </r>
  <r>
    <s v="VRB0277"/>
    <n v="3"/>
    <n v="8"/>
    <n v="9"/>
    <s v="50 à 64 ans"/>
    <n v="1"/>
    <x v="0"/>
    <n v="1"/>
    <n v="100"/>
    <s v="1975-1990"/>
    <s v="1"/>
    <s v="Pas de réponse"/>
    <x v="0"/>
    <s v="Poêle"/>
    <x v="0"/>
    <s v="Tous les jours"/>
    <s v="1; 2; 3; 4; 5; 6"/>
    <s v="Avant 1990"/>
    <s v="Bois bûche"/>
    <s v=""/>
    <s v="14"/>
    <s v="STERES"/>
    <s v="1; 2"/>
    <s v=""/>
    <s v="2"/>
    <s v="1"/>
    <s v="&gt; 2 ans"/>
    <s v="Ne sait pas"/>
    <s v="2"/>
    <s v="1 fois par an"/>
    <s v=""/>
    <s v="Poêle"/>
    <s v="1"/>
    <s v=""/>
    <s v="Chauffage de base"/>
    <s v="Pas de réponse"/>
  </r>
  <r>
    <s v="VRB0278"/>
    <n v="3"/>
    <n v="7"/>
    <n v="9"/>
    <s v="50 à 64 ans"/>
    <n v="2"/>
    <x v="0"/>
    <n v="1"/>
    <n v="90"/>
    <s v="Avant 1949"/>
    <s v="4"/>
    <s v="Ne sait pas"/>
    <x v="0"/>
    <s v="Insert / foyer fermé"/>
    <x v="1"/>
    <s v="Tous les jours"/>
    <s v="2"/>
    <s v="1996-2002"/>
    <s v="Bois bûche"/>
    <s v=""/>
    <s v="6"/>
    <s v="STERES"/>
    <s v="2"/>
    <s v=""/>
    <s v="1"/>
    <s v="1"/>
    <s v="&gt; 2 ans"/>
    <s v="Feuillus"/>
    <s v="2"/>
    <s v="1 fois par an"/>
    <s v=""/>
    <s v="poêle de masse"/>
    <s v="1"/>
    <s v=""/>
    <s v="Chauffage d'appoint"/>
    <s v="Pas de réponse"/>
  </r>
  <r>
    <s v="VRB0279"/>
    <n v="3"/>
    <n v="7"/>
    <n v="7"/>
    <s v="65 ans et plus"/>
    <n v="2"/>
    <x v="0"/>
    <n v="1"/>
    <n v="120"/>
    <s v="1949-1975"/>
    <s v="1; 4"/>
    <s v="Pas de réponse"/>
    <x v="0"/>
    <s v="Insert / foyer fermé"/>
    <x v="1"/>
    <s v="Tous les jours"/>
    <s v="1; 2; 4; 5"/>
    <s v="Avant 1990"/>
    <s v="Bois bûche"/>
    <s v=""/>
    <s v="10"/>
    <s v="STERES"/>
    <s v="1"/>
    <s v=""/>
    <s v="3"/>
    <s v="2"/>
    <s v="&gt; 2 ans"/>
    <s v="Feuillus"/>
    <s v="1"/>
    <s v="2 fois par an"/>
    <s v=""/>
    <s v="Poêle"/>
    <s v="2"/>
    <s v=""/>
    <s v="Chauffage de base"/>
    <s v="Pas de réponse"/>
  </r>
  <r>
    <s v="VRB0280"/>
    <n v="3"/>
    <n v="5"/>
    <n v="3"/>
    <s v="35 à 49 ans"/>
    <n v="5"/>
    <x v="0"/>
    <n v="1"/>
    <n v="130"/>
    <s v="Avant 1949"/>
    <s v="1; 4"/>
    <s v="Pas de réponse"/>
    <x v="0"/>
    <s v="Insert / foyer fermé"/>
    <x v="1"/>
    <s v="Tous les jours"/>
    <s v="2; 3; 6"/>
    <s v="1996-2002"/>
    <s v="Bois bûche"/>
    <s v=""/>
    <s v="12"/>
    <s v="50CM"/>
    <s v="1"/>
    <s v=""/>
    <s v="1"/>
    <s v="1"/>
    <s v="1 à 2 ans"/>
    <s v="Les deux"/>
    <s v="2"/>
    <s v="1 fois par an"/>
    <s v=""/>
    <s v="Poêle"/>
    <s v="1"/>
    <s v=""/>
    <s v="Chauffage d'appoint"/>
    <s v="Pas de réponse"/>
  </r>
  <r>
    <s v="VRB0281"/>
    <n v="3"/>
    <n v="7"/>
    <n v="7"/>
    <s v="65 ans et plus"/>
    <n v="2"/>
    <x v="0"/>
    <n v="1"/>
    <n v="115"/>
    <s v="Avant 1949"/>
    <s v="4"/>
    <s v="Pas de réponse"/>
    <x v="0"/>
    <s v="Poêle"/>
    <x v="0"/>
    <s v="Tous les jours"/>
    <s v="1; 2; 3; 4; 5"/>
    <s v="1990-1995"/>
    <s v="Bois bûche"/>
    <s v=""/>
    <s v="20"/>
    <s v="14"/>
    <s v="1"/>
    <s v=""/>
    <s v="1"/>
    <s v="2"/>
    <s v="1 à 2 ans"/>
    <s v="Feuillus"/>
    <s v="2"/>
    <s v="1 fois par an"/>
    <s v=""/>
    <s v="Poêle"/>
    <s v="2"/>
    <s v=""/>
    <s v="Chauffage de base"/>
    <s v="Pas de réponse"/>
  </r>
  <r>
    <s v="VRB0282"/>
    <n v="3"/>
    <n v="3"/>
    <n v="3"/>
    <s v="35 à 49 ans"/>
    <n v="4"/>
    <x v="0"/>
    <n v="1"/>
    <n v="100"/>
    <s v="1949-1975"/>
    <s v="1"/>
    <s v="Pas de réponse"/>
    <x v="0"/>
    <s v="Poêle"/>
    <x v="1"/>
    <s v="Tous les jours"/>
    <s v="2; 5; 6"/>
    <s v="1996-2002"/>
    <s v="Bois bûche"/>
    <s v=""/>
    <s v="6"/>
    <s v="STERES"/>
    <s v="2"/>
    <s v=""/>
    <s v="5"/>
    <s v="2"/>
    <s v="&lt; 1 an"/>
    <s v="Feuillus"/>
    <s v="2"/>
    <s v="1 fois par an"/>
    <s v=""/>
    <s v="Poêle"/>
    <s v="1"/>
    <s v=""/>
    <s v="Chauffage de base"/>
    <s v="Pas de réponse"/>
  </r>
  <r>
    <s v="VRB0283"/>
    <n v="3"/>
    <n v="7"/>
    <n v="4"/>
    <s v="65 ans et plus"/>
    <n v="2"/>
    <x v="0"/>
    <n v="1"/>
    <n v="100"/>
    <s v="1975-1990"/>
    <s v="6"/>
    <s v="Pas de réponse"/>
    <x v="0"/>
    <s v="Poêle"/>
    <x v="0"/>
    <s v="Tous les jours"/>
    <s v="4"/>
    <s v="1996-2002"/>
    <s v="Bois bûche"/>
    <s v=""/>
    <s v="9"/>
    <s v=""/>
    <s v="3"/>
    <s v=""/>
    <s v="5"/>
    <s v="2"/>
    <s v="1 à 2 ans"/>
    <s v="Les deux"/>
    <s v="1"/>
    <s v="2 fois par an"/>
    <s v=""/>
    <s v="Poêle"/>
    <s v="2"/>
    <s v=""/>
    <s v="Chauffage de base"/>
    <s v="Pas de réponse"/>
  </r>
  <r>
    <s v="VRB0284"/>
    <n v="3"/>
    <n v="7"/>
    <n v="7"/>
    <s v="50 à 64 ans"/>
    <n v="2"/>
    <x v="0"/>
    <n v="1"/>
    <n v="90"/>
    <s v="1975-1990"/>
    <s v="1; 4"/>
    <s v="Pas de réponse"/>
    <x v="0"/>
    <s v="Insert / foyer fermé"/>
    <x v="0"/>
    <s v="Tous les jours"/>
    <s v="4"/>
    <s v="Avant 1990"/>
    <s v="Bois bûche"/>
    <s v=""/>
    <s v="7"/>
    <s v="STERES"/>
    <s v="2"/>
    <s v=""/>
    <s v="5"/>
    <s v="2"/>
    <s v="&gt; 2 ans"/>
    <s v="Les deux"/>
    <s v="2"/>
    <s v="2 fois par an"/>
    <s v=""/>
    <s v="Poêle"/>
    <s v="2"/>
    <s v=""/>
    <s v="Chauffage de base"/>
    <s v="Pas de réponse"/>
  </r>
  <r>
    <s v="VRB0285"/>
    <n v="3"/>
    <n v="2"/>
    <n v="3"/>
    <s v="50 à 64 ans"/>
    <n v="2"/>
    <x v="0"/>
    <n v="1"/>
    <n v="120"/>
    <s v="Avant 1949"/>
    <s v="6"/>
    <s v="Pas de réponse"/>
    <x v="0"/>
    <s v="Insert / foyer fermé"/>
    <x v="1"/>
    <s v="3 à 4 jours/semaine"/>
    <s v="2; 4; 6"/>
    <s v="1990-1995"/>
    <s v="Bois bûche"/>
    <s v=""/>
    <s v="5"/>
    <s v="STERES"/>
    <s v="2"/>
    <s v=""/>
    <s v="2"/>
    <s v="2"/>
    <s v="1 à 2 ans"/>
    <s v="Les deux"/>
    <s v="2"/>
    <s v="1 fois par an"/>
    <s v=""/>
    <s v="Poêle"/>
    <s v="1"/>
    <s v=""/>
    <s v="Chauffage de base"/>
    <s v="Pas de réponse"/>
  </r>
  <r>
    <s v="VRB0286"/>
    <n v="3"/>
    <n v="3"/>
    <n v="3"/>
    <s v="25 à 34 ans"/>
    <n v="3"/>
    <x v="0"/>
    <n v="1"/>
    <n v="92"/>
    <s v="Avant 1949"/>
    <s v="6"/>
    <s v="Pas de réponse"/>
    <x v="0"/>
    <s v="Poêle"/>
    <x v="1"/>
    <s v="Tous les jours"/>
    <s v="4; 6"/>
    <s v="Avant 1990"/>
    <s v="Bois bûche"/>
    <s v=""/>
    <s v="8"/>
    <s v="STERES"/>
    <s v="1"/>
    <s v=""/>
    <s v="5"/>
    <s v="2"/>
    <s v="&gt; 2 ans"/>
    <s v="Feuillus"/>
    <s v="1"/>
    <s v="1 fois par an"/>
    <s v=""/>
    <s v="Insert cheminée"/>
    <s v="1"/>
    <s v=""/>
    <s v="Chauffage d'appoint"/>
    <s v="Pas de réponse"/>
  </r>
  <r>
    <s v="VRB0287"/>
    <n v="3"/>
    <n v="7"/>
    <n v="7"/>
    <s v="65 ans et plus"/>
    <n v="2"/>
    <x v="0"/>
    <n v="1"/>
    <n v="110"/>
    <s v="1975-1990"/>
    <s v="4"/>
    <s v="Pas de réponse"/>
    <x v="0"/>
    <s v="Insert / foyer fermé"/>
    <x v="1"/>
    <s v="Tous les jours"/>
    <s v="2"/>
    <s v="Avant 1990"/>
    <s v="Bois bûche"/>
    <s v=""/>
    <s v="3"/>
    <s v=""/>
    <s v="1"/>
    <s v=""/>
    <s v="5"/>
    <s v="2"/>
    <s v="1 à 2 ans"/>
    <s v="Les deux"/>
    <s v="2"/>
    <s v="1 fois par an"/>
    <s v=""/>
    <s v="Poêle"/>
    <s v="2"/>
    <s v=""/>
    <s v="Chauffage d'appoint"/>
    <s v="Pas de réponse"/>
  </r>
  <r>
    <s v="VRB0288"/>
    <n v="3"/>
    <n v="7"/>
    <n v="9"/>
    <s v="65 ans et plus"/>
    <n v="1"/>
    <x v="0"/>
    <n v="1"/>
    <n v="100"/>
    <s v="1949-1975"/>
    <s v="6"/>
    <s v="G"/>
    <x v="0"/>
    <s v="Insert / foyer fermé"/>
    <x v="0"/>
    <s v="Tous les jours"/>
    <s v="1; 2; 4; 5"/>
    <s v="Avant 1990"/>
    <s v="Bois bûche"/>
    <s v=""/>
    <s v="25"/>
    <s v="STERES"/>
    <s v="2"/>
    <s v=""/>
    <s v="1"/>
    <s v="1"/>
    <s v="&gt; 2 ans"/>
    <s v="Les deux"/>
    <s v="2"/>
    <s v="1 fois par an"/>
    <s v=""/>
    <s v="Poêle"/>
    <s v="2"/>
    <s v=""/>
    <s v="Chauffage de base"/>
    <s v="Pas de réponse"/>
  </r>
  <r>
    <s v="VRB0289"/>
    <n v="3"/>
    <n v="7"/>
    <n v="7"/>
    <s v="50 à 64 ans"/>
    <n v="2"/>
    <x v="0"/>
    <n v="1"/>
    <n v="110"/>
    <s v="1990-2005"/>
    <s v="1; 4"/>
    <s v="Pas de réponse"/>
    <x v="0"/>
    <s v="Insert / foyer fermé"/>
    <x v="0"/>
    <s v="Tous les jours"/>
    <s v="4; 6"/>
    <s v="1990-1995"/>
    <s v="Bois bûche"/>
    <s v=""/>
    <s v="4"/>
    <s v=""/>
    <s v="2"/>
    <s v=""/>
    <s v="5"/>
    <s v="2"/>
    <s v="1 à 2 ans"/>
    <s v="Les deux"/>
    <s v="2"/>
    <s v="1 fois par an"/>
    <s v=""/>
    <s v="Poêle"/>
    <s v="2"/>
    <s v=""/>
    <s v="Chauffage de base"/>
    <s v="Pas de réponse"/>
  </r>
  <r>
    <s v="VRB0290"/>
    <n v="3"/>
    <n v="7"/>
    <n v="9"/>
    <s v="65 ans et plus"/>
    <n v="1"/>
    <x v="0"/>
    <n v="1"/>
    <n v="180"/>
    <s v="Avant 1949"/>
    <s v="4"/>
    <s v="Pas de réponse"/>
    <x v="0"/>
    <s v="Foyer ouvert"/>
    <x v="1"/>
    <s v="1 à 2 jours/semaine"/>
    <s v="2; 3"/>
    <s v="Avant 1990"/>
    <s v="Bois bûche"/>
    <s v=""/>
    <s v="2"/>
    <s v="STERES"/>
    <s v="2"/>
    <s v=""/>
    <s v="5"/>
    <s v="2"/>
    <s v="&gt; 2 ans"/>
    <s v="Les deux"/>
    <s v="1"/>
    <s v="1 fois par an"/>
    <s v=""/>
    <s v="Poêle"/>
    <s v="1"/>
    <s v=""/>
    <s v="Chauffage d'appoint"/>
    <s v="Pas de réponse"/>
  </r>
  <r>
    <s v="VRB0291"/>
    <n v="3"/>
    <n v="5"/>
    <n v="3"/>
    <s v="35 à 49 ans"/>
    <n v="4"/>
    <x v="0"/>
    <n v="1"/>
    <n v="120"/>
    <s v="1949-1975"/>
    <s v="6"/>
    <s v="Pas de réponse"/>
    <x v="0"/>
    <s v="Insert / foyer fermé"/>
    <x v="0"/>
    <s v="Tous les jours"/>
    <s v="1; 2; 4; 5"/>
    <s v="1990-1995"/>
    <s v="Bois bûche"/>
    <s v=""/>
    <s v="10"/>
    <s v="STERES"/>
    <s v="2"/>
    <s v=""/>
    <s v="5"/>
    <s v="2"/>
    <s v="&gt; 2 ans"/>
    <s v="Feuillus"/>
    <s v="2"/>
    <s v="1 fois par an"/>
    <s v=""/>
    <s v="Poêle"/>
    <s v="1"/>
    <s v=""/>
    <s v="Chauffage de base"/>
    <s v="Pas de réponse"/>
  </r>
  <r>
    <s v="VRB0292"/>
    <n v="3"/>
    <n v="8"/>
    <n v="9"/>
    <s v="50 à 64 ans"/>
    <n v="2"/>
    <x v="0"/>
    <n v="1"/>
    <n v="100"/>
    <s v="Avant 1949"/>
    <s v="4"/>
    <s v="Pas de réponse"/>
    <x v="0"/>
    <s v="Poêle"/>
    <x v="0"/>
    <s v="Tous les jours"/>
    <s v="1; 2; 4; 5"/>
    <s v="1996-2002"/>
    <s v="Bois bûche"/>
    <s v=""/>
    <s v=""/>
    <s v=""/>
    <s v="1; 2"/>
    <s v=""/>
    <s v="5"/>
    <s v="2"/>
    <s v="1 à 2 ans"/>
    <s v="Les deux"/>
    <s v="2"/>
    <s v="1 fois par an"/>
    <s v=""/>
    <s v="Poêle"/>
    <s v="2"/>
    <s v=""/>
    <s v="Chauffage de base"/>
    <s v="Pas de réponse"/>
  </r>
  <r>
    <s v="VRB0293"/>
    <n v="3"/>
    <n v="7"/>
    <n v="7"/>
    <s v="65 ans et plus"/>
    <n v="2"/>
    <x v="0"/>
    <n v="1"/>
    <n v="160"/>
    <s v="1990-2005"/>
    <s v="6"/>
    <s v="A"/>
    <x v="0"/>
    <s v="Foyer ouvert"/>
    <x v="1"/>
    <s v="1 à 2 jours/semaine"/>
    <s v="2; 3"/>
    <s v="Après 2002"/>
    <s v="Bois bûche"/>
    <s v=""/>
    <s v="3"/>
    <s v="STERES"/>
    <s v="1; 2"/>
    <s v=""/>
    <s v="2"/>
    <s v="1"/>
    <s v="&gt; 2 ans"/>
    <s v="Feuillus"/>
    <s v="1"/>
    <s v="1 fois par an"/>
    <s v=""/>
    <s v="Insert cheminée"/>
    <s v="1"/>
    <s v=""/>
    <s v="Chauffage d'appoint"/>
    <s v="Pas de réponse"/>
  </r>
  <r>
    <s v="VRB0294"/>
    <n v="3"/>
    <n v="7"/>
    <n v="7"/>
    <s v="65 ans et plus"/>
    <n v="2"/>
    <x v="0"/>
    <n v="1"/>
    <n v="100"/>
    <s v="1975-1990"/>
    <s v="4"/>
    <s v="Pas de réponse"/>
    <x v="0"/>
    <s v="Insert / foyer fermé"/>
    <x v="0"/>
    <s v="Tous les jours"/>
    <s v="4"/>
    <s v="Avant 1990"/>
    <s v="Bois bûche"/>
    <s v=""/>
    <s v="11"/>
    <s v="STERES"/>
    <s v="2"/>
    <s v=""/>
    <s v="5"/>
    <s v="2"/>
    <s v="&gt; 2 ans"/>
    <s v="Feuillus"/>
    <s v="2"/>
    <s v="1 fois par an"/>
    <s v=""/>
    <s v="Poêle"/>
    <s v="2"/>
    <s v=""/>
    <s v="Chauffage de base"/>
    <s v="Pas de réponse"/>
  </r>
  <r>
    <s v="VRB0295"/>
    <n v="3"/>
    <n v="3"/>
    <n v="3"/>
    <s v="35 à 49 ans"/>
    <n v="4"/>
    <x v="0"/>
    <n v="1"/>
    <n v="98"/>
    <s v="1949-1975"/>
    <s v="1; 4"/>
    <s v="Pas de réponse"/>
    <x v="0"/>
    <s v="Foyer ouvert"/>
    <x v="1"/>
    <s v="1 à 3 jours/mois"/>
    <s v="2; 3"/>
    <s v="Avant 1990"/>
    <s v="Bois bûche"/>
    <s v=""/>
    <s v="1"/>
    <s v="m3"/>
    <s v="1; 3"/>
    <s v=""/>
    <s v="5"/>
    <s v="2"/>
    <s v="1 à 2 ans"/>
    <s v="Les deux"/>
    <s v="1"/>
    <s v="1 fois tous les 2 ans"/>
    <s v=""/>
    <s v="Poêle"/>
    <s v="1"/>
    <s v=""/>
    <s v="Chauffage d'appoint"/>
    <s v="Pas de réponse"/>
  </r>
  <r>
    <s v="VRB0296"/>
    <n v="3"/>
    <n v="5"/>
    <n v="8"/>
    <s v="35 à 49 ans"/>
    <n v="4"/>
    <x v="0"/>
    <n v="1"/>
    <n v="100"/>
    <s v="Avant 1949"/>
    <s v="1; 4"/>
    <s v="D"/>
    <x v="0"/>
    <s v="Foyer ouvert"/>
    <x v="1"/>
    <s v="1 à 2 jours/semaine"/>
    <s v="2"/>
    <s v="Avant 1990"/>
    <s v="Bois bûche"/>
    <s v=""/>
    <s v="1"/>
    <s v="stere"/>
    <s v="1"/>
    <s v=""/>
    <s v="2"/>
    <s v="2"/>
    <s v="&gt; 2 ans"/>
    <s v="Résineux"/>
    <s v="1"/>
    <s v="1 fois par an"/>
    <s v=""/>
    <s v="Poêle"/>
    <s v="2"/>
    <s v=""/>
    <s v="Chauffage d'appoint"/>
    <s v="Pas de réponse"/>
  </r>
  <r>
    <s v="VRB0297"/>
    <n v="3"/>
    <n v="2"/>
    <n v="3"/>
    <s v="35 à 49 ans"/>
    <n v="4"/>
    <x v="0"/>
    <n v="1"/>
    <n v="195"/>
    <s v="1949-1975"/>
    <s v="3; 4"/>
    <s v="Pas de réponse"/>
    <x v="0"/>
    <s v="Foyer ouvert"/>
    <x v="1"/>
    <s v="3 à 4 jours/semaine"/>
    <s v="2"/>
    <s v="Avant 1990"/>
    <s v="Bois bûche"/>
    <s v=""/>
    <s v="4"/>
    <s v="STERES"/>
    <s v="2"/>
    <s v=""/>
    <s v="6"/>
    <s v="2"/>
    <s v="&gt; 2 ans"/>
    <s v="Feuillus"/>
    <s v="2"/>
    <s v="1 fois par an"/>
    <s v=""/>
    <s v="Poêle"/>
    <s v="1"/>
    <s v=""/>
    <s v="Chauffage d'appoint"/>
    <s v="Pas de réponse"/>
  </r>
  <r>
    <s v="VRB0298"/>
    <n v="3"/>
    <n v="6"/>
    <n v="6"/>
    <s v="50 à 64 ans"/>
    <n v="2"/>
    <x v="0"/>
    <n v="1"/>
    <n v="140"/>
    <s v="1975-1990"/>
    <s v="4"/>
    <s v="Pas de réponse"/>
    <x v="0"/>
    <s v="Foyer ouvert"/>
    <x v="1"/>
    <s v="1 à 2 jours/semaine"/>
    <s v="3; 4; 6"/>
    <s v="Avant 1990"/>
    <s v="Bois bûche"/>
    <s v=""/>
    <s v="4"/>
    <s v="STERES"/>
    <s v="2"/>
    <s v=""/>
    <s v="2"/>
    <s v="2"/>
    <s v="1 à 2 ans"/>
    <s v="Feuillus"/>
    <s v="2"/>
    <s v="1 fois par an"/>
    <s v=""/>
    <s v="Poêle"/>
    <s v="2"/>
    <s v=""/>
    <s v="Chauffage de base"/>
    <s v="Pas de réponse"/>
  </r>
  <r>
    <s v="VRB0299"/>
    <n v="3"/>
    <n v="5"/>
    <n v="5"/>
    <s v="50 à 64 ans"/>
    <n v="3"/>
    <x v="0"/>
    <n v="1"/>
    <n v="120"/>
    <s v="1949-1975"/>
    <s v="1; 4"/>
    <s v="Ne sait pas"/>
    <x v="0"/>
    <s v="Insert / foyer fermé"/>
    <x v="0"/>
    <s v="3 à 4 jours/semaine"/>
    <s v="4"/>
    <s v="Avant 1990"/>
    <s v="Bois bûche"/>
    <s v=""/>
    <s v="4"/>
    <s v="Tonnes"/>
    <s v="2"/>
    <s v=""/>
    <s v="2"/>
    <s v="2"/>
    <s v="1 à 2 ans"/>
    <s v="Feuillus"/>
    <s v="1"/>
    <s v="1 fois tous les 2 ans"/>
    <s v=""/>
    <s v="Poêle"/>
    <s v="2"/>
    <s v=""/>
    <s v="Chauffage de base"/>
    <s v="Pas de réponse"/>
  </r>
  <r>
    <s v="VRB0300"/>
    <n v="3"/>
    <n v="7"/>
    <n v="9"/>
    <s v="65 ans et plus"/>
    <n v="1"/>
    <x v="0"/>
    <n v="1"/>
    <n v="0"/>
    <s v="Avant 1949"/>
    <s v="6"/>
    <s v="Pas de réponse"/>
    <x v="0"/>
    <s v="Poêle"/>
    <x v="1"/>
    <s v="3 à 4 jours/semaine"/>
    <s v="3; 4"/>
    <s v="Avant 1990"/>
    <s v="Bois bûche"/>
    <s v=""/>
    <s v="2"/>
    <s v="STERES"/>
    <s v="1"/>
    <s v=""/>
    <s v="6"/>
    <s v="1"/>
    <s v="&gt; 2 ans"/>
    <s v="Feuillus"/>
    <s v="1"/>
    <s v="1 fois par an"/>
    <s v=""/>
    <s v="Poêle"/>
    <s v="1"/>
    <s v=""/>
    <s v="Chauffage d'appoint"/>
    <s v="Pas de réponse"/>
  </r>
  <r>
    <s v="VRB0301"/>
    <n v="3"/>
    <n v="3"/>
    <n v="9"/>
    <s v="Pas de réponse"/>
    <n v="1"/>
    <x v="0"/>
    <n v="1"/>
    <n v="75"/>
    <s v="Avant 1949"/>
    <s v="4"/>
    <s v="Pas de réponse"/>
    <x v="0"/>
    <s v="Cuisinière"/>
    <x v="0"/>
    <s v="3 à 4 jours/semaine"/>
    <s v="7"/>
    <s v="1996-2002"/>
    <s v="Bois bûche"/>
    <s v=""/>
    <s v=""/>
    <s v=""/>
    <s v="1"/>
    <s v=""/>
    <s v="6"/>
    <s v="2"/>
    <s v="&gt; 2 ans"/>
    <s v="Les deux"/>
    <s v="1"/>
    <s v="2 fois par an"/>
    <s v=""/>
    <s v="Poêle"/>
    <s v="1"/>
    <s v=""/>
    <s v="Chauffage de base"/>
    <s v="Pas de réponse"/>
  </r>
  <r>
    <s v="VRB0302"/>
    <n v="3"/>
    <n v="5"/>
    <n v="5"/>
    <s v="50 à 64 ans"/>
    <n v="4"/>
    <x v="0"/>
    <n v="1"/>
    <n v="200"/>
    <s v="1990-2005"/>
    <s v="6"/>
    <s v="E"/>
    <x v="0"/>
    <s v="Foyer ouvert"/>
    <x v="1"/>
    <s v="Tous les jours"/>
    <s v="1; 4; 5"/>
    <s v="1990-1995"/>
    <s v="Bois bûche"/>
    <s v=""/>
    <s v="10"/>
    <s v="STERES"/>
    <s v="2"/>
    <s v=""/>
    <s v="5"/>
    <s v="2"/>
    <s v="&gt; 2 ans"/>
    <s v="Feuillus"/>
    <s v="2"/>
    <s v="1 fois par an"/>
    <s v=""/>
    <s v="Poêle"/>
    <s v="1"/>
    <s v=""/>
    <s v="Chauffage de base"/>
    <s v="Pas de réponse"/>
  </r>
  <r>
    <s v="VRB0303"/>
    <n v="1"/>
    <n v="3"/>
    <n v="8"/>
    <s v="50 à 64 ans"/>
    <n v="2"/>
    <x v="0"/>
    <n v="1"/>
    <n v="165"/>
    <s v="Avant 1949"/>
    <s v="1; 3; 4"/>
    <s v="Pas de réponse"/>
    <x v="0"/>
    <s v="Poêle"/>
    <x v="0"/>
    <s v="Tous les jours"/>
    <s v="4"/>
    <s v="1996-2002"/>
    <s v="Bois bûche"/>
    <s v=""/>
    <s v="15"/>
    <s v="STERES"/>
    <s v="1; 2"/>
    <s v=""/>
    <s v="5"/>
    <s v="2"/>
    <s v="1 à 2 ans"/>
    <s v="Feuillus"/>
    <s v="2"/>
    <s v="1 fois par an"/>
    <s v=""/>
    <s v="Poêle"/>
    <s v="2"/>
    <s v=""/>
    <s v="Chauffage de base"/>
    <s v="Pas de réponse"/>
  </r>
  <r>
    <s v="VRB0304"/>
    <n v="3"/>
    <n v="5"/>
    <n v="9"/>
    <s v="50 à 64 ans"/>
    <n v="2"/>
    <x v="0"/>
    <n v="1"/>
    <n v="92"/>
    <s v="1975-1990"/>
    <s v="1"/>
    <s v="Pas de réponse"/>
    <x v="0"/>
    <s v="Insert / foyer fermé"/>
    <x v="1"/>
    <s v="3 à 4 jours/semaine"/>
    <s v="1; 2; 6"/>
    <s v="Avant 1990"/>
    <s v="Bois bûche"/>
    <s v=""/>
    <s v="5"/>
    <s v="STERES"/>
    <s v="2"/>
    <s v=""/>
    <s v="5"/>
    <s v="2"/>
    <s v="1 à 2 ans"/>
    <s v="Feuillus"/>
    <s v="2"/>
    <s v="1 fois par an"/>
    <s v=""/>
    <s v="Poêle"/>
    <s v="2"/>
    <s v=""/>
    <s v="Chauffage d'appoint"/>
    <s v="Pas de réponse"/>
  </r>
  <r>
    <s v="VRB0305"/>
    <n v="3"/>
    <n v="7"/>
    <n v="7"/>
    <s v="65 ans et plus"/>
    <n v="2"/>
    <x v="0"/>
    <n v="1"/>
    <n v="120"/>
    <s v="1949-1975"/>
    <s v="1; 4"/>
    <s v="Pas de réponse"/>
    <x v="0"/>
    <s v="Foyer ouvert"/>
    <x v="1"/>
    <s v="3 à 4 jours/semaine"/>
    <s v="4; 6"/>
    <s v="Avant 1990"/>
    <s v="Pas de réponse"/>
    <s v=""/>
    <s v="2"/>
    <s v="STERES"/>
    <s v="1"/>
    <s v=""/>
    <s v="3"/>
    <s v="2"/>
    <s v="1 à 2 ans"/>
    <s v="Les deux"/>
    <s v="2"/>
    <s v="1 fois par an"/>
    <s v=""/>
    <s v="Poêle"/>
    <s v="2"/>
    <s v=""/>
    <s v="Chauffage de base"/>
    <s v="Pas de réponse"/>
  </r>
  <r>
    <s v="VRB0306"/>
    <n v="3"/>
    <n v="5"/>
    <n v="8"/>
    <s v="50 à 64 ans"/>
    <n v="2"/>
    <x v="0"/>
    <n v="1"/>
    <n v="100"/>
    <s v="Avant 1949"/>
    <s v="6"/>
    <s v="Ne sait pas"/>
    <x v="0"/>
    <s v="Cuisinière"/>
    <x v="1"/>
    <s v="1 à 2 jours/semaine"/>
    <s v="3; 6"/>
    <s v="Après 2002"/>
    <s v="Bois bûche"/>
    <s v=""/>
    <s v="2"/>
    <s v="STERES"/>
    <s v="1"/>
    <s v=""/>
    <s v="5"/>
    <s v="2"/>
    <s v="&gt; 2 ans"/>
    <s v="Feuillus"/>
    <s v="1"/>
    <s v="2 fois par an"/>
    <s v=""/>
    <s v="Poêle"/>
    <s v="1"/>
    <s v=""/>
    <s v="Chauffage d'appoint"/>
    <s v="Pas de réponse"/>
  </r>
  <r>
    <s v="VRB0307"/>
    <n v="3"/>
    <n v="7"/>
    <n v="7"/>
    <s v="65 ans et plus"/>
    <n v="2"/>
    <x v="0"/>
    <n v="1"/>
    <n v="100"/>
    <s v="1975-1990"/>
    <s v="4"/>
    <s v="Pas de réponse"/>
    <x v="0"/>
    <s v="Insert / foyer fermé"/>
    <x v="1"/>
    <s v="3 à 4 jours/semaine"/>
    <s v="4; 6"/>
    <s v="Avant 1990"/>
    <s v="Bois bûche"/>
    <s v=""/>
    <s v="5"/>
    <s v=""/>
    <s v="2"/>
    <s v=""/>
    <s v="3"/>
    <s v="2"/>
    <s v="&gt; 2 ans"/>
    <s v="Feuillus"/>
    <s v="2"/>
    <s v="1 fois par an"/>
    <s v=""/>
    <s v="poêle de masse"/>
    <s v="1"/>
    <s v=""/>
    <s v="Chauffage de base"/>
    <s v="Pas de réponse"/>
  </r>
  <r>
    <s v="VRB0308"/>
    <n v="3"/>
    <n v="3"/>
    <n v="3"/>
    <s v="25 à 34 ans"/>
    <n v="4"/>
    <x v="0"/>
    <n v="1"/>
    <n v="120"/>
    <s v="Avant 1949"/>
    <s v="4"/>
    <s v="Pas de réponse"/>
    <x v="0"/>
    <s v="Poêle"/>
    <x v="0"/>
    <s v="Tous les jours"/>
    <s v="4; 5"/>
    <s v="1996-2002"/>
    <s v="Bois de récupération, à préciser"/>
    <s v=""/>
    <s v=""/>
    <s v=""/>
    <s v="1"/>
    <s v=""/>
    <s v="5"/>
    <s v="2"/>
    <s v="1 à 2 ans"/>
    <s v="Les deux"/>
    <s v="2"/>
    <s v="1 fois par an"/>
    <s v=""/>
    <s v="Poêle"/>
    <s v="1"/>
    <s v=""/>
    <s v="Chauffage d'appoint"/>
    <s v="Pas de réponse"/>
  </r>
  <r>
    <s v="VRB0309"/>
    <n v="3"/>
    <n v="3"/>
    <n v="8"/>
    <s v="35 à 49 ans"/>
    <n v="4"/>
    <x v="0"/>
    <n v="1"/>
    <n v="145"/>
    <s v="1975-1990"/>
    <s v="6"/>
    <s v="E"/>
    <x v="0"/>
    <s v="Insert / foyer fermé"/>
    <x v="2"/>
    <s v="Jamais"/>
    <s v="7"/>
    <s v="Avant 1990"/>
    <s v="Bois bûche"/>
    <s v=""/>
    <s v=""/>
    <s v=""/>
    <s v="5"/>
    <s v=""/>
    <s v="6"/>
    <s v="4"/>
    <s v="Pas de réponse"/>
    <s v="Pas de réponse"/>
    <s v="3"/>
    <s v="Pas de réponse"/>
    <s v=""/>
    <s v="Poêle"/>
    <s v="2"/>
    <s v=""/>
    <s v="Chauffage de base"/>
    <s v="Pas de réponse"/>
  </r>
  <r>
    <s v="VRB0310"/>
    <n v="3"/>
    <n v="3"/>
    <n v="6"/>
    <s v="35 à 49 ans"/>
    <n v="3"/>
    <x v="0"/>
    <n v="1"/>
    <n v="185"/>
    <s v="1975-1990"/>
    <s v="6"/>
    <s v="E"/>
    <x v="0"/>
    <s v="Insert / foyer fermé"/>
    <x v="1"/>
    <s v="3 à 4 jours/semaine"/>
    <s v="4; 6"/>
    <s v="Avant 1990"/>
    <s v="Bois bûche"/>
    <s v=""/>
    <s v=""/>
    <s v=""/>
    <s v="1"/>
    <s v=""/>
    <s v="5"/>
    <s v="2"/>
    <s v="1 à 2 ans"/>
    <s v="Les deux"/>
    <s v="1"/>
    <s v="1 fois tous les 2 ans"/>
    <s v=""/>
    <s v="Poêle"/>
    <s v="1; 2"/>
    <s v=""/>
    <s v="Chauffage d'appoint"/>
    <s v="Pas de réponse"/>
  </r>
  <r>
    <s v="VRB0311"/>
    <n v="3"/>
    <n v="7"/>
    <n v="9"/>
    <s v="65 ans et plus"/>
    <n v="1"/>
    <x v="0"/>
    <n v="1"/>
    <n v="380"/>
    <s v="Avant 1949"/>
    <s v="6"/>
    <s v="Pas de réponse"/>
    <x v="1"/>
    <s v="Foyer ouvert"/>
    <x v="1"/>
    <s v="1 à 2 jours/semaine"/>
    <s v="4; 5"/>
    <s v="Avant 1990"/>
    <s v="Bois bûche"/>
    <s v=""/>
    <s v="15"/>
    <s v="STERES"/>
    <s v="1"/>
    <s v=""/>
    <s v="2"/>
    <s v="2"/>
    <s v="1 à 2 ans"/>
    <s v="Feuillus"/>
    <s v="2"/>
    <s v="1 fois par an"/>
    <s v=""/>
    <s v="Insert cheminée"/>
    <s v="1"/>
    <s v=""/>
    <s v="Chauffage d'appoint"/>
    <s v="Pas de réponse"/>
  </r>
  <r>
    <s v="VRB0312"/>
    <n v="3"/>
    <n v="6"/>
    <n v="6"/>
    <s v="35 à 49 ans"/>
    <n v="4"/>
    <x v="0"/>
    <n v="1"/>
    <n v="116"/>
    <s v="1975-1990"/>
    <s v="1; 3; 4"/>
    <s v="C"/>
    <x v="0"/>
    <s v="Foyer ouvert"/>
    <x v="2"/>
    <s v="1 à 3 jours/mois"/>
    <s v="2; 3; 6"/>
    <s v="Avant 1990"/>
    <s v="Bois bûche"/>
    <s v=""/>
    <s v="2"/>
    <s v="STERES"/>
    <s v="1"/>
    <s v=""/>
    <s v="2"/>
    <s v="1; 3"/>
    <s v="1 à 2 ans"/>
    <s v="Les deux"/>
    <s v="1"/>
    <s v="1 fois tous les 2 ans"/>
    <s v=""/>
    <s v="Poêle"/>
    <s v="1"/>
    <s v=""/>
    <s v="Chauffage de base"/>
    <s v="Pas de réponse"/>
  </r>
  <r>
    <s v="VRB0313"/>
    <n v="3"/>
    <n v="5"/>
    <n v="8"/>
    <s v="35 à 49 ans"/>
    <n v="5"/>
    <x v="0"/>
    <n v="1"/>
    <n v="180"/>
    <s v="1949-1975"/>
    <s v="4"/>
    <s v="Ne sait pas"/>
    <x v="0"/>
    <s v="Insert / foyer fermé"/>
    <x v="1"/>
    <s v="1 à 2 jours/semaine"/>
    <s v="3; 4"/>
    <s v="1990-1995"/>
    <s v="Bois bûche"/>
    <s v=""/>
    <s v="15"/>
    <s v=""/>
    <s v="1"/>
    <s v=""/>
    <s v="5"/>
    <s v="2"/>
    <s v="1 à 2 ans"/>
    <s v="Feuillus"/>
    <s v="1"/>
    <s v="2 fois par an"/>
    <s v=""/>
    <s v="Poêle"/>
    <s v="1"/>
    <s v=""/>
    <s v="Chauffage d'appoint"/>
    <s v="Pas de réponse"/>
  </r>
  <r>
    <s v="VRB0314"/>
    <n v="3"/>
    <n v="3"/>
    <n v="9"/>
    <s v="50 à 64 ans"/>
    <n v="4"/>
    <x v="0"/>
    <n v="1"/>
    <n v="130"/>
    <s v="1949-1975"/>
    <s v="4"/>
    <s v="Pas de réponse"/>
    <x v="0"/>
    <s v="Insert / foyer fermé"/>
    <x v="1"/>
    <s v="1 à 2 jours/semaine"/>
    <s v="2; 6"/>
    <s v="Avant 1990"/>
    <s v="Bois bûche"/>
    <s v=""/>
    <s v="2"/>
    <s v="STERES"/>
    <s v="2"/>
    <s v=""/>
    <s v="5"/>
    <s v="2"/>
    <s v="1 à 2 ans"/>
    <s v="Feuillus"/>
    <s v="2"/>
    <s v="1 fois tous les 2 ans"/>
    <s v=""/>
    <s v="Pas de réponse"/>
    <s v="1"/>
    <s v=""/>
    <s v="Chauffage d'appoint"/>
    <s v="Pas de réponse"/>
  </r>
  <r>
    <s v="VRB0315"/>
    <n v="3"/>
    <n v="5"/>
    <n v="4"/>
    <s v="50 à 64 ans"/>
    <n v="2"/>
    <x v="0"/>
    <n v="1"/>
    <n v="140"/>
    <s v="1975-1990"/>
    <s v="1"/>
    <s v="Pas de réponse"/>
    <x v="0"/>
    <s v="Foyer ouvert"/>
    <x v="1"/>
    <s v="1 à 3 jours/mois"/>
    <s v="6"/>
    <s v="Avant 1990"/>
    <s v="Bois bûche"/>
    <s v=""/>
    <s v="3"/>
    <s v="m3"/>
    <s v="1"/>
    <s v=""/>
    <s v="2"/>
    <s v="2"/>
    <s v="&gt; 2 ans"/>
    <s v="Les deux"/>
    <s v="2"/>
    <s v="1 fois tous les 2 ans"/>
    <s v=""/>
    <s v="Poêle"/>
    <s v="2"/>
    <s v=""/>
    <s v="Chauffage de base"/>
    <s v="Pas de réponse"/>
  </r>
  <r>
    <s v="VRB0316"/>
    <n v="3"/>
    <n v="7"/>
    <n v="3"/>
    <s v="Pas de réponse"/>
    <n v="3"/>
    <x v="0"/>
    <n v="1"/>
    <n v="150"/>
    <s v="1990-2005"/>
    <s v="6"/>
    <s v="Ne sait pas"/>
    <x v="0"/>
    <s v="Insert / foyer fermé"/>
    <x v="0"/>
    <s v="Tous les jours"/>
    <s v="1; 2; 4"/>
    <s v="1990-1995"/>
    <s v="Bois bûche"/>
    <s v=""/>
    <s v="9"/>
    <s v="STERES"/>
    <s v="1"/>
    <s v=""/>
    <s v="5"/>
    <s v="2"/>
    <s v="&gt; 2 ans"/>
    <s v="Les deux"/>
    <s v="1"/>
    <s v="2 fois par an"/>
    <s v=""/>
    <s v="Poêle"/>
    <s v="1"/>
    <s v=""/>
    <s v="Chauffage de base"/>
    <s v="Pas de réponse"/>
  </r>
  <r>
    <s v="VRB0317"/>
    <n v="3"/>
    <n v="1"/>
    <n v="9"/>
    <s v="50 à 64 ans"/>
    <n v="1"/>
    <x v="0"/>
    <n v="1"/>
    <n v="120"/>
    <s v="1990-2005"/>
    <s v="6"/>
    <s v="Pas de réponse"/>
    <x v="0"/>
    <s v="Poêle"/>
    <x v="1"/>
    <s v="3 à 4 jours/semaine"/>
    <s v="2; 6"/>
    <s v="1996-2002"/>
    <s v="Bois de récupération, à préciser"/>
    <s v=""/>
    <s v=""/>
    <s v=""/>
    <s v="1"/>
    <s v=""/>
    <s v="5"/>
    <s v="1"/>
    <s v="1 à 2 ans"/>
    <s v="Les deux"/>
    <s v="1"/>
    <s v="1 fois tous les 2 ans"/>
    <s v=""/>
    <s v="Poêle"/>
    <s v="1"/>
    <s v=""/>
    <s v="Chauffage d'appoint"/>
    <s v="Pas de réponse"/>
  </r>
  <r>
    <s v="VRB0318"/>
    <n v="3"/>
    <n v="7"/>
    <n v="7"/>
    <s v="65 ans et plus"/>
    <n v="2"/>
    <x v="0"/>
    <n v="1"/>
    <n v="200"/>
    <s v="1975-1990"/>
    <s v="6"/>
    <s v="D"/>
    <x v="0"/>
    <s v="Foyer ouvert"/>
    <x v="1"/>
    <s v="1 à 2 jours/semaine"/>
    <s v="2; 3; 4; 6"/>
    <s v="Avant 1990"/>
    <s v="Bois bûche"/>
    <s v=""/>
    <s v=""/>
    <s v=""/>
    <s v="2"/>
    <s v=""/>
    <s v="1"/>
    <s v="2"/>
    <s v="&gt; 2 ans"/>
    <s v="Feuillus"/>
    <s v="2"/>
    <s v="1 fois par an"/>
    <s v=""/>
    <s v="Poêle"/>
    <s v="1"/>
    <s v=""/>
    <s v="Chauffage d'appoint"/>
    <s v="Pas de réponse"/>
  </r>
  <r>
    <s v="VRB0319"/>
    <n v="3"/>
    <n v="8"/>
    <n v="3"/>
    <s v="35 à 49 ans"/>
    <n v="4"/>
    <x v="0"/>
    <n v="1"/>
    <n v="100"/>
    <s v="Avant 1949"/>
    <s v="1; 3; 4"/>
    <s v="Pas de réponse"/>
    <x v="0"/>
    <s v="Insert / foyer fermé"/>
    <x v="1"/>
    <s v="Tous les jours"/>
    <s v="2; 6"/>
    <s v="Avant 1990"/>
    <s v="Bois bûche"/>
    <s v=""/>
    <s v="5"/>
    <s v="STERES"/>
    <s v="1"/>
    <s v=""/>
    <s v="2"/>
    <s v="2"/>
    <s v="&lt; 1 an"/>
    <s v="Les deux"/>
    <s v="2"/>
    <s v="1 fois par an"/>
    <s v=""/>
    <s v="Poêle"/>
    <s v="2"/>
    <s v=""/>
    <s v="Chauffage de base"/>
    <s v="Pas de réponse"/>
  </r>
  <r>
    <s v="VRB0320"/>
    <n v="3"/>
    <n v="7"/>
    <n v="7"/>
    <s v="65 ans et plus"/>
    <n v="2"/>
    <x v="0"/>
    <n v="1"/>
    <n v="102"/>
    <s v="1975-1990"/>
    <s v="6"/>
    <s v="Ne sait pas"/>
    <x v="0"/>
    <s v="Foyer ouvert"/>
    <x v="1"/>
    <s v="3 à 4 jours/semaine"/>
    <s v="2; 6"/>
    <s v="Avant 1990"/>
    <s v="Bois bûche"/>
    <s v=""/>
    <s v="6"/>
    <s v=""/>
    <s v="2"/>
    <s v=""/>
    <s v="5"/>
    <s v="2"/>
    <s v="1 à 2 ans"/>
    <s v="Feuillus"/>
    <s v="1"/>
    <s v="1 fois par an"/>
    <s v=""/>
    <s v="Poêle"/>
    <s v="2"/>
    <s v=""/>
    <s v="Chauffage de base"/>
    <s v="Pas de réponse"/>
  </r>
  <r>
    <s v="VRB0321"/>
    <n v="3"/>
    <n v="5"/>
    <n v="3"/>
    <s v="25 à 34 ans"/>
    <n v="3"/>
    <x v="0"/>
    <n v="1"/>
    <n v="90"/>
    <s v="1975-1990"/>
    <s v="6"/>
    <s v="Pas de réponse"/>
    <x v="0"/>
    <s v="Insert / foyer fermé"/>
    <x v="0"/>
    <s v="3 à 4 jours/semaine"/>
    <s v="2"/>
    <s v="Avant 1990"/>
    <s v="Bois bûche"/>
    <s v=""/>
    <s v="2,1"/>
    <s v="m3"/>
    <s v="1"/>
    <s v=""/>
    <s v="2"/>
    <s v="2"/>
    <s v="1 à 2 ans"/>
    <s v="Résineux"/>
    <s v="2"/>
    <s v="1 fois par an"/>
    <s v=""/>
    <s v="Poêle"/>
    <s v="1"/>
    <s v=""/>
    <s v="Chauffage d'appoint"/>
    <s v="Pas de réponse"/>
  </r>
  <r>
    <s v="VRB0322"/>
    <n v="3"/>
    <n v="4"/>
    <n v="4"/>
    <s v="50 à 64 ans"/>
    <n v="2"/>
    <x v="0"/>
    <n v="1"/>
    <n v="110"/>
    <s v="1990-2005"/>
    <s v="1; 4"/>
    <s v="Pas de réponse"/>
    <x v="0"/>
    <s v="Insert / foyer fermé"/>
    <x v="0"/>
    <s v="Tous les jours"/>
    <s v="4"/>
    <s v="1996-2002"/>
    <s v="Bois bûche"/>
    <s v=""/>
    <s v="20"/>
    <s v="STERES"/>
    <s v="1"/>
    <s v=""/>
    <s v="6"/>
    <s v="2"/>
    <s v="&lt; 1 an"/>
    <s v="Feuillus"/>
    <s v="2"/>
    <s v="1 fois par an"/>
    <s v=""/>
    <s v="Poêle"/>
    <s v="2"/>
    <s v=""/>
    <s v="Chauffage de base"/>
    <s v="Pas de réponse"/>
  </r>
  <r>
    <s v="VRB0323"/>
    <n v="3"/>
    <n v="3"/>
    <n v="5"/>
    <s v="50 à 64 ans"/>
    <n v="3"/>
    <x v="0"/>
    <n v="1"/>
    <n v="127"/>
    <s v="1990-2005"/>
    <s v="4"/>
    <s v="Pas de réponse"/>
    <x v="0"/>
    <s v="Insert / foyer fermé"/>
    <x v="0"/>
    <s v="Tous les jours"/>
    <s v="4"/>
    <s v="1990-1995"/>
    <s v="Bois bûche"/>
    <s v=""/>
    <s v=""/>
    <s v=""/>
    <s v="1"/>
    <s v=""/>
    <s v="6"/>
    <s v="2"/>
    <s v="&gt; 2 ans"/>
    <s v="Feuillus"/>
    <s v="1"/>
    <s v="2 fois par an"/>
    <s v=""/>
    <s v="Poêle"/>
    <s v="1"/>
    <s v=""/>
    <s v="Chauffage de base"/>
    <s v="Pas de réponse"/>
  </r>
  <r>
    <s v="VRB0326"/>
    <n v="3"/>
    <n v="7"/>
    <n v="7"/>
    <s v="65 ans et plus"/>
    <n v="2"/>
    <x v="1"/>
    <n v="1"/>
    <n v="95"/>
    <s v="Avant 1949"/>
    <s v="4"/>
    <s v="Pas de réponse"/>
    <x v="0"/>
    <s v="Cuisinière"/>
    <x v="0"/>
    <s v="Tous les jours"/>
    <s v="7"/>
    <s v="1990-1995"/>
    <s v="Bois bûche"/>
    <s v=""/>
    <s v="7"/>
    <s v="stère"/>
    <s v="2"/>
    <s v=""/>
    <s v="6"/>
    <s v="2"/>
    <s v="1 à 2 ans"/>
    <s v="Feuillus"/>
    <s v="2"/>
    <s v="1 fois par an"/>
    <s v=""/>
    <s v="Poêle"/>
    <s v="2"/>
    <s v=""/>
    <s v="Chauffage de base"/>
    <s v="Pas de réponse"/>
  </r>
  <r>
    <s v="VRB0328"/>
    <n v="3"/>
    <n v="2"/>
    <n v="5"/>
    <s v="35 à 49 ans"/>
    <n v="4"/>
    <x v="2"/>
    <n v="1"/>
    <n v="50"/>
    <s v="Avant 1949"/>
    <s v="6"/>
    <s v="Pas de réponse"/>
    <x v="0"/>
    <s v="Foyer ouvert"/>
    <x v="0"/>
    <s v="Pas de réponse"/>
    <s v="7"/>
    <s v="Avant 1990"/>
    <s v="Pas de réponse"/>
    <s v=""/>
    <s v=""/>
    <s v=""/>
    <s v="5"/>
    <s v=""/>
    <s v="6"/>
    <s v="4"/>
    <s v="Pas de réponse"/>
    <s v="Pas de réponse"/>
    <s v="3"/>
    <s v="Pas de réponse"/>
    <s v=""/>
    <s v="Poêle"/>
    <s v="1"/>
    <s v=""/>
    <s v="Chauffage d'appoint"/>
    <s v="Pas de réponse"/>
  </r>
  <r>
    <s v="VRB0330"/>
    <n v="3"/>
    <n v="7"/>
    <n v="9"/>
    <s v="65 ans et plus"/>
    <n v="1"/>
    <x v="3"/>
    <n v="1"/>
    <n v="80"/>
    <s v="1975-1990"/>
    <s v="1; 6"/>
    <s v="Ne sait pas"/>
    <x v="0"/>
    <s v="Insert / foyer fermé"/>
    <x v="1"/>
    <s v="Tous les jours"/>
    <s v="1; 2; 4"/>
    <s v="Pas de réponse"/>
    <s v="Bois bûche"/>
    <s v=""/>
    <s v="3"/>
    <s v="stère"/>
    <s v="2"/>
    <s v=""/>
    <s v="1"/>
    <s v="2"/>
    <s v="1 à 2 ans"/>
    <s v="Les deux"/>
    <s v="2"/>
    <s v="1 fois par an"/>
    <s v=""/>
    <s v="Poêle"/>
    <s v="2"/>
    <s v=""/>
    <s v="Chauffage de base"/>
    <s v="Pas de réponse"/>
  </r>
  <r>
    <s v="VRB0331"/>
    <n v="3"/>
    <n v="7"/>
    <n v="8"/>
    <s v="65 ans et plus"/>
    <n v="1"/>
    <x v="3"/>
    <n v="1"/>
    <n v="90"/>
    <s v="1990-2005"/>
    <s v="6"/>
    <s v="Pas de réponse"/>
    <x v="0"/>
    <s v="Poêle"/>
    <x v="0"/>
    <s v="Tous les jours"/>
    <s v="1; 2; 4"/>
    <s v="1996-2002"/>
    <s v="Bois bûche"/>
    <s v=""/>
    <s v="6"/>
    <s v="stère"/>
    <s v="3"/>
    <s v=""/>
    <s v="5"/>
    <s v="3"/>
    <s v="&gt; 2 ans"/>
    <s v="Les deux"/>
    <s v="2"/>
    <s v="1 fois par an"/>
    <s v=""/>
    <s v="Poêle"/>
    <s v="2"/>
    <s v=""/>
    <s v="Chauffage de base"/>
    <s v="Pas de réponse"/>
  </r>
  <r>
    <s v="VRB0332"/>
    <n v="3"/>
    <n v="4"/>
    <n v="3"/>
    <s v="50 à 64 ans"/>
    <n v="2"/>
    <x v="1"/>
    <n v="1"/>
    <n v="123"/>
    <s v="1990-2005"/>
    <s v="1"/>
    <s v="Pas de réponse"/>
    <x v="0"/>
    <s v="Insert / foyer fermé"/>
    <x v="0"/>
    <s v="Tous les jours"/>
    <s v="4; 5"/>
    <s v="1990-1995"/>
    <s v="Bois bûche"/>
    <s v=""/>
    <s v="4,5"/>
    <s v="TONES"/>
    <s v="1; 2"/>
    <s v=""/>
    <s v="6"/>
    <s v="2"/>
    <s v="&gt; 2 ans"/>
    <s v="Les deux"/>
    <s v="2"/>
    <s v="1 fois par an"/>
    <s v=""/>
    <s v="Poêle"/>
    <s v="1"/>
    <s v=""/>
    <s v="Chauffage de base"/>
    <s v="Pas de réponse"/>
  </r>
  <r>
    <s v="VRB0333"/>
    <n v="3"/>
    <n v="6"/>
    <n v="8"/>
    <s v="50 à 64 ans"/>
    <n v="2"/>
    <x v="1"/>
    <n v="1"/>
    <n v="175"/>
    <s v="1990-2005"/>
    <s v="6"/>
    <s v="Pas de réponse"/>
    <x v="0"/>
    <s v="Insert / foyer fermé"/>
    <x v="0"/>
    <s v="Tous les jours"/>
    <s v="1; 2; 4"/>
    <s v="1990-1995"/>
    <s v="Bois bûche"/>
    <s v=""/>
    <s v="2 à 6"/>
    <s v="m3"/>
    <s v="2"/>
    <s v=""/>
    <s v="5"/>
    <s v="2"/>
    <s v="1 à 2 ans"/>
    <s v="Feuillus"/>
    <s v="2"/>
    <s v="1 fois par an"/>
    <s v=""/>
    <s v="Poêle"/>
    <s v="1"/>
    <s v=""/>
    <s v="Chauffage de base"/>
    <s v="Pas de réponse"/>
  </r>
  <r>
    <s v="VRB0335"/>
    <n v="3"/>
    <n v="5"/>
    <n v="2"/>
    <s v="50 à 64 ans"/>
    <n v="2"/>
    <x v="4"/>
    <n v="1"/>
    <n v="130"/>
    <s v="1949-1975"/>
    <s v="1"/>
    <s v="Pas de réponse"/>
    <x v="0"/>
    <s v="Foyer ouvert"/>
    <x v="1"/>
    <s v="1 à 2 jours/semaine"/>
    <s v="2; 3; 6"/>
    <s v="Avant 1990"/>
    <s v="Bois bûche"/>
    <s v=""/>
    <s v="4"/>
    <s v="m3"/>
    <s v="1"/>
    <s v=""/>
    <s v="5"/>
    <s v="3"/>
    <s v="1 à 2 ans"/>
    <s v="Feuillus"/>
    <s v="2"/>
    <s v="1 fois par an"/>
    <s v=""/>
    <s v="Poêle"/>
    <s v="1"/>
    <s v=""/>
    <s v="Chauffage d'appoint"/>
    <s v="Pas de réponse"/>
  </r>
  <r>
    <s v="VRB0336"/>
    <n v="3"/>
    <n v="3"/>
    <n v="9"/>
    <s v="50 à 64 ans"/>
    <n v="1"/>
    <x v="5"/>
    <n v="1"/>
    <n v="100"/>
    <s v="1990-2005"/>
    <s v="6"/>
    <s v="Pas de réponse"/>
    <x v="0"/>
    <s v="Insert / foyer fermé"/>
    <x v="0"/>
    <s v="Tous les jours"/>
    <s v="4"/>
    <s v="1996-2002"/>
    <s v="Bois bûche"/>
    <s v=""/>
    <s v="7 à 8"/>
    <s v=""/>
    <s v="2"/>
    <s v=""/>
    <s v="5"/>
    <s v="2"/>
    <s v="&gt; 2 ans"/>
    <s v="Feuillus"/>
    <s v="2"/>
    <s v="1 fois par an"/>
    <s v=""/>
    <s v="Poêle"/>
    <s v="2"/>
    <s v=""/>
    <s v="Chauffage de base"/>
    <s v="Pas de réponse"/>
  </r>
  <r>
    <s v="VRB0337"/>
    <n v="3"/>
    <n v="4"/>
    <n v="3"/>
    <s v="35 à 49 ans"/>
    <n v="4"/>
    <x v="1"/>
    <n v="1"/>
    <n v="140"/>
    <s v="Après 2005"/>
    <s v="6"/>
    <s v="Pas de réponse"/>
    <x v="0"/>
    <s v="Poêle"/>
    <x v="0"/>
    <s v="Tous les jours"/>
    <s v="4"/>
    <s v="Après 2002"/>
    <s v="Bois bûche"/>
    <s v=""/>
    <s v="9"/>
    <s v="stères"/>
    <s v="1"/>
    <s v=""/>
    <s v="2"/>
    <s v="2"/>
    <s v="&gt; 2 ans"/>
    <s v="Feuillus"/>
    <s v="1"/>
    <s v="2 fois par an"/>
    <s v=""/>
    <s v="Poêle"/>
    <s v="1; 2"/>
    <s v=""/>
    <s v="Chauffage de base"/>
    <s v="Pas de réponse"/>
  </r>
  <r>
    <s v="VRB0338"/>
    <n v="3"/>
    <n v="2"/>
    <n v="9"/>
    <s v="Pas de réponse"/>
    <n v="2"/>
    <x v="3"/>
    <n v="1"/>
    <n v="88"/>
    <s v="1975-1990"/>
    <s v="4"/>
    <s v="Pas de réponse"/>
    <x v="0"/>
    <s v="Poêle"/>
    <x v="0"/>
    <s v="Tous les jours"/>
    <s v="7"/>
    <s v="1996-2002"/>
    <s v="Bois bûche"/>
    <s v=""/>
    <s v="5"/>
    <s v=""/>
    <s v="2"/>
    <s v=""/>
    <s v="1"/>
    <s v="2"/>
    <s v="1 à 2 ans"/>
    <s v="Feuillus"/>
    <s v="1"/>
    <s v="1 fois par an"/>
    <s v=""/>
    <s v="Poêle"/>
    <s v="2"/>
    <s v=""/>
    <s v="Chauffage de base"/>
    <s v="Pas de réponse"/>
  </r>
  <r>
    <s v="VRB0339"/>
    <n v="3"/>
    <n v="7"/>
    <n v="7"/>
    <s v="65 ans et plus"/>
    <n v="2"/>
    <x v="5"/>
    <n v="1"/>
    <n v="90"/>
    <s v="1975-1990"/>
    <s v="4"/>
    <s v="Pas de réponse"/>
    <x v="0"/>
    <s v="Poêle"/>
    <x v="0"/>
    <s v="Tous les jours"/>
    <s v="7"/>
    <s v="1996-2002"/>
    <s v="Bois bûche"/>
    <s v=""/>
    <s v="4"/>
    <s v="stère"/>
    <s v="2"/>
    <s v=""/>
    <s v="1"/>
    <s v="2"/>
    <s v="&gt; 2 ans"/>
    <s v="Feuillus"/>
    <s v="1"/>
    <s v="1 fois par an"/>
    <s v=""/>
    <s v="Poêle"/>
    <s v="2"/>
    <s v=""/>
    <s v="Chauffage de base"/>
    <s v="Pas de réponse"/>
  </r>
  <r>
    <s v="VRB0340"/>
    <n v="3"/>
    <n v="3"/>
    <n v="3"/>
    <s v="Pas de réponse"/>
    <n v="3"/>
    <x v="1"/>
    <n v="1"/>
    <n v="120"/>
    <s v="1990-2005"/>
    <s v="4"/>
    <s v="Pas de réponse"/>
    <x v="0"/>
    <s v="Insert / foyer fermé"/>
    <x v="0"/>
    <s v="Tous les jours"/>
    <s v="1; 2; 3"/>
    <s v="1996-2002"/>
    <s v="Bois bûche"/>
    <s v=""/>
    <s v=""/>
    <s v="Inconnu"/>
    <s v="5"/>
    <s v="nouveau proprietaire"/>
    <s v="6"/>
    <s v="4"/>
    <s v="Pas de réponse"/>
    <s v="Pas de réponse"/>
    <s v="3"/>
    <s v="Pas de réponse"/>
    <s v=""/>
    <s v="Poêle"/>
    <s v="2"/>
    <s v=""/>
    <s v="Chauffage de base"/>
    <s v="Pas de réponse"/>
  </r>
  <r>
    <s v="VRB0341"/>
    <n v="3"/>
    <n v="4"/>
    <n v="3"/>
    <s v="25 à 34 ans"/>
    <n v="3"/>
    <x v="5"/>
    <n v="1"/>
    <n v="94"/>
    <s v="1975-1990"/>
    <s v="4"/>
    <s v="E"/>
    <x v="0"/>
    <s v="Insert / foyer fermé"/>
    <x v="1"/>
    <s v="Pas de réponse"/>
    <s v="6"/>
    <s v="Avant 1990"/>
    <s v="Bois bûche"/>
    <s v=""/>
    <s v=""/>
    <s v=""/>
    <s v="5"/>
    <s v=""/>
    <s v="5"/>
    <s v="2"/>
    <s v="Ne sait pas"/>
    <s v="Ne sait pas"/>
    <s v="2"/>
    <s v="Pas de réponse"/>
    <s v=""/>
    <s v="Poêle"/>
    <s v="2"/>
    <s v=""/>
    <s v="Chauffage de base"/>
    <s v="Pas de réponse"/>
  </r>
  <r>
    <s v="VRB0342"/>
    <n v="3"/>
    <n v="7"/>
    <n v="9"/>
    <s v="65 ans et plus"/>
    <n v="1"/>
    <x v="5"/>
    <n v="1"/>
    <n v="90"/>
    <s v="Avant 1949"/>
    <s v="1; 4"/>
    <s v="Pas de réponse"/>
    <x v="0"/>
    <s v="Poêle"/>
    <x v="1"/>
    <s v="Tous les jours"/>
    <s v="6"/>
    <s v="1996-2002"/>
    <s v="Bois bûche"/>
    <s v=""/>
    <s v="5"/>
    <s v="stère"/>
    <s v="2"/>
    <s v=""/>
    <s v="5"/>
    <s v="2"/>
    <s v="Ne sait pas"/>
    <s v="Les deux"/>
    <s v="2"/>
    <s v="1 fois par an"/>
    <s v=""/>
    <s v="Poêle"/>
    <s v="2"/>
    <s v=""/>
    <s v="Chauffage d'appoint"/>
    <s v="Pas de réponse"/>
  </r>
  <r>
    <s v="VRB0343"/>
    <n v="3"/>
    <n v="7"/>
    <n v="3"/>
    <s v="50 à 64 ans"/>
    <n v="2"/>
    <x v="5"/>
    <n v="1"/>
    <n v="70"/>
    <s v="1949-1975"/>
    <s v="1; 4"/>
    <s v="Pas de réponse"/>
    <x v="0"/>
    <s v="Foyer ouvert"/>
    <x v="1"/>
    <s v="3 à 4 jours/semaine"/>
    <s v="3; 4"/>
    <s v="Avant 1990"/>
    <s v="Bois bûche"/>
    <s v=""/>
    <s v="3"/>
    <s v="stère"/>
    <s v="1"/>
    <s v=""/>
    <s v="1"/>
    <s v="2"/>
    <s v="&gt; 2 ans"/>
    <s v="Feuillus"/>
    <s v="2"/>
    <s v="1 fois par an"/>
    <s v=""/>
    <s v="Insert cheminée"/>
    <s v="1"/>
    <s v=""/>
    <s v="Chauffage d'appoint"/>
    <s v="Pas de réponse"/>
  </r>
  <r>
    <s v="VRB0344"/>
    <n v="3"/>
    <n v="7"/>
    <n v="7"/>
    <s v="65 ans et plus"/>
    <n v="2"/>
    <x v="1"/>
    <n v="1"/>
    <n v="96"/>
    <s v="1990-2005"/>
    <s v="1"/>
    <s v="Pas de réponse"/>
    <x v="0"/>
    <s v="Poêle"/>
    <x v="1"/>
    <s v="Tous les jours"/>
    <s v="1; 2; 4"/>
    <s v="1996-2002"/>
    <s v="Bois bûche"/>
    <s v=""/>
    <s v="10"/>
    <s v="stères"/>
    <s v="2"/>
    <s v=""/>
    <s v="1"/>
    <s v="2"/>
    <s v="1 à 2 ans"/>
    <s v="Feuillus"/>
    <s v="1; 2"/>
    <s v="2 fois par an"/>
    <s v=""/>
    <s v="Poêle"/>
    <s v="2"/>
    <s v=""/>
    <s v="Chauffage d'appoint"/>
    <s v="Pas de réponse"/>
  </r>
  <r>
    <s v="VRB0345"/>
    <n v="3"/>
    <n v="3"/>
    <n v="2"/>
    <s v="35 à 49 ans"/>
    <n v="3"/>
    <x v="5"/>
    <n v="1"/>
    <n v="150"/>
    <s v="1949-1975"/>
    <s v="6"/>
    <s v="D"/>
    <x v="0"/>
    <s v="Foyer ouvert"/>
    <x v="1"/>
    <s v="1 à 3 jours/mois"/>
    <s v="2"/>
    <s v="Avant 1990"/>
    <s v="Bois bûche"/>
    <s v=""/>
    <s v="3"/>
    <s v="stères"/>
    <s v="2"/>
    <s v=""/>
    <s v="2"/>
    <s v="2"/>
    <s v="1 à 2 ans"/>
    <s v="Les deux"/>
    <s v="2"/>
    <s v="1 fois par an"/>
    <s v=""/>
    <s v="Poêle"/>
    <s v="2"/>
    <s v=""/>
    <s v="Chauffage de base"/>
    <s v="Pas de réponse"/>
  </r>
  <r>
    <s v="VRB0346"/>
    <n v="3"/>
    <n v="7"/>
    <n v="7"/>
    <s v="65 ans et plus"/>
    <n v="2"/>
    <x v="6"/>
    <n v="1"/>
    <n v="110"/>
    <s v="1975-1990"/>
    <s v="1; 3; 4"/>
    <s v="Pas de réponse"/>
    <x v="0"/>
    <s v="Poêle"/>
    <x v="0"/>
    <s v="Tous les jours"/>
    <s v="4; 5"/>
    <s v="Avant 1990"/>
    <s v="Bois bûche"/>
    <s v=""/>
    <s v="5"/>
    <s v="m3"/>
    <s v="1"/>
    <s v=""/>
    <s v="3"/>
    <s v="2"/>
    <s v="&gt; 2 ans"/>
    <s v="Feuillus"/>
    <s v="1"/>
    <s v="2 fois par an"/>
    <s v=""/>
    <s v="Poêle"/>
    <s v="1"/>
    <s v=""/>
    <s v="Chauffage de base"/>
    <s v="Pas de réponse"/>
  </r>
  <r>
    <s v="VRB0348"/>
    <n v="3"/>
    <n v="8"/>
    <n v="3"/>
    <s v="35 à 49 ans"/>
    <n v="4"/>
    <x v="6"/>
    <n v="1"/>
    <n v="120"/>
    <s v="1975-1990"/>
    <s v="1"/>
    <s v="Pas de réponse"/>
    <x v="0"/>
    <s v="Foyer ouvert"/>
    <x v="0"/>
    <s v="Tous les jours"/>
    <s v="4"/>
    <s v="Avant 1990"/>
    <s v="Bois bûche"/>
    <s v=""/>
    <s v="5"/>
    <s v="stères"/>
    <s v="2"/>
    <s v=""/>
    <s v="2"/>
    <s v="2"/>
    <s v="1 à 2 ans"/>
    <s v="Les deux"/>
    <s v="2"/>
    <s v="1 fois par an"/>
    <s v=""/>
    <s v="Poêle"/>
    <s v="2"/>
    <s v=""/>
    <s v="Chauffage de base"/>
    <s v="Pas de réponse"/>
  </r>
  <r>
    <s v="VRB0350"/>
    <n v="3"/>
    <n v="3"/>
    <n v="3"/>
    <s v="50 à 64 ans"/>
    <n v="2"/>
    <x v="7"/>
    <n v="1"/>
    <n v="0"/>
    <s v="Avant 1949"/>
    <s v="6"/>
    <s v="Pas de réponse"/>
    <x v="0"/>
    <s v="Poêle"/>
    <x v="1"/>
    <s v="Pas de réponse"/>
    <s v="2; 3"/>
    <s v="1990-1995"/>
    <s v="Bois bûche"/>
    <s v=""/>
    <s v="0"/>
    <s v=""/>
    <s v="1; 2"/>
    <s v=""/>
    <s v="5"/>
    <s v="2"/>
    <s v="1 à 2 ans"/>
    <s v="Les deux"/>
    <s v="1; 2"/>
    <s v="1 fois tous les 2 ans"/>
    <s v=""/>
    <s v="Poêle"/>
    <s v="1"/>
    <s v=""/>
    <s v="Chauffage d'appoint"/>
    <s v="Pas de réponse"/>
  </r>
  <r>
    <s v="VRB0351"/>
    <n v="3"/>
    <n v="7"/>
    <n v="7"/>
    <s v="65 ans et plus"/>
    <n v="2"/>
    <x v="6"/>
    <n v="1"/>
    <n v="100"/>
    <s v="1975-1990"/>
    <s v="1; 4"/>
    <s v="Pas de réponse"/>
    <x v="0"/>
    <s v="Insert / foyer fermé"/>
    <x v="1"/>
    <s v="Tous les jours"/>
    <s v="4"/>
    <s v="Avant 1990"/>
    <s v="Bois bûche"/>
    <s v=""/>
    <s v="6"/>
    <s v="stère"/>
    <s v="2"/>
    <s v=""/>
    <s v="5"/>
    <s v="2"/>
    <s v="1 à 2 ans"/>
    <s v="Feuillus"/>
    <s v="1"/>
    <s v="2 fois par an"/>
    <s v=""/>
    <s v="Poêle"/>
    <s v="2"/>
    <s v=""/>
    <s v="Chauffage de base"/>
    <s v="Pas de réponse"/>
  </r>
  <r>
    <s v="VRB0352"/>
    <n v="3"/>
    <n v="7"/>
    <n v="9"/>
    <s v="65 ans et plus"/>
    <n v="1"/>
    <x v="3"/>
    <n v="1"/>
    <n v="150"/>
    <s v="Avant 1949"/>
    <s v="1; 2; 4"/>
    <s v="Pas de réponse"/>
    <x v="0"/>
    <s v="Foyer ouvert"/>
    <x v="1"/>
    <s v="1 à 2 jours/semaine"/>
    <s v="2"/>
    <s v="Avant 1990"/>
    <s v="Bois bûche"/>
    <s v=""/>
    <s v="1"/>
    <s v="stère"/>
    <s v="1"/>
    <s v=""/>
    <s v="5"/>
    <s v="2"/>
    <s v="1 à 2 ans"/>
    <s v="Les deux"/>
    <s v="2"/>
    <s v="1 fois par an"/>
    <s v=""/>
    <s v="Poêle"/>
    <s v="2"/>
    <s v=""/>
    <s v="Chauffage d'appoint"/>
    <s v="Pas de réponse"/>
  </r>
  <r>
    <s v="VRB0354"/>
    <n v="3"/>
    <n v="7"/>
    <n v="9"/>
    <s v="50 à 64 ans"/>
    <n v="2"/>
    <x v="3"/>
    <n v="1"/>
    <n v="85"/>
    <s v="Avant 1949"/>
    <s v="6"/>
    <s v="F"/>
    <x v="0"/>
    <s v="Foyer ouvert"/>
    <x v="1"/>
    <s v="3 à 4 jours/semaine"/>
    <s v="4"/>
    <s v="Avant 1990"/>
    <s v="Bois bûche"/>
    <s v=""/>
    <s v="7"/>
    <s v="stère"/>
    <s v="2"/>
    <s v=""/>
    <s v="5"/>
    <s v="2"/>
    <s v="&gt; 2 ans"/>
    <s v="Feuillus"/>
    <s v="2"/>
    <s v="2 fois par an"/>
    <s v=""/>
    <s v="Poêle"/>
    <s v="1"/>
    <s v=""/>
    <s v="Chauffage d'appoint"/>
    <s v="Pas de réponse"/>
  </r>
  <r>
    <s v="VRB0355"/>
    <n v="3"/>
    <n v="2"/>
    <n v="9"/>
    <s v="35 à 49 ans"/>
    <n v="3"/>
    <x v="2"/>
    <n v="1"/>
    <n v="144"/>
    <s v="1949-1975"/>
    <s v="1; 3; 4"/>
    <s v="Pas de réponse"/>
    <x v="0"/>
    <s v="Foyer ouvert"/>
    <x v="1"/>
    <s v="3 à 4 jours/semaine"/>
    <s v="2"/>
    <s v="Avant 1990"/>
    <s v="Pas de réponse"/>
    <s v=""/>
    <s v="4"/>
    <s v="stères"/>
    <s v="1"/>
    <s v=""/>
    <s v="6"/>
    <s v="2"/>
    <s v="&gt; 2 ans"/>
    <s v="Pas de réponse"/>
    <s v="3"/>
    <s v="Pas de réponse"/>
    <s v=""/>
    <s v="Poêle"/>
    <s v="1"/>
    <s v=""/>
    <s v="Chauffage d'appoint"/>
    <s v="Pas de réponse"/>
  </r>
  <r>
    <s v="VRB0357"/>
    <n v="3"/>
    <n v="2"/>
    <n v="6"/>
    <s v="50 à 64 ans"/>
    <n v="2"/>
    <x v="8"/>
    <n v="1"/>
    <n v="120"/>
    <s v="1975-1990"/>
    <s v="1"/>
    <s v="Pas de réponse"/>
    <x v="0"/>
    <s v="Poêle"/>
    <x v="1"/>
    <s v="Tous les jours"/>
    <s v="3"/>
    <s v="1990-1995"/>
    <s v="Bois bûche"/>
    <s v=""/>
    <s v="4"/>
    <s v=""/>
    <s v="2"/>
    <s v=""/>
    <s v="5"/>
    <s v="2"/>
    <s v="&gt; 2 ans"/>
    <s v="Feuillus"/>
    <s v="2"/>
    <s v="1 fois par an"/>
    <s v=""/>
    <s v="Poêle"/>
    <s v="1"/>
    <s v=""/>
    <s v="Chauffage d'appoint"/>
    <s v="Pas de réponse"/>
  </r>
  <r>
    <s v="VRB0358"/>
    <n v="3"/>
    <n v="7"/>
    <n v="7"/>
    <s v="50 à 64 ans"/>
    <n v="2"/>
    <x v="6"/>
    <n v="1"/>
    <n v="100"/>
    <s v="1975-1990"/>
    <s v="4"/>
    <s v="Pas de réponse"/>
    <x v="0"/>
    <s v="Insert / foyer fermé"/>
    <x v="1"/>
    <s v="3 à 4 jours/semaine"/>
    <s v="2; 3; 6"/>
    <s v="Avant 1990"/>
    <s v="Bois bûche"/>
    <s v=""/>
    <s v="5 a 6"/>
    <s v="m3"/>
    <s v="2"/>
    <s v=""/>
    <s v="2"/>
    <s v="2"/>
    <s v="1 à 2 ans"/>
    <s v="Feuillus"/>
    <s v="2"/>
    <s v="1 fois par an"/>
    <s v=""/>
    <s v="Poêle"/>
    <s v="1"/>
    <s v=""/>
    <s v="Chauffage d'appoint"/>
    <s v="Pas de réponse"/>
  </r>
  <r>
    <s v="VRB0359"/>
    <n v="3"/>
    <n v="4"/>
    <n v="8"/>
    <s v="25 à 34 ans"/>
    <n v="4"/>
    <x v="5"/>
    <n v="1"/>
    <n v="160"/>
    <s v="1975-1990"/>
    <s v="4"/>
    <s v="Pas de réponse"/>
    <x v="0"/>
    <s v="Chaudière"/>
    <x v="0"/>
    <s v="Tous les jours"/>
    <s v="4"/>
    <s v="Pas de réponse"/>
    <s v="Bois bûche"/>
    <s v=""/>
    <s v="0"/>
    <s v=""/>
    <s v="5"/>
    <s v="Inconu"/>
    <s v="5"/>
    <s v="2"/>
    <s v="Ne sait pas"/>
    <s v="Ne sait pas"/>
    <s v="3"/>
    <s v="Pas de réponse"/>
    <s v=""/>
    <s v="Poêle"/>
    <s v="1"/>
    <s v=""/>
    <s v="Chauffage de base"/>
    <s v="Pas de réponse"/>
  </r>
  <r>
    <s v="VRB0360"/>
    <n v="3"/>
    <n v="4"/>
    <n v="3"/>
    <s v="50 à 64 ans"/>
    <n v="2"/>
    <x v="6"/>
    <n v="1"/>
    <n v="90"/>
    <s v="1975-1990"/>
    <s v="6"/>
    <s v="Pas de réponse"/>
    <x v="0"/>
    <s v="Insert / foyer fermé"/>
    <x v="0"/>
    <s v="Tous les jours"/>
    <s v="4; 5"/>
    <s v="Avant 1990"/>
    <s v="Bois bûche"/>
    <s v=""/>
    <s v="0"/>
    <s v=""/>
    <s v="2"/>
    <s v=""/>
    <s v="5"/>
    <s v="3"/>
    <s v="&lt; 1 an"/>
    <s v="Feuillus"/>
    <s v="2"/>
    <s v="1 fois tous les 2 ans"/>
    <s v=""/>
    <s v="Poêle"/>
    <s v="2"/>
    <s v=""/>
    <s v="Chauffage de base"/>
    <s v="Pas de réponse"/>
  </r>
  <r>
    <s v="VRB0362"/>
    <n v="3"/>
    <n v="3"/>
    <n v="3"/>
    <s v="25 à 34 ans"/>
    <n v="4"/>
    <x v="1"/>
    <n v="1"/>
    <n v="101"/>
    <s v="1975-1990"/>
    <s v="1"/>
    <s v="E"/>
    <x v="0"/>
    <s v="Insert / foyer fermé"/>
    <x v="0"/>
    <s v="Tous les jours"/>
    <s v="1; 2; 4"/>
    <s v="1990-1995"/>
    <s v="Bois bûche"/>
    <s v=""/>
    <s v="7"/>
    <s v="stères"/>
    <s v="2"/>
    <s v=""/>
    <s v="5"/>
    <s v="2"/>
    <s v="&gt; 2 ans"/>
    <s v="Les deux"/>
    <s v="2"/>
    <s v="2 fois par an"/>
    <s v=""/>
    <s v="Poêle"/>
    <s v="1"/>
    <s v=""/>
    <s v="Chauffage de base"/>
    <s v="Pas de réponse"/>
  </r>
  <r>
    <s v="VRB0363"/>
    <n v="3"/>
    <n v="5"/>
    <n v="5"/>
    <s v="50 à 64 ans"/>
    <n v="3"/>
    <x v="7"/>
    <n v="1"/>
    <n v="160"/>
    <s v="1949-1975"/>
    <s v="1; 4"/>
    <s v="Pas de réponse"/>
    <x v="0"/>
    <s v="Foyer ouvert"/>
    <x v="1"/>
    <s v="1 à 2 jours/semaine"/>
    <s v="2; 3; 6"/>
    <s v="1990-1995"/>
    <s v="Bois de récupération, à préciser"/>
    <s v="coupe arbres jardin"/>
    <s v="4"/>
    <s v=""/>
    <s v="1"/>
    <s v=""/>
    <s v="5"/>
    <s v="2"/>
    <s v="&gt; 2 ans"/>
    <s v="Feuillus"/>
    <s v="1"/>
    <s v="1 fois par an"/>
    <s v=""/>
    <s v="Poêle"/>
    <s v="1"/>
    <s v=""/>
    <s v="Chauffage d'appoint"/>
    <s v="Pas de réponse"/>
  </r>
  <r>
    <s v="VRB0364"/>
    <n v="3"/>
    <n v="7"/>
    <n v="9"/>
    <s v="65 ans et plus"/>
    <n v="1"/>
    <x v="3"/>
    <n v="1"/>
    <n v="96"/>
    <s v="Avant 1949"/>
    <s v="4"/>
    <s v="Pas de réponse"/>
    <x v="0"/>
    <s v="Poêle"/>
    <x v="0"/>
    <s v="Tous les jours"/>
    <s v="1; 2; 3; 4; 5; 6"/>
    <s v="Avant 1990"/>
    <s v="Bois bûche"/>
    <s v=""/>
    <s v="11"/>
    <s v="stère"/>
    <s v="2"/>
    <s v=""/>
    <s v="1"/>
    <s v="2"/>
    <s v="&gt; 2 ans"/>
    <s v="Les deux"/>
    <s v="2"/>
    <s v="1 fois tous les 2 ans"/>
    <s v=""/>
    <s v="Pôele hydro"/>
    <s v="2"/>
    <s v=""/>
    <s v="Chauffage de base"/>
    <s v="Pas de réponse"/>
  </r>
  <r>
    <s v="VRB0365"/>
    <n v="3"/>
    <n v="6"/>
    <n v="3"/>
    <s v="50 à 64 ans"/>
    <n v="1"/>
    <x v="6"/>
    <n v="1"/>
    <n v="120"/>
    <s v="1975-1990"/>
    <s v="4"/>
    <s v="E"/>
    <x v="0"/>
    <s v="Poêle"/>
    <x v="0"/>
    <s v="Tous les jours"/>
    <s v="1; 2; 3; 4; 5; 6"/>
    <s v="1996-2002"/>
    <s v="Bois bûche"/>
    <s v=""/>
    <s v="14"/>
    <s v="stères"/>
    <s v="2"/>
    <s v=""/>
    <s v="2"/>
    <s v="2"/>
    <s v="1 à 2 ans"/>
    <s v="Feuillus"/>
    <s v="2"/>
    <s v="1 fois par an"/>
    <s v=""/>
    <s v="Poêle"/>
    <s v="1"/>
    <s v=""/>
    <s v="Chauffage de base"/>
    <s v="Pas de réponse"/>
  </r>
  <r>
    <s v="VRB0366"/>
    <n v="3"/>
    <n v="8"/>
    <n v="3"/>
    <s v="50 à 64 ans"/>
    <n v="2"/>
    <x v="3"/>
    <n v="1"/>
    <n v="110"/>
    <s v="Avant 1949"/>
    <s v="1; 2; 4"/>
    <s v="Pas de réponse"/>
    <x v="0"/>
    <s v="Poêle"/>
    <x v="0"/>
    <s v="Tous les jours"/>
    <s v="4; 5"/>
    <s v="Avant 1990"/>
    <s v="Bois bûche"/>
    <s v=""/>
    <s v="13"/>
    <s v="m3"/>
    <s v="2"/>
    <s v=""/>
    <s v="5"/>
    <s v="2"/>
    <s v="1 à 2 ans"/>
    <s v="Feuillus"/>
    <s v="2"/>
    <s v="1 fois par an"/>
    <s v=""/>
    <s v="Pôele hydro"/>
    <s v="2"/>
    <s v=""/>
    <s v="Chauffage de base"/>
    <s v="Pas de réponse"/>
  </r>
  <r>
    <s v="VRB0369"/>
    <n v="3"/>
    <n v="4"/>
    <n v="3"/>
    <s v="25 à 34 ans"/>
    <n v="2"/>
    <x v="1"/>
    <n v="1"/>
    <n v="0"/>
    <s v="Avant 1949"/>
    <s v="1; 4"/>
    <s v="Pas de réponse"/>
    <x v="0"/>
    <s v="Poêle"/>
    <x v="0"/>
    <s v="Tous les jours"/>
    <s v="4"/>
    <s v="Avant 1990"/>
    <s v="Bois bûche"/>
    <s v=""/>
    <s v="8"/>
    <s v="stère"/>
    <s v="1"/>
    <s v=""/>
    <s v="5"/>
    <s v="2"/>
    <s v="&lt; 1 an"/>
    <s v="Les deux"/>
    <s v="1"/>
    <s v="1 fois par an"/>
    <s v=""/>
    <s v="Poêle"/>
    <s v="2"/>
    <s v=""/>
    <s v="Chauffage de base"/>
    <s v="Pas de réponse"/>
  </r>
  <r>
    <s v="VRB0370"/>
    <n v="3"/>
    <n v="3"/>
    <n v="9"/>
    <s v="50 à 64 ans"/>
    <n v="1"/>
    <x v="5"/>
    <n v="1"/>
    <n v="90"/>
    <s v="1949-1975"/>
    <s v="6"/>
    <s v="G"/>
    <x v="0"/>
    <s v="Foyer ouvert"/>
    <x v="1"/>
    <s v="Pas de réponse"/>
    <s v="7"/>
    <s v="Avant 1990"/>
    <s v="Bois bûche"/>
    <s v=""/>
    <s v=""/>
    <s v=""/>
    <s v="5"/>
    <s v=""/>
    <s v="6"/>
    <s v="4"/>
    <s v="Pas de réponse"/>
    <s v="Pas de réponse"/>
    <s v="3"/>
    <s v="Pas de réponse"/>
    <s v=""/>
    <s v="Poêle"/>
    <s v="2"/>
    <s v=""/>
    <s v="Chauffage de base"/>
    <s v="Pas de réponse"/>
  </r>
  <r>
    <s v="VRB0371"/>
    <n v="3"/>
    <n v="5"/>
    <n v="5"/>
    <s v="35 à 49 ans"/>
    <n v="1"/>
    <x v="3"/>
    <n v="1"/>
    <n v="70"/>
    <s v="Avant 1949"/>
    <s v="2; 4"/>
    <s v="Pas de réponse"/>
    <x v="0"/>
    <s v="Poêle"/>
    <x v="0"/>
    <s v="3 à 4 jours/semaine"/>
    <s v="2; 4"/>
    <s v="1996-2002"/>
    <s v="Bois bûche"/>
    <s v=""/>
    <s v="4"/>
    <s v="stère"/>
    <s v="3"/>
    <s v=""/>
    <s v="5"/>
    <s v="1"/>
    <s v="1 à 2 ans"/>
    <s v="Feuillus"/>
    <s v="2"/>
    <s v="1 fois par an"/>
    <s v=""/>
    <s v="Poêle"/>
    <s v="2"/>
    <s v=""/>
    <s v="Chauffage de base"/>
    <s v="Pas de réponse"/>
  </r>
  <r>
    <s v="VRB0372"/>
    <n v="3"/>
    <n v="7"/>
    <n v="3"/>
    <s v="65 ans et plus"/>
    <n v="3"/>
    <x v="6"/>
    <n v="1"/>
    <n v="100"/>
    <s v="1975-1990"/>
    <s v="1; 4"/>
    <s v="Ne sait pas"/>
    <x v="0"/>
    <s v="Insert / foyer fermé"/>
    <x v="0"/>
    <s v="Tous les jours"/>
    <s v="2; 3; 4; 6"/>
    <s v="Avant 1990"/>
    <s v="Bois bûche"/>
    <s v=""/>
    <s v="8 a 9"/>
    <s v="stère"/>
    <s v="2"/>
    <s v=""/>
    <s v="1"/>
    <s v="2"/>
    <s v="1 à 2 ans"/>
    <s v="Feuillus"/>
    <s v="1"/>
    <s v="2 fois par an"/>
    <s v=""/>
    <s v="Poêle"/>
    <s v="2"/>
    <s v=""/>
    <s v="Chauffage de base"/>
    <s v="Pas de réponse"/>
  </r>
  <r>
    <s v="VRB0374"/>
    <n v="3"/>
    <n v="7"/>
    <n v="9"/>
    <s v="65 ans et plus"/>
    <n v="1"/>
    <x v="3"/>
    <n v="1"/>
    <n v="100"/>
    <s v="1975-1990"/>
    <s v="1"/>
    <s v="Pas de réponse"/>
    <x v="0"/>
    <s v="Insert / foyer fermé"/>
    <x v="0"/>
    <s v="Tous les jours"/>
    <s v="4; 5; 6"/>
    <s v="Avant 1990"/>
    <s v="Bois bûche"/>
    <s v=""/>
    <s v="11"/>
    <s v="stère"/>
    <s v="2"/>
    <s v=""/>
    <s v="2"/>
    <s v="2"/>
    <s v="1 à 2 ans"/>
    <s v="Feuillus"/>
    <s v="2"/>
    <s v="1 fois par an"/>
    <s v=""/>
    <s v="Poêle"/>
    <s v="2"/>
    <s v=""/>
    <s v="Chauffage de base"/>
    <s v="Pas de réponse"/>
  </r>
  <r>
    <s v="VRB0375"/>
    <n v="3"/>
    <n v="5"/>
    <n v="3"/>
    <s v="35 à 49 ans"/>
    <n v="2"/>
    <x v="2"/>
    <n v="1"/>
    <n v="0"/>
    <s v="1975-1990"/>
    <s v="4"/>
    <s v="Pas de réponse"/>
    <x v="0"/>
    <s v="Foyer ouvert"/>
    <x v="1"/>
    <s v="3 à 4 jours/semaine"/>
    <s v="2; 6"/>
    <s v="Avant 1990"/>
    <s v="Bois bûche"/>
    <s v=""/>
    <s v="0"/>
    <s v=""/>
    <s v="2"/>
    <s v=""/>
    <s v="6"/>
    <s v="1"/>
    <s v="&lt; 1 an"/>
    <s v="Résineux"/>
    <s v="1"/>
    <s v="Autre, à préciser"/>
    <s v=""/>
    <s v="Poêle"/>
    <s v="2"/>
    <s v=""/>
    <s v="Chauffage de base"/>
    <s v="Pas de réponse"/>
  </r>
  <r>
    <s v="VRB0376"/>
    <n v="3"/>
    <n v="3"/>
    <n v="3"/>
    <s v="35 à 49 ans"/>
    <n v="4"/>
    <x v="2"/>
    <n v="1"/>
    <n v="118"/>
    <s v="1990-2005"/>
    <s v="1"/>
    <s v="F"/>
    <x v="0"/>
    <s v="Insert / foyer fermé"/>
    <x v="0"/>
    <s v="Tous les jours"/>
    <s v="1; 2; 4; 6"/>
    <s v="1996-2002"/>
    <s v="Bois bûche"/>
    <s v=""/>
    <s v="10"/>
    <s v="stère"/>
    <s v="2"/>
    <s v=""/>
    <s v="2"/>
    <s v="2"/>
    <s v="&gt; 2 ans"/>
    <s v="Les deux"/>
    <s v="2"/>
    <s v="1 fois par an"/>
    <s v=""/>
    <s v="Poêle"/>
    <s v="2"/>
    <s v=""/>
    <s v="Chauffage de base"/>
    <s v="Pas de réponse"/>
  </r>
  <r>
    <s v="VRB0377"/>
    <n v="3"/>
    <n v="7"/>
    <n v="7"/>
    <s v="65 ans et plus"/>
    <n v="1"/>
    <x v="7"/>
    <n v="1"/>
    <n v="228"/>
    <s v="Après 2005"/>
    <s v="1; 2"/>
    <s v="Pas de réponse"/>
    <x v="0"/>
    <s v="Insert / foyer fermé"/>
    <x v="1"/>
    <s v="1 à 2 jours/semaine"/>
    <s v="2; 3"/>
    <s v="1990-1995"/>
    <s v="Bois bûche"/>
    <s v=""/>
    <s v="2"/>
    <s v="stère"/>
    <s v="2"/>
    <s v=""/>
    <s v="2"/>
    <s v="2"/>
    <s v="&gt; 2 ans"/>
    <s v="Feuillus"/>
    <s v="1"/>
    <s v="1 fois tous les 2 ans"/>
    <s v=""/>
    <s v="Insert cheminée"/>
    <s v="1"/>
    <s v=""/>
    <s v="Chauffage d'appoint"/>
    <s v="Pas de réponse"/>
  </r>
  <r>
    <s v="VRB0378"/>
    <n v="3"/>
    <n v="2"/>
    <n v="3"/>
    <s v="50 à 64 ans"/>
    <n v="3"/>
    <x v="2"/>
    <n v="1"/>
    <n v="100"/>
    <s v="1990-2005"/>
    <s v="6"/>
    <s v="Pas de réponse"/>
    <x v="0"/>
    <s v="Poêle"/>
    <x v="0"/>
    <s v="Tous les jours"/>
    <s v="1; 2"/>
    <s v="1996-2002"/>
    <s v="Bois bûche"/>
    <s v=""/>
    <s v="15"/>
    <s v="stère"/>
    <s v="2"/>
    <s v=""/>
    <s v="5"/>
    <s v="2"/>
    <s v="1 à 2 ans"/>
    <s v="Feuillus"/>
    <s v="2"/>
    <s v="1 fois par an"/>
    <s v=""/>
    <s v="Poêle"/>
    <s v="2"/>
    <s v=""/>
    <s v="Chauffage de base"/>
    <s v="Pas de réponse"/>
  </r>
  <r>
    <s v="VRB0379"/>
    <n v="3"/>
    <n v="3"/>
    <n v="3"/>
    <s v="25 à 34 ans"/>
    <n v="3"/>
    <x v="1"/>
    <n v="1"/>
    <n v="104"/>
    <s v="Avant 1949"/>
    <s v="7"/>
    <s v="E"/>
    <x v="0"/>
    <s v="Foyer ouvert"/>
    <x v="1"/>
    <s v="3 à 4 jours/semaine"/>
    <s v="6"/>
    <s v="Avant 1990"/>
    <s v="Bois bûche"/>
    <s v=""/>
    <s v=""/>
    <s v=""/>
    <s v="4"/>
    <s v="Non connue emènagement récent"/>
    <s v="5"/>
    <s v="2"/>
    <s v="Ne sait pas"/>
    <s v="Ne sait pas"/>
    <s v="3"/>
    <s v="Pas de réponse"/>
    <s v="non connue"/>
    <s v="Poêle"/>
    <s v="2"/>
    <s v=""/>
    <s v="Chauffage d'appoint"/>
    <s v="Pas de réponse"/>
  </r>
  <r>
    <s v="VRB0380"/>
    <n v="3"/>
    <n v="5"/>
    <n v="5"/>
    <s v="50 à 64 ans"/>
    <n v="2"/>
    <x v="8"/>
    <n v="1"/>
    <n v="134"/>
    <s v="1990-2005"/>
    <s v="4"/>
    <s v="Pas de réponse"/>
    <x v="0"/>
    <s v="Poêle"/>
    <x v="1"/>
    <s v="1 à 2 jours/semaine"/>
    <s v="2; 6"/>
    <s v="1996-2002"/>
    <s v="Bois bûche"/>
    <s v=""/>
    <s v="2"/>
    <s v="stère"/>
    <s v="2"/>
    <s v=""/>
    <s v="1"/>
    <s v="2"/>
    <s v="1 à 2 ans"/>
    <s v="Feuillus"/>
    <s v="2"/>
    <s v="1 fois par an"/>
    <s v=""/>
    <s v="Poêle"/>
    <s v="1"/>
    <s v=""/>
    <s v="Chauffage d'appoint"/>
    <s v="Pas de réponse"/>
  </r>
  <r>
    <s v="VRB0381"/>
    <n v="3"/>
    <n v="7"/>
    <n v="7"/>
    <s v="65 ans et plus"/>
    <n v="2"/>
    <x v="1"/>
    <n v="1"/>
    <n v="110"/>
    <s v="1990-2005"/>
    <s v="6"/>
    <s v="Pas de réponse"/>
    <x v="0"/>
    <s v="Insert / foyer fermé"/>
    <x v="1"/>
    <s v="3 à 4 jours/semaine"/>
    <s v="4"/>
    <s v="1990-1995"/>
    <s v="Bois bûche"/>
    <s v=""/>
    <s v="5"/>
    <s v="stère"/>
    <s v="2"/>
    <s v=""/>
    <s v="5"/>
    <s v="2"/>
    <s v="1 à 2 ans"/>
    <s v="Feuillus"/>
    <s v="2"/>
    <s v="1 fois par an"/>
    <s v=""/>
    <s v="Poêle"/>
    <s v="1"/>
    <s v=""/>
    <s v="Chauffage d'appoint"/>
    <s v="Pas de réponse"/>
  </r>
  <r>
    <s v="VRB0383"/>
    <n v="3"/>
    <n v="7"/>
    <n v="7"/>
    <s v="65 ans et plus"/>
    <n v="2"/>
    <x v="6"/>
    <n v="1"/>
    <n v="120"/>
    <s v="1975-1990"/>
    <s v="1"/>
    <s v="Pas de réponse"/>
    <x v="0"/>
    <s v="Insert / foyer fermé"/>
    <x v="1"/>
    <s v="Tous les jours"/>
    <s v="2"/>
    <s v="Avant 1990"/>
    <s v="Bois bûche"/>
    <s v=""/>
    <s v="5"/>
    <s v="stère"/>
    <s v="2"/>
    <s v=""/>
    <s v="2"/>
    <s v="3"/>
    <s v="1 à 2 ans"/>
    <s v="Feuillus"/>
    <s v="2"/>
    <s v="1 fois par an"/>
    <s v=""/>
    <s v="Poêle"/>
    <s v="2"/>
    <s v=""/>
    <s v="Chauffage de base"/>
    <s v="Pas de réponse"/>
  </r>
  <r>
    <s v="VRB0384"/>
    <n v="3"/>
    <n v="5"/>
    <n v="3"/>
    <s v="50 à 64 ans"/>
    <n v="5"/>
    <x v="6"/>
    <n v="1"/>
    <n v="100"/>
    <s v="1990-2005"/>
    <s v="6"/>
    <s v="Pas de réponse"/>
    <x v="0"/>
    <s v="Poêle"/>
    <x v="1"/>
    <s v="Tous les jours"/>
    <s v="4"/>
    <s v="1996-2002"/>
    <s v="Bois bûche"/>
    <s v=""/>
    <s v="12"/>
    <s v="cm"/>
    <s v="1"/>
    <s v=""/>
    <s v="5"/>
    <s v="2"/>
    <s v="1 à 2 ans"/>
    <s v="Les deux"/>
    <s v="1"/>
    <s v="2 fois par an"/>
    <s v=""/>
    <s v="Poêle"/>
    <s v="2"/>
    <s v=""/>
    <s v="Chauffage de base"/>
    <s v="Pas de réponse"/>
  </r>
  <r>
    <s v="VRB0385"/>
    <n v="3"/>
    <n v="7"/>
    <n v="9"/>
    <s v="65 ans et plus"/>
    <n v="1"/>
    <x v="3"/>
    <n v="1"/>
    <n v="80"/>
    <s v="1949-1975"/>
    <s v="6"/>
    <s v="Pas de réponse"/>
    <x v="0"/>
    <s v="Cuisinière"/>
    <x v="0"/>
    <s v="Tous les jours"/>
    <s v="1; 2; 3; 4; 5"/>
    <s v="Avant 1990"/>
    <s v="Bois bûche"/>
    <s v=""/>
    <s v="6"/>
    <s v="stère"/>
    <s v="2"/>
    <s v=""/>
    <s v="1"/>
    <s v="2"/>
    <s v="1 à 2 ans"/>
    <s v="Les deux"/>
    <s v="2"/>
    <s v="1 fois par an"/>
    <s v=""/>
    <s v="Poêle"/>
    <s v="2"/>
    <s v=""/>
    <s v="Chauffage de base"/>
    <s v="Pas de réponse"/>
  </r>
  <r>
    <s v="VRB0386"/>
    <n v="3"/>
    <n v="7"/>
    <n v="7"/>
    <s v="65 ans et plus"/>
    <n v="2"/>
    <x v="6"/>
    <n v="1"/>
    <n v="120"/>
    <s v="1975-1990"/>
    <s v="1"/>
    <s v="Pas de réponse"/>
    <x v="0"/>
    <s v="Pas de réponse"/>
    <x v="0"/>
    <s v="Tous les jours"/>
    <s v="4; 5"/>
    <s v="Avant 1990"/>
    <s v="Bois bûche"/>
    <s v=""/>
    <s v="10"/>
    <s v="M2"/>
    <s v="1"/>
    <s v=""/>
    <s v="6"/>
    <s v="2"/>
    <s v="1 à 2 ans"/>
    <s v="Feuillus"/>
    <s v="2"/>
    <s v="1 fois par an"/>
    <s v=""/>
    <s v="Poêle"/>
    <s v="2"/>
    <s v=""/>
    <s v="Chauffage de base"/>
    <s v="Pas de réponse"/>
  </r>
  <r>
    <s v="VRB0388"/>
    <n v="3"/>
    <n v="7"/>
    <n v="7"/>
    <s v="65 ans et plus"/>
    <n v="2"/>
    <x v="5"/>
    <n v="1"/>
    <n v="53"/>
    <s v="1975-1990"/>
    <s v="6"/>
    <s v="Pas de réponse"/>
    <x v="0"/>
    <s v="Foyer ouvert"/>
    <x v="1"/>
    <s v="Tous les jours"/>
    <s v="4"/>
    <s v="Avant 1990"/>
    <s v="Bois bûche"/>
    <s v=""/>
    <s v="~6"/>
    <s v="m3"/>
    <s v="1"/>
    <s v=""/>
    <s v="6"/>
    <s v="2"/>
    <s v="&gt; 2 ans"/>
    <s v="Feuillus"/>
    <s v="2"/>
    <s v="1 fois par an"/>
    <s v=""/>
    <s v="Poêle"/>
    <s v="1"/>
    <s v=""/>
    <s v="Chauffage d'appoint"/>
    <s v="Pas de réponse"/>
  </r>
  <r>
    <s v="VRB0390"/>
    <n v="3"/>
    <n v="7"/>
    <n v="7"/>
    <s v="65 ans et plus"/>
    <n v="2"/>
    <x v="6"/>
    <n v="1"/>
    <n v="140"/>
    <s v="1975-1990"/>
    <s v="1"/>
    <s v="Pas de réponse"/>
    <x v="0"/>
    <s v="Insert / foyer fermé"/>
    <x v="1"/>
    <s v="Tous les jours"/>
    <s v="3; 4; 6"/>
    <s v="Avant 1990"/>
    <s v="Bois bûche"/>
    <s v=""/>
    <s v="2/3"/>
    <s v="cm"/>
    <s v="2"/>
    <s v=""/>
    <s v="1"/>
    <s v="2"/>
    <s v="1 à 2 ans"/>
    <s v="Feuillus"/>
    <s v="2"/>
    <s v="1 fois par an"/>
    <s v=""/>
    <s v="Poêle"/>
    <s v="2"/>
    <s v=""/>
    <s v="Chauffage de base"/>
    <s v="Pas de réponse"/>
  </r>
  <r>
    <s v="VRB0391"/>
    <n v="3"/>
    <n v="7"/>
    <n v="3"/>
    <s v="50 à 64 ans"/>
    <n v="2"/>
    <x v="1"/>
    <n v="1"/>
    <n v="110"/>
    <s v="1990-2005"/>
    <s v="3"/>
    <s v="Ne sait pas"/>
    <x v="0"/>
    <s v="Insert / foyer fermé"/>
    <x v="1"/>
    <s v="3 à 4 jours/semaine"/>
    <s v="2; 3; 4; 6"/>
    <s v="1990-1995"/>
    <s v="Bois bûche"/>
    <s v=""/>
    <s v=""/>
    <s v=""/>
    <s v="1"/>
    <s v=""/>
    <s v="6"/>
    <s v="1; 2"/>
    <s v="1 à 2 ans"/>
    <s v="Feuillus"/>
    <s v="1"/>
    <s v="1 fois tous les 2 ans"/>
    <s v=""/>
    <s v="Poêle"/>
    <s v="2"/>
    <s v=""/>
    <s v="Chauffage de base"/>
    <s v="Pas de réponse"/>
  </r>
  <r>
    <s v="VRB0392"/>
    <n v="3"/>
    <n v="7"/>
    <n v="9"/>
    <s v="65 ans et plus"/>
    <n v="1"/>
    <x v="3"/>
    <n v="1"/>
    <n v="80"/>
    <s v="Avant 1949"/>
    <s v="1"/>
    <s v="Pas de réponse"/>
    <x v="0"/>
    <s v="Insert / foyer fermé"/>
    <x v="0"/>
    <s v="3 à 4 jours/semaine"/>
    <s v="2; 3; 4; 6"/>
    <s v="1996-2002"/>
    <s v="Bois de récupération, à préciser"/>
    <s v="Bois du jardin"/>
    <s v=""/>
    <s v=""/>
    <s v="1"/>
    <s v=""/>
    <s v="6"/>
    <s v="2"/>
    <s v="&gt; 2 ans"/>
    <s v="Les deux"/>
    <s v="2"/>
    <s v="1 fois par an"/>
    <s v=""/>
    <s v="Insert cheminée"/>
    <s v="1"/>
    <s v=""/>
    <s v="Chauffage de base"/>
    <s v="Pas de réponse"/>
  </r>
  <r>
    <s v="VRB0393"/>
    <n v="3"/>
    <n v="5"/>
    <n v="8"/>
    <s v="50 à 64 ans"/>
    <n v="2"/>
    <x v="7"/>
    <n v="1"/>
    <n v="140"/>
    <s v="1990-2005"/>
    <s v="1"/>
    <s v="D"/>
    <x v="0"/>
    <s v="Insert / foyer fermé"/>
    <x v="1"/>
    <s v="Tous les jours"/>
    <s v="2; 3; 6"/>
    <s v="1996-2002"/>
    <s v="Bois bûche"/>
    <s v=""/>
    <s v="6 a 7"/>
    <s v="stère"/>
    <s v="1; 2"/>
    <s v=""/>
    <s v="2"/>
    <s v="2"/>
    <s v="&gt; 2 ans"/>
    <s v="Feuillus"/>
    <s v="2"/>
    <s v="1 fois par an"/>
    <s v=""/>
    <s v="Insert cheminée"/>
    <s v="1"/>
    <s v=""/>
    <s v="Chauffage de base"/>
    <s v="Pas de réponse"/>
  </r>
  <r>
    <s v="VRB0394"/>
    <n v="3"/>
    <n v="7"/>
    <n v="7"/>
    <s v="65 ans et plus"/>
    <n v="2"/>
    <x v="6"/>
    <n v="1"/>
    <n v="80"/>
    <s v="1949-1975"/>
    <s v="4"/>
    <s v="Pas de réponse"/>
    <x v="0"/>
    <s v="Insert / foyer fermé"/>
    <x v="0"/>
    <s v="Tous les jours"/>
    <s v="4; 5"/>
    <s v="1990-1995"/>
    <s v="Bois bûche"/>
    <s v=""/>
    <s v="8"/>
    <s v=""/>
    <s v="1"/>
    <s v=""/>
    <s v="2"/>
    <s v="2"/>
    <s v="&gt; 2 ans"/>
    <s v="Feuillus"/>
    <s v="1"/>
    <s v="2 fois par an"/>
    <s v=""/>
    <s v="Poêle"/>
    <s v="2"/>
    <s v=""/>
    <s v="Chauffage de base"/>
    <s v="Tous les jours"/>
  </r>
  <r>
    <s v="VRB0395"/>
    <n v="3"/>
    <n v="3"/>
    <n v="3"/>
    <s v="35 à 49 ans"/>
    <n v="2"/>
    <x v="2"/>
    <n v="1"/>
    <n v="113"/>
    <s v="1975-1990"/>
    <s v="6"/>
    <s v="E"/>
    <x v="0"/>
    <s v="Insert / foyer fermé"/>
    <x v="0"/>
    <s v="Tous les jours"/>
    <s v="4"/>
    <s v="Avant 1990"/>
    <s v="Bois bûche"/>
    <s v=""/>
    <s v="10"/>
    <s v=""/>
    <s v="2"/>
    <s v=""/>
    <s v="3"/>
    <s v="1"/>
    <s v="1 à 2 ans"/>
    <s v="Les deux"/>
    <s v="2"/>
    <s v="1 fois par an"/>
    <s v=""/>
    <s v="Poêle"/>
    <s v="2"/>
    <s v=""/>
    <s v="Chauffage de base"/>
    <s v="Tous les jours"/>
  </r>
  <r>
    <s v="VRB0396"/>
    <n v="3"/>
    <n v="7"/>
    <n v="7"/>
    <s v="65 ans et plus"/>
    <n v="3"/>
    <x v="2"/>
    <n v="1"/>
    <n v="130"/>
    <s v="1990-2005"/>
    <s v="6"/>
    <s v="Pas de réponse"/>
    <x v="0"/>
    <s v="Foyer ouvert"/>
    <x v="1"/>
    <s v="Tous les jours"/>
    <s v="2; 6"/>
    <s v="1996-2002"/>
    <s v="Bois bûche"/>
    <s v=""/>
    <s v="5"/>
    <s v="stère"/>
    <s v="2"/>
    <s v=""/>
    <s v="2"/>
    <s v="2"/>
    <s v="1 à 2 ans"/>
    <s v="Feuillus"/>
    <s v="2"/>
    <s v="1 fois par an"/>
    <s v=""/>
    <s v="Poêle"/>
    <s v="1"/>
    <s v=""/>
    <s v="Chauffage d'appoint"/>
    <s v="Pas de réponse"/>
  </r>
  <r>
    <s v="VRB0397"/>
    <n v="3"/>
    <n v="7"/>
    <n v="7"/>
    <s v="65 ans et plus"/>
    <n v="2"/>
    <x v="3"/>
    <n v="1"/>
    <n v="73.760000000000005"/>
    <s v="1975-1990"/>
    <s v="6"/>
    <s v="Pas de réponse"/>
    <x v="0"/>
    <s v="Poêle"/>
    <x v="0"/>
    <s v="Tous les jours"/>
    <s v="3"/>
    <s v="1996-2002"/>
    <s v="Bois bûche"/>
    <s v=""/>
    <s v="0"/>
    <s v=""/>
    <s v="2"/>
    <s v=""/>
    <s v="5"/>
    <s v="2"/>
    <s v="&gt; 2 ans"/>
    <s v="Feuillus"/>
    <s v="2"/>
    <s v="1 fois par an"/>
    <s v=""/>
    <s v="Poêle"/>
    <s v="1"/>
    <s v=""/>
    <s v="Chauffage de base"/>
    <s v="Pas de réponse"/>
  </r>
  <r>
    <s v="VRB0398"/>
    <n v="3"/>
    <n v="7"/>
    <n v="3"/>
    <s v="50 à 64 ans"/>
    <n v="2"/>
    <x v="5"/>
    <n v="1"/>
    <n v="82"/>
    <s v="1949-1975"/>
    <s v="6"/>
    <s v="Pas de réponse"/>
    <x v="0"/>
    <s v="Poêle"/>
    <x v="0"/>
    <s v="Tous les jours"/>
    <s v="1; 2; 4"/>
    <s v="Avant 1990"/>
    <s v="Bois bûche"/>
    <s v="planches palettes pour le démarrage"/>
    <s v="15"/>
    <s v="stère"/>
    <s v="2"/>
    <s v=""/>
    <s v="5"/>
    <s v="2"/>
    <s v="1 à 2 ans"/>
    <s v="Feuillus"/>
    <s v="1"/>
    <s v="1 fois par an"/>
    <s v=""/>
    <s v="Poêle"/>
    <s v="2"/>
    <s v=""/>
    <s v="Chauffage de base"/>
    <s v="Pas de réponse"/>
  </r>
  <r>
    <s v="VRB0399"/>
    <n v="3"/>
    <n v="3"/>
    <n v="8"/>
    <s v="25 à 34 ans"/>
    <n v="5"/>
    <x v="5"/>
    <n v="1"/>
    <n v="150"/>
    <s v="1949-1975"/>
    <s v="4"/>
    <s v="Pas de réponse"/>
    <x v="0"/>
    <s v="Poêle"/>
    <x v="1"/>
    <s v="3 à 4 jours/semaine"/>
    <s v="2; 6"/>
    <s v="Avant 1990"/>
    <s v="Bois bûche"/>
    <s v=""/>
    <s v="1,6"/>
    <s v="m3"/>
    <s v="2"/>
    <s v=""/>
    <s v="5"/>
    <s v="2"/>
    <s v="1 à 2 ans"/>
    <s v="Les deux"/>
    <s v="2"/>
    <s v="1 fois par an"/>
    <s v=""/>
    <s v="Poêle"/>
    <s v="1"/>
    <s v=""/>
    <s v="Chauffage d'appoint"/>
    <s v="Pas de réponse"/>
  </r>
  <r>
    <s v="VRB0400"/>
    <n v="3"/>
    <n v="7"/>
    <n v="3"/>
    <s v="65 ans et plus"/>
    <n v="2"/>
    <x v="7"/>
    <n v="1"/>
    <n v="130"/>
    <s v="Avant 1949"/>
    <s v="4"/>
    <s v="Pas de réponse"/>
    <x v="0"/>
    <s v="Insert / foyer fermé"/>
    <x v="1"/>
    <s v="Tous les jours"/>
    <s v="2"/>
    <s v="Avant 1990"/>
    <s v="Bois bûche"/>
    <s v=""/>
    <s v="4"/>
    <s v="stères"/>
    <s v="2"/>
    <s v=""/>
    <s v="5"/>
    <s v="2"/>
    <s v="&gt; 2 ans"/>
    <s v="Feuillus"/>
    <s v="2"/>
    <s v="1 fois par an"/>
    <s v=""/>
    <s v="Pas de réponse"/>
    <s v="2"/>
    <s v=""/>
    <s v="Chauffage de base"/>
    <s v="Pas de réponse"/>
  </r>
  <r>
    <s v="VRB0401"/>
    <n v="3"/>
    <n v="7"/>
    <n v="7"/>
    <s v="65 ans et plus"/>
    <n v="2"/>
    <x v="5"/>
    <n v="1"/>
    <n v="70"/>
    <s v="1975-1990"/>
    <s v="6"/>
    <s v="Pas de réponse"/>
    <x v="0"/>
    <s v="Foyer ouvert"/>
    <x v="2"/>
    <s v="1 à 3 jours/mois"/>
    <s v="2; 6"/>
    <s v="Avant 1990"/>
    <s v="Bois bûche"/>
    <s v=""/>
    <s v="1,40"/>
    <s v="m3"/>
    <s v="2"/>
    <s v=""/>
    <s v="1"/>
    <s v="2"/>
    <s v="&lt; 1 an"/>
    <s v="Feuillus"/>
    <s v="1"/>
    <s v="1 fois par an"/>
    <s v=""/>
    <s v="Poêle"/>
    <s v="2"/>
    <s v=""/>
    <s v="Chauffage de base"/>
    <s v="Pas de réponse"/>
  </r>
  <r>
    <s v="VRB0402"/>
    <n v="3"/>
    <n v="2"/>
    <n v="9"/>
    <s v="50 à 64 ans"/>
    <n v="1"/>
    <x v="3"/>
    <n v="2"/>
    <n v="80"/>
    <s v="Avant 1949"/>
    <s v="1; 4"/>
    <s v="Pas de réponse"/>
    <x v="0"/>
    <s v="Insert / foyer fermé"/>
    <x v="0"/>
    <s v="Tous les jours"/>
    <s v="2"/>
    <s v="1996-2002"/>
    <s v="Bois bûche"/>
    <s v=""/>
    <s v="4"/>
    <s v="stères"/>
    <s v="2"/>
    <s v=""/>
    <s v="2"/>
    <s v="2"/>
    <s v="1 à 2 ans"/>
    <s v="Les deux"/>
    <s v="2"/>
    <s v="1 fois par an"/>
    <s v=""/>
    <s v="Poêle"/>
    <s v="2"/>
    <s v=""/>
    <s v="Chauffage de base"/>
    <s v="Pas de réponse"/>
  </r>
  <r>
    <s v="VRB0403"/>
    <n v="3"/>
    <n v="5"/>
    <n v="5"/>
    <s v="35 à 49 ans"/>
    <n v="3"/>
    <x v="2"/>
    <n v="1"/>
    <n v="130"/>
    <s v="Avant 1949"/>
    <s v="4"/>
    <s v="Pas de réponse"/>
    <x v="0"/>
    <s v="Insert / foyer fermé"/>
    <x v="2"/>
    <s v="1 à 2 jours/semaine"/>
    <s v="2; 6"/>
    <s v="Pas de réponse"/>
    <s v="Bois bûche"/>
    <s v=""/>
    <s v="4"/>
    <s v="stères"/>
    <s v="2"/>
    <s v=""/>
    <s v="3"/>
    <s v="2"/>
    <s v="1 à 2 ans"/>
    <s v="Les deux"/>
    <s v="2"/>
    <s v="1 fois par an"/>
    <s v=""/>
    <s v="Insert cheminée"/>
    <s v="1"/>
    <s v=""/>
    <s v="Chauffage d'appoint"/>
    <s v="Pas de réponse"/>
  </r>
  <r>
    <s v="VRB0405"/>
    <n v="3"/>
    <n v="8"/>
    <n v="9"/>
    <s v="35 à 49 ans"/>
    <n v="1"/>
    <x v="3"/>
    <n v="1"/>
    <n v="140"/>
    <s v="Avant 1949"/>
    <s v="1; 3"/>
    <s v="Pas de réponse"/>
    <x v="0"/>
    <s v="Poêle"/>
    <x v="0"/>
    <s v="Tous les jours"/>
    <s v="6"/>
    <s v="Avant 1990"/>
    <s v="Bois bûche"/>
    <s v=""/>
    <s v="4"/>
    <s v="stères"/>
    <s v="3"/>
    <s v=""/>
    <s v="5"/>
    <s v="1; 3"/>
    <s v="&lt; 1 an"/>
    <s v="Les deux"/>
    <s v="1"/>
    <s v="2 fois par an"/>
    <s v=""/>
    <s v="Poêle"/>
    <s v="2"/>
    <s v=""/>
    <s v="Chauffage de base"/>
    <s v="Pas de réponse"/>
  </r>
  <r>
    <s v="VRB0406"/>
    <n v="3"/>
    <n v="7"/>
    <n v="7"/>
    <s v="65 ans et plus"/>
    <n v="2"/>
    <x v="3"/>
    <n v="1"/>
    <n v="45"/>
    <s v="Avant 1949"/>
    <s v="6"/>
    <s v="Pas de réponse"/>
    <x v="0"/>
    <s v="Insert / foyer fermé"/>
    <x v="0"/>
    <s v="Tous les jours"/>
    <s v="1; 2; 3; 4; 5; 6"/>
    <s v="1996-2002"/>
    <s v="Bois bûche"/>
    <s v=""/>
    <s v="6"/>
    <s v="stères"/>
    <s v="1"/>
    <s v=""/>
    <s v="1"/>
    <s v="2"/>
    <s v="1 à 2 ans"/>
    <s v="Les deux"/>
    <s v="1"/>
    <s v="1 fois par an"/>
    <s v=""/>
    <s v="Poêle"/>
    <s v="1"/>
    <s v=""/>
    <s v="Chauffage de base"/>
    <s v="Pas de réponse"/>
  </r>
  <r>
    <s v="VRB0407"/>
    <n v="3"/>
    <n v="7"/>
    <n v="9"/>
    <s v="65 ans et plus"/>
    <n v="1"/>
    <x v="3"/>
    <n v="1"/>
    <n v="150"/>
    <s v="1975-1990"/>
    <s v="4"/>
    <s v="Pas de réponse"/>
    <x v="0"/>
    <s v="Insert / foyer fermé"/>
    <x v="0"/>
    <s v="Tous les jours"/>
    <s v="1; 4; 5"/>
    <s v="Avant 1990"/>
    <s v="Bois bûche"/>
    <s v=""/>
    <s v="6"/>
    <s v="stères"/>
    <s v="2"/>
    <s v=""/>
    <s v="2"/>
    <s v="2"/>
    <s v="&gt; 2 ans"/>
    <s v="Feuillus"/>
    <s v="1"/>
    <s v="2 fois par an"/>
    <s v=""/>
    <s v="Poêle"/>
    <s v="2"/>
    <s v=""/>
    <s v="Chauffage de base"/>
    <s v="Pas de réponse"/>
  </r>
  <r>
    <s v="VRB0408"/>
    <n v="3"/>
    <n v="5"/>
    <n v="3"/>
    <s v="35 à 49 ans"/>
    <n v="5"/>
    <x v="7"/>
    <n v="1"/>
    <n v="128"/>
    <s v="1975-1990"/>
    <s v="4"/>
    <s v="Pas de réponse"/>
    <x v="0"/>
    <s v="Insert / foyer fermé"/>
    <x v="0"/>
    <s v="Tous les jours"/>
    <s v="4"/>
    <s v="1996-2002"/>
    <s v="Bois bûche"/>
    <s v=""/>
    <s v="4,8"/>
    <s v="m3"/>
    <s v="2"/>
    <s v=""/>
    <s v="1"/>
    <s v="2"/>
    <s v="1 à 2 ans"/>
    <s v="Pas de réponse"/>
    <s v="1"/>
    <s v="1 fois par an"/>
    <s v=""/>
    <s v="Poêle"/>
    <s v="2"/>
    <s v=""/>
    <s v="Chauffage de base"/>
    <s v="Pas de réponse"/>
  </r>
  <r>
    <s v="VRB0409"/>
    <n v="3"/>
    <n v="7"/>
    <n v="7"/>
    <s v="65 ans et plus"/>
    <n v="2"/>
    <x v="1"/>
    <n v="1"/>
    <n v="357"/>
    <s v="1975-1990"/>
    <s v="6"/>
    <s v="Pas de réponse"/>
    <x v="0"/>
    <s v="Foyer ouvert"/>
    <x v="0"/>
    <s v="Tous les jours"/>
    <s v="1; 2; 3; 4; 5; 6"/>
    <s v="Avant 1990"/>
    <s v="Bois bûche"/>
    <s v=""/>
    <s v="15"/>
    <s v="stère"/>
    <s v="1"/>
    <s v=""/>
    <s v="6"/>
    <s v="2"/>
    <s v="1 à 2 ans"/>
    <s v="Feuillus"/>
    <s v="2"/>
    <s v="1 fois par an"/>
    <s v=""/>
    <s v="Insert cheminée"/>
    <s v="1"/>
    <s v=""/>
    <s v="Chauffage de base"/>
    <s v="Pas de réponse"/>
  </r>
  <r>
    <s v="VRB0410"/>
    <n v="3"/>
    <n v="2"/>
    <n v="9"/>
    <s v="50 à 64 ans"/>
    <n v="1"/>
    <x v="1"/>
    <n v="1"/>
    <n v="140"/>
    <s v="1949-1975"/>
    <s v="1"/>
    <s v="Pas de réponse"/>
    <x v="0"/>
    <s v="Insert / foyer fermé"/>
    <x v="0"/>
    <s v="Tous les jours"/>
    <s v="4; 5"/>
    <s v="1996-2002"/>
    <s v="Bois bûche"/>
    <s v=""/>
    <s v="8"/>
    <s v="stères"/>
    <s v="1"/>
    <s v=""/>
    <s v="5"/>
    <s v="2"/>
    <s v="&gt; 2 ans"/>
    <s v="Les deux"/>
    <s v="1"/>
    <s v="2 fois par an"/>
    <s v=""/>
    <s v="Insert cheminée"/>
    <s v="1"/>
    <s v=""/>
    <s v="Chauffage de base"/>
    <s v="Pas de réponse"/>
  </r>
  <r>
    <s v="VRB0411"/>
    <n v="3"/>
    <n v="5"/>
    <n v="8"/>
    <s v="50 à 64 ans"/>
    <n v="2"/>
    <x v="2"/>
    <n v="1"/>
    <n v="140"/>
    <s v="1990-2005"/>
    <s v="6"/>
    <s v="Pas de réponse"/>
    <x v="0"/>
    <s v="Poêle"/>
    <x v="0"/>
    <s v="Tous les jours"/>
    <s v="1; 2; 3; 4; 5; 6"/>
    <s v="1996-2002"/>
    <s v="Bois bûche"/>
    <s v=""/>
    <s v="8"/>
    <s v="stère"/>
    <s v="2"/>
    <s v=""/>
    <s v="1"/>
    <s v="2"/>
    <s v="1 à 2 ans"/>
    <s v="Feuillus"/>
    <s v="1"/>
    <s v="2 fois par an"/>
    <s v=""/>
    <s v="Poêle"/>
    <s v="2"/>
    <s v=""/>
    <s v="Chauffage de base"/>
    <s v="Pas de réponse"/>
  </r>
  <r>
    <s v="VRB0412"/>
    <n v="3"/>
    <n v="5"/>
    <n v="8"/>
    <s v="50 à 64 ans"/>
    <n v="2"/>
    <x v="8"/>
    <n v="1"/>
    <n v="90"/>
    <s v="1990-2005"/>
    <s v="6"/>
    <s v="Pas de réponse"/>
    <x v="0"/>
    <s v="Foyer ouvert"/>
    <x v="1"/>
    <s v="Tous les jours"/>
    <s v="2; 3; 6"/>
    <s v="Avant 1990"/>
    <s v="Bois bûche"/>
    <s v=""/>
    <s v="4"/>
    <s v="stère"/>
    <s v="2"/>
    <s v=""/>
    <s v="2"/>
    <s v="3"/>
    <s v="1 à 2 ans"/>
    <s v="Feuillus"/>
    <s v="2"/>
    <s v="1 fois par an"/>
    <s v=""/>
    <s v="Poêle"/>
    <s v="2"/>
    <s v=""/>
    <s v="Chauffage de base"/>
    <s v="Pas de réponse"/>
  </r>
  <r>
    <s v="VRB0413"/>
    <n v="3"/>
    <n v="3"/>
    <n v="9"/>
    <s v="50 à 64 ans"/>
    <n v="1"/>
    <x v="5"/>
    <n v="1"/>
    <n v="90"/>
    <s v="1975-1990"/>
    <s v="4"/>
    <s v="Pas de réponse"/>
    <x v="0"/>
    <s v="Foyer ouvert"/>
    <x v="1"/>
    <s v="1 à 3 jours/mois"/>
    <s v="2"/>
    <s v="Avant 1990"/>
    <s v="Bois bûche"/>
    <s v=""/>
    <s v="1/3"/>
    <s v="stère"/>
    <s v="2"/>
    <s v=""/>
    <s v="5"/>
    <s v="2"/>
    <s v="1 à 2 ans"/>
    <s v="Les deux"/>
    <s v="2"/>
    <s v="1 fois tous les 2 ans"/>
    <s v=""/>
    <s v="Poêle"/>
    <s v="1"/>
    <s v=""/>
    <s v="Chauffage d'appoint"/>
    <s v="Pas de réponse"/>
  </r>
  <r>
    <s v="VRB0414"/>
    <n v="3"/>
    <n v="7"/>
    <n v="7"/>
    <s v="65 ans et plus"/>
    <n v="2"/>
    <x v="6"/>
    <n v="1"/>
    <n v="100"/>
    <s v="1975-1990"/>
    <s v="6"/>
    <s v="Pas de réponse"/>
    <x v="0"/>
    <s v="Insert / foyer fermé"/>
    <x v="0"/>
    <s v="Tous les jours"/>
    <s v="1; 2; 3"/>
    <s v="1996-2002"/>
    <s v="Bois bûche"/>
    <s v=""/>
    <s v="6"/>
    <s v="stères"/>
    <s v="2"/>
    <s v=""/>
    <s v="1"/>
    <s v="2"/>
    <s v="1 à 2 ans"/>
    <s v="Feuillus"/>
    <s v="2"/>
    <s v="1 fois par an"/>
    <s v=""/>
    <s v="Poêle"/>
    <s v="2"/>
    <s v=""/>
    <s v="Chauffage de base"/>
    <s v="Pas de réponse"/>
  </r>
  <r>
    <s v="VRB0415"/>
    <n v="3"/>
    <n v="3"/>
    <n v="4"/>
    <s v="25 à 34 ans"/>
    <n v="2"/>
    <x v="5"/>
    <n v="1"/>
    <n v="80"/>
    <s v="1949-1975"/>
    <s v="4"/>
    <s v="G"/>
    <x v="0"/>
    <s v="Insert / foyer fermé"/>
    <x v="3"/>
    <s v="Pas de réponse"/>
    <s v="7"/>
    <s v="Avant 1990"/>
    <s v="Bois bûche"/>
    <s v=""/>
    <s v=""/>
    <s v=""/>
    <s v="5"/>
    <s v=""/>
    <s v="5"/>
    <s v="2"/>
    <s v="Pas de réponse"/>
    <s v="Pas de réponse"/>
    <s v="2"/>
    <s v="Pas de réponse"/>
    <s v=""/>
    <s v="Poêle"/>
    <s v="2"/>
    <s v=""/>
    <s v="Chauffage de base"/>
    <s v="Pas de réponse"/>
  </r>
  <r>
    <s v="VRB0417"/>
    <n v="3"/>
    <n v="5"/>
    <n v="3"/>
    <s v="35 à 49 ans"/>
    <n v="3"/>
    <x v="7"/>
    <n v="1"/>
    <n v="130"/>
    <s v="1990-2005"/>
    <s v="6"/>
    <s v="D"/>
    <x v="0"/>
    <s v="Insert / foyer fermé"/>
    <x v="1"/>
    <s v="Tous les jours"/>
    <s v="2; 3; 4; 6"/>
    <s v="1996-2002"/>
    <s v="Bois bûche"/>
    <s v=""/>
    <s v="8"/>
    <s v="stères"/>
    <s v="3; 4"/>
    <s v="entreprise spécialisée"/>
    <s v="5"/>
    <s v="2"/>
    <s v="&gt; 2 ans"/>
    <s v="Feuillus"/>
    <s v="2"/>
    <s v="1 fois par an"/>
    <s v=""/>
    <s v="Poêle"/>
    <s v="1"/>
    <s v=""/>
    <s v="Chauffage de base"/>
    <s v="Pas de réponse"/>
  </r>
  <r>
    <s v="VRB0418"/>
    <n v="3"/>
    <n v="7"/>
    <n v="7"/>
    <s v="65 ans et plus"/>
    <n v="2"/>
    <x v="8"/>
    <n v="1"/>
    <n v="100"/>
    <s v="1975-1990"/>
    <s v="6"/>
    <s v="Pas de réponse"/>
    <x v="0"/>
    <s v="Insert / foyer fermé"/>
    <x v="1"/>
    <s v="Tous les jours"/>
    <s v="4"/>
    <s v="1990-1995"/>
    <s v="Bois bûche"/>
    <s v=""/>
    <s v="2"/>
    <s v="stères"/>
    <s v="1"/>
    <s v=""/>
    <s v="2"/>
    <s v="2; 3"/>
    <s v="&gt; 2 ans"/>
    <s v="Feuillus"/>
    <s v="2"/>
    <s v="1 fois par an"/>
    <s v=""/>
    <s v="Poêle"/>
    <s v="2"/>
    <s v=""/>
    <s v="Chauffage de base"/>
    <s v="Pas de réponse"/>
  </r>
  <r>
    <s v="VRB0419"/>
    <n v="3"/>
    <n v="3"/>
    <n v="2"/>
    <s v="25 à 34 ans"/>
    <n v="2"/>
    <x v="5"/>
    <n v="1"/>
    <n v="90"/>
    <s v="1975-1990"/>
    <s v="3"/>
    <s v="Pas de réponse"/>
    <x v="0"/>
    <s v="Insert / foyer fermé"/>
    <x v="0"/>
    <s v="Tous les jours"/>
    <s v="2; 4"/>
    <s v="Avant 1990"/>
    <s v="Bois bûche"/>
    <s v=""/>
    <s v="2,4"/>
    <s v="m3"/>
    <s v="1"/>
    <s v=""/>
    <s v="5"/>
    <s v="2"/>
    <s v="&gt; 2 ans"/>
    <s v="Feuillus"/>
    <s v="2"/>
    <s v="1 fois par an"/>
    <s v=""/>
    <s v="Poêle"/>
    <s v="1"/>
    <s v=""/>
    <s v="Chauffage de base"/>
    <s v="Pas de réponse"/>
  </r>
  <r>
    <s v="VRB0420"/>
    <n v="3"/>
    <n v="7"/>
    <n v="8"/>
    <s v="65 ans et plus"/>
    <n v="2"/>
    <x v="1"/>
    <n v="1"/>
    <n v="160"/>
    <s v="1949-1975"/>
    <s v="4"/>
    <s v="Pas de réponse"/>
    <x v="0"/>
    <s v="Insert / foyer fermé"/>
    <x v="0"/>
    <s v="Tous les jours"/>
    <s v="4"/>
    <s v="1996-2002"/>
    <s v="Bois bûche"/>
    <s v=""/>
    <s v="5"/>
    <s v="stères"/>
    <s v="2"/>
    <s v=""/>
    <s v="1"/>
    <s v="2"/>
    <s v="&gt; 2 ans"/>
    <s v="Feuillus"/>
    <s v="2"/>
    <s v="1 fois par an"/>
    <s v=""/>
    <s v="Insert cheminée"/>
    <s v="1"/>
    <s v=""/>
    <s v="Plaisir/agrément"/>
    <s v="Pas de réponse"/>
  </r>
  <r>
    <s v="VRB0422"/>
    <n v="3"/>
    <n v="3"/>
    <n v="3"/>
    <s v="35 à 49 ans"/>
    <n v="4"/>
    <x v="3"/>
    <n v="1"/>
    <n v="90"/>
    <s v="1975-1990"/>
    <s v="4"/>
    <s v="Pas de réponse"/>
    <x v="0"/>
    <s v="Foyer ouvert"/>
    <x v="0"/>
    <s v="Tous les jours"/>
    <s v="1; 2; 4; 5"/>
    <s v="Avant 1990"/>
    <s v="Bois bûche"/>
    <s v=""/>
    <s v=""/>
    <s v=""/>
    <s v="1; 2"/>
    <s v=""/>
    <s v="2"/>
    <s v="2"/>
    <s v="&gt; 2 ans"/>
    <s v="Feuillus"/>
    <s v="2"/>
    <s v="2 fois par an"/>
    <s v=""/>
    <s v="Insert cheminée"/>
    <s v="1"/>
    <s v=""/>
    <s v="Chauffage de base"/>
    <s v="Pas de réponse"/>
  </r>
  <r>
    <s v="VRB0423"/>
    <n v="3"/>
    <n v="4"/>
    <n v="8"/>
    <s v="50 à 64 ans"/>
    <n v="2"/>
    <x v="6"/>
    <n v="1"/>
    <n v="110"/>
    <s v="1975-1990"/>
    <s v="4"/>
    <s v="Pas de réponse"/>
    <x v="0"/>
    <s v="Foyer ouvert"/>
    <x v="1"/>
    <s v="Jamais"/>
    <s v="7"/>
    <s v="Avant 1990"/>
    <s v="Bois bûche"/>
    <s v=""/>
    <s v=""/>
    <s v=""/>
    <s v="5"/>
    <s v=""/>
    <s v="6"/>
    <s v="4"/>
    <s v="Pas de réponse"/>
    <s v="Pas de réponse"/>
    <s v="3"/>
    <s v="Pas de réponse"/>
    <s v=""/>
    <s v="Poêle"/>
    <s v="1"/>
    <s v=""/>
    <s v="Chauffage d'appoint"/>
    <s v="Pas de réponse"/>
  </r>
  <r>
    <s v="VRB0424"/>
    <n v="3"/>
    <n v="5"/>
    <n v="7"/>
    <s v="50 à 64 ans"/>
    <n v="3"/>
    <x v="6"/>
    <n v="1"/>
    <n v="100"/>
    <s v="1975-1990"/>
    <s v="1; 2"/>
    <s v="Pas de réponse"/>
    <x v="0"/>
    <s v="Insert / foyer fermé"/>
    <x v="1"/>
    <s v="Tous les jours"/>
    <s v="2"/>
    <s v="1996-2002"/>
    <s v="Bois bûche"/>
    <s v=""/>
    <s v="6"/>
    <s v="stères"/>
    <s v="2"/>
    <s v=""/>
    <s v="1"/>
    <s v="2"/>
    <s v="1 à 2 ans"/>
    <s v="Feuillus"/>
    <s v="1"/>
    <s v="2 fois par an"/>
    <s v=""/>
    <s v="Poêle"/>
    <s v="1"/>
    <s v=""/>
    <s v="Chauffage d'appoint"/>
    <s v="Pas de réponse"/>
  </r>
  <r>
    <s v="VRB0425"/>
    <n v="3"/>
    <n v="4"/>
    <n v="3"/>
    <s v="50 à 64 ans"/>
    <n v="2"/>
    <x v="1"/>
    <n v="1"/>
    <n v="100"/>
    <s v="Avant 1949"/>
    <s v="4"/>
    <s v="Pas de réponse"/>
    <x v="0"/>
    <s v="Insert / foyer fermé"/>
    <x v="0"/>
    <s v="Tous les jours"/>
    <s v="1; 2"/>
    <s v="1990-1995"/>
    <s v="Bois bûche"/>
    <s v=""/>
    <s v="16"/>
    <s v="m3"/>
    <s v="5"/>
    <s v=""/>
    <s v="6"/>
    <s v="2"/>
    <s v="1 à 2 ans"/>
    <s v="Les deux"/>
    <s v="2"/>
    <s v="1 fois par an"/>
    <s v=""/>
    <s v="Poêle"/>
    <s v="2"/>
    <s v=""/>
    <s v="Chauffage de base"/>
    <s v="Pas de réponse"/>
  </r>
  <r>
    <s v="VRB0426"/>
    <n v="3"/>
    <n v="2"/>
    <n v="5"/>
    <s v="50 à 64 ans"/>
    <n v="4"/>
    <x v="8"/>
    <n v="1"/>
    <n v="140"/>
    <s v="1990-2005"/>
    <s v="6"/>
    <s v="C"/>
    <x v="0"/>
    <s v="Poêle"/>
    <x v="1"/>
    <s v="3 à 4 jours/semaine"/>
    <s v="2; 3; 6"/>
    <s v="1996-2002"/>
    <s v="Bois bûche"/>
    <s v="Coupe d'arbres"/>
    <s v="2 à 3"/>
    <s v="stères"/>
    <s v="2"/>
    <s v=""/>
    <s v="5"/>
    <s v="2"/>
    <s v="&gt; 2 ans"/>
    <s v="Feuillus"/>
    <s v="2"/>
    <s v="1 fois par an"/>
    <s v=""/>
    <s v="Insert cheminée"/>
    <s v="1"/>
    <s v=""/>
    <s v="Chauffage d'appoint"/>
    <s v="Pas de réponse"/>
  </r>
  <r>
    <s v="VRB0427"/>
    <n v="3"/>
    <n v="6"/>
    <n v="8"/>
    <s v="35 à 49 ans"/>
    <n v="3"/>
    <x v="3"/>
    <n v="1"/>
    <n v="60"/>
    <s v="1975-1990"/>
    <s v="6"/>
    <s v="Pas de réponse"/>
    <x v="0"/>
    <s v="Foyer ouvert"/>
    <x v="1"/>
    <s v="Moins de 15 fois par an"/>
    <s v="2"/>
    <s v="Avant 1990"/>
    <s v="Bois bûche"/>
    <s v=""/>
    <s v=""/>
    <s v=""/>
    <s v="1"/>
    <s v=""/>
    <s v="5"/>
    <s v="2"/>
    <s v="1 à 2 ans"/>
    <s v="Feuillus"/>
    <s v="1"/>
    <s v="1 fois par an"/>
    <s v=""/>
    <s v="Poêle"/>
    <s v="1"/>
    <s v=""/>
    <s v="Chauffage d'appoint"/>
    <s v="Pas de réponse"/>
  </r>
  <r>
    <s v="VRB0428"/>
    <n v="3"/>
    <n v="5"/>
    <n v="5"/>
    <s v="35 à 49 ans"/>
    <n v="4"/>
    <x v="2"/>
    <n v="1"/>
    <n v="100"/>
    <s v="1949-1975"/>
    <s v="4"/>
    <s v="Pas de réponse"/>
    <x v="0"/>
    <s v="Insert / foyer fermé"/>
    <x v="1"/>
    <s v="3 à 4 jours/semaine"/>
    <s v="2; 4; 5; 6"/>
    <s v="Avant 1990"/>
    <s v="Bois bûche"/>
    <s v=""/>
    <s v="4"/>
    <s v="m3"/>
    <s v="2"/>
    <s v=""/>
    <s v="5"/>
    <s v="2"/>
    <s v="&lt; 1 an"/>
    <s v="Feuillus"/>
    <s v="2"/>
    <s v="1 fois tous les 2 ans"/>
    <s v=""/>
    <s v="Poêle"/>
    <s v="2"/>
    <s v=""/>
    <s v="Chauffage d'appoint"/>
    <s v="Pas de réponse"/>
  </r>
  <r>
    <s v="VRB0429"/>
    <n v="3"/>
    <n v="7"/>
    <n v="9"/>
    <s v="65 ans et plus"/>
    <n v="1"/>
    <x v="3"/>
    <n v="1"/>
    <n v="60"/>
    <s v="Avant 1949"/>
    <s v="6"/>
    <s v="Pas de réponse"/>
    <x v="0"/>
    <s v="Cuisinière"/>
    <x v="1"/>
    <s v="Tous les jours"/>
    <s v="4"/>
    <s v="Avant 1990"/>
    <s v="Bois bûche"/>
    <s v=""/>
    <s v="8"/>
    <s v="stères"/>
    <s v="2"/>
    <s v=""/>
    <s v="5"/>
    <s v="2"/>
    <s v="1 à 2 ans"/>
    <s v="Les deux"/>
    <s v="2"/>
    <s v="2 fois par an"/>
    <s v=""/>
    <s v="Poêle"/>
    <s v="2"/>
    <s v=""/>
    <s v="Chauffage d'appoint"/>
    <s v="Pas de réponse"/>
  </r>
  <r>
    <s v="VRB0430"/>
    <n v="3"/>
    <n v="7"/>
    <n v="6"/>
    <s v="50 à 64 ans"/>
    <n v="2"/>
    <x v="7"/>
    <n v="3"/>
    <n v="100"/>
    <s v="Avant 1949"/>
    <s v="1"/>
    <s v="Ne sait pas"/>
    <x v="0"/>
    <s v="Insert / foyer fermé"/>
    <x v="0"/>
    <s v="Tous les jours"/>
    <s v="1; 2; 5"/>
    <s v="1996-2002"/>
    <s v="Bois bûche"/>
    <s v=""/>
    <s v="9 à 11"/>
    <s v="stère"/>
    <s v="2"/>
    <s v=""/>
    <s v="1"/>
    <s v="2"/>
    <s v="&gt; 2 ans"/>
    <s v="Feuillus"/>
    <s v="1"/>
    <s v="2 fois par an"/>
    <s v=""/>
    <s v="Poêle"/>
    <s v="2"/>
    <s v=""/>
    <s v="Chauffage de base"/>
    <s v="Pas de réponse"/>
  </r>
  <r>
    <s v="VRB0431"/>
    <n v="3"/>
    <n v="3"/>
    <n v="3"/>
    <s v="25 à 34 ans"/>
    <n v="2"/>
    <x v="3"/>
    <n v="1"/>
    <n v="130"/>
    <s v="Avant 1949"/>
    <s v="6"/>
    <s v="Pas de réponse"/>
    <x v="0"/>
    <s v="Cuisinière"/>
    <x v="0"/>
    <s v="Tous les jours"/>
    <s v="4; 5; 6"/>
    <s v="Avant 1990"/>
    <s v="Bois bûche"/>
    <s v=""/>
    <s v="10"/>
    <s v="stères"/>
    <s v="1"/>
    <s v=""/>
    <s v="3"/>
    <s v="2"/>
    <s v="1 à 2 ans"/>
    <s v="Les deux"/>
    <s v="2"/>
    <s v="1 fois par an"/>
    <s v=""/>
    <s v="Poêle"/>
    <s v="1"/>
    <s v=""/>
    <s v="Chauffage de base"/>
    <s v="Pas de réponse"/>
  </r>
  <r>
    <s v="VRB0432"/>
    <n v="3"/>
    <n v="3"/>
    <n v="9"/>
    <s v="35 à 49 ans"/>
    <n v="1"/>
    <x v="3"/>
    <n v="1"/>
    <n v="100"/>
    <s v="1990-2005"/>
    <s v="4"/>
    <s v="Pas de réponse"/>
    <x v="0"/>
    <s v="Insert / foyer fermé"/>
    <x v="1"/>
    <s v="1 à 2 jours/semaine"/>
    <s v="3; 4"/>
    <s v="1996-2002"/>
    <s v="Bois bûche"/>
    <s v=""/>
    <s v="0,7"/>
    <s v="m3"/>
    <s v="1"/>
    <s v=""/>
    <s v="5"/>
    <s v="2"/>
    <s v="&gt; 2 ans"/>
    <s v="Feuillus"/>
    <s v="2"/>
    <s v="1 fois par an"/>
    <s v=""/>
    <s v="Poêle"/>
    <s v="1"/>
    <s v=""/>
    <s v="Chauffage d'appoint"/>
    <s v="Pas de réponse"/>
  </r>
  <r>
    <s v="VRB0434"/>
    <n v="3"/>
    <n v="7"/>
    <n v="7"/>
    <s v="65 ans et plus"/>
    <n v="2"/>
    <x v="5"/>
    <n v="1"/>
    <n v="64"/>
    <s v="1975-1990"/>
    <s v="6"/>
    <s v="Pas de réponse"/>
    <x v="0"/>
    <s v="Insert / foyer fermé"/>
    <x v="0"/>
    <s v="Tous les jours"/>
    <s v="4"/>
    <s v="Avant 1990"/>
    <s v="Bois bûche"/>
    <s v=""/>
    <s v="5"/>
    <s v="stère"/>
    <s v="2"/>
    <s v=""/>
    <s v="1"/>
    <s v="2"/>
    <s v="&lt; 1 an"/>
    <s v="Les deux"/>
    <s v="2"/>
    <s v="1 fois par an"/>
    <s v=""/>
    <s v="Poêle"/>
    <s v="1"/>
    <s v=""/>
    <s v="Chauffage de base"/>
    <s v="Pas de réponse"/>
  </r>
  <r>
    <s v="VRB0436"/>
    <n v="3"/>
    <n v="7"/>
    <n v="9"/>
    <s v="65 ans et plus"/>
    <n v="1"/>
    <x v="5"/>
    <n v="1"/>
    <n v="113"/>
    <s v="1975-1990"/>
    <s v="6"/>
    <s v="D"/>
    <x v="0"/>
    <s v="Insert / foyer fermé"/>
    <x v="1"/>
    <s v="Jamais"/>
    <s v="7"/>
    <s v="Avant 1990"/>
    <s v="Bois bûche"/>
    <s v=""/>
    <s v="0"/>
    <s v=""/>
    <s v="5"/>
    <s v=""/>
    <s v="6"/>
    <s v="4"/>
    <s v="Pas de réponse"/>
    <s v="Pas de réponse"/>
    <s v="3"/>
    <s v="Pas de réponse"/>
    <s v="Non utilisé actuellement car trop compliqué"/>
    <s v="Poêle"/>
    <s v="2"/>
    <s v=""/>
    <s v="Chauffage d'appoint"/>
    <s v="Pas de réponse"/>
  </r>
  <r>
    <s v="VRB0437"/>
    <n v="3"/>
    <n v="3"/>
    <n v="3"/>
    <s v="25 à 34 ans"/>
    <n v="3"/>
    <x v="6"/>
    <n v="1"/>
    <n v="120"/>
    <s v="1990-2005"/>
    <s v="1"/>
    <s v="D"/>
    <x v="0"/>
    <s v="Insert / foyer fermé"/>
    <x v="0"/>
    <s v="Tous les jours"/>
    <s v="2"/>
    <s v="1996-2002"/>
    <s v="Bois bûche"/>
    <s v=""/>
    <s v="10"/>
    <s v="stère"/>
    <s v="2"/>
    <s v=""/>
    <s v="2"/>
    <s v="2"/>
    <s v="&gt; 2 ans"/>
    <s v="Feuillus"/>
    <s v="2"/>
    <s v="2 fois par an"/>
    <s v=""/>
    <s v="Poêle"/>
    <s v="1"/>
    <s v=""/>
    <s v="Chauffage de base"/>
    <s v="Pas de réponse"/>
  </r>
  <r>
    <s v="VRB0438"/>
    <n v="3"/>
    <n v="7"/>
    <n v="7"/>
    <s v="65 ans et plus"/>
    <n v="3"/>
    <x v="6"/>
    <n v="1"/>
    <n v="140"/>
    <s v="Avant 1949"/>
    <s v="2; 4"/>
    <s v="Ne sait pas"/>
    <x v="0"/>
    <s v="Chaudière"/>
    <x v="0"/>
    <s v="Tous les jours"/>
    <s v="4"/>
    <s v="1990-1995"/>
    <s v="Bois bûche"/>
    <s v=""/>
    <s v="20 à 25"/>
    <s v="stère"/>
    <s v="1"/>
    <s v=""/>
    <s v="2"/>
    <s v="1"/>
    <s v="&gt; 2 ans"/>
    <s v="Feuillus"/>
    <s v="1"/>
    <s v="1 fois par an"/>
    <s v=""/>
    <s v="Chaudière"/>
    <s v="2"/>
    <s v=""/>
    <s v="Chauffage de base"/>
    <s v="Pas de réponse"/>
  </r>
  <r>
    <s v="VRB0439"/>
    <n v="3"/>
    <n v="3"/>
    <n v="3"/>
    <s v="35 à 49 ans"/>
    <n v="4"/>
    <x v="2"/>
    <n v="1"/>
    <n v="150"/>
    <s v="1975-1990"/>
    <s v="6"/>
    <s v="F"/>
    <x v="0"/>
    <s v="Insert / foyer fermé"/>
    <x v="1"/>
    <s v="3 à 4 jours/semaine"/>
    <s v="2; 4; 6"/>
    <s v="Avant 1990"/>
    <s v="Bois bûche"/>
    <s v=""/>
    <s v="6"/>
    <s v="stère"/>
    <s v="2"/>
    <s v=""/>
    <s v="5"/>
    <s v="2"/>
    <s v="&lt; 1 an"/>
    <s v="Résineux"/>
    <s v="2"/>
    <s v="2 fois par an"/>
    <s v=""/>
    <s v="Poêle"/>
    <s v="2"/>
    <s v=""/>
    <s v="Chauffage de base"/>
    <s v="Pas de réponse"/>
  </r>
  <r>
    <s v="VRB0440"/>
    <n v="3"/>
    <n v="3"/>
    <n v="3"/>
    <s v="50 à 64 ans"/>
    <n v="4"/>
    <x v="1"/>
    <n v="1"/>
    <n v="140"/>
    <s v="Avant 1949"/>
    <s v="4"/>
    <s v="Pas de réponse"/>
    <x v="0"/>
    <s v="Poêle"/>
    <x v="1"/>
    <s v="1 à 2 jours/semaine"/>
    <s v="3; 6"/>
    <s v="Pas de réponse"/>
    <s v="Bois bûche"/>
    <s v=""/>
    <s v="4"/>
    <s v="stère"/>
    <s v="2"/>
    <s v=""/>
    <s v="5"/>
    <s v="2"/>
    <s v="&gt; 2 ans"/>
    <s v="Les deux"/>
    <s v="1"/>
    <s v="1 fois par an"/>
    <s v=""/>
    <s v="Poêle"/>
    <s v="2"/>
    <s v=""/>
    <s v="Chauffage d'appoint"/>
    <s v="Pas de réponse"/>
  </r>
  <r>
    <s v="VRB0441"/>
    <n v="3"/>
    <n v="7"/>
    <n v="9"/>
    <s v="65 ans et plus"/>
    <n v="1"/>
    <x v="5"/>
    <n v="1"/>
    <n v="84"/>
    <s v="1975-1990"/>
    <s v="6"/>
    <s v="Pas de réponse"/>
    <x v="0"/>
    <s v="Insert / foyer fermé"/>
    <x v="0"/>
    <s v="Tous les jours"/>
    <s v="1; 2; 4; 5"/>
    <s v="Avant 1990"/>
    <s v="Bois bûche"/>
    <s v=""/>
    <s v="5 - 7"/>
    <s v="stère"/>
    <s v="2"/>
    <s v=""/>
    <s v="3"/>
    <s v="2"/>
    <s v="&gt; 2 ans"/>
    <s v="Feuillus"/>
    <s v="2"/>
    <s v="1 fois par an"/>
    <s v=""/>
    <s v="Poêle"/>
    <s v="1"/>
    <s v=""/>
    <s v="Chauffage de base"/>
    <s v="Pas de réponse"/>
  </r>
  <r>
    <s v="VRB0442"/>
    <n v="3"/>
    <n v="3"/>
    <n v="3"/>
    <s v="35 à 49 ans"/>
    <n v="4"/>
    <x v="6"/>
    <n v="2"/>
    <n v="120"/>
    <s v="Avant 1949"/>
    <s v="2"/>
    <s v="F"/>
    <x v="0"/>
    <s v="Poêle"/>
    <x v="0"/>
    <s v="Moins de 15 fois par an"/>
    <s v="1; 2"/>
    <s v="1996-2002"/>
    <s v="Bois bûche"/>
    <s v=""/>
    <s v=""/>
    <s v=""/>
    <s v="2"/>
    <s v=""/>
    <s v="5"/>
    <s v="1"/>
    <s v="&lt; 1 an"/>
    <s v="Les deux"/>
    <s v="2"/>
    <s v="2 fois par an"/>
    <s v=""/>
    <s v="Poêle"/>
    <s v="1"/>
    <s v=""/>
    <s v="Chauffage de base"/>
    <s v="Pas de réponse"/>
  </r>
  <r>
    <s v="VRB0443"/>
    <n v="3"/>
    <n v="7"/>
    <n v="9"/>
    <s v="65 ans et plus"/>
    <n v="1"/>
    <x v="3"/>
    <n v="1"/>
    <n v="100"/>
    <s v="Avant 1949"/>
    <s v="6"/>
    <s v="Pas de réponse"/>
    <x v="0"/>
    <s v="Poêle"/>
    <x v="0"/>
    <s v="Tous les jours"/>
    <s v="4"/>
    <s v="Avant 1990"/>
    <s v="Bois bûche"/>
    <s v=""/>
    <s v="3"/>
    <s v="stères"/>
    <s v="3"/>
    <s v=""/>
    <s v="5"/>
    <s v="2"/>
    <s v="&lt; 1 an"/>
    <s v="Feuillus"/>
    <s v="2"/>
    <s v="1 fois par an"/>
    <s v=""/>
    <s v="Poêle"/>
    <s v="2"/>
    <s v=""/>
    <s v="Chauffage de base"/>
    <s v="Pas de réponse"/>
  </r>
  <r>
    <s v="VRB0444"/>
    <n v="3"/>
    <n v="6"/>
    <n v="9"/>
    <s v="50 à 64 ans"/>
    <n v="2"/>
    <x v="1"/>
    <n v="1"/>
    <n v="100"/>
    <s v="1990-2005"/>
    <s v="4"/>
    <s v="Pas de réponse"/>
    <x v="0"/>
    <s v="Insert / foyer fermé"/>
    <x v="0"/>
    <s v="Tous les jours"/>
    <s v="4"/>
    <s v="1990-1995"/>
    <s v="Bois bûche"/>
    <s v=""/>
    <s v="10"/>
    <s v="stère"/>
    <s v="2"/>
    <s v=""/>
    <s v="1; 2"/>
    <s v="2"/>
    <s v="&gt; 2 ans"/>
    <s v="Feuillus"/>
    <s v="2"/>
    <s v="Pas de réponse"/>
    <s v=""/>
    <s v="Poêle"/>
    <s v="1"/>
    <s v=""/>
    <s v="Chauffage d'appoint"/>
    <s v="Pas de réponse"/>
  </r>
  <r>
    <s v="VRB0445"/>
    <n v="3"/>
    <n v="5"/>
    <n v="9"/>
    <s v="50 à 64 ans"/>
    <n v="2"/>
    <x v="7"/>
    <n v="1"/>
    <n v="160"/>
    <s v="1975-1990"/>
    <s v="6"/>
    <s v="Pas de réponse"/>
    <x v="0"/>
    <s v="Insert / foyer fermé"/>
    <x v="1"/>
    <s v="Tous les jours"/>
    <s v="2; 5"/>
    <s v="1996-2002"/>
    <s v="Bois bûche"/>
    <s v=""/>
    <s v="6"/>
    <s v="stères"/>
    <s v="2"/>
    <s v=""/>
    <s v="2"/>
    <s v="2"/>
    <s v="&gt; 2 ans"/>
    <s v="Feuillus"/>
    <s v="1"/>
    <s v="2 fois par an"/>
    <s v="+ buches ramonage"/>
    <s v="Insert cheminée"/>
    <s v="1"/>
    <s v=""/>
    <s v="Chauffage d'appoint"/>
    <s v="Pas de réponse"/>
  </r>
  <r>
    <s v="VRB0446"/>
    <n v="3"/>
    <n v="7"/>
    <n v="7"/>
    <s v="65 ans et plus"/>
    <n v="2"/>
    <x v="7"/>
    <n v="1"/>
    <n v="140"/>
    <s v="1975-1990"/>
    <s v="2; 4"/>
    <s v="Pas de réponse"/>
    <x v="0"/>
    <s v="Foyer ouvert"/>
    <x v="1"/>
    <s v="Pas de réponse"/>
    <s v="2; 3"/>
    <s v="Avant 1990"/>
    <s v="Bois bûche"/>
    <s v=""/>
    <s v="2"/>
    <s v="stères"/>
    <s v="2"/>
    <s v=""/>
    <s v="5"/>
    <s v="2"/>
    <s v="&gt; 2 ans"/>
    <s v="Feuillus"/>
    <s v="1"/>
    <s v="1 fois par an"/>
    <s v=""/>
    <s v="Poêle"/>
    <s v="1"/>
    <s v=""/>
    <s v="Chauffage d'appoint"/>
    <s v="Pas de réponse"/>
  </r>
  <r>
    <s v="VRB0447"/>
    <n v="3"/>
    <n v="7"/>
    <n v="9"/>
    <s v="65 ans et plus"/>
    <n v="1"/>
    <x v="5"/>
    <n v="1"/>
    <n v="100"/>
    <s v="1975-1990"/>
    <s v="1"/>
    <s v="Pas de réponse"/>
    <x v="1"/>
    <s v="Insert / foyer fermé"/>
    <x v="0"/>
    <s v="Tous les jours"/>
    <s v="1; 2; 4"/>
    <s v="1990-1995"/>
    <s v="Bois bûche"/>
    <s v=""/>
    <s v="7"/>
    <s v="stères"/>
    <s v="1"/>
    <s v=""/>
    <s v="1"/>
    <s v="1; 2"/>
    <s v="1 à 2 ans"/>
    <s v="Les deux"/>
    <s v="2"/>
    <s v="1 fois par an"/>
    <s v=""/>
    <s v="Poêle"/>
    <s v="2"/>
    <s v=""/>
    <s v="Chauffage de base"/>
    <s v="Pas de réponse"/>
  </r>
  <r>
    <s v="VRB0449"/>
    <n v="3"/>
    <n v="7"/>
    <n v="9"/>
    <s v="65 ans et plus"/>
    <n v="1"/>
    <x v="3"/>
    <n v="1"/>
    <n v="112"/>
    <s v="1949-1975"/>
    <s v="1; 2; 4"/>
    <s v="Pas de réponse"/>
    <x v="0"/>
    <s v="Insert / foyer fermé"/>
    <x v="1"/>
    <s v="1 à 3 jours/mois"/>
    <s v="3; 6"/>
    <s v="Avant 1990"/>
    <s v="Bois bûche"/>
    <s v=""/>
    <s v="1"/>
    <s v="m3"/>
    <s v="1"/>
    <s v=""/>
    <s v="6"/>
    <s v="2"/>
    <s v="&gt; 2 ans"/>
    <s v="Feuillus"/>
    <s v="1"/>
    <s v="1 fois par an"/>
    <s v=""/>
    <s v="Poêle"/>
    <s v="1"/>
    <s v=""/>
    <s v="Chauffage d'appoint"/>
    <s v="Pas de réponse"/>
  </r>
  <r>
    <s v="VRB0450"/>
    <n v="3"/>
    <n v="3"/>
    <n v="3"/>
    <s v="25 à 34 ans"/>
    <n v="3"/>
    <x v="1"/>
    <n v="1"/>
    <n v="96"/>
    <s v="1975-1990"/>
    <s v="6"/>
    <s v="E"/>
    <x v="0"/>
    <s v="Poêle"/>
    <x v="0"/>
    <s v="Tous les jours"/>
    <s v="4; 5"/>
    <s v="Avant 1990"/>
    <s v="Bois bûche"/>
    <s v=""/>
    <s v="4"/>
    <s v="stères"/>
    <s v="2"/>
    <s v=""/>
    <s v="1"/>
    <s v="2"/>
    <s v="&lt; 1 an"/>
    <s v="Les deux"/>
    <s v="2"/>
    <s v="1 fois par an"/>
    <s v=""/>
    <s v="Poêle"/>
    <s v="1"/>
    <s v=""/>
    <s v="Chauffage de base"/>
    <s v="Pas de réponse"/>
  </r>
  <r>
    <s v="VRB0451"/>
    <n v="3"/>
    <n v="3"/>
    <n v="5"/>
    <s v="35 à 49 ans"/>
    <n v="3"/>
    <x v="6"/>
    <n v="1"/>
    <n v="120"/>
    <s v="Avant 1949"/>
    <s v="6"/>
    <s v="Pas de réponse"/>
    <x v="0"/>
    <s v="Foyer ouvert"/>
    <x v="0"/>
    <s v="Tous les jours"/>
    <s v="4; 5"/>
    <s v="1990-1995"/>
    <s v="Bois bûche"/>
    <s v=""/>
    <s v="8"/>
    <s v="stères"/>
    <s v="1; 2"/>
    <s v=""/>
    <s v="2"/>
    <s v="2"/>
    <s v="1 à 2 ans"/>
    <s v="Feuillus"/>
    <s v="2"/>
    <s v="1 fois par an"/>
    <s v=""/>
    <s v="Poêle"/>
    <s v="2"/>
    <s v=""/>
    <s v="Chauffage de base"/>
    <s v="Pas de réponse"/>
  </r>
  <r>
    <s v="VRB0452"/>
    <n v="3"/>
    <n v="5"/>
    <n v="5"/>
    <s v="35 à 49 ans"/>
    <n v="4"/>
    <x v="8"/>
    <n v="1"/>
    <n v="1"/>
    <s v="1975-1990"/>
    <s v="6"/>
    <s v="Pas de réponse"/>
    <x v="0"/>
    <s v="Insert / foyer fermé"/>
    <x v="1"/>
    <s v="1 à 2 jours/semaine"/>
    <s v="4"/>
    <s v="1990-1995"/>
    <s v="Bois bûche"/>
    <s v=""/>
    <s v=""/>
    <s v=""/>
    <s v="2"/>
    <s v=""/>
    <s v="5"/>
    <s v="2"/>
    <s v="&gt; 2 ans"/>
    <s v="Feuillus"/>
    <s v="2"/>
    <s v="1 fois par an"/>
    <s v=""/>
    <s v="Poêle"/>
    <s v="1"/>
    <s v=""/>
    <s v="Chauffage d'appoint"/>
    <s v="Pas de réponse"/>
  </r>
  <r>
    <s v="VRB0453"/>
    <n v="3"/>
    <n v="3"/>
    <n v="2"/>
    <s v="35 à 49 ans"/>
    <n v="4"/>
    <x v="2"/>
    <n v="1"/>
    <n v="130"/>
    <s v="1975-1990"/>
    <s v="6"/>
    <s v="Pas de réponse"/>
    <x v="0"/>
    <s v="Insert / foyer fermé"/>
    <x v="1"/>
    <s v="1 à 3 jours/mois"/>
    <s v="2; 6"/>
    <s v="Avant 1990"/>
    <s v="Bois bûche"/>
    <s v=""/>
    <s v="2"/>
    <s v="stères"/>
    <s v="2"/>
    <s v=""/>
    <s v="5"/>
    <s v="2"/>
    <s v="&lt; 1 an"/>
    <s v="Les deux"/>
    <s v="2"/>
    <s v="1 fois tous les 2 ans"/>
    <s v=""/>
    <s v="Poêle"/>
    <s v="2"/>
    <s v=""/>
    <s v="Chauffage de base"/>
    <s v="Pas de réponse"/>
  </r>
  <r>
    <s v="VRB0454"/>
    <n v="3"/>
    <n v="7"/>
    <n v="7"/>
    <s v="65 ans et plus"/>
    <n v="2"/>
    <x v="2"/>
    <n v="1"/>
    <n v="120"/>
    <s v="1949-1975"/>
    <s v="4"/>
    <s v="Pas de réponse"/>
    <x v="0"/>
    <s v="Foyer ouvert"/>
    <x v="1"/>
    <s v="Tous les jours"/>
    <s v="1; 2; 3; 4"/>
    <s v="Pas de réponse"/>
    <s v="Bois bûche"/>
    <s v=""/>
    <s v="6"/>
    <s v="stères"/>
    <s v="2"/>
    <s v=""/>
    <s v="2"/>
    <s v="2"/>
    <s v="&gt; 2 ans"/>
    <s v="Feuillus"/>
    <s v="2"/>
    <s v="1 fois par an"/>
    <s v=""/>
    <s v="Poêle"/>
    <s v="1"/>
    <s v=""/>
    <s v="Chauffage de base"/>
    <s v="Pas de réponse"/>
  </r>
  <r>
    <s v="VRB0455"/>
    <n v="3"/>
    <n v="2"/>
    <n v="9"/>
    <s v="35 à 49 ans"/>
    <n v="4"/>
    <x v="3"/>
    <n v="1"/>
    <n v="200"/>
    <s v="1990-2005"/>
    <s v="2; 4"/>
    <s v="Pas de réponse"/>
    <x v="0"/>
    <s v="Poêle"/>
    <x v="0"/>
    <s v="Tous les jours"/>
    <s v="1"/>
    <s v="1996-2002"/>
    <s v="Bois bûche"/>
    <s v=""/>
    <s v="12"/>
    <s v="stères"/>
    <s v="2"/>
    <s v=""/>
    <s v="1"/>
    <s v="2"/>
    <s v="&gt; 2 ans"/>
    <s v="Feuillus"/>
    <s v="2"/>
    <s v="1 fois par an"/>
    <s v=""/>
    <s v="Poêle"/>
    <s v="1"/>
    <s v=""/>
    <s v="Chauffage de base"/>
    <s v="Pas de réponse"/>
  </r>
  <r>
    <s v="VRB0456"/>
    <n v="3"/>
    <n v="2"/>
    <n v="3"/>
    <s v="25 à 34 ans"/>
    <n v="2"/>
    <x v="6"/>
    <n v="1"/>
    <n v="125"/>
    <s v="Pas de réponse"/>
    <s v="6"/>
    <s v="F"/>
    <x v="0"/>
    <s v="Foyer ouvert"/>
    <x v="0"/>
    <s v="Tous les jours"/>
    <s v="1; 2; 6"/>
    <s v="Avant 1990"/>
    <s v="Bois bûche"/>
    <s v=""/>
    <s v=""/>
    <s v=""/>
    <s v="1; 2"/>
    <s v=""/>
    <s v="1"/>
    <s v="2"/>
    <s v="1 à 2 ans"/>
    <s v="Feuillus"/>
    <s v="3"/>
    <s v="Pas de réponse"/>
    <s v=""/>
    <s v="Poêle"/>
    <s v="1"/>
    <s v=""/>
    <s v="Chauffage d'appoint"/>
    <s v="Pas de réponse"/>
  </r>
  <r>
    <s v="VRB0457"/>
    <n v="3"/>
    <n v="5"/>
    <n v="5"/>
    <s v="50 à 64 ans"/>
    <n v="5"/>
    <x v="4"/>
    <n v="1"/>
    <n v="240"/>
    <s v="1975-1990"/>
    <s v="1"/>
    <s v="E"/>
    <x v="0"/>
    <s v="Foyer ouvert"/>
    <x v="1"/>
    <s v="Tous les jours"/>
    <s v="2; 3"/>
    <s v="Avant 1990"/>
    <s v="Bois bûche"/>
    <s v=""/>
    <s v="8"/>
    <s v="stères"/>
    <s v="2"/>
    <s v=""/>
    <s v="5"/>
    <s v="2"/>
    <s v="1 à 2 ans"/>
    <s v="Feuillus"/>
    <s v="2"/>
    <s v="1 fois par an"/>
    <s v="Nous venos d'acquerir la maison qui n'était plus habité"/>
    <s v="Poêle"/>
    <s v="1"/>
    <s v=""/>
    <s v="Chauffage de base"/>
    <s v="Pas de réponse"/>
  </r>
  <r>
    <s v="VRB0458"/>
    <n v="3"/>
    <n v="7"/>
    <n v="7"/>
    <s v="65 ans et plus"/>
    <n v="2"/>
    <x v="1"/>
    <n v="1"/>
    <n v="100"/>
    <s v="1975-1990"/>
    <s v="6"/>
    <s v="Pas de réponse"/>
    <x v="0"/>
    <s v="Foyer ouvert"/>
    <x v="1"/>
    <s v="1 à 3 jours/mois"/>
    <s v="2"/>
    <s v="Avant 1990"/>
    <s v="Bois bûche"/>
    <s v=""/>
    <s v="2"/>
    <s v="stère"/>
    <s v="1"/>
    <s v=""/>
    <s v="1"/>
    <s v="2"/>
    <s v="&gt; 2 ans"/>
    <s v="Les deux"/>
    <s v="1"/>
    <s v="1 fois par an"/>
    <s v=""/>
    <s v="Insert cheminée"/>
    <s v="1"/>
    <s v=""/>
    <s v="Chauffage d'appoint"/>
    <s v="Pas de réponse"/>
  </r>
  <r>
    <s v="VRB0459"/>
    <n v="3"/>
    <n v="3"/>
    <n v="3"/>
    <s v="50 à 64 ans"/>
    <n v="3"/>
    <x v="2"/>
    <n v="1"/>
    <n v="90"/>
    <s v="1990-2005"/>
    <s v="1; 4"/>
    <s v="Pas de réponse"/>
    <x v="0"/>
    <s v="Poêle"/>
    <x v="0"/>
    <s v="Tous les jours"/>
    <s v="2; 3; 4; 6"/>
    <s v="1996-2002"/>
    <s v="Granulés/pellets"/>
    <s v=""/>
    <s v=""/>
    <s v=""/>
    <s v="5"/>
    <s v=""/>
    <s v="6"/>
    <s v="1"/>
    <s v="Pas de réponse"/>
    <s v="Pas de réponse"/>
    <s v="2"/>
    <s v="1 fois par an"/>
    <s v=""/>
    <s v="Poêle"/>
    <s v="2"/>
    <s v=""/>
    <s v="Chauffage de base"/>
    <s v="Pas de réponse"/>
  </r>
  <r>
    <s v="VRB0461"/>
    <n v="3"/>
    <n v="7"/>
    <n v="9"/>
    <s v="65 ans et plus"/>
    <n v="1"/>
    <x v="5"/>
    <n v="1"/>
    <n v="120"/>
    <s v="1949-1975"/>
    <s v="4"/>
    <s v="Pas de réponse"/>
    <x v="0"/>
    <s v="Insert / foyer fermé"/>
    <x v="0"/>
    <s v="Tous les jours"/>
    <s v="4"/>
    <s v="Avant 1990"/>
    <s v="Bois bûche"/>
    <s v=""/>
    <s v="7"/>
    <s v="stère"/>
    <s v="2"/>
    <s v=""/>
    <s v="2"/>
    <s v="2"/>
    <s v="1 à 2 ans"/>
    <s v="Feuillus"/>
    <s v="2"/>
    <s v="1 fois par an"/>
    <s v=""/>
    <s v="Poêle"/>
    <s v="2"/>
    <s v=""/>
    <s v="Chauffage de base"/>
    <s v="Pas de réponse"/>
  </r>
  <r>
    <s v="VRB0462"/>
    <n v="3"/>
    <n v="5"/>
    <n v="2"/>
    <s v="35 à 49 ans"/>
    <n v="4"/>
    <x v="7"/>
    <n v="1"/>
    <n v="161"/>
    <s v="1975-1990"/>
    <s v="1; 4"/>
    <s v="Pas de réponse"/>
    <x v="0"/>
    <s v="Insert / foyer fermé"/>
    <x v="1"/>
    <s v="1 à 2 jours/semaine"/>
    <s v="2; 6"/>
    <s v="Avant 1990"/>
    <s v="Bois bûche"/>
    <s v=""/>
    <s v="1"/>
    <s v="stère"/>
    <s v="1"/>
    <s v=""/>
    <s v="6"/>
    <s v="2"/>
    <s v="1 à 2 ans"/>
    <s v="Feuillus"/>
    <s v="1"/>
    <s v="1 fois par an"/>
    <s v=""/>
    <s v="Poêle"/>
    <s v="1"/>
    <s v=""/>
    <s v="Chauffage de base"/>
    <s v="Pas de réponse"/>
  </r>
  <r>
    <s v="VRB0463"/>
    <n v="3"/>
    <n v="3"/>
    <n v="3"/>
    <s v="50 à 64 ans"/>
    <n v="3"/>
    <x v="2"/>
    <n v="1"/>
    <n v="97"/>
    <s v="1975-1990"/>
    <s v="1"/>
    <s v="Pas de réponse"/>
    <x v="0"/>
    <s v="Insert / foyer fermé"/>
    <x v="1"/>
    <s v="1 à 2 jours/semaine"/>
    <s v="2; 6"/>
    <s v="1990-1995"/>
    <s v="Bois bûche"/>
    <s v=""/>
    <s v=""/>
    <s v=""/>
    <s v="1"/>
    <s v=""/>
    <s v="6"/>
    <s v="2"/>
    <s v="1 à 2 ans"/>
    <s v="Feuillus"/>
    <s v="2"/>
    <s v="1 fois par an"/>
    <s v=""/>
    <s v="Poêle"/>
    <s v="1"/>
    <s v=""/>
    <s v="Chauffage d'appoint"/>
    <s v="Pas de réponse"/>
  </r>
  <r>
    <s v="VRB0464"/>
    <n v="3"/>
    <n v="5"/>
    <n v="5"/>
    <s v="35 à 49 ans"/>
    <n v="4"/>
    <x v="9"/>
    <n v="1"/>
    <n v="170"/>
    <s v="1975-1990"/>
    <s v="6"/>
    <s v="C"/>
    <x v="0"/>
    <s v="Insert / foyer fermé"/>
    <x v="0"/>
    <s v="Pas de réponse"/>
    <s v="7"/>
    <s v="Avant 1990"/>
    <s v="Bois bûche"/>
    <s v=""/>
    <s v=""/>
    <s v=""/>
    <s v="5"/>
    <s v=""/>
    <s v="6"/>
    <s v="2"/>
    <s v="Pas de réponse"/>
    <s v="Pas de réponse"/>
    <s v="3"/>
    <s v="Pas de réponse"/>
    <s v=""/>
    <s v="Insert cheminée"/>
    <s v="1; 2"/>
    <s v=""/>
    <s v="Chauffage de base"/>
    <s v="Pas de réponse"/>
  </r>
  <r>
    <s v="VRB0465"/>
    <n v="3"/>
    <n v="7"/>
    <n v="6"/>
    <s v="50 à 64 ans"/>
    <n v="2"/>
    <x v="2"/>
    <n v="1"/>
    <n v="105"/>
    <s v="Après 2005"/>
    <s v="6"/>
    <s v="Pas de réponse"/>
    <x v="0"/>
    <s v="Poêle"/>
    <x v="0"/>
    <s v="Tous les jours"/>
    <s v="6"/>
    <s v="1990-1995"/>
    <s v="Bois bûche"/>
    <s v=""/>
    <s v="6"/>
    <s v="stère"/>
    <s v="2"/>
    <s v=""/>
    <s v="5"/>
    <s v="2"/>
    <s v="&gt; 2 ans"/>
    <s v="Feuillus"/>
    <s v="2"/>
    <s v="1 fois par an"/>
    <s v=""/>
    <s v="Poêle"/>
    <s v="1"/>
    <s v=""/>
    <s v="Chauffage de base"/>
    <s v="Pas de réponse"/>
  </r>
  <r>
    <s v="VRB0466"/>
    <n v="3"/>
    <n v="5"/>
    <n v="5"/>
    <s v="25 à 34 ans"/>
    <n v="4"/>
    <x v="2"/>
    <n v="1"/>
    <n v="100"/>
    <s v="1975-1990"/>
    <s v="6"/>
    <s v="D"/>
    <x v="0"/>
    <s v="Insert / foyer fermé"/>
    <x v="0"/>
    <s v="Tous les jours"/>
    <s v="4; 5; 6"/>
    <s v="Avant 1990"/>
    <s v="Bois de récupération, à préciser"/>
    <s v="coupe jardin récuperation"/>
    <s v="9"/>
    <s v="stère"/>
    <s v="1; 2"/>
    <s v=""/>
    <s v="2"/>
    <s v="2"/>
    <s v="1 à 2 ans"/>
    <s v="Les deux"/>
    <s v="2"/>
    <s v="1 fois par an"/>
    <s v=""/>
    <s v="Poêle"/>
    <s v="2"/>
    <s v=""/>
    <s v="Chauffage de base"/>
    <s v="Pas de réponse"/>
  </r>
  <r>
    <s v="VRB0467"/>
    <n v="3"/>
    <n v="7"/>
    <n v="9"/>
    <s v="65 ans et plus"/>
    <n v="1"/>
    <x v="3"/>
    <n v="1"/>
    <n v="100"/>
    <s v="1990-2005"/>
    <s v="1; 4"/>
    <s v="Pas de réponse"/>
    <x v="0"/>
    <s v="Insert / foyer fermé"/>
    <x v="0"/>
    <s v="Tous les jours"/>
    <s v="1; 2; 3; 4; 5; 6"/>
    <s v="Avant 1990"/>
    <s v="Bois bûche"/>
    <s v=""/>
    <s v="5"/>
    <s v="m3"/>
    <s v="2"/>
    <s v=""/>
    <s v="1"/>
    <s v="2"/>
    <s v="1 à 2 ans"/>
    <s v="Feuillus"/>
    <s v="1"/>
    <s v="2 fois par an"/>
    <s v=""/>
    <s v="Poêle"/>
    <s v="2"/>
    <s v=""/>
    <s v="Chauffage de base"/>
    <s v="Pas de réponse"/>
  </r>
  <r>
    <s v="VRB0468"/>
    <n v="3"/>
    <n v="7"/>
    <n v="9"/>
    <s v="65 ans et plus"/>
    <n v="1"/>
    <x v="5"/>
    <n v="1"/>
    <n v="65"/>
    <s v="1949-1975"/>
    <s v="4"/>
    <s v="Pas de réponse"/>
    <x v="0"/>
    <s v="Foyer ouvert"/>
    <x v="1"/>
    <s v="Pas de réponse"/>
    <s v="3"/>
    <s v="Avant 1990"/>
    <s v="Bois bûche"/>
    <s v=""/>
    <s v=""/>
    <s v=""/>
    <s v="4"/>
    <s v=""/>
    <s v="5"/>
    <s v="2"/>
    <s v="1 à 2 ans"/>
    <s v="Feuillus"/>
    <s v="2"/>
    <s v="1 fois par an"/>
    <s v=""/>
    <s v="Insert cheminée"/>
    <s v="1"/>
    <s v=""/>
    <s v="Chauffage de base"/>
    <s v="Pas de réponse"/>
  </r>
  <r>
    <s v="VRB0469"/>
    <n v="3"/>
    <n v="7"/>
    <n v="9"/>
    <s v="65 ans et plus"/>
    <n v="1"/>
    <x v="3"/>
    <n v="1"/>
    <n v="85"/>
    <s v="1975-1990"/>
    <s v="2; 3"/>
    <s v="Pas de réponse"/>
    <x v="0"/>
    <s v="Poêle"/>
    <x v="1"/>
    <s v="3 à 4 jours/semaine"/>
    <s v="3; 6"/>
    <s v="1990-1995"/>
    <s v="Bois bûche"/>
    <s v=""/>
    <s v="5-7"/>
    <s v="stères"/>
    <s v="2"/>
    <s v=""/>
    <s v="5"/>
    <s v="2"/>
    <s v="1 à 2 ans"/>
    <s v="Feuillus"/>
    <s v="2"/>
    <s v="1 fois par an"/>
    <s v=""/>
    <s v="Poêle"/>
    <s v="2"/>
    <s v=""/>
    <s v="Chauffage de base"/>
    <s v="Pas de réponse"/>
  </r>
  <r>
    <s v="VRB0470"/>
    <n v="3"/>
    <n v="4"/>
    <n v="3"/>
    <s v="35 à 49 ans"/>
    <n v="5"/>
    <x v="1"/>
    <n v="1"/>
    <n v="1"/>
    <s v="1975-1990"/>
    <s v="6"/>
    <s v="Pas de réponse"/>
    <x v="0"/>
    <s v="Poêle"/>
    <x v="0"/>
    <s v="Tous les jours"/>
    <s v="1; 2; 4"/>
    <s v="Après 2002"/>
    <s v="Bois bûche"/>
    <s v=""/>
    <s v=""/>
    <s v=""/>
    <s v="2"/>
    <s v=""/>
    <s v="5"/>
    <s v="2"/>
    <s v="1 à 2 ans"/>
    <s v="Les deux"/>
    <s v="3"/>
    <s v="1 fois par an"/>
    <s v=""/>
    <s v="Poêle"/>
    <s v="2"/>
    <s v=""/>
    <s v="Chauffage de base"/>
    <s v="Pas de réponse"/>
  </r>
  <r>
    <s v="VRB0471"/>
    <n v="3"/>
    <n v="5"/>
    <n v="5"/>
    <s v="35 à 49 ans"/>
    <n v="5"/>
    <x v="4"/>
    <n v="1"/>
    <n v="280"/>
    <s v="1949-1975"/>
    <s v="6"/>
    <s v="Pas de réponse"/>
    <x v="0"/>
    <s v="Foyer ouvert"/>
    <x v="2"/>
    <s v="Jamais"/>
    <s v="7"/>
    <s v="Avant 1990"/>
    <s v="Autre"/>
    <s v="Non utilisé"/>
    <s v=""/>
    <s v=""/>
    <s v="5"/>
    <s v=""/>
    <s v="6"/>
    <s v="4"/>
    <s v="Pas de réponse"/>
    <s v="Pas de réponse"/>
    <s v="2"/>
    <s v="1 fois par an"/>
    <s v=""/>
    <s v="Poêle"/>
    <s v="1"/>
    <s v=""/>
    <s v="Chauffage d'appoint"/>
    <s v="Pas de réponse"/>
  </r>
  <r>
    <s v="VRB0472"/>
    <n v="3"/>
    <n v="7"/>
    <n v="9"/>
    <s v="65 ans et plus"/>
    <n v="1"/>
    <x v="3"/>
    <n v="1"/>
    <n v="100"/>
    <s v="1990-2005"/>
    <s v="1"/>
    <s v="Pas de réponse"/>
    <x v="0"/>
    <s v="Insert / foyer fermé"/>
    <x v="0"/>
    <s v="Pas de réponse"/>
    <s v="3; 4; 5"/>
    <s v="1990-1995"/>
    <s v="Bois bûche"/>
    <s v=""/>
    <s v="5 à 6"/>
    <s v="stère"/>
    <s v="3"/>
    <s v=""/>
    <s v="1"/>
    <s v="1"/>
    <s v="&gt; 2 ans"/>
    <s v="Les deux"/>
    <s v="2"/>
    <s v="1 fois par an"/>
    <s v=""/>
    <s v="Poêle"/>
    <s v="2"/>
    <s v=""/>
    <s v="Chauffage de base"/>
    <s v="Pas de réponse"/>
  </r>
  <r>
    <s v="VRB0473"/>
    <n v="3"/>
    <n v="3"/>
    <n v="9"/>
    <s v="50 à 64 ans"/>
    <n v="1"/>
    <x v="3"/>
    <n v="1"/>
    <n v="100"/>
    <s v="Avant 1949"/>
    <s v="6"/>
    <s v="Pas de réponse"/>
    <x v="0"/>
    <s v="Foyer ouvert"/>
    <x v="0"/>
    <s v="Tous les jours"/>
    <s v="4; 6"/>
    <s v="Avant 1990"/>
    <s v="Bois bûche"/>
    <s v=""/>
    <s v="5"/>
    <s v="stère"/>
    <s v="3"/>
    <s v=""/>
    <s v="2"/>
    <s v="2"/>
    <s v="1 à 2 ans"/>
    <s v="Les deux"/>
    <s v="1"/>
    <s v="1 fois par an"/>
    <s v=""/>
    <s v="Poêle"/>
    <s v="2"/>
    <s v=""/>
    <s v="Chauffage de base"/>
    <s v="Pas de réponse"/>
  </r>
  <r>
    <s v="VRB0474"/>
    <n v="3"/>
    <n v="7"/>
    <n v="7"/>
    <s v="65 ans et plus"/>
    <n v="2"/>
    <x v="1"/>
    <n v="1"/>
    <n v="100"/>
    <s v="Avant 1949"/>
    <s v="6"/>
    <s v="Pas de réponse"/>
    <x v="0"/>
    <s v="Poêle"/>
    <x v="1"/>
    <s v="3 à 4 jours/semaine"/>
    <s v="1; 2; 3; 4; 5; 6"/>
    <s v="Avant 1990"/>
    <s v="Bois bûche"/>
    <s v=""/>
    <s v=""/>
    <s v="stère"/>
    <s v="2"/>
    <s v=""/>
    <s v="5"/>
    <s v="1"/>
    <s v="1 à 2 ans"/>
    <s v="Feuillus"/>
    <s v="1"/>
    <s v="2 fois par an"/>
    <s v=""/>
    <s v="Poêle"/>
    <s v="2"/>
    <s v=""/>
    <s v="Chauffage de base"/>
    <s v="Pas de réponse"/>
  </r>
  <r>
    <s v="VRB0475"/>
    <n v="3"/>
    <n v="7"/>
    <n v="9"/>
    <s v="65 ans et plus"/>
    <n v="1"/>
    <x v="3"/>
    <n v="1"/>
    <n v="1"/>
    <s v="1949-1975"/>
    <s v="4"/>
    <s v="Pas de réponse"/>
    <x v="0"/>
    <s v="Poêle"/>
    <x v="1"/>
    <s v="Tous les jours"/>
    <s v="2"/>
    <s v="Avant 1990"/>
    <s v="Bois bûche"/>
    <s v=""/>
    <s v="3"/>
    <s v="stère"/>
    <s v="1"/>
    <s v=""/>
    <s v="5"/>
    <s v="2"/>
    <s v="&gt; 2 ans"/>
    <s v="Pas de réponse"/>
    <s v="2"/>
    <s v="1 fois par an"/>
    <s v=""/>
    <s v="Poêle"/>
    <s v="2"/>
    <s v=""/>
    <s v="Chauffage de base"/>
    <s v="Pas de réponse"/>
  </r>
  <r>
    <s v="VRB0476"/>
    <n v="3"/>
    <n v="7"/>
    <n v="9"/>
    <s v="65 ans et plus"/>
    <n v="1"/>
    <x v="3"/>
    <n v="1"/>
    <n v="110"/>
    <s v="Avant 1949"/>
    <s v="4"/>
    <s v="G"/>
    <x v="0"/>
    <s v="Cuisinière"/>
    <x v="1"/>
    <s v="Tous les jours"/>
    <s v="3"/>
    <s v="1996-2002"/>
    <s v="Bois bûche"/>
    <s v=""/>
    <s v="5 à 6"/>
    <s v="stères"/>
    <s v="1; 2"/>
    <s v=""/>
    <s v="2"/>
    <s v="1"/>
    <s v="1 à 2 ans"/>
    <s v="Feuillus"/>
    <s v="2"/>
    <s v="1 fois par an"/>
    <s v=""/>
    <s v="Cuisinière"/>
    <s v="1"/>
    <s v=""/>
    <s v="Chauffage d'appoint"/>
    <s v="Pas de réponse"/>
  </r>
  <r>
    <s v="VRB0477"/>
    <n v="3"/>
    <n v="1"/>
    <n v="3"/>
    <s v="35 à 49 ans"/>
    <n v="4"/>
    <x v="1"/>
    <n v="1"/>
    <n v="105"/>
    <s v="1975-1990"/>
    <s v="1"/>
    <s v="G"/>
    <x v="0"/>
    <s v="Insert / foyer fermé"/>
    <x v="1"/>
    <s v="Tous les jours"/>
    <s v="4"/>
    <s v="Avant 1990"/>
    <s v="Bois bûche"/>
    <s v=""/>
    <s v="30"/>
    <s v="stère"/>
    <s v="1"/>
    <s v=""/>
    <s v="6"/>
    <s v="1"/>
    <s v="&gt; 2 ans"/>
    <s v="Feuillus"/>
    <s v="1"/>
    <s v="2 fois par an"/>
    <s v=""/>
    <s v="Poêle"/>
    <s v="1"/>
    <s v=""/>
    <s v="Chauffage de base"/>
    <s v="Pas de réponse"/>
  </r>
  <r>
    <s v="VRB0478"/>
    <n v="3"/>
    <n v="2"/>
    <n v="3"/>
    <s v="50 à 64 ans"/>
    <n v="1"/>
    <x v="4"/>
    <n v="1"/>
    <n v="123"/>
    <s v="Après 2005"/>
    <s v="1"/>
    <s v="B"/>
    <x v="0"/>
    <s v="Foyer ouvert"/>
    <x v="3"/>
    <s v="Tous les jours"/>
    <s v="4"/>
    <s v="1996-2002"/>
    <s v="Bois bûche"/>
    <s v=""/>
    <s v="5 à 3"/>
    <s v="m3"/>
    <s v="2"/>
    <s v=""/>
    <s v="2"/>
    <s v="2"/>
    <s v="&gt; 2 ans"/>
    <s v="Feuillus"/>
    <s v="2"/>
    <s v="1 fois par an"/>
    <s v=""/>
    <s v="Poêle"/>
    <s v="1"/>
    <s v=""/>
    <s v="Chauffage de base"/>
    <s v="Pas de réponse"/>
  </r>
  <r>
    <s v="VRB0479"/>
    <n v="3"/>
    <n v="3"/>
    <n v="5"/>
    <s v="35 à 49 ans"/>
    <n v="5"/>
    <x v="6"/>
    <n v="1"/>
    <n v="157"/>
    <s v="1975-1990"/>
    <s v="1"/>
    <s v="E"/>
    <x v="0"/>
    <s v="Foyer ouvert"/>
    <x v="1"/>
    <s v="Tous les jours"/>
    <s v="3; 6"/>
    <s v="Avant 1990"/>
    <s v="Bois bûche"/>
    <s v=""/>
    <s v="5"/>
    <s v="stère"/>
    <s v="2"/>
    <s v=""/>
    <s v="2"/>
    <s v="2"/>
    <s v="1 à 2 ans"/>
    <s v="Les deux"/>
    <s v="2"/>
    <s v="1 fois par an"/>
    <s v=""/>
    <s v="Poêle"/>
    <s v="2"/>
    <s v=""/>
    <s v="Chauffage de base"/>
    <s v="Pas de réponse"/>
  </r>
  <r>
    <s v="VRB0480"/>
    <n v="3"/>
    <n v="7"/>
    <n v="7"/>
    <s v="65 ans et plus"/>
    <n v="2"/>
    <x v="5"/>
    <n v="1"/>
    <n v="111"/>
    <s v="1990-2005"/>
    <s v="4"/>
    <s v="Pas de réponse"/>
    <x v="0"/>
    <s v="Insert / foyer fermé"/>
    <x v="0"/>
    <s v="Tous les jours"/>
    <s v="4; 6"/>
    <s v="1996-2002"/>
    <s v="Bois bûche"/>
    <s v=""/>
    <s v="8"/>
    <s v=""/>
    <s v="1"/>
    <s v=""/>
    <s v="5"/>
    <s v="2"/>
    <s v="1 à 2 ans"/>
    <s v="Feuillus"/>
    <s v="2"/>
    <s v="1 fois par an"/>
    <s v=""/>
    <s v="Insert cheminée"/>
    <s v="1"/>
    <s v=""/>
    <s v="Chauffage de base"/>
    <s v="Pas de réponse"/>
  </r>
  <r>
    <s v="VRB0481"/>
    <n v="3"/>
    <n v="5"/>
    <n v="5"/>
    <s v="50 à 64 ans"/>
    <n v="2"/>
    <x v="3"/>
    <n v="1"/>
    <n v="110"/>
    <s v="1990-2005"/>
    <s v="6"/>
    <s v="Pas de réponse"/>
    <x v="0"/>
    <s v="Foyer ouvert"/>
    <x v="1"/>
    <s v="1 à 3 jours/mois"/>
    <s v="2; 6"/>
    <s v="1990-1995"/>
    <s v="Bois bûche"/>
    <s v=""/>
    <s v="3"/>
    <s v="stères"/>
    <s v="1; 2"/>
    <s v=""/>
    <s v="5"/>
    <s v="3"/>
    <s v="&lt; 1 an"/>
    <s v="Les deux"/>
    <s v="2"/>
    <s v="1 fois par an"/>
    <s v="ou 2 fois par an"/>
    <s v="Poêle"/>
    <s v="2"/>
    <s v=""/>
    <s v="Chauffage de base"/>
    <s v="Pas de réponse"/>
  </r>
  <r>
    <s v="VRB0482"/>
    <n v="3"/>
    <n v="3"/>
    <n v="9"/>
    <s v="50 à 64 ans"/>
    <n v="1"/>
    <x v="5"/>
    <n v="1"/>
    <n v="114"/>
    <s v="1975-1990"/>
    <s v="4"/>
    <s v="Pas de réponse"/>
    <x v="0"/>
    <s v="Insert / foyer fermé"/>
    <x v="1"/>
    <s v="Jamais"/>
    <s v="7"/>
    <s v="Avant 1990"/>
    <s v="Bois bûche"/>
    <s v=""/>
    <s v=""/>
    <s v=""/>
    <s v="4"/>
    <s v="Nouvel achat"/>
    <s v="6"/>
    <s v="2"/>
    <s v="Pas de réponse"/>
    <s v="Pas de réponse"/>
    <s v="1"/>
    <s v="1 fois tous les 2 ans"/>
    <s v=""/>
    <s v="Poêle"/>
    <s v="1"/>
    <s v=""/>
    <s v="Chauffage de base"/>
    <s v="Pas de réponse"/>
  </r>
  <r>
    <s v="VRB0483"/>
    <n v="3"/>
    <n v="3"/>
    <n v="8"/>
    <s v="35 à 49 ans"/>
    <n v="5"/>
    <x v="2"/>
    <n v="1"/>
    <n v="187"/>
    <s v="Avant 1949"/>
    <s v="4"/>
    <s v="D"/>
    <x v="0"/>
    <s v="Insert / foyer fermé"/>
    <x v="1"/>
    <s v="3 à 4 jours/semaine"/>
    <s v="1; 2; 3; 4; 6"/>
    <s v="Avant 1990"/>
    <s v="Bois bûche"/>
    <s v=""/>
    <s v="5 à 6"/>
    <s v="stères"/>
    <s v="2"/>
    <s v=""/>
    <s v="1"/>
    <s v="2"/>
    <s v="1 à 2 ans"/>
    <s v="Les deux"/>
    <s v="2"/>
    <s v="1 fois par an"/>
    <s v=""/>
    <s v="Insert cheminée"/>
    <s v="1"/>
    <s v=""/>
    <s v="Chauffage d'appoint"/>
    <s v="Pas de réponse"/>
  </r>
  <r>
    <s v="VRB0485"/>
    <n v="3"/>
    <n v="7"/>
    <n v="9"/>
    <s v="65 ans et plus"/>
    <n v="1"/>
    <x v="5"/>
    <n v="1"/>
    <n v="100"/>
    <s v="Avant 1949"/>
    <s v="6"/>
    <s v="Pas de réponse"/>
    <x v="0"/>
    <s v="Insert / foyer fermé"/>
    <x v="0"/>
    <s v="Tous les jours"/>
    <s v="4; 6"/>
    <s v="Avant 1990"/>
    <s v="Bois bûche"/>
    <s v=""/>
    <s v="6"/>
    <s v="stère"/>
    <s v="2"/>
    <s v=""/>
    <s v="2"/>
    <s v="1"/>
    <s v="&gt; 2 ans"/>
    <s v="Feuillus"/>
    <s v="2"/>
    <s v="1 fois par an"/>
    <s v=""/>
    <s v="Cuisinière"/>
    <s v="1"/>
    <s v=""/>
    <s v="Chauffage de base"/>
    <s v="Pas de réponse"/>
  </r>
  <r>
    <s v="VRB0486"/>
    <n v="3"/>
    <n v="3"/>
    <n v="3"/>
    <s v="35 à 49 ans"/>
    <n v="3"/>
    <x v="3"/>
    <n v="2"/>
    <n v="180"/>
    <s v="Avant 1949"/>
    <s v="6"/>
    <s v="D"/>
    <x v="0"/>
    <s v="Poêle"/>
    <x v="0"/>
    <s v="Tous les jours"/>
    <s v="1; 2; 4; 6"/>
    <s v="1996-2002"/>
    <s v="Bois bûche"/>
    <s v=""/>
    <s v="14"/>
    <s v="stère"/>
    <s v="2"/>
    <s v=""/>
    <s v="5"/>
    <s v="2"/>
    <s v="1 à 2 ans"/>
    <s v="Feuillus"/>
    <s v="2"/>
    <s v="1 fois par an"/>
    <s v=""/>
    <s v="Poêle"/>
    <s v="2"/>
    <s v=""/>
    <s v="Chauffage de base"/>
    <s v="Pas de réponse"/>
  </r>
  <r>
    <s v="VRB0487"/>
    <n v="3"/>
    <n v="5"/>
    <n v="5"/>
    <s v="35 à 49 ans"/>
    <n v="4"/>
    <x v="8"/>
    <n v="1"/>
    <n v="158"/>
    <s v="Avant 1949"/>
    <s v="1; 2; 3"/>
    <s v="C"/>
    <x v="0"/>
    <s v="Insert / foyer fermé"/>
    <x v="1"/>
    <s v="Tous les jours"/>
    <s v="2; 3"/>
    <s v="1996-2002"/>
    <s v="Bois bûche"/>
    <s v=""/>
    <s v=""/>
    <s v=""/>
    <s v="1; 3"/>
    <s v=""/>
    <s v="5"/>
    <s v="2"/>
    <s v="1 à 2 ans"/>
    <s v="Feuillus"/>
    <s v="2"/>
    <s v="1 fois par an"/>
    <s v=""/>
    <s v="Poêle"/>
    <s v="1"/>
    <s v=""/>
    <s v="Chauffage d'appoint"/>
    <s v="Pas de réponse"/>
  </r>
  <r>
    <s v="VRB0488"/>
    <n v="3"/>
    <n v="7"/>
    <n v="7"/>
    <s v="65 ans et plus"/>
    <n v="2"/>
    <x v="6"/>
    <n v="1"/>
    <n v="150"/>
    <s v="1975-1990"/>
    <s v="6"/>
    <s v="Pas de réponse"/>
    <x v="0"/>
    <s v="Foyer ouvert"/>
    <x v="1"/>
    <s v="1 à 2 jours/semaine"/>
    <s v="2"/>
    <s v="Avant 1990"/>
    <s v="Bois bûche"/>
    <s v=""/>
    <s v="2-3"/>
    <s v="stère"/>
    <s v="1"/>
    <s v=""/>
    <s v="5"/>
    <s v="2"/>
    <s v="&gt; 2 ans"/>
    <s v="Les deux"/>
    <s v="1"/>
    <s v="1 fois par an"/>
    <s v=""/>
    <s v="Insert cheminée"/>
    <s v="1"/>
    <s v=""/>
    <s v="Chauffage d'appoint"/>
    <s v="Pas de réponse"/>
  </r>
  <r>
    <s v="VRB0490"/>
    <n v="3"/>
    <n v="7"/>
    <n v="9"/>
    <s v="65 ans et plus"/>
    <n v="1"/>
    <x v="3"/>
    <n v="1"/>
    <n v="50"/>
    <s v="Avant 1949"/>
    <s v="6"/>
    <s v="Pas de réponse"/>
    <x v="0"/>
    <s v="Poêle"/>
    <x v="0"/>
    <s v="Tous les jours"/>
    <s v="4"/>
    <s v="Avant 1990"/>
    <s v="Bois bûche"/>
    <s v=""/>
    <s v="4"/>
    <s v="stères"/>
    <s v="5"/>
    <s v=""/>
    <s v="1"/>
    <s v="2"/>
    <s v="Pas de réponse"/>
    <s v="Feuillus"/>
    <s v="2"/>
    <s v="1 fois par an"/>
    <s v=""/>
    <s v="Poêle"/>
    <s v="1"/>
    <s v=""/>
    <s v="Chauffage de base"/>
    <s v="Pas de réponse"/>
  </r>
  <r>
    <s v="VRB0491"/>
    <n v="3"/>
    <n v="3"/>
    <n v="3"/>
    <s v="35 à 49 ans"/>
    <n v="5"/>
    <x v="6"/>
    <n v="1"/>
    <n v="95"/>
    <s v="1975-1990"/>
    <s v="4"/>
    <s v="F"/>
    <x v="0"/>
    <s v="Foyer ouvert"/>
    <x v="1"/>
    <s v="1 à 3 jours/mois"/>
    <s v="2"/>
    <s v="Avant 1990"/>
    <s v="Bois bûche"/>
    <s v=""/>
    <s v="4"/>
    <s v="stère"/>
    <s v="2"/>
    <s v=""/>
    <s v="5"/>
    <s v="2"/>
    <s v="&gt; 2 ans"/>
    <s v="Feuillus"/>
    <s v="2"/>
    <s v="1 fois par an"/>
    <s v=""/>
    <s v="Poêle"/>
    <s v="1"/>
    <s v=""/>
    <s v="Chauffage de base"/>
    <s v="Pas de réponse"/>
  </r>
  <r>
    <s v="VRB0492"/>
    <n v="3"/>
    <n v="3"/>
    <n v="2"/>
    <s v="35 à 49 ans"/>
    <n v="5"/>
    <x v="4"/>
    <n v="1"/>
    <n v="240"/>
    <s v="Avant 1949"/>
    <s v="6"/>
    <s v="C"/>
    <x v="0"/>
    <s v="Foyer ouvert"/>
    <x v="1"/>
    <s v="1 à 3 jours/mois"/>
    <s v="6"/>
    <s v="Avant 1990"/>
    <s v="Bois bûche"/>
    <s v=""/>
    <s v="1"/>
    <s v="stère"/>
    <s v="1"/>
    <s v=""/>
    <s v="5"/>
    <s v="2"/>
    <s v="&gt; 2 ans"/>
    <s v="Feuillus"/>
    <s v="2"/>
    <s v="1 fois par an"/>
    <s v=""/>
    <s v="poêle de masse"/>
    <s v="1"/>
    <s v=""/>
    <s v="Chauffage de base"/>
    <s v="Tous les jours"/>
  </r>
  <r>
    <s v="VRB0493"/>
    <n v="3"/>
    <n v="5"/>
    <n v="4"/>
    <s v="35 à 49 ans"/>
    <n v="2"/>
    <x v="6"/>
    <n v="1"/>
    <n v="100"/>
    <s v="1975-1990"/>
    <s v="1; 4"/>
    <s v="E"/>
    <x v="0"/>
    <s v="Insert / foyer fermé"/>
    <x v="1"/>
    <s v="3 à 4 jours/semaine"/>
    <s v="7"/>
    <s v="1990-1995"/>
    <s v="Bois bûche"/>
    <s v=""/>
    <s v=""/>
    <s v=""/>
    <s v="1"/>
    <s v=""/>
    <s v="6"/>
    <s v="2"/>
    <s v="Pas de réponse"/>
    <s v="Pas de réponse"/>
    <s v="3"/>
    <s v="Pas de réponse"/>
    <s v=""/>
    <s v="Poêle"/>
    <s v="1"/>
    <s v=""/>
    <s v="Chauffage de base"/>
    <s v="Pas de réponse"/>
  </r>
  <r>
    <s v="VRB0494"/>
    <n v="3"/>
    <n v="2"/>
    <n v="5"/>
    <s v="50 à 64 ans"/>
    <n v="3"/>
    <x v="3"/>
    <n v="1"/>
    <n v="120"/>
    <s v="1990-2005"/>
    <s v="1"/>
    <s v="Pas de réponse"/>
    <x v="0"/>
    <s v="Insert / foyer fermé"/>
    <x v="1"/>
    <s v="Tous les jours"/>
    <s v="3; 4; 5"/>
    <s v="1990-1995"/>
    <s v="Bois bûche"/>
    <s v=""/>
    <s v="7"/>
    <s v="stères"/>
    <s v="2"/>
    <s v=""/>
    <s v="1"/>
    <s v="2"/>
    <s v="&gt; 2 ans"/>
    <s v="Feuillus"/>
    <s v="2"/>
    <s v="1 fois par an"/>
    <s v=""/>
    <s v="Poêle"/>
    <s v="1"/>
    <s v=""/>
    <s v="Chauffage d'appoint"/>
    <s v="Pas de réponse"/>
  </r>
  <r>
    <s v="VRB0495"/>
    <n v="3"/>
    <n v="5"/>
    <n v="5"/>
    <s v="35 à 49 ans"/>
    <n v="3"/>
    <x v="9"/>
    <n v="1"/>
    <n v="95"/>
    <s v="Avant 1949"/>
    <s v="1"/>
    <s v="Pas de réponse"/>
    <x v="0"/>
    <s v="Foyer ouvert"/>
    <x v="1"/>
    <s v="1 à 2 jours/semaine"/>
    <s v="2; 3"/>
    <s v="Avant 1990"/>
    <s v="Bois bûche"/>
    <s v=""/>
    <s v="4"/>
    <s v=""/>
    <s v="2"/>
    <s v=""/>
    <s v="2"/>
    <s v="2"/>
    <s v="&gt; 2 ans"/>
    <s v="Feuillus"/>
    <s v="1"/>
    <s v="2 fois par an"/>
    <s v=""/>
    <s v="Poêle"/>
    <s v="1"/>
    <s v=""/>
    <s v="Chauffage d'appoint"/>
    <s v="Pas de réponse"/>
  </r>
  <r>
    <s v="VRB0496"/>
    <n v="3"/>
    <n v="5"/>
    <n v="7"/>
    <s v="50 à 64 ans"/>
    <n v="2"/>
    <x v="8"/>
    <n v="1"/>
    <n v="160"/>
    <s v="Avant 1949"/>
    <s v="4"/>
    <s v="Pas de réponse"/>
    <x v="0"/>
    <s v="Poêle"/>
    <x v="1"/>
    <s v="1 à 2 jours/semaine"/>
    <s v="1; 2; 4"/>
    <s v="Avant 1990"/>
    <s v="Bois bûche"/>
    <s v=""/>
    <s v="7"/>
    <s v="stères"/>
    <s v="2"/>
    <s v=""/>
    <s v="1; 3"/>
    <s v="1"/>
    <s v="1 à 2 ans"/>
    <s v="Feuillus"/>
    <s v="2"/>
    <s v="1 fois par an"/>
    <s v=""/>
    <s v="Poêle"/>
    <s v="1"/>
    <s v=""/>
    <s v="Chauffage d'appoint"/>
    <s v="Pas de réponse"/>
  </r>
  <r>
    <s v="VRB0497"/>
    <n v="3"/>
    <n v="6"/>
    <n v="6"/>
    <s v="35 à 49 ans"/>
    <n v="4"/>
    <x v="1"/>
    <n v="1"/>
    <n v="90"/>
    <s v="1975-1990"/>
    <s v="1; 3; 4"/>
    <s v="F"/>
    <x v="0"/>
    <s v="Poêle"/>
    <x v="0"/>
    <s v="Tous les jours"/>
    <s v="2; 4; 6"/>
    <s v="Pas de réponse"/>
    <s v="Bois bûche"/>
    <s v=""/>
    <s v="4"/>
    <s v="stères"/>
    <s v="2"/>
    <s v=""/>
    <s v="5"/>
    <s v="1"/>
    <s v="&gt; 2 ans"/>
    <s v="Les deux"/>
    <s v="2"/>
    <s v="1 fois par an"/>
    <s v=""/>
    <s v="Poêle"/>
    <s v="2"/>
    <s v=""/>
    <s v="Chauffage de base"/>
    <s v="Pas de réponse"/>
  </r>
  <r>
    <s v="VRB0498"/>
    <n v="2"/>
    <n v="7"/>
    <n v="7"/>
    <s v="65 ans et plus"/>
    <n v="2"/>
    <x v="1"/>
    <n v="1"/>
    <n v="100"/>
    <s v="1949-1975"/>
    <s v="1; 2; 3; 4"/>
    <s v="Pas de réponse"/>
    <x v="0"/>
    <s v="Foyer ouvert"/>
    <x v="1"/>
    <s v="Tous les jours"/>
    <s v="2; 3; 4"/>
    <s v="Avant 1990"/>
    <s v="Bois bûche"/>
    <s v=""/>
    <s v=""/>
    <s v=""/>
    <s v="1"/>
    <s v=""/>
    <s v="6"/>
    <s v="2"/>
    <s v="&gt; 2 ans"/>
    <s v="Les deux"/>
    <s v="2"/>
    <s v="1 fois tous les 2 ans"/>
    <s v=""/>
    <s v="Poêle"/>
    <s v="2"/>
    <s v=""/>
    <s v="Chauffage de base"/>
    <s v="Pas de réponse"/>
  </r>
  <r>
    <s v="VRB0499"/>
    <n v="3"/>
    <n v="7"/>
    <n v="7"/>
    <s v="50 à 64 ans"/>
    <n v="3"/>
    <x v="2"/>
    <n v="1"/>
    <n v="140"/>
    <s v="1949-1975"/>
    <s v="5"/>
    <s v="Pas de réponse"/>
    <x v="0"/>
    <s v="Foyer ouvert"/>
    <x v="1"/>
    <s v="1 à 3 jours/mois"/>
    <s v="2; 3; 6"/>
    <s v="Après 2002"/>
    <s v="Bois bûche"/>
    <s v=""/>
    <s v="0,75"/>
    <s v="stères"/>
    <s v="1; 2"/>
    <s v=""/>
    <s v="2"/>
    <s v="2"/>
    <s v="&gt; 2 ans"/>
    <s v="Feuillus"/>
    <s v="2"/>
    <s v="1 fois par an"/>
    <s v=""/>
    <s v="Poêle"/>
    <s v="1"/>
    <s v=""/>
    <s v="Chauffage d'appoint"/>
    <s v="Pas de réponse"/>
  </r>
  <r>
    <s v="VRB0500"/>
    <n v="3"/>
    <n v="5"/>
    <n v="3"/>
    <s v="35 à 49 ans"/>
    <n v="4"/>
    <x v="1"/>
    <n v="1"/>
    <n v="90"/>
    <s v="1949-1975"/>
    <s v="4"/>
    <s v="D"/>
    <x v="0"/>
    <s v="Insert / foyer fermé"/>
    <x v="1"/>
    <s v="Tous les jours"/>
    <s v="2; 6"/>
    <s v="Avant 1990"/>
    <s v="Bois bûche"/>
    <s v=""/>
    <s v="4"/>
    <s v="stères"/>
    <s v="2"/>
    <s v=""/>
    <s v="5"/>
    <s v="2"/>
    <s v="&gt; 2 ans"/>
    <s v="Les deux"/>
    <s v="2"/>
    <s v="1 fois par an"/>
    <s v=""/>
    <s v="Poêle"/>
    <s v="2"/>
    <s v=""/>
    <s v="Chauffage de base"/>
    <s v="Pas de réponse"/>
  </r>
  <r>
    <s v="VRB0501"/>
    <n v="3"/>
    <n v="3"/>
    <n v="3"/>
    <s v="35 à 49 ans"/>
    <n v="4"/>
    <x v="1"/>
    <n v="1"/>
    <n v="96"/>
    <s v="1949-1975"/>
    <s v="6"/>
    <s v="G"/>
    <x v="0"/>
    <s v="Insert / foyer fermé"/>
    <x v="0"/>
    <s v="Pas de réponse"/>
    <s v="7"/>
    <s v="Avant 1990"/>
    <s v="Bois bûche"/>
    <s v=""/>
    <s v=""/>
    <s v=""/>
    <s v="5"/>
    <s v=""/>
    <s v="6"/>
    <s v="4"/>
    <s v="Pas de réponse"/>
    <s v="Pas de réponse"/>
    <s v="3"/>
    <s v="Pas de réponse"/>
    <s v=""/>
    <s v="Poêle"/>
    <s v="1"/>
    <s v=""/>
    <s v="Chauffage de base"/>
    <s v="Pas de réponse"/>
  </r>
  <r>
    <s v="VRB0502"/>
    <n v="1"/>
    <n v="6"/>
    <n v="8"/>
    <s v="25 à 34 ans"/>
    <n v="5"/>
    <x v="6"/>
    <n v="1"/>
    <n v="160"/>
    <s v="1949-1975"/>
    <s v="1"/>
    <s v="Pas de réponse"/>
    <x v="0"/>
    <s v="Insert / foyer fermé"/>
    <x v="1"/>
    <s v="Tous les jours"/>
    <s v="2; 3"/>
    <s v="Avant 1990"/>
    <s v="Bois bûche"/>
    <s v="Branchage jardin"/>
    <s v="2"/>
    <s v="stère"/>
    <s v="1; 2"/>
    <s v=""/>
    <s v="2"/>
    <s v="2"/>
    <s v="&gt; 2 ans"/>
    <s v="Feuillus"/>
    <s v="2"/>
    <s v="1 fois par an"/>
    <s v=""/>
    <s v="Poêle"/>
    <s v="1"/>
    <s v=""/>
    <s v="Chauffage de base"/>
    <s v="Pas de réponse"/>
  </r>
  <r>
    <s v="VRB0503"/>
    <n v="3"/>
    <n v="7"/>
    <n v="9"/>
    <s v="65 ans et plus"/>
    <n v="1"/>
    <x v="3"/>
    <n v="1"/>
    <n v="100"/>
    <s v="1975-1990"/>
    <s v="6"/>
    <s v="Pas de réponse"/>
    <x v="0"/>
    <s v="Insert / foyer fermé"/>
    <x v="0"/>
    <s v="Tous les jours"/>
    <s v="1; 3; 4; 5"/>
    <s v="Avant 1990"/>
    <s v="Bois bûche"/>
    <s v=""/>
    <s v="15"/>
    <s v=""/>
    <s v="2"/>
    <s v=""/>
    <s v="5"/>
    <s v="2"/>
    <s v="1 à 2 ans"/>
    <s v="Feuillus"/>
    <s v="2"/>
    <s v="1 fois par an"/>
    <s v=""/>
    <s v="Poêle"/>
    <s v="1"/>
    <s v=""/>
    <s v="Chauffage de base"/>
    <s v="Pas de réponse"/>
  </r>
  <r>
    <s v="VRB0504"/>
    <n v="3"/>
    <n v="7"/>
    <n v="9"/>
    <s v="65 ans et plus"/>
    <n v="1"/>
    <x v="5"/>
    <n v="1"/>
    <n v="130"/>
    <s v="Avant 1949"/>
    <s v="6"/>
    <s v="Ne sait pas"/>
    <x v="1"/>
    <s v="Poêle"/>
    <x v="0"/>
    <s v="Tous les jours"/>
    <s v="1; 2"/>
    <s v="1996-2002"/>
    <s v="Bois bûche"/>
    <s v=""/>
    <s v="12"/>
    <s v="stères"/>
    <s v="1"/>
    <s v=""/>
    <s v="2"/>
    <s v="2"/>
    <s v="1 à 2 ans"/>
    <s v="Feuillus"/>
    <s v="1"/>
    <s v="1 fois par an"/>
    <s v=""/>
    <s v="Pôele hydro"/>
    <s v="2"/>
    <s v=""/>
    <s v="Chauffage de base"/>
    <s v="Pas de réponse"/>
  </r>
  <r>
    <s v="VRB0505"/>
    <n v="3"/>
    <n v="5"/>
    <n v="6"/>
    <s v="35 à 49 ans"/>
    <n v="5"/>
    <x v="1"/>
    <n v="1"/>
    <n v="190"/>
    <s v="Avant 1949"/>
    <s v="6"/>
    <s v="D"/>
    <x v="0"/>
    <s v="Insert / foyer fermé"/>
    <x v="0"/>
    <s v="1 à 3 jours/mois"/>
    <s v="4; 6"/>
    <s v="Pas de réponse"/>
    <s v="Bois bûche"/>
    <s v=""/>
    <s v="1"/>
    <s v="stères"/>
    <s v="1"/>
    <s v=""/>
    <s v="6"/>
    <s v="1"/>
    <s v="1 à 2 ans"/>
    <s v="Les deux"/>
    <s v="2"/>
    <s v="1 fois tous les 2 ans"/>
    <s v=""/>
    <s v="Insert cheminée"/>
    <s v="1"/>
    <s v=""/>
    <s v="Chauffage d'appoint"/>
    <s v="Pas de réponse"/>
  </r>
  <r>
    <s v="VRB0506"/>
    <n v="3"/>
    <n v="5"/>
    <n v="3"/>
    <s v="25 à 34 ans"/>
    <n v="3"/>
    <x v="1"/>
    <n v="1"/>
    <n v="115"/>
    <s v="Avant 1949"/>
    <s v="3; 4"/>
    <s v="Pas de réponse"/>
    <x v="0"/>
    <s v="Poêle"/>
    <x v="0"/>
    <s v="Tous les jours"/>
    <s v="1; 2; 4"/>
    <s v="Avant 1990"/>
    <s v="Bois bûche"/>
    <s v=""/>
    <s v="6"/>
    <s v="stères"/>
    <s v="2"/>
    <s v=""/>
    <s v="5"/>
    <s v="1"/>
    <s v="&lt; 1 an"/>
    <s v="Feuillus"/>
    <s v="2"/>
    <s v="1 fois par an"/>
    <s v=""/>
    <s v="Poêle"/>
    <s v="2"/>
    <s v=""/>
    <s v="Chauffage de base"/>
    <s v="Pas de réponse"/>
  </r>
  <r>
    <s v="VRB0507"/>
    <n v="1"/>
    <n v="5"/>
    <n v="6"/>
    <s v="35 à 49 ans"/>
    <n v="3"/>
    <x v="7"/>
    <n v="1"/>
    <n v="180"/>
    <s v="1975-1990"/>
    <s v="3; 4"/>
    <s v="C"/>
    <x v="0"/>
    <s v="Insert / foyer fermé"/>
    <x v="1"/>
    <s v="1 à 3 jours/mois"/>
    <s v="6"/>
    <s v="Avant 1990"/>
    <s v="Bois bûche"/>
    <s v=""/>
    <s v="2"/>
    <s v="stères"/>
    <s v="1"/>
    <s v=""/>
    <s v="5"/>
    <s v="2"/>
    <s v="&gt; 2 ans"/>
    <s v="Les deux"/>
    <s v="1"/>
    <s v="2 fois par an"/>
    <s v=""/>
    <s v="Poêle"/>
    <s v="1"/>
    <s v=""/>
    <s v="Chauffage d'appoint"/>
    <s v="Pas de réponse"/>
  </r>
  <r>
    <s v="VRB0508"/>
    <n v="3"/>
    <n v="7"/>
    <n v="9"/>
    <s v="65 ans et plus"/>
    <n v="1"/>
    <x v="1"/>
    <n v="1"/>
    <n v="130"/>
    <s v="1949-1975"/>
    <s v="3; 4"/>
    <s v="Pas de réponse"/>
    <x v="0"/>
    <s v="Insert / foyer fermé"/>
    <x v="1"/>
    <s v="Tous les jours"/>
    <s v="4"/>
    <s v="1990-1995"/>
    <s v="Bois bûche"/>
    <s v=""/>
    <s v="2/3"/>
    <s v="stères"/>
    <s v="2"/>
    <s v=""/>
    <s v="2"/>
    <s v="1"/>
    <s v="&lt; 1 an"/>
    <s v="Feuillus"/>
    <s v="2"/>
    <s v="2 fois par an"/>
    <s v=""/>
    <s v="Insert cheminée"/>
    <s v="1"/>
    <s v=""/>
    <s v="Chauffage de base"/>
    <s v="Pas de réponse"/>
  </r>
  <r>
    <s v="VRB0509"/>
    <n v="3"/>
    <n v="7"/>
    <n v="9"/>
    <s v="65 ans et plus"/>
    <n v="1"/>
    <x v="1"/>
    <n v="1"/>
    <n v="120"/>
    <s v="Avant 1949"/>
    <s v="1"/>
    <s v="Ne sait pas"/>
    <x v="2"/>
    <s v="Insert / foyer fermé"/>
    <x v="0"/>
    <s v="Tous les jours"/>
    <s v="4"/>
    <s v="Après 2002"/>
    <s v="Bois bûche"/>
    <s v=""/>
    <s v="10"/>
    <s v="stères"/>
    <s v="2"/>
    <s v=""/>
    <s v="5"/>
    <s v="1"/>
    <s v="&gt; 2 ans"/>
    <s v="Feuillus"/>
    <s v="2"/>
    <s v="1 fois par an"/>
    <s v=""/>
    <s v="Poêle"/>
    <s v="1"/>
    <s v=""/>
    <s v="Chauffage de base"/>
    <s v="Pas de réponse"/>
  </r>
  <r>
    <s v="VRB0510"/>
    <n v="3"/>
    <n v="5"/>
    <n v="6"/>
    <s v="50 à 64 ans"/>
    <n v="3"/>
    <x v="9"/>
    <n v="1"/>
    <n v="135"/>
    <s v="1975-1990"/>
    <s v="4"/>
    <s v="Pas de réponse"/>
    <x v="0"/>
    <s v="Poêle"/>
    <x v="0"/>
    <s v="Tous les jours"/>
    <s v="2; 4; 6"/>
    <s v="1996-2002"/>
    <s v="Bois bûche"/>
    <s v=""/>
    <s v="7"/>
    <s v="stères"/>
    <s v="2"/>
    <s v=""/>
    <s v="2"/>
    <s v="2"/>
    <s v="&gt; 2 ans"/>
    <s v="Feuillus"/>
    <s v="1"/>
    <s v="2 fois par an"/>
    <s v=""/>
    <s v="Poêle"/>
    <s v="1"/>
    <s v=""/>
    <s v="Chauffage de base"/>
    <s v="Pas de réponse"/>
  </r>
  <r>
    <s v="VRB0511"/>
    <n v="3"/>
    <n v="3"/>
    <n v="2"/>
    <s v="50 à 64 ans"/>
    <n v="2"/>
    <x v="5"/>
    <n v="1"/>
    <n v="110"/>
    <s v="1949-1975"/>
    <s v="6"/>
    <s v="Pas de réponse"/>
    <x v="0"/>
    <s v="Insert / foyer fermé"/>
    <x v="0"/>
    <s v="Tous les jours"/>
    <s v="4"/>
    <s v="Avant 1990"/>
    <s v="Bois bûche"/>
    <s v=""/>
    <s v="2"/>
    <s v="stère"/>
    <s v="3"/>
    <s v=""/>
    <s v="5"/>
    <s v="4"/>
    <s v="Pas de réponse"/>
    <s v="Pas de réponse"/>
    <s v="3"/>
    <s v="Pas de réponse"/>
    <s v=""/>
    <s v="Poêle"/>
    <s v="2"/>
    <s v=""/>
    <s v="Chauffage de base"/>
    <s v="Pas de réponse"/>
  </r>
  <r>
    <s v="VRB0512"/>
    <n v="3"/>
    <n v="8"/>
    <n v="9"/>
    <s v="50 à 64 ans"/>
    <n v="3"/>
    <x v="1"/>
    <n v="1"/>
    <n v="180"/>
    <s v="Avant 1949"/>
    <s v="6"/>
    <s v="Pas de réponse"/>
    <x v="0"/>
    <s v="Foyer ouvert"/>
    <x v="1"/>
    <s v="3 à 4 jours/semaine"/>
    <s v="2; 3"/>
    <s v="Avant 1990"/>
    <s v="Bois bûche"/>
    <s v=""/>
    <s v="6"/>
    <s v="stères"/>
    <s v="1; 2"/>
    <s v=""/>
    <s v="2"/>
    <s v="2"/>
    <s v="&gt; 2 ans"/>
    <s v="Feuillus"/>
    <s v="2"/>
    <s v="1 fois tous les 2 ans"/>
    <s v=""/>
    <s v="Poêle"/>
    <s v="1"/>
    <s v=""/>
    <s v="Chauffage d'appoint"/>
    <s v="Pas de réponse"/>
  </r>
  <r>
    <s v="VRB0513"/>
    <n v="3"/>
    <n v="2"/>
    <n v="8"/>
    <s v="50 à 64 ans"/>
    <n v="2"/>
    <x v="9"/>
    <n v="1"/>
    <n v="150"/>
    <s v="Avant 1949"/>
    <s v="1; 4"/>
    <s v="Ne sait pas"/>
    <x v="0"/>
    <s v="Foyer ouvert"/>
    <x v="1"/>
    <s v="3 à 4 jours/semaine"/>
    <s v="2"/>
    <s v="1996-2002"/>
    <s v="Bois bûche"/>
    <s v=""/>
    <s v="10"/>
    <s v="stères"/>
    <s v="2"/>
    <s v=""/>
    <s v="5"/>
    <s v="2"/>
    <s v="&gt; 2 ans"/>
    <s v="Feuillus"/>
    <s v="2"/>
    <s v="1 fois par an"/>
    <s v=""/>
    <s v="Poêle"/>
    <s v="1"/>
    <s v=""/>
    <s v="Chauffage de base"/>
    <s v="Pas de réponse"/>
  </r>
  <r>
    <s v="VRB0514"/>
    <n v="3"/>
    <n v="3"/>
    <n v="9"/>
    <s v="35 à 49 ans"/>
    <n v="1"/>
    <x v="3"/>
    <n v="1"/>
    <n v="90"/>
    <s v="1949-1975"/>
    <s v="1; 3; 4"/>
    <s v="Ne sait pas"/>
    <x v="0"/>
    <s v="Poêle"/>
    <x v="2"/>
    <s v="Moins de 15 fois par an"/>
    <s v="2; 6"/>
    <s v="Pas de réponse"/>
    <s v="Bois bûche"/>
    <s v=""/>
    <s v="8"/>
    <s v="stères"/>
    <s v="2"/>
    <s v=""/>
    <s v="5"/>
    <s v="3"/>
    <s v="Pas de réponse"/>
    <s v="Feuillus"/>
    <s v="2"/>
    <s v="Autre, à préciser"/>
    <s v="Fait l'année dernière"/>
    <s v="Poêle"/>
    <s v="1"/>
    <s v=""/>
    <s v="Chauffage de base"/>
    <s v="Pas de réponse"/>
  </r>
  <r>
    <s v="VRB0515"/>
    <n v="3"/>
    <n v="3"/>
    <n v="9"/>
    <s v="35 à 49 ans"/>
    <n v="1"/>
    <x v="6"/>
    <n v="1"/>
    <n v="100"/>
    <s v="Avant 1949"/>
    <s v="1; 3"/>
    <s v="Pas de réponse"/>
    <x v="1"/>
    <s v="Foyer ouvert"/>
    <x v="2"/>
    <s v="Moins de 15 fois par an"/>
    <s v="7"/>
    <s v="Avant 1990"/>
    <s v="Bois bûche"/>
    <s v=""/>
    <s v=""/>
    <s v=""/>
    <s v="1"/>
    <s v=""/>
    <s v="6"/>
    <s v="3"/>
    <s v="&gt; 2 ans"/>
    <s v="Feuillus"/>
    <s v="2"/>
    <s v="1 fois par an"/>
    <s v=""/>
    <s v="Poêle"/>
    <s v="1"/>
    <s v=""/>
    <s v="Chauffage de base"/>
    <s v="Pas de réponse"/>
  </r>
  <r>
    <s v="VRB0516"/>
    <n v="3"/>
    <n v="5"/>
    <n v="5"/>
    <s v="50 à 64 ans"/>
    <n v="3"/>
    <x v="8"/>
    <n v="1"/>
    <n v="120"/>
    <s v="1990-2005"/>
    <s v="6"/>
    <s v="Pas de réponse"/>
    <x v="0"/>
    <s v="Poêle"/>
    <x v="1"/>
    <s v="3 à 4 jours/semaine"/>
    <s v="2; 4; 6"/>
    <s v="Après 2002"/>
    <s v="Bois bûche"/>
    <s v=""/>
    <s v="4"/>
    <s v="stères"/>
    <s v="2"/>
    <s v=""/>
    <s v="5"/>
    <s v="2"/>
    <s v="1 à 2 ans"/>
    <s v="Feuillus"/>
    <s v="1"/>
    <s v="1 fois par an"/>
    <s v=""/>
    <s v="Poêle"/>
    <s v="1"/>
    <s v=""/>
    <s v="Chauffage d'appoint"/>
    <s v="Pas de réponse"/>
  </r>
  <r>
    <s v="VRB0517"/>
    <n v="3"/>
    <n v="7"/>
    <n v="7"/>
    <s v="65 ans et plus"/>
    <n v="2"/>
    <x v="1"/>
    <n v="1"/>
    <n v="150"/>
    <s v="Avant 1949"/>
    <s v="4"/>
    <s v="Pas de réponse"/>
    <x v="0"/>
    <s v="Foyer ouvert"/>
    <x v="1"/>
    <s v="1 à 2 jours/semaine"/>
    <s v="3; 4; 6"/>
    <s v="Avant 1990"/>
    <s v="Bois bûche"/>
    <s v=""/>
    <s v="6"/>
    <s v="stères"/>
    <s v="1"/>
    <s v=""/>
    <s v="1"/>
    <s v="2"/>
    <s v="&gt; 2 ans"/>
    <s v="Feuillus"/>
    <s v="1"/>
    <s v="1 fois par an"/>
    <s v=""/>
    <s v="Insert cheminée"/>
    <s v="1"/>
    <s v=""/>
    <s v="Chauffage de base"/>
    <s v="Pas de réponse"/>
  </r>
  <r>
    <s v="VRB0518"/>
    <n v="3"/>
    <n v="7"/>
    <n v="7"/>
    <s v="65 ans et plus"/>
    <n v="2"/>
    <x v="1"/>
    <n v="1"/>
    <n v="110"/>
    <s v="Après 2005"/>
    <s v="4"/>
    <s v="Pas de réponse"/>
    <x v="1"/>
    <s v="Insert / foyer fermé"/>
    <x v="1"/>
    <s v="Tous les jours"/>
    <s v="3; 6"/>
    <s v="1996-2002"/>
    <s v="Bois bûche"/>
    <s v=""/>
    <s v="5/6"/>
    <s v="stères"/>
    <s v="1"/>
    <s v=""/>
    <s v="5"/>
    <s v="2"/>
    <s v="1 à 2 ans"/>
    <s v="Feuillus"/>
    <s v="1"/>
    <s v="1 fois par an"/>
    <s v=""/>
    <s v="Poêle"/>
    <s v="1"/>
    <s v=""/>
    <s v="Chauffage de base"/>
    <s v="Pas de réponse"/>
  </r>
  <r>
    <s v="VRB0519"/>
    <n v="3"/>
    <n v="4"/>
    <n v="5"/>
    <s v="35 à 49 ans"/>
    <n v="4"/>
    <x v="1"/>
    <n v="1"/>
    <n v="101"/>
    <s v="1975-1990"/>
    <s v="4"/>
    <s v="Ne sait pas"/>
    <x v="0"/>
    <s v="Insert / foyer fermé"/>
    <x v="0"/>
    <s v="Tous les jours"/>
    <s v="1; 2; 3; 4; 5; 6"/>
    <s v="1996-2002"/>
    <s v="Bois bûche"/>
    <s v=""/>
    <s v="14"/>
    <s v="stères"/>
    <s v="2"/>
    <s v=""/>
    <s v="2"/>
    <s v="2"/>
    <s v="&gt; 2 ans"/>
    <s v="Feuillus"/>
    <s v="2"/>
    <s v="1 fois par an"/>
    <s v=""/>
    <s v="Insert cheminée"/>
    <s v="1"/>
    <s v=""/>
    <s v="Chauffage de base"/>
    <s v="Pas de réponse"/>
  </r>
  <r>
    <s v="VRB0520"/>
    <n v="3"/>
    <n v="2"/>
    <n v="3"/>
    <s v="35 à 49 ans"/>
    <n v="5"/>
    <x v="6"/>
    <n v="1"/>
    <n v="122"/>
    <s v="1949-1975"/>
    <s v="4"/>
    <s v="Pas de réponse"/>
    <x v="0"/>
    <s v="Insert / foyer fermé"/>
    <x v="0"/>
    <s v="Tous les jours"/>
    <s v="4; 5"/>
    <s v="1996-2002"/>
    <s v="Bois bûche"/>
    <s v=""/>
    <s v="10"/>
    <s v="stères"/>
    <s v="2"/>
    <s v=""/>
    <s v="6"/>
    <s v="2"/>
    <s v="&gt; 2 ans"/>
    <s v="Feuillus"/>
    <s v="1"/>
    <s v="2 fois par an"/>
    <s v=""/>
    <s v="Poêle"/>
    <s v="2"/>
    <s v=""/>
    <s v="Chauffage de base"/>
    <s v="Pas de réponse"/>
  </r>
  <r>
    <s v="VRB0521"/>
    <n v="3"/>
    <n v="3"/>
    <n v="5"/>
    <s v="50 à 64 ans"/>
    <n v="5"/>
    <x v="2"/>
    <n v="1"/>
    <n v="50"/>
    <s v="1949-1975"/>
    <s v="6"/>
    <s v="D"/>
    <x v="0"/>
    <s v="Foyer ouvert"/>
    <x v="2"/>
    <s v="Moins de 15 fois par an"/>
    <s v="6"/>
    <s v="Avant 1990"/>
    <s v="Bois bûche"/>
    <s v=""/>
    <s v=""/>
    <s v=""/>
    <s v="1"/>
    <s v=""/>
    <s v="2"/>
    <s v="2"/>
    <s v="&gt; 2 ans"/>
    <s v="Les deux"/>
    <s v="1"/>
    <s v="1 fois tous les 2 ans"/>
    <s v=""/>
    <s v="Poêle"/>
    <s v="1"/>
    <s v=""/>
    <s v="Chauffage de base"/>
    <s v="Pas de réponse"/>
  </r>
  <r>
    <s v="VRB0522"/>
    <n v="3"/>
    <n v="3"/>
    <n v="8"/>
    <s v="25 à 34 ans"/>
    <n v="3"/>
    <x v="3"/>
    <n v="1"/>
    <n v="80"/>
    <s v="1975-1990"/>
    <s v="6"/>
    <s v="E"/>
    <x v="0"/>
    <s v="Insert / foyer fermé"/>
    <x v="0"/>
    <s v="3 à 4 jours/semaine"/>
    <s v="6"/>
    <s v="Avant 1990"/>
    <s v="Bois bûche"/>
    <s v=""/>
    <s v=""/>
    <s v=""/>
    <s v="4"/>
    <s v=""/>
    <s v="5"/>
    <s v="2"/>
    <s v="&lt; 1 an"/>
    <s v="Les deux"/>
    <s v="2"/>
    <s v="1 fois par an"/>
    <s v=""/>
    <s v="Poêle"/>
    <s v="2"/>
    <s v=""/>
    <s v="Chauffage de base"/>
    <s v="Pas de réponse"/>
  </r>
  <r>
    <s v="VRB0523"/>
    <n v="3"/>
    <n v="7"/>
    <n v="7"/>
    <s v="65 ans et plus"/>
    <n v="2"/>
    <x v="1"/>
    <n v="1"/>
    <n v="90"/>
    <s v="1975-1990"/>
    <s v="1"/>
    <s v="Pas de réponse"/>
    <x v="0"/>
    <s v="Insert / foyer fermé"/>
    <x v="0"/>
    <s v="Tous les jours"/>
    <s v="4; 5"/>
    <s v="Avant 1990"/>
    <s v="Bois bûche"/>
    <s v=""/>
    <s v="15"/>
    <s v="stères"/>
    <s v="2"/>
    <s v=""/>
    <s v="1"/>
    <s v="2"/>
    <s v="1 à 2 ans"/>
    <s v="Feuillus"/>
    <s v="2"/>
    <s v="1 fois par an"/>
    <s v=""/>
    <s v="Poêle"/>
    <s v="1; 2"/>
    <s v="POELE MIXTE"/>
    <s v="Chauffage de base"/>
    <s v="Pas de réponse"/>
  </r>
  <r>
    <s v="VRB0524"/>
    <n v="3"/>
    <n v="4"/>
    <n v="8"/>
    <s v="35 à 49 ans"/>
    <n v="5"/>
    <x v="6"/>
    <n v="1"/>
    <n v="100"/>
    <s v="Avant 1949"/>
    <s v="1; 3"/>
    <s v="Pas de réponse"/>
    <x v="0"/>
    <s v="Foyer ouvert"/>
    <x v="1"/>
    <s v="1 à 2 jours/semaine"/>
    <s v="3"/>
    <s v="1996-2002"/>
    <s v="Bois bûche"/>
    <s v=""/>
    <s v="3"/>
    <s v="stères"/>
    <s v="2"/>
    <s v=""/>
    <s v="5"/>
    <s v="2"/>
    <s v="1 à 2 ans"/>
    <s v="Les deux"/>
    <s v="2"/>
    <s v="1 fois par an"/>
    <s v=""/>
    <s v="Insert cheminée"/>
    <s v="1"/>
    <s v=""/>
    <s v="Chauffage de base"/>
    <s v="Pas de réponse"/>
  </r>
  <r>
    <s v="VRB0525"/>
    <n v="3"/>
    <n v="7"/>
    <n v="3"/>
    <s v="50 à 64 ans"/>
    <n v="2"/>
    <x v="6"/>
    <n v="1"/>
    <n v="109"/>
    <s v="1990-2005"/>
    <s v="5"/>
    <s v="Ne sait pas"/>
    <x v="0"/>
    <s v="Foyer ouvert"/>
    <x v="0"/>
    <s v="Tous les jours"/>
    <s v="2; 3; 4; 6"/>
    <s v="1996-2002"/>
    <s v="Bois bûche"/>
    <s v=""/>
    <s v="12"/>
    <s v="stères"/>
    <s v="1"/>
    <s v=""/>
    <s v="1"/>
    <s v="2"/>
    <s v="1 à 2 ans"/>
    <s v="Feuillus"/>
    <s v="2"/>
    <s v="1 fois par an"/>
    <s v=""/>
    <s v="Poêle"/>
    <s v="1"/>
    <s v=""/>
    <s v="Chauffage de base"/>
    <s v="Pas de réponse"/>
  </r>
  <r>
    <s v="VRB0526"/>
    <n v="3"/>
    <n v="7"/>
    <n v="7"/>
    <s v="65 ans et plus"/>
    <n v="1"/>
    <x v="3"/>
    <n v="1"/>
    <n v="90"/>
    <s v="1949-1975"/>
    <s v="4"/>
    <s v="Pas de réponse"/>
    <x v="0"/>
    <s v="Cuisinière"/>
    <x v="1"/>
    <s v="3 à 4 jours/semaine"/>
    <s v="3; 4; 6"/>
    <s v="Avant 1990"/>
    <s v="Bois bûche"/>
    <s v=""/>
    <s v="3"/>
    <s v="stères"/>
    <s v="1; 2"/>
    <s v=""/>
    <s v="2"/>
    <s v="1"/>
    <s v="&gt; 2 ans"/>
    <s v="Feuillus"/>
    <s v="2"/>
    <s v="1 fois par an"/>
    <s v=""/>
    <s v="Poêle"/>
    <s v="1"/>
    <s v=""/>
    <s v="Chauffage d'appoint"/>
    <s v="Pas de réponse"/>
  </r>
  <r>
    <s v="VRB0527"/>
    <n v="3"/>
    <n v="7"/>
    <n v="9"/>
    <s v="65 ans et plus"/>
    <n v="1"/>
    <x v="3"/>
    <n v="1"/>
    <n v="140"/>
    <s v="1949-1975"/>
    <s v="6"/>
    <s v="Ne sait pas"/>
    <x v="0"/>
    <s v="Cuisinière"/>
    <x v="0"/>
    <s v="3 à 4 jours/semaine"/>
    <s v="3; 6"/>
    <s v="Avant 1990"/>
    <s v="Bois bûche"/>
    <s v=""/>
    <s v="7"/>
    <s v="stères"/>
    <s v="1"/>
    <s v=""/>
    <s v="2"/>
    <s v="1"/>
    <s v="1 à 2 ans"/>
    <s v="Les deux"/>
    <s v="2"/>
    <s v="1 fois par an"/>
    <s v=""/>
    <s v="Poêle"/>
    <s v="2"/>
    <s v=""/>
    <s v="Chauffage de base"/>
    <s v="Pas de réponse"/>
  </r>
  <r>
    <s v="VRB0528"/>
    <n v="3"/>
    <n v="7"/>
    <n v="7"/>
    <s v="65 ans et plus"/>
    <n v="2"/>
    <x v="5"/>
    <n v="1"/>
    <n v="91"/>
    <s v="1949-1975"/>
    <s v="1; 4"/>
    <s v="Pas de réponse"/>
    <x v="0"/>
    <s v="Foyer ouvert"/>
    <x v="1"/>
    <s v="3 à 4 jours/semaine"/>
    <s v="1; 2; 3; 6"/>
    <s v="Avant 1990"/>
    <s v="Bois bûche"/>
    <s v=""/>
    <s v="10"/>
    <s v="stères"/>
    <s v="2"/>
    <s v=""/>
    <s v="2"/>
    <s v="2"/>
    <s v="1 à 2 ans"/>
    <s v="Les deux"/>
    <s v="2"/>
    <s v="1 fois par an"/>
    <s v=""/>
    <s v="Poêle"/>
    <s v="1"/>
    <s v=""/>
    <s v="Chauffage d'appoint"/>
    <s v="Pas de réponse"/>
  </r>
  <r>
    <s v="VRB0529"/>
    <n v="3"/>
    <n v="5"/>
    <n v="6"/>
    <s v="35 à 49 ans"/>
    <n v="4"/>
    <x v="6"/>
    <n v="1"/>
    <n v="120"/>
    <s v="1975-1990"/>
    <s v="4"/>
    <s v="Pas de réponse"/>
    <x v="0"/>
    <s v="Foyer ouvert"/>
    <x v="1"/>
    <s v="Jamais"/>
    <s v="7"/>
    <s v="Avant 1990"/>
    <s v="Bois bûche"/>
    <s v=""/>
    <s v=""/>
    <s v=""/>
    <s v="1"/>
    <s v=""/>
    <s v="6"/>
    <s v="2"/>
    <s v="Pas de réponse"/>
    <s v="Pas de réponse"/>
    <s v="3"/>
    <s v="Autre, à préciser"/>
    <s v="peu utilisépour des raisons de secu et pollution"/>
    <s v="Poêle"/>
    <s v="1"/>
    <s v=""/>
    <s v="Chauffage de base"/>
    <s v="Pas de réponse"/>
  </r>
  <r>
    <s v="VRB0530"/>
    <n v="3"/>
    <n v="5"/>
    <n v="5"/>
    <s v="35 à 49 ans"/>
    <n v="3"/>
    <x v="2"/>
    <n v="1"/>
    <n v="160"/>
    <s v="Avant 1949"/>
    <s v="6"/>
    <s v="G"/>
    <x v="0"/>
    <s v="Foyer ouvert"/>
    <x v="0"/>
    <s v="Tous les jours"/>
    <s v="2"/>
    <s v="Avant 1990"/>
    <s v="Bois bûche"/>
    <s v=""/>
    <s v="4"/>
    <s v=""/>
    <s v="2"/>
    <s v=""/>
    <s v="5"/>
    <s v="2"/>
    <s v="&lt; 1 an"/>
    <s v="Les deux"/>
    <s v="2"/>
    <s v="1 fois tous les 2 ans"/>
    <s v=""/>
    <s v="Poêle"/>
    <s v="1"/>
    <s v=""/>
    <s v="Chauffage de base"/>
    <s v="Pas de réponse"/>
  </r>
  <r>
    <s v="VRB0531"/>
    <n v="3"/>
    <n v="5"/>
    <n v="5"/>
    <s v="25 à 34 ans"/>
    <n v="3"/>
    <x v="2"/>
    <n v="1"/>
    <n v="107"/>
    <s v="1975-1990"/>
    <s v="4"/>
    <s v="Pas de réponse"/>
    <x v="0"/>
    <s v="Foyer ouvert"/>
    <x v="2"/>
    <s v="Pas de réponse"/>
    <s v="7"/>
    <s v="Pas de réponse"/>
    <s v="Pas de réponse"/>
    <s v=""/>
    <s v=""/>
    <s v=""/>
    <s v="5"/>
    <s v=""/>
    <s v="6"/>
    <s v="4"/>
    <s v="Pas de réponse"/>
    <s v="Pas de réponse"/>
    <s v="3"/>
    <s v="Pas de réponse"/>
    <s v=""/>
    <s v="Poêle"/>
    <s v="2"/>
    <s v=""/>
    <s v="Chauffage de base"/>
    <s v="Pas de réponse"/>
  </r>
  <r>
    <s v="VRB0532"/>
    <n v="3"/>
    <n v="2"/>
    <n v="2"/>
    <s v="35 à 49 ans"/>
    <n v="6"/>
    <x v="4"/>
    <n v="1"/>
    <n v="140"/>
    <s v="Avant 1949"/>
    <s v="6"/>
    <s v="Pas de réponse"/>
    <x v="0"/>
    <s v="Foyer ouvert"/>
    <x v="1"/>
    <s v="3 à 4 jours/semaine"/>
    <s v="3"/>
    <s v="1996-2002"/>
    <s v="Bois bûche"/>
    <s v=""/>
    <s v="4"/>
    <s v=""/>
    <s v="1"/>
    <s v=""/>
    <s v="5"/>
    <s v="2"/>
    <s v="&gt; 2 ans"/>
    <s v="Pas de réponse"/>
    <s v="2"/>
    <s v="1 fois par an"/>
    <s v=""/>
    <s v="Insert cheminée"/>
    <s v="1"/>
    <s v=""/>
    <s v="Chauffage d'appoint"/>
    <s v="Pas de réponse"/>
  </r>
  <r>
    <s v="VRB0533"/>
    <n v="3"/>
    <n v="7"/>
    <n v="7"/>
    <s v="65 ans et plus"/>
    <n v="2"/>
    <x v="8"/>
    <n v="1"/>
    <n v="150"/>
    <s v="1975-1990"/>
    <s v="4"/>
    <s v="Pas de réponse"/>
    <x v="0"/>
    <s v="Foyer ouvert"/>
    <x v="1"/>
    <s v="1 à 3 jours/mois"/>
    <s v="4; 6"/>
    <s v="Avant 1990"/>
    <s v="Bois bûche"/>
    <s v=""/>
    <s v="2"/>
    <s v="stères"/>
    <s v="2"/>
    <s v=""/>
    <s v="5"/>
    <s v="2"/>
    <s v="&gt; 2 ans"/>
    <s v="Feuillus"/>
    <s v="2"/>
    <s v="1 fois par an"/>
    <s v=""/>
    <s v="Poêle"/>
    <s v="1"/>
    <s v=""/>
    <s v="Chauffage d'appoint"/>
    <s v="Pas de réponse"/>
  </r>
  <r>
    <s v="VRB0534"/>
    <n v="2"/>
    <n v="7"/>
    <n v="7"/>
    <s v="65 ans et plus"/>
    <n v="2"/>
    <x v="9"/>
    <n v="1"/>
    <n v="130"/>
    <s v="Avant 1949"/>
    <s v="1; 2"/>
    <s v="Pas de réponse"/>
    <x v="0"/>
    <s v="Foyer ouvert"/>
    <x v="1"/>
    <s v="1 à 2 jours/semaine"/>
    <s v="4; 6"/>
    <s v="Avant 1990"/>
    <s v="Bois bûche"/>
    <s v=""/>
    <s v="6"/>
    <s v="stères"/>
    <s v="2"/>
    <s v=""/>
    <s v="2"/>
    <s v="2"/>
    <s v="&gt; 2 ans"/>
    <s v="Feuillus"/>
    <s v="2"/>
    <s v="1 fois par an"/>
    <s v=""/>
    <s v="Insert cheminée"/>
    <s v="1"/>
    <s v=""/>
    <s v="Chauffage d'appoint"/>
    <s v="Pas de réponse"/>
  </r>
  <r>
    <s v="VRB0535"/>
    <n v="3"/>
    <n v="7"/>
    <n v="9"/>
    <s v="65 ans et plus"/>
    <n v="1"/>
    <x v="3"/>
    <n v="1"/>
    <n v="150"/>
    <s v="1990-2005"/>
    <s v="4"/>
    <s v="Pas de réponse"/>
    <x v="0"/>
    <s v="Poêle"/>
    <x v="1"/>
    <s v="Tous les jours"/>
    <s v="1; 2; 3; 4; 6"/>
    <s v="1990-1995"/>
    <s v="Bois bûche"/>
    <s v=""/>
    <s v="6"/>
    <s v="stères"/>
    <s v="2"/>
    <s v=""/>
    <s v="5"/>
    <s v="2; 3"/>
    <s v="1 à 2 ans"/>
    <s v="Les deux"/>
    <s v="2"/>
    <s v="1 fois par an"/>
    <s v=""/>
    <s v="Poêle"/>
    <s v="1"/>
    <s v=""/>
    <s v="Chauffage d'appoint"/>
    <s v="Pas de réponse"/>
  </r>
  <r>
    <s v="VRB0536"/>
    <n v="1"/>
    <n v="7"/>
    <n v="7"/>
    <s v="65 ans et plus"/>
    <n v="2"/>
    <x v="1"/>
    <n v="1"/>
    <n v="125"/>
    <s v="1975-1990"/>
    <s v="6"/>
    <s v="Pas de réponse"/>
    <x v="0"/>
    <s v="Insert / foyer fermé"/>
    <x v="0"/>
    <s v="3 à 4 jours/semaine"/>
    <s v="4; 5"/>
    <s v="1996-2002"/>
    <s v="Bois bûche"/>
    <s v=""/>
    <s v="4/5"/>
    <s v="stères"/>
    <s v="2"/>
    <s v=""/>
    <s v="2"/>
    <s v="2"/>
    <s v="&gt; 2 ans"/>
    <s v="Feuillus"/>
    <s v="2"/>
    <s v="1 fois par an"/>
    <s v=""/>
    <s v="Poêle"/>
    <s v="1"/>
    <s v=""/>
    <s v="Chauffage de base"/>
    <s v="Pas de réponse"/>
  </r>
  <r>
    <s v="VRB0537"/>
    <n v="3"/>
    <n v="7"/>
    <n v="7"/>
    <s v="65 ans et plus"/>
    <n v="2"/>
    <x v="5"/>
    <n v="1"/>
    <n v="100"/>
    <s v="1975-1990"/>
    <s v="1"/>
    <s v="Pas de réponse"/>
    <x v="0"/>
    <s v="Poêle"/>
    <x v="0"/>
    <s v="Tous les jours"/>
    <s v="3; 4; 6"/>
    <s v="Avant 1990"/>
    <s v="Bois bûche"/>
    <s v=""/>
    <s v="12"/>
    <s v="m3"/>
    <s v="2"/>
    <s v=""/>
    <s v="2"/>
    <s v="2"/>
    <s v="&gt; 2 ans"/>
    <s v="Feuillus"/>
    <s v="1"/>
    <s v="Autre, à préciser"/>
    <s v="3 Fois par defaut"/>
    <s v="Poêle"/>
    <s v="2"/>
    <s v=""/>
    <s v="Chauffage de base"/>
    <s v="Pas de réponse"/>
  </r>
  <r>
    <s v="VRB0538"/>
    <n v="3"/>
    <n v="7"/>
    <n v="7"/>
    <s v="65 ans et plus"/>
    <n v="2"/>
    <x v="5"/>
    <n v="1"/>
    <n v="138"/>
    <s v="1975-1990"/>
    <s v="6"/>
    <s v="F"/>
    <x v="0"/>
    <s v="Insert / foyer fermé"/>
    <x v="0"/>
    <s v="Tous les jours"/>
    <s v="4; 5"/>
    <s v="Avant 1990"/>
    <s v="Bois bûche"/>
    <s v=""/>
    <s v="10"/>
    <s v="stères"/>
    <s v="3"/>
    <s v=""/>
    <s v="2"/>
    <s v="2"/>
    <s v="1 à 2 ans"/>
    <s v="Pas de réponse"/>
    <s v="1"/>
    <s v="2 fois par an"/>
    <s v=""/>
    <s v="Insert cheminée"/>
    <s v="2"/>
    <s v=""/>
    <s v="Chauffage de base"/>
    <s v="Pas de réponse"/>
  </r>
  <r>
    <s v="VRB0539"/>
    <n v="3"/>
    <n v="7"/>
    <n v="9"/>
    <s v="65 ans et plus"/>
    <n v="1"/>
    <x v="3"/>
    <n v="1"/>
    <n v="60"/>
    <s v="1975-1990"/>
    <s v="6"/>
    <s v="Pas de réponse"/>
    <x v="0"/>
    <s v="Foyer ouvert"/>
    <x v="1"/>
    <s v="Tous les jours"/>
    <s v="7"/>
    <s v="Pas de réponse"/>
    <s v="Bois bûche"/>
    <s v=""/>
    <s v=""/>
    <s v=""/>
    <s v="1"/>
    <s v=""/>
    <s v="6"/>
    <s v="2"/>
    <s v="1 à 2 ans"/>
    <s v="Feuillus"/>
    <s v="1"/>
    <s v="1 fois par an"/>
    <s v=""/>
    <s v="Pas de réponse"/>
    <s v="2"/>
    <s v=""/>
    <s v="Chauffage de base"/>
    <s v="Pas de réponse"/>
  </r>
  <r>
    <s v="VRB0541"/>
    <n v="3"/>
    <n v="3"/>
    <n v="3"/>
    <s v="25 à 34 ans"/>
    <n v="4"/>
    <x v="3"/>
    <n v="1"/>
    <n v="133"/>
    <s v="1990-2005"/>
    <s v="4"/>
    <s v="D"/>
    <x v="0"/>
    <s v="Poêle"/>
    <x v="1"/>
    <s v="3 à 4 jours/semaine"/>
    <s v="1; 2"/>
    <s v="1996-2002"/>
    <s v="Bois bûche"/>
    <s v=""/>
    <s v="2"/>
    <s v="stères"/>
    <s v="1"/>
    <s v=""/>
    <s v="2"/>
    <s v="2"/>
    <s v="1 à 2 ans"/>
    <s v="Les deux"/>
    <s v="2"/>
    <s v="1 fois par an"/>
    <s v=""/>
    <s v="Poêle"/>
    <s v="1"/>
    <s v=""/>
    <s v="Chauffage de base"/>
    <s v="Pas de réponse"/>
  </r>
  <r>
    <s v="VRB0542"/>
    <n v="3"/>
    <n v="3"/>
    <n v="2"/>
    <s v="35 à 49 ans"/>
    <n v="4"/>
    <x v="2"/>
    <n v="1"/>
    <n v="120"/>
    <s v="1975-1990"/>
    <s v="1"/>
    <s v="Ne sait pas"/>
    <x v="0"/>
    <s v="Foyer ouvert"/>
    <x v="1"/>
    <s v="1 à 2 jours/semaine"/>
    <s v="2; 3; 6"/>
    <s v="Avant 1990"/>
    <s v="Bois bûche"/>
    <s v=""/>
    <s v="2"/>
    <s v="stères"/>
    <s v="1"/>
    <s v=""/>
    <s v="5"/>
    <s v="1"/>
    <s v="1 à 2 ans"/>
    <s v="Les deux"/>
    <s v="1"/>
    <s v="2 fois par an"/>
    <s v=""/>
    <s v="Poêle"/>
    <s v="2"/>
    <s v=""/>
    <s v="Chauffage de base"/>
    <s v="Pas de réponse"/>
  </r>
  <r>
    <s v="VRB0543"/>
    <n v="3"/>
    <n v="7"/>
    <n v="7"/>
    <s v="65 ans et plus"/>
    <n v="2"/>
    <x v="3"/>
    <n v="1"/>
    <n v="80"/>
    <s v="1949-1975"/>
    <s v="6"/>
    <s v="Pas de réponse"/>
    <x v="0"/>
    <s v="Cuisinière"/>
    <x v="0"/>
    <s v="Tous les jours"/>
    <s v="4; 6"/>
    <s v="Avant 1990"/>
    <s v="Bois bûche"/>
    <s v=""/>
    <s v="12"/>
    <s v="stères"/>
    <s v="2"/>
    <s v=""/>
    <s v="2"/>
    <s v="2"/>
    <s v="1 à 2 ans"/>
    <s v="Les deux"/>
    <s v="2"/>
    <s v="1 fois par an"/>
    <s v=""/>
    <s v="Cuisinière"/>
    <s v="1"/>
    <s v=""/>
    <s v="Chauffage de base"/>
    <s v="Pas de réponse"/>
  </r>
  <r>
    <s v="VRB0545"/>
    <n v="3"/>
    <n v="8"/>
    <n v="3"/>
    <s v="35 à 49 ans"/>
    <n v="4"/>
    <x v="6"/>
    <n v="1"/>
    <n v="180"/>
    <s v="1949-1975"/>
    <s v="5"/>
    <s v="Pas de réponse"/>
    <x v="0"/>
    <s v="Insert / foyer fermé"/>
    <x v="0"/>
    <s v="Tous les jours"/>
    <s v="2; 4; 6"/>
    <s v="Avant 1990"/>
    <s v="Bois bûche"/>
    <s v=""/>
    <s v="12"/>
    <s v="stères"/>
    <s v="2"/>
    <s v=""/>
    <s v="2"/>
    <s v="1; 2"/>
    <s v="1 à 2 ans"/>
    <s v="Feuillus"/>
    <s v="2"/>
    <s v="1 fois par an"/>
    <s v=""/>
    <s v="Insert cheminée"/>
    <s v="1"/>
    <s v=""/>
    <s v="Chauffage de base"/>
    <s v="Pas de réponse"/>
  </r>
  <r>
    <s v="VRB0546"/>
    <n v="3"/>
    <n v="7"/>
    <n v="9"/>
    <s v="65 ans et plus"/>
    <n v="1"/>
    <x v="3"/>
    <n v="1"/>
    <n v="110"/>
    <s v="1990-2005"/>
    <s v="6"/>
    <s v="Pas de réponse"/>
    <x v="0"/>
    <s v="Insert / foyer fermé"/>
    <x v="1"/>
    <s v="Tous les jours"/>
    <s v="4; 6"/>
    <s v="1990-1995"/>
    <s v="Bois bûche"/>
    <s v=""/>
    <s v="10"/>
    <s v="stères"/>
    <s v="1"/>
    <s v=""/>
    <s v="3"/>
    <s v="2"/>
    <s v="&gt; 2 ans"/>
    <s v="Feuillus"/>
    <s v="1"/>
    <s v="1 fois par an"/>
    <s v=""/>
    <s v="Poêle"/>
    <s v="1"/>
    <s v=""/>
    <s v="Chauffage de base"/>
    <s v="Pas de réponse"/>
  </r>
  <r>
    <s v="VRB0547"/>
    <n v="3"/>
    <n v="7"/>
    <n v="7"/>
    <s v="65 ans et plus"/>
    <n v="2"/>
    <x v="1"/>
    <n v="1"/>
    <n v="150"/>
    <s v="1975-1990"/>
    <s v="6"/>
    <s v="Pas de réponse"/>
    <x v="0"/>
    <s v="Insert / foyer fermé"/>
    <x v="1"/>
    <s v="Tous les jours"/>
    <s v="3; 4; 5; 6"/>
    <s v="Avant 1990"/>
    <s v="Bois bûche"/>
    <s v=""/>
    <s v="10"/>
    <s v="stère"/>
    <s v="1"/>
    <s v=""/>
    <s v="1"/>
    <s v="2"/>
    <s v="&gt; 2 ans"/>
    <s v="Feuillus"/>
    <s v="1"/>
    <s v="2 fois par an"/>
    <s v=""/>
    <s v="Poêle"/>
    <s v="1"/>
    <s v=""/>
    <s v="Chauffage d'appoint"/>
    <s v="Pas de réponse"/>
  </r>
  <r>
    <s v="VRB0548"/>
    <n v="3"/>
    <n v="7"/>
    <n v="7"/>
    <s v="65 ans et plus"/>
    <n v="2"/>
    <x v="9"/>
    <n v="1"/>
    <n v="100"/>
    <s v="1990-2005"/>
    <s v="6"/>
    <s v="Pas de réponse"/>
    <x v="0"/>
    <s v="Foyer ouvert"/>
    <x v="1"/>
    <s v="3 à 4 jours/semaine"/>
    <s v="2"/>
    <s v="1996-2002"/>
    <s v="Bois bûche"/>
    <s v=""/>
    <s v="3/4"/>
    <s v="stères"/>
    <s v="2"/>
    <s v=""/>
    <s v="2"/>
    <s v="2"/>
    <s v="&gt; 2 ans"/>
    <s v="Feuillus"/>
    <s v="2"/>
    <s v="1 fois tous les 2 ans"/>
    <s v=""/>
    <s v="Insert cheminée"/>
    <s v="1"/>
    <s v=""/>
    <s v="Chauffage d'appoint"/>
    <s v="Pas de réponse"/>
  </r>
  <r>
    <s v="VRB0549"/>
    <n v="3"/>
    <n v="7"/>
    <n v="7"/>
    <s v="65 ans et plus"/>
    <n v="2"/>
    <x v="6"/>
    <n v="1"/>
    <n v="85"/>
    <s v="1975-1990"/>
    <s v="6"/>
    <s v="Pas de réponse"/>
    <x v="0"/>
    <s v="Foyer ouvert"/>
    <x v="1"/>
    <s v="3 à 4 jours/semaine"/>
    <s v="4; 6"/>
    <s v="Avant 1990"/>
    <s v="Bois bûche"/>
    <s v=""/>
    <s v="2"/>
    <s v="stères"/>
    <s v="2"/>
    <s v=""/>
    <s v="6"/>
    <s v="1"/>
    <s v="1 à 2 ans"/>
    <s v="Feuillus"/>
    <s v="2"/>
    <s v="1 fois par an"/>
    <s v=""/>
    <s v="Insert cheminée"/>
    <s v="1"/>
    <s v=""/>
    <s v="Chauffage de base"/>
    <s v="Pas de réponse"/>
  </r>
  <r>
    <s v="VRB0550"/>
    <n v="3"/>
    <n v="3"/>
    <n v="9"/>
    <s v="50 à 64 ans"/>
    <n v="3"/>
    <x v="7"/>
    <n v="1"/>
    <n v="90"/>
    <s v="1949-1975"/>
    <s v="1; 4"/>
    <s v="Pas de réponse"/>
    <x v="0"/>
    <s v="Insert / foyer fermé"/>
    <x v="1"/>
    <s v="Moins de 15 fois par an"/>
    <s v="2"/>
    <s v="Avant 1990"/>
    <s v="Bois bûche"/>
    <s v=""/>
    <s v="INCONNU"/>
    <s v=""/>
    <s v="2"/>
    <s v=""/>
    <s v="5"/>
    <s v="2"/>
    <s v="1 à 2 ans"/>
    <s v="Feuillus"/>
    <s v="2"/>
    <s v="1 fois par an"/>
    <s v=""/>
    <s v="Poêle"/>
    <s v="2"/>
    <s v=""/>
    <s v="Chauffage de base"/>
    <s v="Pas de réponse"/>
  </r>
  <r>
    <s v="VRB0551"/>
    <n v="3"/>
    <n v="7"/>
    <n v="9"/>
    <s v="65 ans et plus"/>
    <n v="1"/>
    <x v="3"/>
    <n v="1"/>
    <n v="85"/>
    <s v="1975-1990"/>
    <s v="6"/>
    <s v="Pas de réponse"/>
    <x v="0"/>
    <s v="Insert / foyer fermé"/>
    <x v="1"/>
    <s v="Tous les jours"/>
    <s v="4"/>
    <s v="1990-1995"/>
    <s v="Bois bûche"/>
    <s v=""/>
    <s v="5"/>
    <s v="stères"/>
    <s v="2"/>
    <s v=""/>
    <s v="5"/>
    <s v="2"/>
    <s v="&gt; 2 ans"/>
    <s v="Feuillus"/>
    <s v="2"/>
    <s v="1 fois par an"/>
    <s v=""/>
    <s v="Poêle"/>
    <s v="1"/>
    <s v=""/>
    <s v="Chauffage d'appoint"/>
    <s v="Pas de réponse"/>
  </r>
  <r>
    <s v="VRB0552"/>
    <n v="3"/>
    <n v="2"/>
    <n v="3"/>
    <s v="25 à 34 ans"/>
    <n v="2"/>
    <x v="7"/>
    <n v="1"/>
    <n v="100"/>
    <s v="Avant 1949"/>
    <s v="1; 4"/>
    <s v="F"/>
    <x v="0"/>
    <s v="Insert / foyer fermé"/>
    <x v="2"/>
    <s v="Moins de 15 fois par an"/>
    <s v="6"/>
    <s v="1996-2002"/>
    <s v="Bois bûche"/>
    <s v=""/>
    <s v="Inconnu"/>
    <s v=""/>
    <s v="2"/>
    <s v=""/>
    <s v="5"/>
    <s v="2"/>
    <s v="Ne sait pas"/>
    <s v="Ne sait pas"/>
    <s v="2"/>
    <s v="1 fois par an"/>
    <s v=""/>
    <s v="Poêle"/>
    <s v="1; 2"/>
    <s v=""/>
    <s v="Chauffage de base"/>
    <s v="Pas de réponse"/>
  </r>
  <r>
    <s v="VRB0553"/>
    <n v="3"/>
    <n v="6"/>
    <n v="6"/>
    <s v="35 à 49 ans"/>
    <n v="5"/>
    <x v="9"/>
    <n v="1"/>
    <n v="173"/>
    <s v="1990-2005"/>
    <s v="2; 4"/>
    <s v="Pas de réponse"/>
    <x v="0"/>
    <s v="Insert / foyer fermé"/>
    <x v="2"/>
    <s v="Moins de 15 fois par an"/>
    <s v="6"/>
    <s v="1990-1995"/>
    <s v="Bois bûche"/>
    <s v=""/>
    <s v="1"/>
    <s v="stère"/>
    <s v="3"/>
    <s v=""/>
    <s v="5"/>
    <s v="3"/>
    <s v="Pas de réponse"/>
    <s v="Feuillus"/>
    <s v="2"/>
    <s v="1 fois par an"/>
    <s v=""/>
    <s v="Poêle"/>
    <s v="1"/>
    <s v=""/>
    <s v="Chauffage de base"/>
    <s v="Pas de réponse"/>
  </r>
  <r>
    <s v="VRB0554"/>
    <n v="3"/>
    <n v="7"/>
    <n v="7"/>
    <s v="65 ans et plus"/>
    <n v="2"/>
    <x v="6"/>
    <n v="1"/>
    <n v="110"/>
    <s v="1975-1990"/>
    <s v="6"/>
    <s v="Pas de réponse"/>
    <x v="0"/>
    <s v="Foyer ouvert"/>
    <x v="1"/>
    <s v="3 à 4 jours/semaine"/>
    <s v="2; 3"/>
    <s v="Avant 1990"/>
    <s v="Bois de récupération, à préciser"/>
    <s v="Bois personnel"/>
    <s v="6"/>
    <s v="stères"/>
    <s v="1"/>
    <s v=""/>
    <s v="6"/>
    <s v="1; 2"/>
    <s v="&gt; 2 ans"/>
    <s v="Les deux"/>
    <s v="1"/>
    <s v="1 fois par an"/>
    <s v=""/>
    <s v="Insert cheminée"/>
    <s v="1"/>
    <s v=""/>
    <s v="Chauffage de base"/>
    <s v="Pas de réponse"/>
  </r>
  <r>
    <s v="VRB0555"/>
    <n v="3"/>
    <n v="5"/>
    <n v="9"/>
    <s v="50 à 64 ans"/>
    <n v="1"/>
    <x v="8"/>
    <n v="1"/>
    <n v="150"/>
    <s v="1975-1990"/>
    <s v="1; 4"/>
    <s v="Pas de réponse"/>
    <x v="0"/>
    <s v="Insert / foyer fermé"/>
    <x v="1"/>
    <s v="1 à 3 jours/mois"/>
    <s v="2; 4; 6"/>
    <s v="Avant 1990"/>
    <s v="Bois bûche"/>
    <s v=""/>
    <s v="1"/>
    <s v="stère"/>
    <s v="1"/>
    <s v=""/>
    <s v="5"/>
    <s v="1; 2"/>
    <s v="&gt; 2 ans"/>
    <s v="Les deux"/>
    <s v="2"/>
    <s v="1 fois tous les 2 ans"/>
    <s v=""/>
    <s v="Poêle"/>
    <s v="1"/>
    <s v=""/>
    <s v="Chauffage d'appoint"/>
    <s v="Pas de réponse"/>
  </r>
  <r>
    <s v="VRB0556"/>
    <n v="3"/>
    <n v="7"/>
    <n v="7"/>
    <s v="65 ans et plus"/>
    <n v="2"/>
    <x v="1"/>
    <n v="1"/>
    <n v="120"/>
    <s v="1975-1990"/>
    <s v="3"/>
    <s v="Pas de réponse"/>
    <x v="0"/>
    <s v="Foyer ouvert"/>
    <x v="1"/>
    <s v="3 à 4 jours/semaine"/>
    <s v="2; 6"/>
    <s v="Avant 1990"/>
    <s v="Bois bûche"/>
    <s v=""/>
    <s v="1"/>
    <s v="stère"/>
    <s v="2"/>
    <s v=""/>
    <s v="1"/>
    <s v="1"/>
    <s v="&gt; 2 ans"/>
    <s v="Les deux"/>
    <s v="2"/>
    <s v="1 fois par an"/>
    <s v=""/>
    <s v="Insert cheminée"/>
    <s v="1"/>
    <s v=""/>
    <s v="Chauffage d'appoint"/>
    <s v="Pas de réponse"/>
  </r>
  <r>
    <s v="VRB0557"/>
    <n v="3"/>
    <n v="7"/>
    <n v="7"/>
    <s v="65 ans et plus"/>
    <n v="1"/>
    <x v="7"/>
    <n v="1"/>
    <n v="110"/>
    <s v="1975-1990"/>
    <s v="1"/>
    <s v="Pas de réponse"/>
    <x v="0"/>
    <s v="Foyer ouvert"/>
    <x v="1"/>
    <s v="3 à 4 jours/semaine"/>
    <s v="2; 6"/>
    <s v="Avant 1990"/>
    <s v="Bois bûche"/>
    <s v=""/>
    <s v="3"/>
    <s v=""/>
    <s v="2"/>
    <s v=""/>
    <s v="6"/>
    <s v="2"/>
    <s v="1 à 2 ans"/>
    <s v="Feuillus"/>
    <s v="2"/>
    <s v="1 fois par an"/>
    <s v=""/>
    <s v="Insert cheminée"/>
    <s v="1"/>
    <s v=""/>
    <s v="Chauffage d'appoint"/>
    <s v="Pas de réponse"/>
  </r>
  <r>
    <s v="VRB0558"/>
    <n v="3"/>
    <n v="7"/>
    <n v="9"/>
    <s v="65 ans et plus"/>
    <n v="1"/>
    <x v="3"/>
    <n v="1"/>
    <n v="150"/>
    <s v="1975-1990"/>
    <s v="6"/>
    <s v="Pas de réponse"/>
    <x v="0"/>
    <s v="Foyer ouvert"/>
    <x v="0"/>
    <s v="3 à 4 jours/semaine"/>
    <s v="4"/>
    <s v="Avant 1990"/>
    <s v="Bois bûche"/>
    <s v=""/>
    <s v="4/5"/>
    <s v=""/>
    <s v="4"/>
    <s v=""/>
    <s v="5"/>
    <s v="2"/>
    <s v="Pas de réponse"/>
    <s v="Feuillus"/>
    <s v="1"/>
    <s v="1 fois par an"/>
    <s v=""/>
    <s v="Poêle"/>
    <s v="1"/>
    <s v=""/>
    <s v="Chauffage de base"/>
    <s v="Pas de réponse"/>
  </r>
  <r>
    <s v="VRB0559"/>
    <n v="3"/>
    <n v="3"/>
    <n v="9"/>
    <s v="25 à 34 ans"/>
    <n v="1"/>
    <x v="3"/>
    <n v="1"/>
    <n v="120"/>
    <s v="Avant 1949"/>
    <s v="1"/>
    <s v="F"/>
    <x v="0"/>
    <s v="Poêle"/>
    <x v="1"/>
    <s v="Tous les jours"/>
    <s v="2; 3; 4; 6"/>
    <s v="1990-1995"/>
    <s v="Bois bûche"/>
    <s v=""/>
    <s v="environ 900"/>
    <s v=""/>
    <s v="1"/>
    <s v=""/>
    <s v="2"/>
    <s v="2"/>
    <s v="&gt; 2 ans"/>
    <s v="Les deux"/>
    <s v="2"/>
    <s v="1 fois par an"/>
    <s v=""/>
    <s v="Poêle"/>
    <s v="1"/>
    <s v=""/>
    <s v="Chauffage d'appoint"/>
    <s v="Pas de réponse"/>
  </r>
  <r>
    <s v="VRB0560"/>
    <n v="3"/>
    <n v="4"/>
    <n v="4"/>
    <s v="50 à 64 ans"/>
    <n v="4"/>
    <x v="2"/>
    <n v="1"/>
    <n v="120"/>
    <s v="Avant 1949"/>
    <s v="6"/>
    <s v="Pas de réponse"/>
    <x v="0"/>
    <s v="Insert / foyer fermé"/>
    <x v="0"/>
    <s v="Tous les jours"/>
    <s v="2; 3"/>
    <s v="1996-2002"/>
    <s v="Bois bûche"/>
    <s v=""/>
    <s v="10"/>
    <s v="stère"/>
    <s v="1"/>
    <s v=""/>
    <s v="1"/>
    <s v="2"/>
    <s v="&gt; 2 ans"/>
    <s v="Feuillus"/>
    <s v="1"/>
    <s v="2 fois par an"/>
    <s v=""/>
    <s v="Poêle"/>
    <s v="1"/>
    <s v=""/>
    <s v="Chauffage de base"/>
    <s v="Pas de réponse"/>
  </r>
  <r>
    <s v="VRB0561"/>
    <n v="3"/>
    <n v="1"/>
    <n v="3"/>
    <s v="25 à 34 ans"/>
    <n v="2"/>
    <x v="3"/>
    <n v="1"/>
    <n v="150"/>
    <s v="Avant 1949"/>
    <s v="6"/>
    <s v="Pas de réponse"/>
    <x v="0"/>
    <s v="Insert / foyer fermé"/>
    <x v="1"/>
    <s v="Moins de 15 fois par an"/>
    <s v="2"/>
    <s v="Avant 1990"/>
    <s v="Bois bûche"/>
    <s v=""/>
    <s v="6"/>
    <s v="stères"/>
    <s v="1"/>
    <s v=""/>
    <s v="3"/>
    <s v="1"/>
    <s v="&lt; 1 an"/>
    <s v="Feuillus"/>
    <s v="2"/>
    <s v="1 fois par an"/>
    <s v=""/>
    <s v="Poêle"/>
    <s v="1"/>
    <s v=""/>
    <s v="Chauffage de base"/>
    <s v="Pas de réponse"/>
  </r>
  <r>
    <s v="VRB0562"/>
    <n v="3"/>
    <n v="5"/>
    <n v="7"/>
    <s v="50 à 64 ans"/>
    <n v="2"/>
    <x v="2"/>
    <n v="1"/>
    <n v="150"/>
    <s v="Avant 1949"/>
    <s v="1; 4"/>
    <s v="Pas de réponse"/>
    <x v="0"/>
    <s v="Foyer ouvert"/>
    <x v="1"/>
    <s v="Tous les jours"/>
    <s v="2; 4; 6"/>
    <s v="Avant 1990"/>
    <s v="Bois bûche"/>
    <s v=""/>
    <s v="5"/>
    <s v="stères"/>
    <s v="2"/>
    <s v=""/>
    <s v="5"/>
    <s v="2"/>
    <s v="&gt; 2 ans"/>
    <s v="Feuillus"/>
    <s v="2"/>
    <s v="1 fois par an"/>
    <s v=""/>
    <s v="Poêle"/>
    <s v="1"/>
    <s v=""/>
    <s v="Chauffage d'appoint"/>
    <s v="Pas de réponse"/>
  </r>
  <r>
    <s v="VRB0563"/>
    <n v="3"/>
    <n v="2"/>
    <n v="3"/>
    <s v="50 à 64 ans"/>
    <n v="3"/>
    <x v="8"/>
    <n v="1"/>
    <n v="150"/>
    <s v="Avant 1949"/>
    <s v="6"/>
    <s v="Pas de réponse"/>
    <x v="0"/>
    <s v="Foyer ouvert"/>
    <x v="2"/>
    <s v="Moins de 15 fois par an"/>
    <s v="3"/>
    <s v="Avant 1990"/>
    <s v="Bois bûche"/>
    <s v=""/>
    <s v="0,7"/>
    <s v="stère"/>
    <s v="1"/>
    <s v=""/>
    <s v="5"/>
    <s v="2"/>
    <s v="&lt; 1 an"/>
    <s v="Les deux"/>
    <s v="2"/>
    <s v="1 fois par an"/>
    <s v=""/>
    <s v="Poêle"/>
    <s v="1"/>
    <s v=""/>
    <s v="Chauffage d'appoint"/>
    <s v="Pas de réponse"/>
  </r>
  <r>
    <s v="VRB0564"/>
    <n v="3"/>
    <n v="7"/>
    <n v="7"/>
    <s v="50 à 64 ans"/>
    <n v="2"/>
    <x v="3"/>
    <n v="1"/>
    <n v="60"/>
    <s v="1949-1975"/>
    <s v="6"/>
    <s v="Pas de réponse"/>
    <x v="0"/>
    <s v="Poêle"/>
    <x v="0"/>
    <s v="Tous les jours"/>
    <s v="1; 2; 4"/>
    <s v="1996-2002"/>
    <s v="Bois de récupération, à préciser"/>
    <s v="Menuisier"/>
    <s v="10"/>
    <s v="stère"/>
    <s v="1"/>
    <s v=""/>
    <s v="5"/>
    <s v="2"/>
    <s v="&gt; 2 ans"/>
    <s v="Les deux"/>
    <s v="1"/>
    <s v="2 fois par an"/>
    <s v=""/>
    <s v="Poêle"/>
    <s v="2"/>
    <s v=""/>
    <s v="Chauffage de base"/>
    <s v="Pas de réponse"/>
  </r>
  <r>
    <s v="G0564"/>
    <n v="2"/>
    <n v="3"/>
    <n v="3"/>
    <s v="35 à 49 ans"/>
    <n v="3"/>
    <x v="6"/>
    <n v="1"/>
    <n v="75"/>
    <s v="Avant 1949"/>
    <s v="6"/>
    <s v="Pas de réponse"/>
    <x v="0"/>
    <s v="Poêle"/>
    <x v="1"/>
    <s v="3 à 4 jours/semaine"/>
    <s v="2; 5; 6"/>
    <s v="Après 2002"/>
    <s v="Bois bûche"/>
    <s v=""/>
    <s v="5"/>
    <s v="m3"/>
    <s v="2"/>
    <s v=""/>
    <s v="1"/>
    <s v="2"/>
    <s v="&lt; 1 an"/>
    <s v="Ne sait pas"/>
    <s v="2"/>
    <s v="1 fois par an"/>
    <s v=""/>
    <s v="Poêle"/>
    <s v="2"/>
    <s v=""/>
    <s v="Pas de réponse"/>
    <s v="Pas de réponse"/>
  </r>
  <r>
    <m/>
    <m/>
    <m/>
    <m/>
    <m/>
    <m/>
    <x v="10"/>
    <m/>
    <m/>
    <m/>
    <m/>
    <m/>
    <x v="3"/>
    <m/>
    <x v="4"/>
    <m/>
    <m/>
    <m/>
    <m/>
    <m/>
    <m/>
    <m/>
    <m/>
    <m/>
    <m/>
    <m/>
    <m/>
    <m/>
    <m/>
    <m/>
    <m/>
    <m/>
    <m/>
    <m/>
    <m/>
    <m/>
  </r>
</pivotCacheRecords>
</file>

<file path=xl/pivotCache/pivotCacheRecords3.xml><?xml version="1.0" encoding="utf-8"?>
<pivotCacheRecords xmlns="http://schemas.openxmlformats.org/spreadsheetml/2006/main" xmlns:r="http://schemas.openxmlformats.org/officeDocument/2006/relationships" count="56">
  <r>
    <d v="2016-11-15T11:05:46"/>
    <s v="Crolles"/>
    <s v="Non"/>
    <s v="bûche"/>
    <n v="4"/>
    <s v="la théorie sur le rendement de combustion"/>
    <x v="0"/>
    <m/>
    <s v="BORG Alexis"/>
  </r>
  <r>
    <d v="2016-11-15T18:13:42"/>
    <s v="Crolles"/>
    <s v="Oui"/>
    <s v="bûche"/>
    <n v="4"/>
    <s v="la théorie sur le rendement de combustion, le choix d'un combustible de qualité, l'utilisation du poêle"/>
    <x v="0"/>
    <m/>
    <s v="colin collet jean-luc"/>
  </r>
  <r>
    <d v="2016-11-15T18:43:18"/>
    <s v="Crolles"/>
    <s v="Non"/>
    <s v="bûche"/>
    <n v="4"/>
    <s v="la problématique de la qualité de l'air, la théorie sur le rendement de combustion"/>
    <x v="0"/>
    <s v="pas facile de contenir les interventions +/- pertinentes du public,, mais vous vous en êtes bien sorti"/>
    <s v="Jean-Michel Châlons (pour famille Molenaar)"/>
  </r>
  <r>
    <d v="2016-11-16T20:32:04"/>
    <s v="Voiron"/>
    <s v="Non"/>
    <s v="bûche"/>
    <n v="3"/>
    <s v="la problématique de la qualité de l'air, le choix d'un combustible de qualité"/>
    <x v="0"/>
    <s v="Je suggère de faire la formation avant l'achat du poêle pour connaître les avantages d'un poêle efficace."/>
    <s v="Hugues Nolin"/>
  </r>
  <r>
    <d v="2017-04-07T16:42:07"/>
    <s v="Crolles"/>
    <s v="Oui"/>
    <s v="à granulé"/>
    <n v="4"/>
    <s v="la problématique de la qualité de l'air, la théorie sur le rendement de combustion, le choix d'un combustible de qualité, l'utilisation du poêle, l'entretien du poêle et du conduit"/>
    <x v="0"/>
    <m/>
    <s v="Avarello Giovanni"/>
  </r>
  <r>
    <d v="2017-04-07T17:07:30"/>
    <s v="Crolles"/>
    <s v="Oui"/>
    <s v="bûche"/>
    <n v="4"/>
    <s v="le choix d'un combustible de qualité, l'utilisation du poêle, l'entretien du poêle et du conduit"/>
    <x v="0"/>
    <m/>
    <s v="rey jose"/>
  </r>
  <r>
    <d v="2017-04-07T17:51:06"/>
    <s v="Crolles"/>
    <s v="Non"/>
    <s v="bûche"/>
    <n v="4"/>
    <s v="la problématique de la qualité de l'air, l'utilisation du poêle"/>
    <x v="0"/>
    <s v="C'était intéressant et assez interactif avec les personnes présentes qui ont pu poser des questions et partager leur expérience."/>
    <s v="Valence Bernadette"/>
  </r>
  <r>
    <d v="2017-04-07T18:58:29"/>
    <s v="Crolles"/>
    <s v="Oui"/>
    <s v="à granulé"/>
    <n v="4"/>
    <s v="la problématique de la qualité de l'air, la théorie sur le rendement de combustion"/>
    <x v="0"/>
    <m/>
    <m/>
  </r>
  <r>
    <d v="2017-04-08T08:33:50"/>
    <s v="Crolles"/>
    <s v="Non"/>
    <s v="à granulé"/>
    <n v="3"/>
    <s v="la problématique de la qualité de l'air, la théorie sur le rendement de combustion, le choix d'un combustible de qualité, l'utilisation du poêle, l'entretien du poêle et du conduit"/>
    <x v="0"/>
    <m/>
    <s v="angeretti pierre"/>
  </r>
  <r>
    <d v="2017-04-10T09:37:41"/>
    <s v="Crolles"/>
    <s v="Oui"/>
    <s v="bûche"/>
    <n v="4"/>
    <s v="la problématique de la qualité de l'air, la théorie sur le rendement de combustion"/>
    <x v="0"/>
    <m/>
    <m/>
  </r>
  <r>
    <d v="2017-04-10T21:52:56"/>
    <s v="Crolles"/>
    <s v="Oui"/>
    <s v="à granulé"/>
    <n v="3"/>
    <s v="la théorie sur le rendement de combustion"/>
    <x v="0"/>
    <s v="Faire ce type de présentation à un pus large public. Si on a bénéficié d'une prime c'est qu'on est équipé d'un poêle et donc qu'on et déjà convaincu du côté écologique... La partie qualité de l'air (et une présentation des solutions existantes...) devrait s'adresser à un public plus large !"/>
    <m/>
  </r>
  <r>
    <d v="2017-04-11T09:14:13"/>
    <s v="Crolles"/>
    <s v="Non"/>
    <s v="bûche"/>
    <n v="3"/>
    <s v="la problématique de la qualité de l'air, l'utilisation du poêle"/>
    <x v="0"/>
    <m/>
    <s v="Defosseux Serge"/>
  </r>
  <r>
    <d v="2017-04-11T19:39:29"/>
    <s v="Crolles"/>
    <s v="Non"/>
    <s v="à granulé"/>
    <n v="4"/>
    <s v="la problématique de la qualité de l'air, le choix d'un combustible de qualité"/>
    <x v="0"/>
    <m/>
    <s v="magnin marcel"/>
  </r>
  <r>
    <d v="2017-04-12T09:06:54"/>
    <s v="CCG Le Grésivaudan Crolles"/>
    <s v="Non"/>
    <s v="bûche"/>
    <n v="4"/>
    <s v="la problématique de la qualité de l'air, l'utilisation du poêle"/>
    <x v="0"/>
    <s v="Aide à la déclaration aux impôts SVP"/>
    <s v="FAVERGEON Jean-Paul"/>
  </r>
  <r>
    <d v="2017-04-13T10:08:16"/>
    <s v="Crolles"/>
    <s v="Non"/>
    <s v="à granulé"/>
    <n v="4"/>
    <s v="le choix d'un combustible de qualité, l'utilisation du poêle, l'entretien du poêle et du conduit"/>
    <x v="0"/>
    <m/>
    <m/>
  </r>
  <r>
    <d v="2017-04-15T10:13:59"/>
    <s v="Crolles"/>
    <s v="Oui"/>
    <s v="bûche"/>
    <n v="4"/>
    <s v="la problématique de la qualité de l'air, le choix d'un combustible de qualité, l'utilisation du poêle"/>
    <x v="0"/>
    <m/>
    <s v="grospart maryse"/>
  </r>
  <r>
    <d v="2017-12-14T09:39:18"/>
    <s v="Crolles"/>
    <s v="Non"/>
    <s v="bûche"/>
    <n v="4"/>
    <s v="l'utilisation du poêle"/>
    <x v="0"/>
    <m/>
    <m/>
  </r>
  <r>
    <d v="2017-12-14T09:55:32"/>
    <s v="Crolles"/>
    <s v="Non"/>
    <s v="bûche"/>
    <n v="4"/>
    <s v="la théorie sur le rendement de combustion"/>
    <x v="0"/>
    <m/>
    <s v="eveque gilbert"/>
  </r>
  <r>
    <d v="2017-12-14T10:25:32"/>
    <s v="Crolles"/>
    <s v="Non"/>
    <s v="bûche"/>
    <n v="4"/>
    <s v="l'utilisation du poêle"/>
    <x v="0"/>
    <m/>
    <s v="Aromatario Laurent"/>
  </r>
  <r>
    <d v="2017-12-14T10:36:49"/>
    <s v="Crolles"/>
    <s v="Non"/>
    <s v="bûche"/>
    <n v="3"/>
    <s v="la théorie sur le rendement de combustion"/>
    <x v="0"/>
    <s v="Nous communiquer les meilleurs vendeurs de bois de chauffage de la region..."/>
    <s v="Vuillemin bernard"/>
  </r>
  <r>
    <d v="2017-12-14T10:46:10"/>
    <s v="Crolles"/>
    <s v="Oui"/>
    <s v="bûche"/>
    <n v="4"/>
    <s v="la théorie sur le rendement de combustion"/>
    <x v="0"/>
    <s v="Prévoir de la documentation pour tout le monde"/>
    <m/>
  </r>
  <r>
    <d v="2017-12-14T10:46:38"/>
    <s v="C'était correct facile d'accès et suffisamment spacieux"/>
    <s v="Non"/>
    <s v="bûche"/>
    <n v="4"/>
    <s v="l'utilisation du poêle"/>
    <x v="0"/>
    <m/>
    <s v="Vidal André"/>
  </r>
  <r>
    <d v="2017-12-14T10:59:54"/>
    <s v="Crolles"/>
    <s v="Non"/>
    <s v="bûche"/>
    <n v="4"/>
    <s v="la théorie sur le rendement de combustion"/>
    <x v="0"/>
    <m/>
    <m/>
  </r>
  <r>
    <d v="2017-12-14T11:23:58"/>
    <s v="Crolles"/>
    <s v="Oui"/>
    <s v="bûche"/>
    <n v="3"/>
    <s v="la problématique de la qualité de l'air"/>
    <x v="0"/>
    <m/>
    <m/>
  </r>
  <r>
    <d v="2017-12-14T13:51:54"/>
    <s v="Crolles"/>
    <s v="Oui"/>
    <s v="bûche"/>
    <n v="4"/>
    <s v="l'utilisation du poêle"/>
    <x v="0"/>
    <m/>
    <s v="Florence Faure"/>
  </r>
  <r>
    <d v="2017-12-14T18:50:27"/>
    <s v="Crolles"/>
    <s v="Non"/>
    <s v="bûche"/>
    <n v="4"/>
    <s v="la théorie sur le rendement de combustion"/>
    <x v="0"/>
    <s v="L'atelier était très ludique et bien documenté"/>
    <s v="CHARMET Jean-Pierre"/>
  </r>
  <r>
    <d v="2017-12-15T17:56:43"/>
    <s v="Voiron"/>
    <s v="Oui"/>
    <s v="bûche"/>
    <n v="4"/>
    <s v="l'utilisation du poêle"/>
    <x v="0"/>
    <s v="Très bien, très instructif et à promouvoir au maximum"/>
    <s v="MAYEUX Véronique"/>
  </r>
  <r>
    <d v="2017-12-16T09:15:16"/>
    <s v="Voiron"/>
    <s v="Non"/>
    <s v="bûche"/>
    <n v="3"/>
    <s v="la problématique de la qualité de l'air"/>
    <x v="0"/>
    <m/>
    <m/>
  </r>
  <r>
    <d v="2017-12-17T10:32:07"/>
    <s v="Le Grésivaudan Crolles"/>
    <s v="Oui"/>
    <s v="bûche"/>
    <n v="4"/>
    <s v="l'utilisation du poêle"/>
    <x v="0"/>
    <m/>
    <m/>
  </r>
  <r>
    <d v="2017-12-23T14:48:27"/>
    <s v="Crolles"/>
    <s v="Oui"/>
    <s v="à granulé"/>
    <n v="4"/>
    <s v="la théorie sur le rendement de combustion"/>
    <x v="0"/>
    <m/>
    <s v="favier michel"/>
  </r>
  <r>
    <d v="2018-12-17T17:21:58"/>
    <s v="Crolles"/>
    <s v="Non"/>
    <s v="bûche"/>
    <n v="4"/>
    <s v="l'utilisation du poêle"/>
    <x v="0"/>
    <m/>
    <s v="Thierry ARROU"/>
  </r>
  <r>
    <d v="2018-12-17T17:22:28"/>
    <s v="Crolles"/>
    <s v="Non"/>
    <s v="bûche"/>
    <n v="4"/>
    <s v="l'utilisation du poêle"/>
    <x v="0"/>
    <m/>
    <s v="Deschamps Inge"/>
  </r>
  <r>
    <d v="2018-12-17T17:26:07"/>
    <s v="Crolles"/>
    <s v="Non"/>
    <s v="bûche"/>
    <n v="4"/>
    <s v="la théorie sur le rendement de combustion"/>
    <x v="0"/>
    <m/>
    <s v="Giret Jean-Marie"/>
  </r>
  <r>
    <d v="2018-12-17T17:27:17"/>
    <s v="Crolles"/>
    <s v="Non"/>
    <s v="bûche"/>
    <n v="4"/>
    <s v="la problématique de la qualité de l'air"/>
    <x v="0"/>
    <m/>
    <s v="C'était bien et utile"/>
  </r>
  <r>
    <d v="2018-12-17T17:28:59"/>
    <s v="colles"/>
    <s v="Non"/>
    <s v="bûche"/>
    <n v="4"/>
    <s v="la théorie sur le rendement de combustion"/>
    <x v="1"/>
    <m/>
    <s v="jacques marquis"/>
  </r>
  <r>
    <d v="2018-12-17T17:30:11"/>
    <s v="Crolles"/>
    <s v="Oui"/>
    <s v="bûche"/>
    <n v="4"/>
    <s v="le choix d'un combustible de qualité"/>
    <x v="0"/>
    <m/>
    <m/>
  </r>
  <r>
    <d v="2018-12-17T17:43:02"/>
    <s v="Crolles"/>
    <s v="Non"/>
    <s v="bûche"/>
    <n v="4"/>
    <s v="l'utilisation du poêle"/>
    <x v="0"/>
    <s v="Manque de pratique"/>
    <s v="Lacheau Patrick"/>
  </r>
  <r>
    <d v="2018-12-17T18:07:57"/>
    <s v="Crolles"/>
    <s v="Non"/>
    <s v="bûche"/>
    <n v="4"/>
    <s v="la problématique de la qualité de l'air"/>
    <x v="0"/>
    <m/>
    <s v="Cattin roger"/>
  </r>
  <r>
    <d v="2018-12-17T19:10:13"/>
    <s v="bien"/>
    <s v="Non"/>
    <s v="bûche"/>
    <n v="4"/>
    <s v="la théorie sur le rendement de combustion"/>
    <x v="0"/>
    <m/>
    <m/>
  </r>
  <r>
    <d v="2018-12-17T20:48:53"/>
    <s v="Crolles"/>
    <s v="Non"/>
    <s v="bûche"/>
    <n v="4"/>
    <s v="l'utilisation du poêle"/>
    <x v="2"/>
    <s v="Un peu trop long faire plus concis favoriser les échanges de pratiques"/>
    <s v="Lericque Christine"/>
  </r>
  <r>
    <d v="2018-12-17T21:38:53"/>
    <s v="Crolles c'était une grande salle, bien."/>
    <s v="Non"/>
    <s v="bûche"/>
    <n v="4"/>
    <s v="l'utilisation du poêle"/>
    <x v="0"/>
    <s v="Je trouve dommage que les participants ne puissent pas repartir avec un dossier reprenant les différents points abordés par l'intervenant."/>
    <s v="HOFFSTETTER Georges"/>
  </r>
  <r>
    <d v="2018-12-18T00:00:15"/>
    <s v="Crolles"/>
    <s v="Oui"/>
    <s v="bûche"/>
    <n v="3"/>
    <s v="l'utilisation du poêle"/>
    <x v="0"/>
    <s v="Etre un peu plus synthétique, reformuler plus fréquemment les essentiels (niveau du public hétérogène), mieux maîtriser le temps: timing non tenu, qui ne m'a pas permis d'assister à l'ensemble de la présentation"/>
    <s v="Bruno Ghesquier"/>
  </r>
  <r>
    <d v="2018-12-18T08:47:28"/>
    <s v="Crolles"/>
    <s v="Non"/>
    <s v="bûche"/>
    <n v="4"/>
    <s v="l'utilisation du poêle"/>
    <x v="0"/>
    <s v="faire des &quot;piqures&quot; de rappel"/>
    <s v="LE COUSTUMER Jacques"/>
  </r>
  <r>
    <d v="2018-12-18T08:55:23"/>
    <s v="Crolles"/>
    <s v="Non"/>
    <s v="à granulé"/>
    <n v="4"/>
    <s v="la problématique de la qualité de l'air"/>
    <x v="0"/>
    <m/>
    <s v="tissot jean-pierre"/>
  </r>
  <r>
    <d v="2018-12-18T09:28:25"/>
    <s v="Crolles"/>
    <s v="Non"/>
    <s v="bûche"/>
    <n v="4"/>
    <s v="la problématique de la qualité de l'air"/>
    <x v="0"/>
    <m/>
    <m/>
  </r>
  <r>
    <d v="2018-12-18T09:37:24"/>
    <s v="Crolles"/>
    <s v="Oui"/>
    <s v="à granulé"/>
    <n v="4"/>
    <s v="la problématique de la qualité de l'air"/>
    <x v="0"/>
    <s v="Avertir de la durée (théorique) de la réunion. La notre a duré 2h (qui sont passées très vite). Il serait bien de parler de la manière d'isoler l'habitation et de programmer les poeles avec plus de finesse afin d'économiser encore plus de combustible."/>
    <s v="REIS Philippe"/>
  </r>
  <r>
    <d v="2018-12-18T10:05:28"/>
    <s v="Crolles"/>
    <s v="Non"/>
    <s v="bûche"/>
    <n v="4"/>
    <s v="l'utilisation du poêle"/>
    <x v="0"/>
    <m/>
    <s v="PICCIONE"/>
  </r>
  <r>
    <d v="2018-12-18T11:14:24"/>
    <s v="Crolles"/>
    <s v="Non"/>
    <s v="bûche"/>
    <n v="3"/>
    <s v="la théorie sur le rendement de combustion"/>
    <x v="0"/>
    <m/>
    <s v="Chevallier jacques"/>
  </r>
  <r>
    <d v="2018-12-18T17:59:39"/>
    <s v="Crolles"/>
    <s v="Non"/>
    <s v="bûche"/>
    <n v="4"/>
    <s v="la théorie sur le rendement de combustion"/>
    <x v="0"/>
    <m/>
    <s v="Alcaraz Richard"/>
  </r>
  <r>
    <d v="2018-12-19T06:38:32"/>
    <s v="Crolles"/>
    <s v="Non"/>
    <s v="bûche"/>
    <n v="3"/>
    <s v="l'utilisation du poêle"/>
    <x v="0"/>
    <m/>
    <m/>
  </r>
  <r>
    <d v="2018-12-19T07:50:43"/>
    <s v="Crolles"/>
    <s v="Oui"/>
    <s v="à granulé"/>
    <n v="3"/>
    <s v="le choix d'un combustible de qualité"/>
    <x v="1"/>
    <s v="Cette précédente réponse car je suis technicien et m’intéresse à cette partie. De plus avec des soucis d'engagement et de responsabilités de la part de LAUDEVCO ."/>
    <s v="MICHEL Claude"/>
  </r>
  <r>
    <d v="2018-12-19T09:42:39"/>
    <s v="Le Versoud"/>
    <s v="Non"/>
    <s v="bûche"/>
    <n v="4"/>
    <s v="le choix d'un combustible de qualité"/>
    <x v="0"/>
    <s v="La problématique de qualité de l'air et l'utilisation du poêle (notamment démarrage par le haut) m'ont également beaucoup intéressé. Depuis cette réunion, je pratique systématiquement le démarrage par le haut de mon poêle."/>
    <s v="Philippe BENSA"/>
  </r>
  <r>
    <d v="2018-12-19T18:21:28"/>
    <s v="Crolles"/>
    <s v="Non"/>
    <s v="à granulé"/>
    <n v="3"/>
    <s v="le choix d'un combustible de qualité"/>
    <x v="0"/>
    <m/>
    <s v="Muffato Frédéric"/>
  </r>
  <r>
    <d v="2018-12-21T21:25:35"/>
    <s v="Crolles"/>
    <s v="Oui"/>
    <s v="bûche"/>
    <n v="4"/>
    <s v="la problématique de la qualité de l'air"/>
    <x v="0"/>
    <m/>
    <m/>
  </r>
  <r>
    <d v="2018-12-29T11:54:50"/>
    <s v="Le Versoud"/>
    <s v="Non"/>
    <s v="bûche"/>
    <n v="4"/>
    <s v="la problematique de la qualité de l'air"/>
    <x v="0"/>
    <m/>
    <s v="da silva branco suzanne"/>
  </r>
  <r>
    <m/>
    <m/>
    <m/>
    <m/>
    <m/>
    <m/>
    <x v="3"/>
    <m/>
    <m/>
  </r>
</pivotCacheRecords>
</file>

<file path=xl/pivotCache/pivotCacheRecords4.xml><?xml version="1.0" encoding="utf-8"?>
<pivotCacheRecords xmlns="http://schemas.openxmlformats.org/spreadsheetml/2006/main" xmlns:r="http://schemas.openxmlformats.org/officeDocument/2006/relationships" count="582">
  <r>
    <x v="0"/>
    <e v="#VALUE!"/>
    <x v="0"/>
    <x v="0"/>
    <s v="EBL"/>
    <s v="VRB0001"/>
    <s v="-"/>
    <d v="2020-01-07T00:00:00"/>
    <d v="2020-01-07T00:00:00"/>
    <d v="2020-01-09T00:00:00"/>
    <s v="Adresse RIB (relance mail le 21/02/20)-nouvelle relance le 19/06/20 - dernière relance le 16/11/20"/>
    <s v="-"/>
    <s v="-"/>
    <s v="-"/>
    <m/>
    <s v="-"/>
    <s v="-"/>
    <s v="-"/>
    <s v="-"/>
    <s v="-"/>
    <s v="-"/>
    <m/>
    <d v="2020-11-30T00:00:00"/>
    <s v="Dossiers imcomplet malgré plusieurs relance"/>
    <s v="AIT OUARET"/>
    <s v="Moussa"/>
    <n v="2"/>
    <n v="40801"/>
    <n v="72"/>
    <s v="Rue du Charron"/>
    <n v="38620"/>
    <x v="0"/>
    <s v="06 61 73 88 80"/>
    <s v="karima.ait.ouaret@cegetel.net"/>
    <s v="PO"/>
    <m/>
    <m/>
    <s v="-"/>
    <s v="-"/>
    <s v="-"/>
    <s v="-"/>
    <x v="0"/>
    <x v="0"/>
    <s v="CARRE François"/>
    <s v="f.carre@carre-f.com"/>
    <s v="04 76 37 03 50"/>
    <s v="-"/>
    <s v="oui  "/>
    <d v="2020-11-17T00:00:00"/>
    <s v="foyer ouvert"/>
    <n v="2001"/>
    <x v="0"/>
    <x v="0"/>
    <s v="PALAZZETTI"/>
    <s v="ANNA 12 PRO 3"/>
    <n v="11"/>
    <n v="12"/>
    <n v="88.5"/>
    <n v="0.01"/>
    <s v="FV7"/>
    <m/>
    <n v="6334.64"/>
    <n v="590"/>
    <n v="6924.64"/>
    <n v="380.85520000000002"/>
    <n v="590"/>
    <n v="6924.64"/>
    <n v="380.85520000000002"/>
    <n v="7305.4952000000003"/>
    <m/>
    <s v="oui"/>
    <m/>
    <m/>
    <n v="0"/>
    <s v="NC"/>
  </r>
  <r>
    <x v="1"/>
    <n v="12"/>
    <x v="1"/>
    <x v="0"/>
    <s v="EBL"/>
    <s v="VRB0002"/>
    <s v="-"/>
    <d v="2020-01-14T00:00:00"/>
    <d v="2020-01-14T00:00:00"/>
    <d v="2020-01-17T00:00:00"/>
    <s v="Adresse RIB (relance mail le 21/02/20-RIB recu en 06/20 toujours sans adresse-message tel le 03/07/20)- dernière relance 16/11/20-ok le 30/11/20"/>
    <d v="2020-12-04T00:00:00"/>
    <d v="2020-12-04T00:00:00"/>
    <d v="2020-12-11T00:00:00"/>
    <m/>
    <d v="2021-02-18T00:00:00"/>
    <d v="2020-12-30T00:00:00"/>
    <s v="-"/>
    <d v="2021-02-19T00:00:00"/>
    <d v="2021-02-19T00:00:00"/>
    <d v="2021-04-23T00:00:00"/>
    <m/>
    <d v="2021-04-07T00:00:00"/>
    <s v="Bascule vers V"/>
    <s v="DI MARTINO"/>
    <s v="Franco"/>
    <n v="1"/>
    <n v="19533"/>
    <n v="16"/>
    <s v="Impasse des Jonquilles "/>
    <n v="38500"/>
    <x v="1"/>
    <s v="06 20 22 63 76"/>
    <s v="jdimartino@sfr.fr"/>
    <s v="PO"/>
    <m/>
    <m/>
    <s v="-"/>
    <s v="-"/>
    <s v="-"/>
    <s v="-"/>
    <x v="1"/>
    <x v="1"/>
    <s v="LIBER Jean-Christophe"/>
    <s v="jlc.services@orange.fr"/>
    <s v="04 76 07 14 61"/>
    <s v="-"/>
    <s v="oui"/>
    <d v="2020-11-03T00:00:00"/>
    <s v="poêle"/>
    <n v="1999"/>
    <x v="0"/>
    <x v="0"/>
    <s v="MCZ"/>
    <s v="HALO UP!"/>
    <n v="17"/>
    <n v="8.1"/>
    <n v="90.9"/>
    <n v="2E-3"/>
    <s v="FV7"/>
    <m/>
    <n v="3591.47"/>
    <m/>
    <m/>
    <m/>
    <n v="420"/>
    <n v="4011.47"/>
    <n v="220.63084999999998"/>
    <n v="4232.1008499999998"/>
    <m/>
    <s v="non"/>
    <m/>
    <m/>
    <n v="0"/>
    <s v="NC"/>
  </r>
  <r>
    <x v="1"/>
    <n v="7"/>
    <x v="1"/>
    <x v="0"/>
    <s v="EBL"/>
    <s v="VRB0003"/>
    <s v="-"/>
    <d v="2020-06-18T00:00:00"/>
    <d v="2020-06-19T00:00:00"/>
    <d v="2020-06-23T00:00:00"/>
    <s v="Appareil non FV (Changement d'appareil 30/06)"/>
    <d v="2020-07-02T00:00:00"/>
    <d v="2020-07-02T00:00:00"/>
    <d v="2020-07-06T00:00:00"/>
    <m/>
    <d v="2020-07-22T00:00:00"/>
    <d v="2020-07-07T00:00:00"/>
    <s v="-"/>
    <d v="2020-09-03T00:00:00"/>
    <d v="2020-09-03T00:00:00"/>
    <d v="2020-09-04T00:00:00"/>
    <m/>
    <d v="2021-04-07T00:00:00"/>
    <s v="Bascule vers V"/>
    <s v="PRUNGNAUD"/>
    <s v="Martial"/>
    <n v="2"/>
    <n v="41987"/>
    <n v="10"/>
    <s v="Lotissement le Bois du Four"/>
    <n v="38430"/>
    <x v="2"/>
    <n v="663401396"/>
    <s v="14patricia12@gmail.com"/>
    <s v="PO"/>
    <m/>
    <m/>
    <s v="-"/>
    <s v="-"/>
    <s v="-"/>
    <s v="-"/>
    <x v="2"/>
    <x v="2"/>
    <s v="DIDIER Jean-Christophe"/>
    <s v="jcduo@orange.fr"/>
    <n v="608287337"/>
    <s v="-"/>
    <s v="oui"/>
    <d v="2021-08-09T00:00:00"/>
    <s v="insert / foyer fermé"/>
    <n v="1990"/>
    <x v="0"/>
    <x v="0"/>
    <s v="MORETTI"/>
    <s v="SLOT GLASS A10"/>
    <n v="15.1"/>
    <n v="10.4"/>
    <n v="90.8"/>
    <n v="1.2E-2"/>
    <s v="registre"/>
    <m/>
    <n v="4534"/>
    <m/>
    <m/>
    <m/>
    <n v="1236"/>
    <n v="5770"/>
    <n v="317.35000000000002"/>
    <n v="6087.35"/>
    <n v="4950"/>
    <s v="oui"/>
    <m/>
    <m/>
    <n v="0"/>
    <s v="NC"/>
  </r>
  <r>
    <x v="0"/>
    <e v="#VALUE!"/>
    <x v="1"/>
    <x v="0"/>
    <s v="EBL"/>
    <s v="VRB0004"/>
    <s v="-"/>
    <d v="2020-02-12T00:00:00"/>
    <d v="2020-02-13T00:00:00"/>
    <d v="2020-02-13T00:00:00"/>
    <s v="Manque lettre de sollicitation+avis d'imposition+justificatif de residence+devis+rib+photo+questionnaire - dernière relance 16/11/20"/>
    <s v="-"/>
    <s v="-"/>
    <s v="-"/>
    <m/>
    <s v="-"/>
    <s v="-"/>
    <s v="-"/>
    <s v="-"/>
    <s v="-"/>
    <s v="-"/>
    <m/>
    <d v="2020-11-30T00:00:00"/>
    <s v="Dossiers imcomplet malgré plusieurs relance"/>
    <s v="FERRARO"/>
    <s v="Jean-Luc"/>
    <n v="2"/>
    <n v="42444"/>
    <n v="545"/>
    <s v="Le Grand Chemin"/>
    <n v="38210"/>
    <x v="3"/>
    <n v="645646622"/>
    <s v="nicolejeanluc21@hotmail.fr"/>
    <s v="PO"/>
    <m/>
    <m/>
    <s v="-"/>
    <s v="-"/>
    <s v="-"/>
    <s v="-"/>
    <x v="2"/>
    <x v="2"/>
    <s v="DIDIER Jean-Christophe"/>
    <s v="jcduo@orange.fr"/>
    <n v="608287337"/>
    <s v="-"/>
    <s v="oui"/>
    <d v="2021-08-09T00:00:00"/>
    <s v="insert / foyer fermé"/>
    <n v="1987"/>
    <x v="0"/>
    <x v="0"/>
    <s v="MORETTI"/>
    <s v="-"/>
    <s v="-"/>
    <s v="-"/>
    <s v="-"/>
    <s v="-"/>
    <s v="-"/>
    <m/>
    <m/>
    <m/>
    <m/>
    <m/>
    <m/>
    <n v="0"/>
    <n v="0"/>
    <n v="0"/>
    <m/>
    <m/>
    <m/>
    <m/>
    <n v="0"/>
    <s v="NC"/>
  </r>
  <r>
    <x v="1"/>
    <n v="7"/>
    <x v="2"/>
    <x v="1"/>
    <s v="EBL"/>
    <s v="VRB0005"/>
    <n v="400"/>
    <d v="2020-05-27T00:00:00"/>
    <d v="2020-06-05T00:00:00"/>
    <d v="2020-06-08T00:00:00"/>
    <s v="Manque RIB bonne adresse+photo plan large (ok le 02/07)+poële non FV7*(demande équivalence le 08/06 - Changement model poêle le 15/06)"/>
    <d v="2020-07-03T00:00:00"/>
    <d v="2020-07-03T00:00:00"/>
    <d v="2020-07-08T00:00:00"/>
    <m/>
    <d v="2020-11-10T00:00:00"/>
    <d v="2020-10-16T00:00:00"/>
    <s v="-"/>
    <d v="2020-11-13T00:00:00"/>
    <d v="2020-11-13T00:00:00"/>
    <d v="2020-11-18T00:00:00"/>
    <m/>
    <m/>
    <m/>
    <s v="LANGLOIS"/>
    <s v="Florent"/>
    <n v="3"/>
    <n v="64803"/>
    <n v="997"/>
    <s v="Route du Gros Bois"/>
    <n v="38500"/>
    <x v="4"/>
    <n v="644291492"/>
    <s v="florentlangloi@gmail.com"/>
    <s v="PO"/>
    <m/>
    <m/>
    <s v="-"/>
    <s v="-"/>
    <s v="-"/>
    <s v="-"/>
    <x v="3"/>
    <x v="3"/>
    <s v="TROUBA"/>
    <s v="flammeiseroise38300@orange.fr"/>
    <n v="474937373"/>
    <s v="-"/>
    <s v="oui"/>
    <d v="2021-04-28T00:00:00"/>
    <s v="foyer ouvert"/>
    <s v="&lt;1996"/>
    <x v="0"/>
    <x v="1"/>
    <s v="BARBAS"/>
    <s v="BOX 70"/>
    <n v="25"/>
    <n v="10.199999999999999"/>
    <n v="76"/>
    <n v="7.0000000000000007E-2"/>
    <s v="FV7"/>
    <m/>
    <n v="2950"/>
    <m/>
    <m/>
    <m/>
    <n v="1380"/>
    <n v="4330"/>
    <n v="238.15"/>
    <n v="4568.1499999999996"/>
    <n v="4500"/>
    <s v="oui"/>
    <m/>
    <m/>
    <s v="REGION 2020"/>
    <s v="NC"/>
  </r>
  <r>
    <x v="1"/>
    <n v="7"/>
    <x v="2"/>
    <x v="2"/>
    <s v="EBL"/>
    <s v="VRB0006"/>
    <n v="800"/>
    <d v="2020-06-20T00:00:00"/>
    <d v="2020-06-25T00:00:00"/>
    <d v="2020-07-02T00:00:00"/>
    <s v="Manque Photo(ok) + Appareil non FV(ok)+Installateur non signataire(ok)"/>
    <d v="2020-07-31T00:00:00"/>
    <d v="2020-07-31T00:00:00"/>
    <d v="2020-08-31T00:00:00"/>
    <m/>
    <d v="2021-02-23T00:00:00"/>
    <d v="2020-11-30T00:00:00"/>
    <s v="-"/>
    <d v="2021-02-25T00:00:00"/>
    <d v="2021-02-25T00:00:00"/>
    <d v="2021-03-09T00:00:00"/>
    <m/>
    <m/>
    <m/>
    <s v="DALL'AGLIO"/>
    <s v="Laure"/>
    <n v="3"/>
    <n v="30558"/>
    <n v="325"/>
    <s v="Route de Saint-Pierre"/>
    <n v="38850"/>
    <x v="5"/>
    <n v="670048542"/>
    <s v="laure.dallaglio@gmail.com"/>
    <s v="PO"/>
    <m/>
    <m/>
    <s v="-"/>
    <s v="-"/>
    <s v="-"/>
    <s v="-"/>
    <x v="4"/>
    <x v="4"/>
    <s v="FREMONT Vincent"/>
    <s v="vf.enr74@gmail.com"/>
    <n v="609856323"/>
    <s v="-"/>
    <s v="oui"/>
    <d v="2021-07-18T00:00:00"/>
    <s v="insert / foyer fermé"/>
    <n v="2000"/>
    <x v="1"/>
    <x v="1"/>
    <s v="OLIGER"/>
    <s v="Alphastar FALS-BO"/>
    <n v="30"/>
    <n v="14.5"/>
    <n v="81"/>
    <n v="0.09"/>
    <s v="FV7"/>
    <m/>
    <n v="6265"/>
    <m/>
    <m/>
    <m/>
    <n v="1340.71"/>
    <n v="7605.71"/>
    <n v="418.31405000000001"/>
    <n v="8024.02405"/>
    <n v="8024.02"/>
    <s v="oui"/>
    <m/>
    <m/>
    <s v="REGION 2020"/>
    <s v="NC"/>
  </r>
  <r>
    <x v="1"/>
    <n v="7"/>
    <x v="2"/>
    <x v="1"/>
    <s v="EBL"/>
    <s v="VRB0007"/>
    <n v="400"/>
    <d v="2020-06-22T00:00:00"/>
    <d v="2020-06-25T00:00:00"/>
    <d v="2020-06-30T00:00:00"/>
    <s v="Manque Avis d'imposition (ok le 02/07)"/>
    <d v="2020-07-03T00:00:00"/>
    <d v="2020-07-03T00:00:00"/>
    <d v="2020-07-08T00:00:00"/>
    <m/>
    <d v="2020-10-19T00:00:00"/>
    <d v="2020-07-21T00:00:00"/>
    <s v="-"/>
    <d v="2020-10-22T00:00:00"/>
    <d v="2020-10-22T00:00:00"/>
    <d v="2020-11-04T00:00:00"/>
    <m/>
    <m/>
    <m/>
    <s v="JOUNENC"/>
    <s v="Jean-François"/>
    <n v="2"/>
    <n v="56056"/>
    <s v="171G"/>
    <s v="Chemin des Vignes"/>
    <n v="38140"/>
    <x v="6"/>
    <n v="476894851"/>
    <s v="lilianejounenc@free.fr"/>
    <s v="PO"/>
    <m/>
    <m/>
    <s v="-"/>
    <s v="-"/>
    <s v="-"/>
    <s v="-"/>
    <x v="5"/>
    <x v="5"/>
    <s v="TORRES Kevin"/>
    <s v="commercial-godin@orange.fr"/>
    <n v="474934316"/>
    <s v="-"/>
    <s v="oui"/>
    <d v="2021-03-21T00:00:00"/>
    <s v="foyer ouvert"/>
    <n v="1998"/>
    <x v="2"/>
    <x v="1"/>
    <s v="GODIN"/>
    <n v="3268"/>
    <n v="18"/>
    <n v="13"/>
    <n v="76"/>
    <n v="0.09"/>
    <s v="FV7"/>
    <m/>
    <n v="8135"/>
    <m/>
    <m/>
    <m/>
    <n v="1554"/>
    <n v="9689"/>
    <n v="532.89499999999998"/>
    <n v="10221.895"/>
    <n v="8275"/>
    <s v="oui"/>
    <m/>
    <m/>
    <s v="REGION 2020"/>
    <s v="NC"/>
  </r>
  <r>
    <x v="1"/>
    <n v="10"/>
    <x v="2"/>
    <x v="1"/>
    <s v="EBL"/>
    <s v="VRB0008"/>
    <n v="400"/>
    <d v="2020-06-22T00:00:00"/>
    <d v="2020-06-25T00:00:00"/>
    <d v="2020-06-30T00:00:00"/>
    <s v="Manque Questionnaire(ok)+Lettre de sollicitation(ok)+Avis d'imposition(ok)+Taxe foncière(ok)+RIB(ok) (relance le 01/09/20)"/>
    <d v="2020-10-29T00:00:00"/>
    <d v="2020-10-29T00:00:00"/>
    <d v="2020-11-02T00:00:00"/>
    <m/>
    <d v="2021-01-14T00:00:00"/>
    <d v="2020-10-29T00:00:00"/>
    <s v="-"/>
    <d v="2021-01-18T00:00:00"/>
    <d v="2021-01-18T00:00:00"/>
    <d v="2021-02-15T00:00:00"/>
    <m/>
    <m/>
    <m/>
    <s v="D'INTRONO"/>
    <s v="Félix"/>
    <n v="4"/>
    <n v="160304"/>
    <n v="312"/>
    <s v="Route de la Garangère"/>
    <n v="38850"/>
    <x v="7"/>
    <n v="769671315"/>
    <s v="dintronosandrine@gmail.com"/>
    <s v="PO"/>
    <m/>
    <m/>
    <s v="-"/>
    <s v="-"/>
    <s v="-"/>
    <s v="-"/>
    <x v="6"/>
    <x v="6"/>
    <s v="FAURE Jacques"/>
    <s v="jacques.faure24@wanadoo.fr"/>
    <n v="476355605"/>
    <s v="-"/>
    <s v="oui"/>
    <d v="2021-10-26T00:00:00"/>
    <s v="foyer ouvert"/>
    <s v="&lt;2002"/>
    <x v="0"/>
    <x v="0"/>
    <s v="FONTE FLAMME"/>
    <s v="CURL 8"/>
    <n v="8"/>
    <n v="8.1999999999999993"/>
    <n v="87.7"/>
    <n v="0.01"/>
    <s v="FV7"/>
    <m/>
    <n v="3568.39"/>
    <m/>
    <m/>
    <m/>
    <n v="1034.8"/>
    <n v="4603.1899999999996"/>
    <n v="253.17544999999998"/>
    <n v="4856.3654499999993"/>
    <n v="4856.37"/>
    <s v="non"/>
    <m/>
    <m/>
    <s v="REGION 2020"/>
    <s v="NC"/>
  </r>
  <r>
    <x v="0"/>
    <e v="#VALUE!"/>
    <x v="0"/>
    <x v="0"/>
    <s v="EBL"/>
    <s v="VRB0009"/>
    <s v="-"/>
    <d v="2020-05-30T00:00:00"/>
    <d v="2020-06-05T00:00:00"/>
    <d v="2020-06-08T00:00:00"/>
    <s v="Demande équivalence (08/06)- Réponse négative du fabricant le 10/07"/>
    <s v="-"/>
    <s v="-"/>
    <s v="-"/>
    <m/>
    <s v="-"/>
    <s v="-"/>
    <s v="-"/>
    <s v="-"/>
    <s v="-"/>
    <s v="-"/>
    <m/>
    <d v="2020-07-21T00:00:00"/>
    <s v="Appareil non FV7*"/>
    <s v="BLACHOT"/>
    <s v="Stephane"/>
    <n v="4"/>
    <n v="52921"/>
    <n v="120"/>
    <s v="Route des Rivoires"/>
    <n v="38210"/>
    <x v="3"/>
    <n v="671158825"/>
    <s v="cs.blachot@hotmail.fr"/>
    <s v="PO"/>
    <m/>
    <m/>
    <s v="-"/>
    <s v="-"/>
    <s v="-"/>
    <s v="-"/>
    <x v="6"/>
    <x v="6"/>
    <s v="FAURE Jacques"/>
    <s v="jacques.faure24@wanadoo.fr"/>
    <n v="476355605"/>
    <s v="-"/>
    <s v="oui"/>
    <d v="2021-10-26T00:00:00"/>
    <s v="insert / foyer fermé"/>
    <n v="2001"/>
    <x v="0"/>
    <x v="1"/>
    <s v="FONTE FLAMME"/>
    <s v="MONTE AMS"/>
    <n v="23"/>
    <n v="7"/>
    <n v="79"/>
    <n v="0.09"/>
    <s v="non"/>
    <m/>
    <n v="3467.63"/>
    <n v="525"/>
    <m/>
    <m/>
    <n v="525"/>
    <n v="3992.63"/>
    <n v="219.59465"/>
    <n v="4212.2246500000001"/>
    <n v="4212.22"/>
    <s v="non"/>
    <m/>
    <m/>
    <n v="0"/>
    <s v="NC"/>
  </r>
  <r>
    <x v="1"/>
    <n v="7"/>
    <x v="2"/>
    <x v="1"/>
    <s v="EBL"/>
    <s v="VRB0010"/>
    <n v="400"/>
    <d v="2020-06-03T00:00:00"/>
    <d v="2020-06-05T00:00:00"/>
    <d v="2020-06-08T00:00:00"/>
    <s v="Manque RIB Bonne Adresse (ok le 10/06)"/>
    <d v="2020-07-02T00:00:00"/>
    <d v="2020-07-02T00:00:00"/>
    <d v="2020-07-06T00:00:00"/>
    <m/>
    <d v="2020-09-28T00:00:00"/>
    <d v="2020-09-26T00:00:00"/>
    <s v="Manque attestation fin de travaux+CERFA+photo"/>
    <d v="2020-12-07T00:00:00"/>
    <d v="2020-12-07T00:00:00"/>
    <d v="2020-12-09T00:00:00"/>
    <m/>
    <m/>
    <m/>
    <s v="D'ESPALUNGUE"/>
    <s v="Philippe"/>
    <n v="3"/>
    <n v="66803"/>
    <n v="2"/>
    <s v="Lotissement le Pin"/>
    <n v="38140"/>
    <x v="8"/>
    <n v="633431935"/>
    <s v="philippe.despalungue@laposte.net"/>
    <s v="PO"/>
    <m/>
    <m/>
    <s v="-"/>
    <s v="-"/>
    <s v="-"/>
    <s v="-"/>
    <x v="7"/>
    <x v="1"/>
    <s v="PIERRE Emmanuel"/>
    <s v="voiron@techni-nature.com"/>
    <n v="951096343"/>
    <s v="-"/>
    <s v="oui"/>
    <d v="2021-08-25T00:00:00"/>
    <s v="foyer ouvert"/>
    <s v="&lt;1996"/>
    <x v="0"/>
    <x v="0"/>
    <s v="INOVALP"/>
    <s v="HOBEN H7"/>
    <n v="20"/>
    <n v="8.3000000000000007"/>
    <n v="87"/>
    <n v="1.7999999999999999E-2"/>
    <s v="registre"/>
    <m/>
    <n v="7559.5700000000006"/>
    <m/>
    <m/>
    <m/>
    <n v="630"/>
    <n v="8189.5700000000006"/>
    <n v="450.42635000000001"/>
    <n v="8639.9963500000013"/>
    <n v="7800"/>
    <s v="oui"/>
    <m/>
    <m/>
    <s v="REGION 2020"/>
    <s v="NC"/>
  </r>
  <r>
    <x v="1"/>
    <n v="7"/>
    <x v="2"/>
    <x v="1"/>
    <s v="EBL"/>
    <s v="VRB0011"/>
    <n v="400"/>
    <d v="2020-06-05T00:00:00"/>
    <d v="2020-06-08T00:00:00"/>
    <d v="2020-06-09T00:00:00"/>
    <s v="Manque devis (ok 09/06)"/>
    <d v="2020-07-02T00:00:00"/>
    <d v="2020-07-02T00:00:00"/>
    <d v="2020-07-06T00:00:00"/>
    <m/>
    <d v="2020-08-03T00:00:00"/>
    <d v="2020-07-22T00:00:00"/>
    <s v="-"/>
    <d v="2020-08-13T00:00:00"/>
    <d v="2020-08-13T00:00:00"/>
    <d v="2020-08-31T00:00:00"/>
    <m/>
    <m/>
    <m/>
    <s v="ASSORIN"/>
    <s v="Jean-Luc"/>
    <n v="1"/>
    <n v="19593"/>
    <n v="78"/>
    <s v="Impasse du Mas de Chantaret"/>
    <n v="38850"/>
    <x v="9"/>
    <n v="782135932"/>
    <s v="assorin.jean-luc@hotmail.fr"/>
    <s v="PO"/>
    <m/>
    <m/>
    <s v="-"/>
    <s v="-"/>
    <s v="-"/>
    <s v="-"/>
    <x v="7"/>
    <x v="1"/>
    <s v="PIERRE Emmanuel"/>
    <s v="voiron@techni-nature.com"/>
    <n v="951096343"/>
    <s v="-"/>
    <s v="oui"/>
    <d v="2020-08-25T00:00:00"/>
    <s v="insert / foyer fermé"/>
    <n v="1984"/>
    <x v="0"/>
    <x v="1"/>
    <s v="LORFLAM"/>
    <s v="XP54-BOX"/>
    <n v="17"/>
    <n v="9"/>
    <n v="84"/>
    <n v="0.09"/>
    <s v="FV7"/>
    <m/>
    <n v="5451.32"/>
    <m/>
    <m/>
    <m/>
    <n v="1070"/>
    <n v="6521.32"/>
    <n v="358.67259999999999"/>
    <n v="6879.9925999999996"/>
    <n v="6300.01"/>
    <s v="non"/>
    <m/>
    <m/>
    <s v="REGION 2020"/>
    <s v="NC"/>
  </r>
  <r>
    <x v="1"/>
    <n v="7"/>
    <x v="2"/>
    <x v="1"/>
    <s v="EBL"/>
    <s v="VRB0012"/>
    <n v="400"/>
    <d v="2020-06-29T00:00:00"/>
    <d v="2020-06-30T00:00:00"/>
    <d v="2020-06-30T00:00:00"/>
    <s v="Manque Devis + RIB bonne adresse (ok le 30/06)"/>
    <d v="2020-07-02T00:00:00"/>
    <d v="2020-07-02T00:00:00"/>
    <d v="2020-07-06T00:00:00"/>
    <m/>
    <d v="2020-12-07T00:00:00"/>
    <d v="2020-11-30T00:00:00"/>
    <s v="Mention acquittée (ok le 18/01/21)"/>
    <d v="2021-01-21T00:00:00"/>
    <d v="2021-01-21T00:00:00"/>
    <d v="2021-02-15T00:00:00"/>
    <m/>
    <m/>
    <m/>
    <s v="BAPTIST&amp;DI MARCANTONIO"/>
    <s v="Florence&amp;David"/>
    <n v="4"/>
    <n v="53947"/>
    <n v="620"/>
    <s v="Route du Fays"/>
    <n v="38140"/>
    <x v="10"/>
    <n v="682170017"/>
    <s v="florence.baptist@free.fr"/>
    <s v="PO"/>
    <m/>
    <m/>
    <s v="-"/>
    <s v="-"/>
    <s v="-"/>
    <s v="-"/>
    <x v="8"/>
    <x v="7"/>
    <s v="MOREY Thomas"/>
    <s v="thomas.morey@wattethome.com"/>
    <n v="476065876"/>
    <s v="-"/>
    <s v="oui"/>
    <d v="2021-07-21T00:00:00"/>
    <s v="insert / foyer fermé"/>
    <s v="&lt;2002"/>
    <x v="0"/>
    <x v="0"/>
    <s v="PALAZZETTI"/>
    <s v="ECOFIRE JULIE 9 PRO 2"/>
    <n v="8"/>
    <n v="9"/>
    <n v="90.5"/>
    <n v="8.9999999999999993E-3"/>
    <s v="FV7"/>
    <m/>
    <n v="4054"/>
    <m/>
    <m/>
    <m/>
    <n v="640"/>
    <n v="4694"/>
    <n v="258.17"/>
    <n v="4952.17"/>
    <n v="4952.17"/>
    <s v="oui"/>
    <m/>
    <m/>
    <s v="REGION 2020"/>
    <s v="NC"/>
  </r>
  <r>
    <x v="1"/>
    <n v="7"/>
    <x v="2"/>
    <x v="1"/>
    <s v="EBL"/>
    <s v="VRB0013"/>
    <n v="400"/>
    <d v="2020-06-30T00:00:00"/>
    <d v="2020-07-02T00:00:00"/>
    <d v="2020-07-02T00:00:00"/>
    <s v="Appareil non FV (ok le 15/07)"/>
    <d v="2020-07-21T00:00:00"/>
    <d v="2020-07-21T00:00:00"/>
    <d v="2020-08-03T00:00:00"/>
    <m/>
    <d v="2020-09-11T00:00:00"/>
    <d v="2020-09-10T00:00:00"/>
    <s v="-"/>
    <d v="2020-10-12T00:00:00"/>
    <d v="2020-10-12T00:00:00"/>
    <d v="2020-10-12T00:00:00"/>
    <m/>
    <m/>
    <m/>
    <s v="LANGOUET&amp;CLAUDEL"/>
    <s v="Thomas&amp;Virginie"/>
    <n v="2"/>
    <n v="37714"/>
    <n v="848"/>
    <s v="Route de Ture"/>
    <n v="38960"/>
    <x v="11"/>
    <n v="659127875"/>
    <s v="thomas.langouet@gmail.com"/>
    <s v="PO"/>
    <m/>
    <m/>
    <s v="-"/>
    <s v="-"/>
    <s v="-"/>
    <s v="-"/>
    <x v="9"/>
    <x v="3"/>
    <s v="DURANTON Patrick"/>
    <s v="patrickduranton@passionflamme.fr"/>
    <n v="474432868"/>
    <s v="-"/>
    <s v="oui"/>
    <d v="2020-11-14T00:00:00"/>
    <s v="foyer ouvert"/>
    <s v="&lt;1990"/>
    <x v="0"/>
    <x v="0"/>
    <s v="NOBIS"/>
    <s v="A9V ZENITH"/>
    <n v="14.6"/>
    <n v="7.9"/>
    <n v="91.4"/>
    <n v="4.0000000000000001E-3"/>
    <s v="registre"/>
    <m/>
    <n v="4228"/>
    <m/>
    <m/>
    <m/>
    <n v="650"/>
    <n v="4878"/>
    <n v="268.29000000000002"/>
    <n v="5146.29"/>
    <n v="4528.0600000000004"/>
    <s v="non"/>
    <m/>
    <m/>
    <s v="REGION 2020"/>
    <s v="NC"/>
  </r>
  <r>
    <x v="1"/>
    <n v="9"/>
    <x v="2"/>
    <x v="1"/>
    <s v="EBL"/>
    <s v="VRB0014"/>
    <n v="400"/>
    <d v="2020-07-01T00:00:00"/>
    <d v="2020-07-02T00:00:00"/>
    <d v="2020-07-03T00:00:00"/>
    <s v="Manque Avis d'imposition (ok)"/>
    <d v="2020-09-28T00:00:00"/>
    <d v="2020-09-28T00:00:00"/>
    <d v="2020-10-21T00:00:00"/>
    <m/>
    <d v="2020-11-09T00:00:00"/>
    <d v="2020-10-26T00:00:00"/>
    <s v="-"/>
    <d v="2020-11-10T00:00:00"/>
    <d v="2020-11-10T00:00:00"/>
    <d v="2020-11-12T00:00:00"/>
    <m/>
    <m/>
    <m/>
    <s v="INARD"/>
    <s v="Michèle"/>
    <n v="1"/>
    <n v="22291"/>
    <n v="65"/>
    <s v="Route du Plan"/>
    <n v="38140"/>
    <x v="12"/>
    <n v="689398788"/>
    <s v="milaina@live.fr"/>
    <s v="PO"/>
    <m/>
    <m/>
    <s v="-"/>
    <s v="-"/>
    <s v="-"/>
    <s v="-"/>
    <x v="10"/>
    <x v="1"/>
    <s v="GILLET Pascal"/>
    <s v="bois-soleil.chauffage@orange.fr"/>
    <n v="476323235"/>
    <s v="-"/>
    <s v="oui"/>
    <d v="2021-08-21T00:00:00"/>
    <s v="insert / foyer fermé"/>
    <n v="1984"/>
    <x v="0"/>
    <x v="1"/>
    <s v="ILD"/>
    <s v="ILD13"/>
    <n v="12"/>
    <n v="9.1999999999999993"/>
    <n v="77"/>
    <n v="0.04"/>
    <s v="FV7"/>
    <m/>
    <n v="3571"/>
    <m/>
    <m/>
    <m/>
    <n v="615"/>
    <n v="4186"/>
    <n v="230.23"/>
    <n v="4416.2299999999996"/>
    <n v="4214.21"/>
    <s v="oui"/>
    <m/>
    <m/>
    <s v="REGION 2020"/>
    <s v="NC"/>
  </r>
  <r>
    <x v="1"/>
    <n v="7"/>
    <x v="2"/>
    <x v="1"/>
    <s v="EBL"/>
    <s v="VRB0015"/>
    <n v="400"/>
    <d v="2020-07-01T00:00:00"/>
    <d v="2020-07-02T00:00:00"/>
    <s v="-"/>
    <s v="-"/>
    <d v="2020-07-03T00:00:00"/>
    <d v="2020-07-03T00:00:00"/>
    <d v="2020-07-08T00:00:00"/>
    <m/>
    <d v="2020-09-18T00:00:00"/>
    <d v="2020-07-16T00:00:00"/>
    <s v="-"/>
    <d v="2020-09-22T00:00:00"/>
    <d v="2020-09-22T00:00:00"/>
    <d v="2020-09-22T00:00:00"/>
    <m/>
    <m/>
    <m/>
    <s v="GILLET"/>
    <s v="Bertrand"/>
    <n v="2"/>
    <n v="31407"/>
    <n v="95"/>
    <s v="Montée du Cellier"/>
    <n v="38140"/>
    <x v="8"/>
    <n v="476057023"/>
    <s v="nicolebertrand38@gmail.com"/>
    <s v="PO"/>
    <m/>
    <m/>
    <s v="-"/>
    <s v="-"/>
    <s v="-"/>
    <s v="-"/>
    <x v="5"/>
    <x v="5"/>
    <s v="HAMAIN Jérémie"/>
    <s v="godin-grenoble@orange.fr"/>
    <n v="438021901"/>
    <s v="-"/>
    <s v="oui"/>
    <d v="2021-03-21T00:00:00"/>
    <s v="insert / foyer fermé"/>
    <n v="1985"/>
    <x v="0"/>
    <x v="0"/>
    <s v="SKIA DESIGN"/>
    <s v="Classique Fusion - 11"/>
    <n v="20"/>
    <n v="11.5"/>
    <n v="87"/>
    <n v="0.02"/>
    <s v="FV7"/>
    <m/>
    <n v="7289"/>
    <m/>
    <m/>
    <m/>
    <n v="1492"/>
    <n v="8781"/>
    <n v="482.95499999999998"/>
    <n v="9263.9549999999999"/>
    <n v="9300"/>
    <s v="oui"/>
    <m/>
    <m/>
    <s v="REGION 2020"/>
    <s v="NC"/>
  </r>
  <r>
    <x v="1"/>
    <n v="7"/>
    <x v="3"/>
    <x v="1"/>
    <s v="EBL"/>
    <s v="VRB0016"/>
    <n v="400"/>
    <d v="2020-07-02T00:00:00"/>
    <d v="2020-07-03T00:00:00"/>
    <d v="2020-07-03T00:00:00"/>
    <s v="Manque Avis d'imposition (ok)"/>
    <d v="2020-07-21T00:00:00"/>
    <d v="2020-07-21T00:00:00"/>
    <d v="2020-08-03T00:00:00"/>
    <m/>
    <d v="2021-09-25T00:00:00"/>
    <d v="2020-11-06T00:00:00"/>
    <s v="-"/>
    <d v="2021-09-30T00:00:00"/>
    <d v="2021-09-30T00:00:00"/>
    <d v="2021-09-30T00:00:00"/>
    <m/>
    <m/>
    <m/>
    <s v="SETVENS"/>
    <s v="Bart"/>
    <n v="2"/>
    <n v="78641"/>
    <n v="345"/>
    <s v="Route René Impériale"/>
    <n v="38850"/>
    <x v="9"/>
    <n v="631227897"/>
    <s v="stevens.bart@orange.fr"/>
    <s v="PO"/>
    <m/>
    <m/>
    <s v="-"/>
    <s v="-"/>
    <s v="-"/>
    <s v="-"/>
    <x v="7"/>
    <x v="1"/>
    <s v="PIERRE Emmanuel"/>
    <s v="voiron@techni-nature.com"/>
    <n v="951096343"/>
    <s v="-"/>
    <s v="oui"/>
    <d v="2020-08-25T00:00:00"/>
    <s v="insert / foyer fermé"/>
    <n v="1988"/>
    <x v="0"/>
    <x v="0"/>
    <s v="INOVALP"/>
    <s v="HOBEN H7"/>
    <n v="20"/>
    <n v="8.3000000000000007"/>
    <n v="87"/>
    <n v="1.7999999999999999E-2"/>
    <s v="registre"/>
    <m/>
    <n v="5887.67"/>
    <m/>
    <m/>
    <m/>
    <n v="625.39"/>
    <n v="6513.06"/>
    <n v="358.2183"/>
    <n v="6871.2782999999999"/>
    <n v="6400"/>
    <s v="non"/>
    <m/>
    <m/>
    <s v="ADEME 2020"/>
    <s v="NC"/>
  </r>
  <r>
    <x v="1"/>
    <n v="7"/>
    <x v="2"/>
    <x v="1"/>
    <s v="EBL"/>
    <s v="VRB0017"/>
    <n v="400"/>
    <d v="2020-07-06T00:00:00"/>
    <d v="2020-07-24T00:00:00"/>
    <d v="2020-07-24T00:00:00"/>
    <s v="Manque n° de téléphone(ok) + Avis d'imposition (ok)"/>
    <d v="2020-07-31T00:00:00"/>
    <d v="2020-07-31T00:00:00"/>
    <d v="2020-08-31T00:00:00"/>
    <m/>
    <d v="2020-08-27T00:00:00"/>
    <d v="2020-10-15T00:00:00"/>
    <s v="-"/>
    <d v="2020-10-22T00:00:00"/>
    <d v="2020-10-22T00:00:00"/>
    <d v="2020-11-04T00:00:00"/>
    <m/>
    <m/>
    <m/>
    <s v="ROUYER"/>
    <s v="Claude"/>
    <n v="2"/>
    <n v="34556"/>
    <n v="250"/>
    <s v="Route de la Croix Blanche"/>
    <n v="38500"/>
    <x v="13"/>
    <s v="04 76 55 32 40"/>
    <s v="-"/>
    <s v="PO"/>
    <m/>
    <m/>
    <s v="-"/>
    <s v="-"/>
    <s v="-"/>
    <s v="-"/>
    <x v="0"/>
    <x v="0"/>
    <s v="CARRE François"/>
    <s v="f.carre@carre-f.com"/>
    <s v="04 76 37 03 50"/>
    <s v="-"/>
    <s v="oui  "/>
    <d v="2020-11-17T00:00:00"/>
    <s v="poêle"/>
    <s v="&lt;2000"/>
    <x v="0"/>
    <x v="0"/>
    <s v="PALAZZETTI"/>
    <s v="ECO FIRE BIANCA 12"/>
    <n v="11"/>
    <n v="12"/>
    <n v="88.5"/>
    <n v="0.01"/>
    <s v="FV7"/>
    <m/>
    <n v="4429.5"/>
    <m/>
    <m/>
    <m/>
    <n v="590"/>
    <n v="5019.5"/>
    <n v="276.07249999999999"/>
    <n v="5295.5725000000002"/>
    <n v="5295.57"/>
    <s v="oui"/>
    <m/>
    <m/>
    <s v="REGION 2020"/>
    <s v="NC"/>
  </r>
  <r>
    <x v="1"/>
    <n v="7"/>
    <x v="2"/>
    <x v="1"/>
    <s v="EBL"/>
    <s v="VRB0018"/>
    <n v="400"/>
    <d v="2020-07-04T00:00:00"/>
    <d v="2020-07-07T00:00:00"/>
    <s v="-"/>
    <s v="-"/>
    <d v="2020-07-24T00:00:00"/>
    <d v="2020-07-24T00:00:00"/>
    <d v="2020-08-03T00:00:00"/>
    <m/>
    <d v="2020-10-19T00:00:00"/>
    <d v="2020-09-14T00:00:00"/>
    <s v="Manque la mention acquitté+attestation de destruction(ok)"/>
    <d v="2020-11-05T00:00:00"/>
    <d v="2020-11-05T00:00:00"/>
    <d v="2020-11-12T00:00:00"/>
    <m/>
    <m/>
    <m/>
    <s v="FINET"/>
    <s v="Patrick"/>
    <n v="2"/>
    <n v="39775"/>
    <n v="1787"/>
    <s v="Route de Merlas"/>
    <n v="38620"/>
    <x v="14"/>
    <s v="06 85 74 09 62"/>
    <s v="f.i.n.e.t@wanadoo.fr"/>
    <s v="PO"/>
    <m/>
    <m/>
    <s v="-"/>
    <s v="-"/>
    <s v="-"/>
    <s v="-"/>
    <x v="3"/>
    <x v="3"/>
    <s v="TROUBA"/>
    <s v="flammeiseroise38300@orange.fr"/>
    <n v="474937373"/>
    <s v="-"/>
    <s v="oui"/>
    <d v="2021-04-28T00:00:00"/>
    <s v="foyer ouvert"/>
    <s v="&lt;1990"/>
    <x v="0"/>
    <x v="0"/>
    <s v="MORETTI"/>
    <s v="A10 COMPACT GLASS"/>
    <n v="17.899999999999999"/>
    <n v="9.61"/>
    <n v="87.5"/>
    <n v="0.02"/>
    <s v="registre"/>
    <m/>
    <n v="3490"/>
    <m/>
    <m/>
    <m/>
    <n v="1890"/>
    <n v="5380"/>
    <n v="295.89999999999998"/>
    <n v="5675.9"/>
    <n v="5675.9"/>
    <s v="-"/>
    <m/>
    <m/>
    <s v="REGION 2020"/>
    <s v="NC"/>
  </r>
  <r>
    <x v="1"/>
    <n v="7"/>
    <x v="2"/>
    <x v="1"/>
    <s v="EBL"/>
    <s v="VRB0019"/>
    <n v="400"/>
    <d v="2020-07-15T00:00:00"/>
    <d v="2020-07-16T00:00:00"/>
    <d v="2020-07-24T00:00:00"/>
    <s v="Manque derniere page taxe foncière (ok)"/>
    <d v="2020-07-31T00:00:00"/>
    <d v="2020-07-31T00:00:00"/>
    <d v="2020-08-31T00:00:00"/>
    <m/>
    <d v="2020-09-28T00:00:00"/>
    <d v="2020-08-31T00:00:00"/>
    <s v="-"/>
    <d v="2020-10-05T00:00:00"/>
    <d v="2020-10-05T00:00:00"/>
    <d v="2020-10-05T00:00:00"/>
    <m/>
    <m/>
    <m/>
    <s v="STEVANT"/>
    <s v="Christian"/>
    <n v="2"/>
    <n v="34847"/>
    <n v="150"/>
    <s v="Route du Sabot"/>
    <n v="38210"/>
    <x v="3"/>
    <s v="04 76 07 01 37"/>
    <s v="christian.stevant@sfr.fr"/>
    <s v="PO"/>
    <m/>
    <m/>
    <s v="-"/>
    <s v="-"/>
    <s v="-"/>
    <s v="-"/>
    <x v="1"/>
    <x v="1"/>
    <s v="LIBER Jean-Christophe"/>
    <s v="jlc.services@orange.fr"/>
    <s v="04 76 07 14 61"/>
    <s v="-"/>
    <s v="oui"/>
    <d v="2020-11-03T00:00:00"/>
    <s v="poêle"/>
    <n v="2000"/>
    <x v="0"/>
    <x v="0"/>
    <s v="MCZ"/>
    <s v="AMY"/>
    <n v="17"/>
    <n v="6.3"/>
    <n v="91.5"/>
    <n v="0.01"/>
    <s v="FV7"/>
    <m/>
    <n v="2244"/>
    <m/>
    <m/>
    <m/>
    <n v="470"/>
    <n v="2714"/>
    <n v="149.27000000000001"/>
    <n v="2863.27"/>
    <n v="2724.01"/>
    <s v="oui"/>
    <m/>
    <m/>
    <s v="REGION 2020"/>
    <s v="NC"/>
  </r>
  <r>
    <x v="1"/>
    <n v="8"/>
    <x v="2"/>
    <x v="1"/>
    <s v="EBL"/>
    <s v="VRB0020"/>
    <n v="400"/>
    <d v="2020-07-17T00:00:00"/>
    <d v="2020-07-17T00:00:00"/>
    <d v="2020-07-24T00:00:00"/>
    <s v="Manque Avis d'impot (ok) + Taxe fonciere (ok) + Devis (ok)+ RIB(ok) + photo (ok)"/>
    <d v="2020-08-13T00:00:00"/>
    <d v="2020-08-13T00:00:00"/>
    <d v="2020-09-02T00:00:00"/>
    <m/>
    <d v="2020-09-30T00:00:00"/>
    <d v="2020-09-18T00:00:00"/>
    <s v="-"/>
    <d v="2020-10-05T00:00:00"/>
    <d v="2020-10-05T00:00:00"/>
    <d v="2020-10-05T00:00:00"/>
    <m/>
    <m/>
    <m/>
    <s v="ALLAGNAT"/>
    <s v="Gilles"/>
    <n v="2"/>
    <n v="49157"/>
    <n v="80"/>
    <s v="Route des Pierres Blanches"/>
    <n v="38210"/>
    <x v="3"/>
    <s v="06 18 53 36 82"/>
    <s v="gilles.allagnat@wanadoo.fr"/>
    <s v="PO"/>
    <m/>
    <m/>
    <s v="-"/>
    <s v="-"/>
    <s v="-"/>
    <s v="-"/>
    <x v="11"/>
    <x v="2"/>
    <s v="GRATIER Pascal"/>
    <s v="grenoble@hase-boutique.fr"/>
    <n v="476452433"/>
    <s v="-"/>
    <s v="oui"/>
    <d v="2020-10-14T00:00:00"/>
    <s v="insert / foyer fermé"/>
    <n v="2001"/>
    <x v="0"/>
    <x v="1"/>
    <s v="HASE"/>
    <s v="LIMA C16"/>
    <n v="16"/>
    <n v="6.4"/>
    <n v="81"/>
    <n v="0.08"/>
    <s v="FV7"/>
    <m/>
    <n v="6106.6400000000012"/>
    <m/>
    <m/>
    <m/>
    <n v="1430"/>
    <n v="7536.6400000000012"/>
    <n v="414.51520000000005"/>
    <n v="7951.1552000000011"/>
    <n v="6896.16"/>
    <s v="-"/>
    <m/>
    <m/>
    <s v="REGION 2020"/>
    <s v="NC"/>
  </r>
  <r>
    <x v="1"/>
    <n v="7"/>
    <x v="2"/>
    <x v="2"/>
    <s v="EBL"/>
    <s v="VRB0021"/>
    <n v="800"/>
    <d v="2020-07-20T00:00:00"/>
    <d v="2020-07-21T00:00:00"/>
    <d v="2020-07-24T00:00:00"/>
    <s v="Manque date et signature sur la demande (ok)"/>
    <d v="2020-07-31T00:00:00"/>
    <d v="2020-07-31T00:00:00"/>
    <d v="2020-08-31T00:00:00"/>
    <m/>
    <d v="2020-09-22T00:00:00"/>
    <d v="2020-09-14T00:00:00"/>
    <s v="-"/>
    <d v="2020-09-22T00:00:00"/>
    <d v="2020-09-28T00:00:00"/>
    <d v="2020-09-28T00:00:00"/>
    <m/>
    <m/>
    <m/>
    <s v="ROUX "/>
    <s v="Jérémie"/>
    <n v="4"/>
    <n v="23841"/>
    <n v="14"/>
    <s v="Rue Victor Hugo"/>
    <n v="38210"/>
    <x v="15"/>
    <s v="06 81 70 54 22"/>
    <s v="familleroux2009@gmail.com"/>
    <s v="PO"/>
    <m/>
    <m/>
    <s v="-"/>
    <s v="-"/>
    <s v="-"/>
    <s v="-"/>
    <x v="6"/>
    <x v="6"/>
    <s v="FAURE Jacques"/>
    <s v="jacques.faure24@wanadoo.fr"/>
    <n v="476355605"/>
    <s v="-"/>
    <s v="oui"/>
    <d v="2021-10-26T00:00:00"/>
    <s v="foyer ouvert"/>
    <n v="1990"/>
    <x v="0"/>
    <x v="1"/>
    <s v="DICK GEURTS par FONTE FLAMME"/>
    <s v="IVAR 8"/>
    <n v="34"/>
    <n v="7.3"/>
    <n v="77"/>
    <n v="0.04"/>
    <s v="FV7"/>
    <m/>
    <n v="3122.6"/>
    <m/>
    <m/>
    <m/>
    <n v="874.09"/>
    <n v="3996.69"/>
    <n v="219.81795"/>
    <n v="4216.5079500000002"/>
    <n v="4216.51"/>
    <s v="oui"/>
    <m/>
    <m/>
    <s v="REGION 2020"/>
    <s v="NC"/>
  </r>
  <r>
    <x v="1"/>
    <n v="7"/>
    <x v="2"/>
    <x v="1"/>
    <s v="EBL"/>
    <s v="VRB0022"/>
    <n v="400"/>
    <d v="2020-07-21T00:00:00"/>
    <d v="2020-07-23T00:00:00"/>
    <s v="-"/>
    <s v="-"/>
    <d v="2020-07-24T00:00:00"/>
    <d v="2020-07-24T00:00:00"/>
    <d v="2020-08-03T00:00:00"/>
    <m/>
    <d v="2020-11-23T00:00:00"/>
    <d v="2020-10-31T00:00:00"/>
    <s v="-"/>
    <d v="2020-11-26T00:00:00"/>
    <d v="2020-11-26T00:00:00"/>
    <d v="2020-12-01T00:00:00"/>
    <m/>
    <m/>
    <m/>
    <s v="JAYET-DAUPHINE"/>
    <s v="Raymonde"/>
    <n v="1"/>
    <n v="21341"/>
    <n v="244"/>
    <s v="Route des Chevalier de l'An Mil"/>
    <n v="38620"/>
    <x v="16"/>
    <n v="476323529"/>
    <s v="-"/>
    <s v="PO"/>
    <m/>
    <m/>
    <s v="-"/>
    <s v="-"/>
    <s v="-"/>
    <s v="-"/>
    <x v="0"/>
    <x v="0"/>
    <s v="CARRE François"/>
    <s v="f.carre@carre-f.com"/>
    <s v="04 76 37 03 50"/>
    <s v="-"/>
    <s v="oui  "/>
    <d v="2021-11-17T00:00:00"/>
    <s v="insert / foyer fermé"/>
    <n v="1999"/>
    <x v="0"/>
    <x v="0"/>
    <s v="PALAZZETTI"/>
    <s v="ELDORA"/>
    <n v="10"/>
    <n v="9.1"/>
    <n v="90"/>
    <n v="0.01"/>
    <s v="FV7"/>
    <m/>
    <n v="4744.5"/>
    <m/>
    <m/>
    <m/>
    <n v="590"/>
    <n v="5334.5"/>
    <n v="293.39749999999998"/>
    <n v="5627.8975"/>
    <n v="5627.9"/>
    <s v="oui"/>
    <m/>
    <m/>
    <s v="REGION 2020"/>
    <s v="NC"/>
  </r>
  <r>
    <x v="1"/>
    <n v="7"/>
    <x v="2"/>
    <x v="1"/>
    <s v="EBL"/>
    <s v="VRB0023"/>
    <n v="400"/>
    <d v="2020-07-22T00:00:00"/>
    <d v="2020-07-23T00:00:00"/>
    <s v="-"/>
    <s v="-"/>
    <d v="2020-07-24T00:00:00"/>
    <d v="2020-07-24T00:00:00"/>
    <d v="2020-08-03T00:00:00"/>
    <m/>
    <d v="2020-09-14T00:00:00"/>
    <d v="2020-09-02T00:00:00"/>
    <s v="-"/>
    <d v="2020-09-28T00:00:00"/>
    <d v="2020-09-28T00:00:00"/>
    <d v="2020-09-28T00:00:00"/>
    <m/>
    <m/>
    <m/>
    <s v="RECOUPE"/>
    <s v="Arnaud"/>
    <n v="4"/>
    <n v="81244"/>
    <n v="116"/>
    <s v="Rue Des Amandiers"/>
    <n v="38340"/>
    <x v="17"/>
    <n v="686941243"/>
    <s v="arnaud.recoupe@gmail.com"/>
    <s v="PO"/>
    <m/>
    <m/>
    <s v="-"/>
    <s v="-"/>
    <s v="-"/>
    <s v="-"/>
    <x v="12"/>
    <x v="8"/>
    <s v="AILLOUD Jérôme"/>
    <s v="sarlpab@orange.fr"/>
    <n v="437064566"/>
    <s v="-"/>
    <s v="oui"/>
    <d v="2021-03-13T00:00:00"/>
    <s v="insert / foyer fermé"/>
    <n v="1985"/>
    <x v="0"/>
    <x v="1"/>
    <s v="ADURO"/>
    <s v="H1"/>
    <n v="28"/>
    <n v="7"/>
    <n v="81.3"/>
    <n v="0.1"/>
    <s v="FV7"/>
    <m/>
    <n v="3971.62"/>
    <m/>
    <m/>
    <m/>
    <n v="1669.95"/>
    <n v="5641.57"/>
    <n v="310.28634999999997"/>
    <n v="5951.85635"/>
    <n v="5798.97"/>
    <s v="oui"/>
    <m/>
    <m/>
    <s v="REGION 2020"/>
    <s v="NC"/>
  </r>
  <r>
    <x v="1"/>
    <n v="7"/>
    <x v="2"/>
    <x v="1"/>
    <s v="EBL"/>
    <s v="VRB0024"/>
    <n v="400"/>
    <d v="2020-07-23T00:00:00"/>
    <d v="2020-07-23T00:00:00"/>
    <s v="-"/>
    <s v="-"/>
    <d v="2020-07-24T00:00:00"/>
    <d v="2020-07-24T00:00:00"/>
    <d v="2020-08-03T00:00:00"/>
    <m/>
    <d v="2020-10-12T00:00:00"/>
    <d v="2020-09-14T00:00:00"/>
    <s v="-"/>
    <d v="2020-10-19T00:00:00"/>
    <d v="2020-10-19T00:00:00"/>
    <d v="2020-10-29T00:00:00"/>
    <m/>
    <m/>
    <m/>
    <s v="ROBERT"/>
    <s v="Patrick"/>
    <n v="3"/>
    <n v="86749"/>
    <n v="950"/>
    <s v="Route du Ri d'Olon"/>
    <n v="38430"/>
    <x v="2"/>
    <n v="672955839"/>
    <s v="famillepatr@gmail.com"/>
    <s v="PO"/>
    <m/>
    <m/>
    <s v="-"/>
    <s v="-"/>
    <s v="-"/>
    <s v="-"/>
    <x v="13"/>
    <x v="1"/>
    <s v="CHARREL Stephane"/>
    <s v="contact@fer-et-feu.fr"/>
    <n v="476059444"/>
    <s v="-"/>
    <s v="oui"/>
    <d v="2021-08-16T00:00:00"/>
    <s v="foyer ouvert"/>
    <n v="2001"/>
    <x v="0"/>
    <x v="0"/>
    <s v="RIKA"/>
    <s v="CORSO"/>
    <n v="14"/>
    <n v="8"/>
    <n v="90.7"/>
    <n v="0.01"/>
    <s v="registre"/>
    <m/>
    <n v="6251"/>
    <m/>
    <m/>
    <m/>
    <n v="695"/>
    <n v="6946"/>
    <n v="382.03000000000003"/>
    <n v="7328.03"/>
    <n v="7328.03"/>
    <s v="oui"/>
    <m/>
    <m/>
    <s v="REGION 2020"/>
    <s v="NC"/>
  </r>
  <r>
    <x v="1"/>
    <n v="7"/>
    <x v="2"/>
    <x v="1"/>
    <s v="EBL"/>
    <s v="VRB0025"/>
    <n v="400"/>
    <d v="2020-07-23T00:00:00"/>
    <d v="2020-07-27T00:00:00"/>
    <s v="-"/>
    <s v="-"/>
    <d v="2020-07-31T00:00:00"/>
    <d v="2020-07-31T00:00:00"/>
    <d v="2020-08-31T00:00:00"/>
    <m/>
    <d v="2020-10-23T00:00:00"/>
    <d v="2020-10-16T00:00:00"/>
    <s v="-"/>
    <d v="2020-10-27T00:00:00"/>
    <d v="2020-10-27T00:00:00"/>
    <d v="2020-10-29T00:00:00"/>
    <m/>
    <m/>
    <m/>
    <s v="APELOIG"/>
    <s v="Florence "/>
    <n v="2"/>
    <n v="113152"/>
    <n v="3907"/>
    <s v="Route du Grand Vivier"/>
    <n v="38960"/>
    <x v="11"/>
    <n v="608288769"/>
    <s v="famille.apeloig@gmail.com"/>
    <s v="PO"/>
    <m/>
    <m/>
    <s v="-"/>
    <s v="-"/>
    <s v="-"/>
    <s v="-"/>
    <x v="7"/>
    <x v="1"/>
    <s v="PIERRE Emmanuel"/>
    <s v="voiron@techni-nature.com"/>
    <n v="951096343"/>
    <s v="-"/>
    <s v="oui"/>
    <d v="2021-08-25T00:00:00"/>
    <s v="foyer ouvert"/>
    <s v="&lt;2002"/>
    <x v="0"/>
    <x v="0"/>
    <s v="INOVALP"/>
    <s v="HOBEN H9"/>
    <n v="15"/>
    <n v="9.3000000000000007"/>
    <n v="87"/>
    <n v="1.7999999999999999E-2"/>
    <s v="registre"/>
    <m/>
    <n v="6202.25"/>
    <m/>
    <m/>
    <m/>
    <n v="630"/>
    <n v="6832.25"/>
    <n v="375.77375000000001"/>
    <n v="7208.0237500000003"/>
    <n v="6733.27"/>
    <s v="oui"/>
    <m/>
    <m/>
    <s v="REGION 2020"/>
    <s v="NC"/>
  </r>
  <r>
    <x v="1"/>
    <n v="8"/>
    <x v="2"/>
    <x v="2"/>
    <s v="EBL"/>
    <s v="VRB0026"/>
    <n v="800"/>
    <d v="2020-07-28T00:00:00"/>
    <d v="2020-07-30T00:00:00"/>
    <d v="2020-07-31T00:00:00"/>
    <s v="Avis d'imposition+dernière page taxe fonciere"/>
    <d v="2020-08-13T00:00:00"/>
    <d v="2020-08-13T00:00:00"/>
    <d v="2020-09-02T00:00:00"/>
    <m/>
    <d v="2020-11-03T00:00:00"/>
    <d v="2020-11-02T00:00:00"/>
    <s v="-"/>
    <d v="2020-11-05T00:00:00"/>
    <d v="2020-11-05T00:00:00"/>
    <d v="2020-11-12T00:00:00"/>
    <m/>
    <m/>
    <m/>
    <s v="KRAWIEC"/>
    <s v="Stanislava"/>
    <n v="1"/>
    <n v="10652"/>
    <n v="1454"/>
    <s v="Route de St jean"/>
    <n v="38500"/>
    <x v="18"/>
    <n v="476056625"/>
    <s v="georges.krawiec@orange.fr"/>
    <s v="PO"/>
    <m/>
    <m/>
    <s v="-"/>
    <s v="-"/>
    <s v="-"/>
    <s v="-"/>
    <x v="14"/>
    <x v="1"/>
    <s v="SIMON Frédéric"/>
    <s v="contact@ecvoiron.fr"/>
    <n v="476069938"/>
    <s v="-"/>
    <s v="oui"/>
    <d v="2021-09-18T00:00:00"/>
    <s v="poêle"/>
    <n v="2000"/>
    <x v="0"/>
    <x v="1"/>
    <s v="PALAZZETTI"/>
    <s v="EVA S"/>
    <n v="18"/>
    <n v="7"/>
    <n v="77"/>
    <n v="7.0000000000000007E-2"/>
    <s v="FV7"/>
    <m/>
    <n v="1745"/>
    <m/>
    <m/>
    <m/>
    <n v="750"/>
    <n v="2495"/>
    <n v="137.22499999999999"/>
    <n v="2632.2249999999999"/>
    <n v="2632.23"/>
    <s v="oui"/>
    <m/>
    <m/>
    <s v="REGION 2020"/>
    <s v="NC"/>
  </r>
  <r>
    <x v="1"/>
    <n v="7"/>
    <x v="2"/>
    <x v="2"/>
    <s v="EBL"/>
    <s v="VRB0027"/>
    <n v="800"/>
    <d v="2020-07-28T00:00:00"/>
    <d v="2020-07-30T00:00:00"/>
    <d v="2020-07-31T00:00:00"/>
    <s v="Lettre de sollicitation(ok)+RIB(ok)+Photo(ok)"/>
    <d v="2020-07-31T00:00:00"/>
    <d v="2020-07-31T00:00:00"/>
    <d v="2020-08-31T00:00:00"/>
    <m/>
    <d v="2020-09-03T00:00:00"/>
    <d v="2020-08-26T00:00:00"/>
    <s v="Manque photo(ok)+attestation fin de travaux+date facture message tel le 11/09(ok)"/>
    <d v="2020-10-22T00:00:00"/>
    <d v="2020-10-22T00:00:00"/>
    <d v="2020-11-04T00:00:00"/>
    <m/>
    <m/>
    <m/>
    <s v="FINCO"/>
    <s v="Carlo"/>
    <n v="1"/>
    <n v="13973"/>
    <n v="930"/>
    <s v="Route des Allé"/>
    <n v="38730"/>
    <x v="19"/>
    <s v="06 99 95 62 07"/>
    <s v="fincoelodie38@gmail.com"/>
    <s v="PO"/>
    <m/>
    <m/>
    <s v="-"/>
    <s v="-"/>
    <s v="-"/>
    <s v="-"/>
    <x v="14"/>
    <x v="1"/>
    <s v="SIMON Frédéric"/>
    <s v="contact@ecvoiron.fr"/>
    <n v="476069938"/>
    <s v="-"/>
    <s v="oui"/>
    <d v="2020-09-18T00:00:00"/>
    <s v="poêle"/>
    <n v="1992"/>
    <x v="0"/>
    <x v="0"/>
    <s v="PALAZZETTI"/>
    <s v="ECOFIRE LIA 8KW"/>
    <n v="8"/>
    <n v="8.1999999999999993"/>
    <n v="87.7"/>
    <n v="2E-3"/>
    <s v="FV7"/>
    <m/>
    <n v="2402.1"/>
    <m/>
    <m/>
    <m/>
    <n v="820.65"/>
    <n v="3222.75"/>
    <n v="177.25125"/>
    <n v="3400.0012499999998"/>
    <n v="3400"/>
    <s v="non"/>
    <m/>
    <m/>
    <s v="REGION 2020"/>
    <s v="NC"/>
  </r>
  <r>
    <x v="1"/>
    <n v="9"/>
    <x v="2"/>
    <x v="2"/>
    <s v="EBL"/>
    <s v="VRB0028"/>
    <n v="800"/>
    <d v="2020-07-30T00:00:00"/>
    <d v="2020-07-30T00:00:00"/>
    <d v="2020-07-31T00:00:00"/>
    <s v="Lettre de sollicitation(ok)+derniere page taxe fonciere(ok)+photo plan large(ok)+rib(ok)"/>
    <d v="2020-09-25T00:00:00"/>
    <d v="2020-09-28T00:00:00"/>
    <d v="2020-10-05T00:00:00"/>
    <m/>
    <d v="2020-10-14T00:00:00"/>
    <d v="2020-10-02T00:00:00"/>
    <s v="-"/>
    <d v="2020-10-19T00:00:00"/>
    <d v="2020-10-19T00:00:00"/>
    <d v="2020-10-29T00:00:00"/>
    <m/>
    <m/>
    <m/>
    <s v="DA SILVA VENTOSA"/>
    <s v="Carlos"/>
    <n v="2"/>
    <n v="17935"/>
    <n v="10"/>
    <s v="Rue Louis Neel"/>
    <n v="38140"/>
    <x v="6"/>
    <n v="651795408"/>
    <s v="albert.et.mariejo@hotmail.fr"/>
    <s v="PO"/>
    <m/>
    <m/>
    <s v="-"/>
    <s v="-"/>
    <s v="-"/>
    <s v="-"/>
    <x v="15"/>
    <x v="9"/>
    <s v="MICHEL Patrick"/>
    <s v="enerlogis@orange.fr"/>
    <n v="479750979"/>
    <s v="-"/>
    <s v="oui"/>
    <d v="2021-08-25T00:00:00"/>
    <s v="insert / foyer fermé"/>
    <s v="&lt;1996"/>
    <x v="0"/>
    <x v="1"/>
    <s v="TERMATECH"/>
    <s v="TT80"/>
    <n v="15"/>
    <n v="5.5"/>
    <n v="81"/>
    <n v="7.5999999999999998E-2"/>
    <s v="registre"/>
    <m/>
    <n v="3637"/>
    <m/>
    <m/>
    <m/>
    <n v="760"/>
    <n v="4397"/>
    <n v="241.83500000000001"/>
    <n v="4638.835"/>
    <n v="4331.6499999999996"/>
    <s v="oui"/>
    <m/>
    <m/>
    <s v="REGION 2020"/>
    <s v="NC"/>
  </r>
  <r>
    <x v="1"/>
    <n v="7"/>
    <x v="2"/>
    <x v="1"/>
    <s v="EBL"/>
    <s v="VRB0029"/>
    <n v="400"/>
    <d v="2020-07-30T00:00:00"/>
    <d v="2020-07-30T00:00:00"/>
    <s v="-"/>
    <s v="-"/>
    <d v="2020-07-31T00:00:00"/>
    <d v="2020-07-31T00:00:00"/>
    <d v="2020-08-31T00:00:00"/>
    <m/>
    <d v="2021-01-05T00:00:00"/>
    <d v="2020-10-07T00:00:00"/>
    <s v="-"/>
    <d v="2021-01-08T00:00:00"/>
    <d v="2021-01-08T00:00:00"/>
    <d v="2021-01-15T00:00:00"/>
    <m/>
    <m/>
    <m/>
    <s v="MORICEAU"/>
    <s v="Hubert"/>
    <n v="2"/>
    <n v="96787"/>
    <n v="66"/>
    <s v="Lotissement de la Grande Sure"/>
    <n v="38500"/>
    <x v="18"/>
    <n v="628254334"/>
    <s v="hubert.moriceau@gmail.com"/>
    <s v="PO"/>
    <m/>
    <m/>
    <s v="-"/>
    <s v="-"/>
    <s v="-"/>
    <s v="-"/>
    <x v="2"/>
    <x v="2"/>
    <s v="DIDIER Jean-Christophe"/>
    <s v="jcduo@orange.fr"/>
    <n v="608287337"/>
    <s v="-"/>
    <s v="oui"/>
    <d v="2021-08-09T00:00:00"/>
    <s v="foyer ouvert"/>
    <n v="1988"/>
    <x v="0"/>
    <x v="1"/>
    <s v="CONTURA"/>
    <s v="C800STYLE"/>
    <n v="8"/>
    <n v="5.2"/>
    <n v="81"/>
    <n v="0.11"/>
    <s v="FV7"/>
    <m/>
    <n v="4616"/>
    <m/>
    <m/>
    <m/>
    <n v="1964"/>
    <n v="6580"/>
    <n v="361.9"/>
    <n v="6941.9"/>
    <n v="6500"/>
    <s v="oui"/>
    <m/>
    <m/>
    <s v="REGION 2020"/>
    <s v="NC"/>
  </r>
  <r>
    <x v="1"/>
    <n v="8"/>
    <x v="2"/>
    <x v="1"/>
    <s v="EBL"/>
    <s v="VRB0030"/>
    <n v="400"/>
    <d v="2020-08-03T00:00:00"/>
    <d v="2020-08-10T00:00:00"/>
    <d v="2020-08-13T00:00:00"/>
    <s v="photo de l'appareil en fonctionnement et/ou photo du tubage(ok)"/>
    <d v="2020-08-20T00:00:00"/>
    <d v="2020-08-20T00:00:00"/>
    <d v="2020-09-02T00:00:00"/>
    <m/>
    <d v="2020-12-11T00:00:00"/>
    <d v="2020-12-01T00:00:00"/>
    <s v="-"/>
    <d v="2020-12-14T00:00:00"/>
    <d v="2020-12-14T00:00:00"/>
    <d v="2021-01-07T00:00:00"/>
    <m/>
    <m/>
    <m/>
    <s v="ROLLAND"/>
    <s v="Jean-Paul"/>
    <n v="2"/>
    <n v="36207"/>
    <n v="122"/>
    <s v="Avenue André Malraux"/>
    <n v="38340"/>
    <x v="17"/>
    <n v="688911103"/>
    <s v="rollandjean-paul@orange.fr"/>
    <s v="PO"/>
    <m/>
    <m/>
    <s v="-"/>
    <s v="-"/>
    <s v="-"/>
    <s v="-"/>
    <x v="11"/>
    <x v="2"/>
    <s v="GRATIER Pascal"/>
    <s v="grenoble@hase-boutique.fr"/>
    <n v="476452433"/>
    <s v="-"/>
    <s v="oui"/>
    <d v="2020-10-14T00:00:00"/>
    <s v="poêle"/>
    <n v="2001"/>
    <x v="0"/>
    <x v="0"/>
    <s v="THERMOROSSI"/>
    <s v="Pellet AIR 11"/>
    <n v="11.4"/>
    <n v="11.4"/>
    <n v="86.6"/>
    <n v="7.0000000000000001E-3"/>
    <s v="registre"/>
    <m/>
    <n v="4761.0499999999993"/>
    <m/>
    <m/>
    <m/>
    <n v="850"/>
    <n v="5611.0499999999993"/>
    <n v="308.60774999999995"/>
    <n v="5919.6577499999994"/>
    <n v="5682.28"/>
    <s v="oui"/>
    <m/>
    <m/>
    <s v="REGION 2020"/>
    <s v="NC"/>
  </r>
  <r>
    <x v="1"/>
    <n v="8"/>
    <x v="3"/>
    <x v="1"/>
    <s v="EBL"/>
    <s v="VRB0031"/>
    <n v="400"/>
    <d v="2020-08-06T00:00:00"/>
    <d v="2020-08-10T00:00:00"/>
    <d v="2020-08-13T00:00:00"/>
    <s v="Manque derniere page taxe foncière "/>
    <d v="2020-08-20T00:00:00"/>
    <d v="2020-08-20T00:00:00"/>
    <d v="2020-09-02T00:00:00"/>
    <m/>
    <d v="2021-08-09T00:00:00"/>
    <d v="2020-11-09T00:00:00"/>
    <s v="Manque attestation de destruction (ok le 12/11/21)"/>
    <d v="2021-11-12T00:00:00"/>
    <d v="2021-11-12T00:00:00"/>
    <d v="2021-11-18T00:00:00"/>
    <m/>
    <m/>
    <m/>
    <s v="COLLOMB"/>
    <s v="André"/>
    <n v="2"/>
    <n v="32421"/>
    <n v="264"/>
    <s v="Chemin Château Vieux"/>
    <n v="38850"/>
    <x v="5"/>
    <n v="632479145"/>
    <s v="ca.collomb@orange.fr"/>
    <s v="PO"/>
    <m/>
    <m/>
    <s v="-"/>
    <s v="-"/>
    <s v="-"/>
    <s v="-"/>
    <x v="16"/>
    <x v="10"/>
    <s v="ALO"/>
    <s v="cheminees.jay@orange.fr"/>
    <n v="476500550"/>
    <s v="-"/>
    <s v="oui"/>
    <d v="2022-06-28T00:00:00"/>
    <s v="insert / foyer fermé"/>
    <n v="1987"/>
    <x v="0"/>
    <x v="1"/>
    <s v="TURBO FONTE"/>
    <s v="MABLY"/>
    <n v="26"/>
    <n v="5"/>
    <n v="80.3"/>
    <n v="2.7E-2"/>
    <s v="FV7"/>
    <m/>
    <n v="5007.5700000000006"/>
    <m/>
    <m/>
    <m/>
    <n v="2385.8000000000002"/>
    <n v="7393.3700000000008"/>
    <n v="406.63535000000007"/>
    <n v="7800.0053500000013"/>
    <n v="7800.01"/>
    <s v="oui"/>
    <m/>
    <m/>
    <s v="ADEME 2020"/>
    <s v="NC"/>
  </r>
  <r>
    <x v="1"/>
    <n v="9"/>
    <x v="2"/>
    <x v="1"/>
    <s v="EBL"/>
    <s v="VRB0032"/>
    <n v="400"/>
    <d v="2020-07-31T00:00:00"/>
    <d v="2020-08-10T00:00:00"/>
    <d v="2020-08-13T00:00:00"/>
    <s v="pb RIB"/>
    <d v="2020-09-03T00:00:00"/>
    <d v="2020-09-03T00:00:00"/>
    <d v="2020-09-10T00:00:00"/>
    <m/>
    <d v="2020-11-20T00:00:00"/>
    <d v="2020-10-26T00:00:00"/>
    <s v="-"/>
    <d v="2020-11-26T00:00:00"/>
    <d v="2020-11-26T00:00:00"/>
    <d v="2020-12-01T00:00:00"/>
    <m/>
    <m/>
    <m/>
    <s v="BROTEL"/>
    <s v="Jean-Louis"/>
    <n v="2"/>
    <n v="124036"/>
    <n v="1605"/>
    <s v="Route de Perrier"/>
    <n v="63500"/>
    <x v="20"/>
    <n v="686439685"/>
    <s v="brotel.jean-louis@neuf.fr"/>
    <s v="PO"/>
    <m/>
    <m/>
    <n v="46"/>
    <s v="Rue de la Charouze le Haut"/>
    <n v="38500"/>
    <s v="VOIRON"/>
    <x v="10"/>
    <x v="1"/>
    <s v="GILLET Pascal"/>
    <s v="bois-soleil.chauffage@orange.fr"/>
    <n v="476323235"/>
    <s v="-"/>
    <s v="oui"/>
    <d v="2021-08-21T00:00:00"/>
    <s v="foyer ouvert"/>
    <s v="&lt;1990"/>
    <x v="2"/>
    <x v="1"/>
    <s v="JOTUM"/>
    <s v="C 24"/>
    <n v="4"/>
    <n v="7"/>
    <n v="78"/>
    <n v="0.06"/>
    <s v="FV7"/>
    <m/>
    <n v="3713"/>
    <m/>
    <m/>
    <m/>
    <n v="1336.33"/>
    <n v="5049.33"/>
    <n v="277.71314999999998"/>
    <n v="5327.0431499999995"/>
    <n v="5400"/>
    <s v="oui"/>
    <m/>
    <m/>
    <s v="REGION 2020"/>
    <s v="NC"/>
  </r>
  <r>
    <x v="1"/>
    <n v="9"/>
    <x v="2"/>
    <x v="1"/>
    <s v="EBL"/>
    <s v="VRB0033"/>
    <n v="400"/>
    <d v="2020-08-04T00:00:00"/>
    <d v="2020-08-11T00:00:00"/>
    <d v="2020-08-13T00:00:00"/>
    <s v="Adresse RIB (ok)+installateur non signataire(ok)"/>
    <d v="2020-09-22T00:00:00"/>
    <d v="2020-09-22T00:00:00"/>
    <d v="2020-09-28T00:00:00"/>
    <m/>
    <d v="2020-11-02T00:00:00"/>
    <d v="2020-11-02T00:00:00"/>
    <s v="-"/>
    <d v="2020-11-10T00:00:00"/>
    <d v="2020-11-10T00:00:00"/>
    <d v="2020-11-12T00:00:00"/>
    <m/>
    <m/>
    <m/>
    <s v="THEVENON-BERTHAUDIN"/>
    <s v="Alain"/>
    <n v="3"/>
    <n v="77705"/>
    <n v="51"/>
    <s v="Chemin de la Plaine de Fures"/>
    <n v="38210"/>
    <x v="15"/>
    <n v="611953404"/>
    <s v="caluam@sfr.fr"/>
    <s v="PO"/>
    <m/>
    <m/>
    <s v="-"/>
    <s v="-"/>
    <s v="-"/>
    <s v="-"/>
    <x v="17"/>
    <x v="7"/>
    <s v="GLENAT"/>
    <s v="sarl.glenat@wanadoo.fr"/>
    <n v="611953404"/>
    <s v="-"/>
    <s v="oui"/>
    <d v="2021-06-22T00:00:00"/>
    <s v="foyer ouvert"/>
    <n v="1993"/>
    <x v="0"/>
    <x v="1"/>
    <s v="AXIS"/>
    <s v="PO1000SF"/>
    <n v="30"/>
    <n v="8"/>
    <n v="75"/>
    <n v="0.12"/>
    <s v="FV7"/>
    <m/>
    <n v="3251"/>
    <m/>
    <m/>
    <m/>
    <n v="2380"/>
    <n v="5631"/>
    <n v="309.70499999999998"/>
    <n v="5940.7049999999999"/>
    <n v="5940.7"/>
    <s v="oui"/>
    <m/>
    <m/>
    <s v="REGION 2020"/>
    <s v="NC"/>
  </r>
  <r>
    <x v="1"/>
    <n v="9"/>
    <x v="2"/>
    <x v="1"/>
    <s v="EBL"/>
    <s v="VRB0034"/>
    <n v="400"/>
    <d v="2020-08-12T00:00:00"/>
    <d v="2020-08-13T00:00:00"/>
    <d v="2020-08-13T00:00:00"/>
    <s v="Manque derniere page taxe foncière (ok)"/>
    <d v="2020-09-29T00:00:00"/>
    <d v="2020-09-29T00:00:00"/>
    <d v="2020-10-05T00:00:00"/>
    <m/>
    <d v="2020-11-02T00:00:00"/>
    <d v="2020-10-26T00:00:00"/>
    <s v="-"/>
    <d v="2020-11-05T00:00:00"/>
    <d v="2020-11-05T00:00:00"/>
    <d v="2020-11-12T00:00:00"/>
    <m/>
    <m/>
    <m/>
    <s v="MARION"/>
    <s v="Jean-Paul"/>
    <n v="2"/>
    <n v="71344"/>
    <n v="200"/>
    <s v="Route des Pierres Blanches"/>
    <n v="38210"/>
    <x v="3"/>
    <n v="680763945"/>
    <s v="jean-paul.marion9@orange.fr"/>
    <s v="PO"/>
    <m/>
    <m/>
    <s v="-"/>
    <s v="-"/>
    <s v="-"/>
    <s v="-"/>
    <x v="10"/>
    <x v="1"/>
    <s v="GILLET Pascal"/>
    <s v="bois-soleil.chauffage@orange.fr"/>
    <n v="476323235"/>
    <s v="-"/>
    <s v="oui"/>
    <d v="2021-08-21T00:00:00"/>
    <s v="insert / foyer fermé"/>
    <n v="1995"/>
    <x v="0"/>
    <x v="0"/>
    <s v="MCZ"/>
    <s v="CLUB AIR-2016UP"/>
    <n v="18"/>
    <n v="10"/>
    <n v="90.4"/>
    <n v="3.0000000000000001E-3"/>
    <s v="FV7"/>
    <m/>
    <n v="4258"/>
    <m/>
    <m/>
    <m/>
    <n v="700"/>
    <n v="4958"/>
    <n v="272.69"/>
    <n v="5230.6899999999996"/>
    <n v="4793.97"/>
    <s v="oui"/>
    <m/>
    <m/>
    <s v="REGION 2020"/>
    <s v="NC"/>
  </r>
  <r>
    <x v="1"/>
    <n v="8"/>
    <x v="2"/>
    <x v="2"/>
    <s v="EBL"/>
    <s v="VRB0035"/>
    <n v="800"/>
    <d v="2020-08-16T00:00:00"/>
    <d v="2020-08-17T00:00:00"/>
    <s v="-"/>
    <s v="-"/>
    <d v="2020-08-24T00:00:00"/>
    <d v="2020-08-24T00:00:00"/>
    <d v="2020-09-15T00:00:00"/>
    <m/>
    <d v="2020-11-04T00:00:00"/>
    <d v="2020-08-21T00:00:00"/>
    <s v="Attestation fin de travaux non signée + Date facture(ok le 11/12/20)"/>
    <d v="2020-12-11T00:00:00"/>
    <d v="2020-12-11T00:00:00"/>
    <d v="2020-12-17T00:00:00"/>
    <m/>
    <m/>
    <m/>
    <s v="GAILLARD"/>
    <s v="Michel"/>
    <n v="3"/>
    <n v="31464"/>
    <n v="23"/>
    <s v="Chemin de l'Etang de Mai Saint Jean de Chepy"/>
    <n v="38210"/>
    <x v="15"/>
    <n v="782143733"/>
    <s v="michelgaillard@9online.fr"/>
    <s v="PO"/>
    <m/>
    <m/>
    <s v="-"/>
    <s v="-"/>
    <s v="-"/>
    <s v="-"/>
    <x v="2"/>
    <x v="2"/>
    <s v="DIDIER Jean-Christophe"/>
    <s v="jcduo@orange.fr"/>
    <n v="608287337"/>
    <s v="-"/>
    <s v="oui"/>
    <d v="2021-08-09T00:00:00"/>
    <s v="poêle"/>
    <n v="1999"/>
    <x v="0"/>
    <x v="1"/>
    <s v="MORETTI"/>
    <s v="A8 WOOD"/>
    <n v="27.2"/>
    <n v="5.48"/>
    <n v="82.3"/>
    <n v="4.9000000000000002E-2"/>
    <s v="registre"/>
    <m/>
    <n v="1500"/>
    <m/>
    <m/>
    <m/>
    <n v="1000"/>
    <n v="2500"/>
    <n v="137.5"/>
    <n v="2637.5"/>
    <n v="2500"/>
    <s v="non"/>
    <m/>
    <m/>
    <s v="REGION 2020"/>
    <s v="NC"/>
  </r>
  <r>
    <x v="1"/>
    <n v="8"/>
    <x v="2"/>
    <x v="1"/>
    <s v="EBL"/>
    <s v="VRB0036"/>
    <n v="400"/>
    <d v="2020-08-19T00:00:00"/>
    <d v="2020-08-20T00:00:00"/>
    <s v="-"/>
    <s v="-"/>
    <d v="2020-08-24T00:00:00"/>
    <d v="2020-08-24T00:00:00"/>
    <d v="2020-09-15T00:00:00"/>
    <m/>
    <d v="2020-11-16T00:00:00"/>
    <d v="2020-10-02T00:00:00"/>
    <s v="-"/>
    <d v="2020-11-23T00:00:00"/>
    <d v="2020-11-23T00:00:00"/>
    <d v="2020-12-01T00:00:00"/>
    <m/>
    <m/>
    <m/>
    <s v="LIBERT"/>
    <s v="Xavier"/>
    <n v="4"/>
    <n v="65715"/>
    <n v="4"/>
    <s v="Lotissement du Mas"/>
    <n v="38140"/>
    <x v="8"/>
    <n v="476919840"/>
    <s v="xavier.libert@free.fr"/>
    <s v="PO"/>
    <m/>
    <m/>
    <s v="-"/>
    <s v="-"/>
    <s v="-"/>
    <s v="-"/>
    <x v="1"/>
    <x v="1"/>
    <s v="LIBER Jean-Christophe"/>
    <s v="jlc.services@orange.fr"/>
    <s v="04 76 07 14 61"/>
    <s v="-"/>
    <s v="oui"/>
    <d v="2020-11-03T00:00:00"/>
    <s v="insert / foyer fermé"/>
    <n v="1987"/>
    <x v="0"/>
    <x v="1"/>
    <s v="FONTE FLAMME"/>
    <s v="FIFTI"/>
    <n v="14"/>
    <n v="8.6999999999999993"/>
    <n v="83"/>
    <n v="0.1"/>
    <s v="FV7"/>
    <m/>
    <n v="3339.94"/>
    <m/>
    <m/>
    <m/>
    <n v="480"/>
    <n v="3819.94"/>
    <n v="210.0967"/>
    <n v="4030.0367000000001"/>
    <n v="3423.41"/>
    <s v="non"/>
    <m/>
    <m/>
    <s v="REGION 2020"/>
    <s v="NC"/>
  </r>
  <r>
    <x v="1"/>
    <n v="9"/>
    <x v="3"/>
    <x v="1"/>
    <s v="EBL"/>
    <s v="VRB0037"/>
    <n v="400"/>
    <d v="2020-08-19T00:00:00"/>
    <d v="2020-08-20T00:00:00"/>
    <d v="2020-08-24T00:00:00"/>
    <s v="RIB a la bonne adresse+la destination du bien+photo en plan large (ok)"/>
    <d v="2020-09-03T00:00:00"/>
    <d v="2020-09-03T00:00:00"/>
    <d v="2020-09-10T00:00:00"/>
    <m/>
    <d v="2021-07-21T00:00:00"/>
    <d v="2021-06-15T00:00:00"/>
    <s v="-"/>
    <d v="2021-08-05T00:00:00"/>
    <d v="2021-08-05T00:00:00"/>
    <d v="2021-09-14T00:00:00"/>
    <m/>
    <m/>
    <m/>
    <s v="MINANA"/>
    <s v="Jacques"/>
    <n v="2"/>
    <n v="30931"/>
    <n v="21"/>
    <s v="Route de la Libération"/>
    <n v="76680"/>
    <x v="21"/>
    <n v="671936440"/>
    <s v="-"/>
    <s v="PO"/>
    <m/>
    <m/>
    <n v="781"/>
    <s v="Impasse du Paradon, Le Gay"/>
    <n v="38430"/>
    <s v="SAINT JEAN DE MOIRANS"/>
    <x v="18"/>
    <x v="11"/>
    <s v="BROSSARD Marie"/>
    <s v="marie-brossard@femsynergie.fr"/>
    <n v="478900404"/>
    <s v="-"/>
    <s v="oui"/>
    <d v="2021-03-10T00:00:00"/>
    <s v="insert / foyer fermé"/>
    <s v="&lt;1990"/>
    <x v="0"/>
    <x v="0"/>
    <s v="PIAZZETTA"/>
    <s v="P934"/>
    <n v="20"/>
    <n v="8.5"/>
    <n v="87.5"/>
    <n v="0.01"/>
    <s v="FV7"/>
    <m/>
    <n v="6021.7999999999993"/>
    <m/>
    <m/>
    <m/>
    <n v="2279.62"/>
    <n v="8301.4199999999983"/>
    <n v="456.57809999999989"/>
    <n v="8757.9980999999989"/>
    <n v="8400"/>
    <s v="non"/>
    <m/>
    <m/>
    <s v="ADEME 2020"/>
    <s v="NC"/>
  </r>
  <r>
    <x v="1"/>
    <n v="8"/>
    <x v="2"/>
    <x v="2"/>
    <s v="EBL"/>
    <s v="VRB0038"/>
    <n v="800"/>
    <d v="2020-08-19T00:00:00"/>
    <d v="2020-08-20T00:00:00"/>
    <s v="-"/>
    <s v="-"/>
    <d v="2020-08-24T00:00:00"/>
    <d v="2020-08-24T00:00:00"/>
    <d v="2020-09-15T00:00:00"/>
    <m/>
    <d v="2021-02-02T00:00:00"/>
    <d v="2020-10-16T00:00:00"/>
    <s v="-"/>
    <d v="2021-02-02T00:00:00"/>
    <d v="2021-02-02T00:00:00"/>
    <d v="2021-02-16T00:00:00"/>
    <m/>
    <m/>
    <m/>
    <s v="HADJAS THEROND"/>
    <s v="Amélie"/>
    <n v="3"/>
    <n v="31024"/>
    <n v="1065"/>
    <s v="Route du Grand rocher, 4 l'Orée du Bois"/>
    <n v="38960"/>
    <x v="22"/>
    <n v="668717844"/>
    <s v="therond_amelie@yahoo.fr"/>
    <s v="PO"/>
    <m/>
    <m/>
    <s v="-"/>
    <s v="-"/>
    <s v="-"/>
    <s v="-"/>
    <x v="3"/>
    <x v="3"/>
    <s v="TROUBA"/>
    <s v="flammeiseroise38300@orange.fr"/>
    <n v="474937373"/>
    <s v="-"/>
    <s v="oui"/>
    <d v="2021-04-28T00:00:00"/>
    <s v="insert / foyer fermé"/>
    <n v="1990"/>
    <x v="0"/>
    <x v="0"/>
    <s v="JOLLY MEC"/>
    <s v="Botero 2 kW"/>
    <n v="19"/>
    <n v="8.1999999999999993"/>
    <n v="91.1"/>
    <n v="1.0999999999999999E-2"/>
    <s v="registre"/>
    <m/>
    <n v="3740"/>
    <m/>
    <m/>
    <m/>
    <n v="1250"/>
    <n v="4990"/>
    <n v="274.45"/>
    <n v="5264.45"/>
    <n v="5264.45"/>
    <s v="oui"/>
    <m/>
    <m/>
    <s v="REGION 2020"/>
    <s v="NC"/>
  </r>
  <r>
    <x v="1"/>
    <n v="9"/>
    <x v="2"/>
    <x v="1"/>
    <s v="EBL"/>
    <s v="VRB0039"/>
    <n v="400"/>
    <d v="2020-08-20T00:00:00"/>
    <d v="2020-08-21T00:00:00"/>
    <d v="2020-08-24T00:00:00"/>
    <s v="manque RIB"/>
    <d v="2020-09-03T00:00:00"/>
    <d v="2020-09-03T00:00:00"/>
    <d v="2020-09-10T00:00:00"/>
    <m/>
    <d v="2020-11-04T00:00:00"/>
    <d v="2020-10-09T00:00:00"/>
    <s v="-"/>
    <d v="2020-11-10T00:00:00"/>
    <d v="2020-11-10T00:00:00"/>
    <d v="2020-11-12T00:00:00"/>
    <m/>
    <m/>
    <m/>
    <s v="BOISSY"/>
    <s v="Nathalie"/>
    <n v="5"/>
    <n v="60396"/>
    <n v="204"/>
    <s v="Chemin de l'Etang"/>
    <n v="38500"/>
    <x v="13"/>
    <n v="676189274"/>
    <s v="nathalie.boissy23@gmail.com"/>
    <s v="PO"/>
    <m/>
    <m/>
    <s v="-"/>
    <s v="-"/>
    <s v="-"/>
    <s v="-"/>
    <x v="7"/>
    <x v="1"/>
    <s v="PIERRE Emmanuel"/>
    <s v="voiron@techni-nature.com"/>
    <n v="951096343"/>
    <s v="-"/>
    <s v="oui"/>
    <d v="2021-08-25T00:00:00"/>
    <s v="poêle"/>
    <n v="1998"/>
    <x v="0"/>
    <x v="0"/>
    <s v="INOVALP"/>
    <s v="HOBEN H6 Horizon"/>
    <n v="20"/>
    <n v="7.9"/>
    <n v="89"/>
    <n v="1.7999999999999999E-2"/>
    <s v="registre"/>
    <m/>
    <n v="6762.69"/>
    <m/>
    <m/>
    <m/>
    <n v="630"/>
    <n v="7392.69"/>
    <n v="406.59794999999997"/>
    <n v="7799.2879499999999"/>
    <n v="7500"/>
    <s v="oui"/>
    <m/>
    <m/>
    <s v="REGION 2020"/>
    <s v="NC"/>
  </r>
  <r>
    <x v="1"/>
    <n v="8"/>
    <x v="2"/>
    <x v="2"/>
    <s v="EBL"/>
    <s v="VRB0040"/>
    <n v="800"/>
    <d v="2020-08-20T00:00:00"/>
    <d v="2020-08-21T00:00:00"/>
    <s v="-"/>
    <s v="-"/>
    <d v="2020-08-24T00:00:00"/>
    <d v="2020-08-24T00:00:00"/>
    <d v="2020-09-15T00:00:00"/>
    <m/>
    <d v="2020-11-25T00:00:00"/>
    <d v="2020-10-31T00:00:00"/>
    <s v="-"/>
    <d v="2020-11-30T00:00:00"/>
    <d v="2020-11-30T00:00:00"/>
    <d v="2020-12-01T00:00:00"/>
    <m/>
    <m/>
    <m/>
    <s v="OGBI"/>
    <s v="Saliha"/>
    <n v="3"/>
    <n v="22527"/>
    <n v="21"/>
    <s v="Rue Beauvillage"/>
    <n v="38340"/>
    <x v="17"/>
    <n v="695006498"/>
    <s v="kamel.ogbi@outlook.fr"/>
    <s v="PO"/>
    <m/>
    <m/>
    <s v="-"/>
    <s v="-"/>
    <s v="-"/>
    <s v="-"/>
    <x v="10"/>
    <x v="1"/>
    <s v="GILLET Pascal"/>
    <s v="bois-soleil.chauffage@orange.fr"/>
    <n v="476323235"/>
    <s v="-"/>
    <s v="oui"/>
    <d v="2021-08-21T00:00:00"/>
    <s v="foyer ouvert"/>
    <n v="1990"/>
    <x v="0"/>
    <x v="1"/>
    <s v="JOTUL"/>
    <s v="F166"/>
    <n v="20"/>
    <n v="5"/>
    <n v="83"/>
    <n v="0.06"/>
    <s v="FV7"/>
    <m/>
    <n v="2842"/>
    <m/>
    <m/>
    <m/>
    <n v="536"/>
    <n v="3378"/>
    <n v="185.79"/>
    <n v="3563.79"/>
    <n v="3509.18"/>
    <s v="non"/>
    <m/>
    <m/>
    <s v="REGION 2020"/>
    <s v="NC"/>
  </r>
  <r>
    <x v="1"/>
    <n v="9"/>
    <x v="2"/>
    <x v="1"/>
    <s v="EBL"/>
    <s v="VRB0041"/>
    <n v="400"/>
    <d v="2020-08-27T00:00:00"/>
    <d v="2020-08-28T00:00:00"/>
    <s v="-"/>
    <s v="-"/>
    <d v="2020-09-03T00:00:00"/>
    <d v="2020-09-03T00:00:00"/>
    <d v="2020-09-10T00:00:00"/>
    <m/>
    <d v="2020-12-11T00:00:00"/>
    <d v="2020-10-22T00:00:00"/>
    <s v="-"/>
    <d v="2020-12-14T00:00:00"/>
    <d v="2020-12-14T00:00:00"/>
    <d v="2021-01-07T00:00:00"/>
    <m/>
    <m/>
    <m/>
    <s v="BOULET&amp;FROSSARD"/>
    <s v="Christophe&amp;Marie"/>
    <n v="4"/>
    <n v="41575"/>
    <n v="174"/>
    <s v="Route des Galbits"/>
    <n v="38850"/>
    <x v="7"/>
    <n v="651828216"/>
    <s v="mariechris@me.com"/>
    <s v="PO"/>
    <m/>
    <m/>
    <s v="-"/>
    <s v="-"/>
    <s v="-"/>
    <s v="-"/>
    <x v="6"/>
    <x v="6"/>
    <s v="FAURE Jacques"/>
    <s v="jacques.faure24@wanadoo.fr"/>
    <n v="476355605"/>
    <s v="-"/>
    <s v="oui"/>
    <d v="2021-10-26T00:00:00"/>
    <s v="insert / foyer fermé"/>
    <n v="1985"/>
    <x v="0"/>
    <x v="1"/>
    <s v="FONTE FLAMME"/>
    <s v="Managa"/>
    <n v="31"/>
    <n v="6"/>
    <n v="80"/>
    <n v="0.08"/>
    <s v="FV7"/>
    <m/>
    <n v="2163.64"/>
    <m/>
    <m/>
    <m/>
    <n v="225"/>
    <n v="2388.64"/>
    <n v="131.37520000000001"/>
    <n v="2520.0151999999998"/>
    <n v="2520.02"/>
    <s v="non"/>
    <m/>
    <m/>
    <s v="REGION 2020"/>
    <s v="NC"/>
  </r>
  <r>
    <x v="1"/>
    <n v="9"/>
    <x v="2"/>
    <x v="1"/>
    <s v="EBL"/>
    <s v="VRB0042"/>
    <n v="400"/>
    <d v="2020-08-28T00:00:00"/>
    <d v="2020-08-31T00:00:00"/>
    <s v="-"/>
    <s v="-"/>
    <d v="2020-09-03T00:00:00"/>
    <d v="2020-09-03T00:00:00"/>
    <d v="2020-09-10T00:00:00"/>
    <m/>
    <d v="2020-09-30T00:00:00"/>
    <d v="2020-09-22T00:00:00"/>
    <s v="-"/>
    <d v="2020-10-05T00:00:00"/>
    <d v="2020-10-05T00:00:00"/>
    <d v="2020-10-05T00:00:00"/>
    <m/>
    <m/>
    <m/>
    <s v="ROUX PARIS"/>
    <s v="Jeanine"/>
    <n v="1"/>
    <n v="26532"/>
    <n v="743"/>
    <s v="Chemin de Bavonne"/>
    <n v="38850"/>
    <x v="7"/>
    <n v="476358382"/>
    <s v="m.pelissier@ecmtech.fr"/>
    <s v="PO"/>
    <m/>
    <m/>
    <s v="-"/>
    <s v="-"/>
    <s v="-"/>
    <s v="-"/>
    <x v="0"/>
    <x v="0"/>
    <s v="CARRE François"/>
    <s v="f.carre@carre-f.com"/>
    <s v="04 76 37 03 50"/>
    <s v="-"/>
    <s v="oui  "/>
    <d v="2020-11-17T00:00:00"/>
    <s v="poêle"/>
    <n v="1995"/>
    <x v="0"/>
    <x v="0"/>
    <s v="PALAZZETTI"/>
    <s v="Ecofire Anna 12 US"/>
    <n v="11"/>
    <n v="12"/>
    <n v="88.5"/>
    <n v="7.0000000000000001E-3"/>
    <s v="FV7"/>
    <m/>
    <n v="4052"/>
    <m/>
    <m/>
    <m/>
    <n v="590"/>
    <n v="4642"/>
    <n v="255.31"/>
    <n v="4897.3100000000004"/>
    <n v="4897.3100000000004"/>
    <s v="oui"/>
    <m/>
    <m/>
    <s v="REGION 2020"/>
    <s v="NC"/>
  </r>
  <r>
    <x v="1"/>
    <n v="9"/>
    <x v="3"/>
    <x v="1"/>
    <s v="EBL"/>
    <s v="VRB0043"/>
    <n v="400"/>
    <d v="2020-08-29T00:00:00"/>
    <d v="2020-08-31T00:00:00"/>
    <d v="2020-09-03T00:00:00"/>
    <s v="Manque adresse RIB(ok)"/>
    <d v="2020-09-22T00:00:00"/>
    <d v="2020-09-22T00:00:00"/>
    <d v="2020-09-28T00:00:00"/>
    <m/>
    <s v="Relance le 16/08/21"/>
    <d v="2021-08-23T00:00:00"/>
    <s v="Manque photo (ok)"/>
    <d v="2020-10-15T00:00:00"/>
    <d v="2021-09-03T00:00:00"/>
    <d v="2021-09-03T00:00:00"/>
    <m/>
    <m/>
    <m/>
    <s v="BARRIER"/>
    <s v="Xavier"/>
    <n v="2"/>
    <n v="87657"/>
    <n v="620"/>
    <s v="Route de la Croze"/>
    <n v="38140"/>
    <x v="10"/>
    <n v="684507813"/>
    <s v="xavier.barrier@gmail.com"/>
    <s v="PO"/>
    <m/>
    <m/>
    <s v="-"/>
    <s v="-"/>
    <s v="-"/>
    <s v="-"/>
    <x v="14"/>
    <x v="1"/>
    <s v="SIMON Frédéric"/>
    <s v="contact@ecvoiron.fr"/>
    <n v="476069938"/>
    <s v="-"/>
    <s v="oui"/>
    <d v="2021-09-18T00:00:00"/>
    <s v="foyer ouvert"/>
    <n v="1980"/>
    <x v="2"/>
    <x v="1"/>
    <s v="AUSTROFLAMM"/>
    <s v="80x64 SII"/>
    <n v="21"/>
    <n v="10.8"/>
    <n v="80.400000000000006"/>
    <n v="0.1"/>
    <s v="FV7"/>
    <m/>
    <n v="7838.16"/>
    <m/>
    <m/>
    <m/>
    <n v="1240"/>
    <n v="9078.16"/>
    <n v="499.29879999999997"/>
    <n v="9577.4588000000003"/>
    <n v="9577.4599999999991"/>
    <s v="oui"/>
    <m/>
    <m/>
    <s v="ADEME 2020"/>
    <s v="NC"/>
  </r>
  <r>
    <x v="1"/>
    <n v="9"/>
    <x v="2"/>
    <x v="2"/>
    <s v="EBL"/>
    <s v="VRB0044"/>
    <n v="800"/>
    <d v="2020-08-31T00:00:00"/>
    <d v="2020-09-01T00:00:00"/>
    <s v="-"/>
    <s v="-"/>
    <d v="2020-09-03T00:00:00"/>
    <d v="2020-09-03T00:00:00"/>
    <d v="2020-09-10T00:00:00"/>
    <m/>
    <d v="2021-01-19T00:00:00"/>
    <d v="2020-11-30T00:00:00"/>
    <s v="-"/>
    <d v="2021-01-21T00:00:00"/>
    <d v="2021-01-21T00:00:00"/>
    <d v="2021-02-15T00:00:00"/>
    <m/>
    <m/>
    <m/>
    <s v="GABERT"/>
    <s v="Noël"/>
    <n v="1"/>
    <n v="9520"/>
    <n v="5"/>
    <s v="Chemin du Petit Souillet"/>
    <n v="38500"/>
    <x v="1"/>
    <n v="672186763"/>
    <s v="isadevriese38@gmail.com"/>
    <s v="PO"/>
    <m/>
    <m/>
    <s v="-"/>
    <s v="-"/>
    <s v="-"/>
    <s v="-"/>
    <x v="0"/>
    <x v="0"/>
    <s v="CARRE François"/>
    <s v="f.carre@carre-f.com"/>
    <s v="04 76 37 03 50"/>
    <s v="-"/>
    <s v="oui  "/>
    <d v="2021-11-17T00:00:00"/>
    <s v="cuisinière"/>
    <n v="1970"/>
    <x v="1"/>
    <x v="1"/>
    <s v="LACUNZA"/>
    <s v="ETNA 7T"/>
    <n v="36"/>
    <n v="9"/>
    <n v="75"/>
    <n v="0.1"/>
    <s v="FV7"/>
    <m/>
    <n v="7226.5"/>
    <m/>
    <m/>
    <m/>
    <n v="450"/>
    <n v="7676.5"/>
    <n v="422.20749999999998"/>
    <n v="8098.7075000000004"/>
    <n v="8098.71"/>
    <s v="non"/>
    <m/>
    <m/>
    <s v="REGION 2020"/>
    <s v="NC"/>
  </r>
  <r>
    <x v="1"/>
    <n v="9"/>
    <x v="2"/>
    <x v="1"/>
    <s v="EBL"/>
    <s v="VRB0045"/>
    <n v="400"/>
    <d v="2020-09-02T00:00:00"/>
    <d v="2020-09-03T00:00:00"/>
    <s v="-"/>
    <s v="-"/>
    <d v="2020-09-04T00:00:00"/>
    <d v="2020-09-04T00:00:00"/>
    <d v="2020-09-10T00:00:00"/>
    <m/>
    <d v="2021-02-02T00:00:00"/>
    <d v="2020-09-29T00:00:00"/>
    <s v="-"/>
    <d v="2021-02-09T00:00:00"/>
    <d v="2021-02-09T00:00:00"/>
    <d v="2021-02-24T00:00:00"/>
    <m/>
    <m/>
    <m/>
    <s v="FOREST"/>
    <s v="Xavier"/>
    <n v="3"/>
    <n v="45466"/>
    <n v="21"/>
    <s v="Rue Victor Cassien"/>
    <n v="38340"/>
    <x v="17"/>
    <n v="682498827"/>
    <s v="xavierforest@hotmail.com"/>
    <s v="PO"/>
    <m/>
    <m/>
    <s v="-"/>
    <s v="-"/>
    <s v="-"/>
    <s v="-"/>
    <x v="16"/>
    <x v="10"/>
    <s v="ALO"/>
    <s v="cheminees.jay@orange.fr"/>
    <n v="476500550"/>
    <s v="-"/>
    <s v="oui"/>
    <d v="2021-06-28T00:00:00"/>
    <s v="insert / foyer fermé"/>
    <n v="1990"/>
    <x v="0"/>
    <x v="1"/>
    <s v="TURBO FONTE"/>
    <s v="JAZZ CV4"/>
    <n v="32"/>
    <n v="4"/>
    <n v="80.8"/>
    <n v="0.11"/>
    <s v="FV7"/>
    <m/>
    <n v="3623.12"/>
    <m/>
    <m/>
    <m/>
    <n v="1422.6"/>
    <n v="5045.7199999999993"/>
    <n v="277.51459999999997"/>
    <n v="5323.2345999999998"/>
    <n v="5023.2299999999996"/>
    <s v="oui"/>
    <m/>
    <m/>
    <s v="REGION 2020"/>
    <s v="NC"/>
  </r>
  <r>
    <x v="1"/>
    <n v="9"/>
    <x v="2"/>
    <x v="2"/>
    <s v="EBL"/>
    <s v="VRB0046"/>
    <n v="800"/>
    <d v="2020-09-03T00:00:00"/>
    <d v="2020-09-03T00:00:00"/>
    <s v="-"/>
    <s v="-"/>
    <d v="2020-09-04T00:00:00"/>
    <d v="2020-09-04T00:00:00"/>
    <d v="2020-09-10T00:00:00"/>
    <m/>
    <d v="2021-01-14T00:00:00"/>
    <d v="2020-12-01T00:00:00"/>
    <s v="Manque mention acquitée + Signature attestation (ok le 02/02/21)"/>
    <d v="2021-02-02T00:00:00"/>
    <d v="2021-02-02T00:00:00"/>
    <d v="2021-02-16T00:00:00"/>
    <m/>
    <m/>
    <m/>
    <s v="NUGUES"/>
    <s v="René&amp;Marilyne"/>
    <n v="2"/>
    <n v="19705"/>
    <n v="2147"/>
    <s v="Chemin de l'Eslinard"/>
    <n v="38210"/>
    <x v="15"/>
    <n v="651644005"/>
    <s v="marilyneleslinard@outlook.fr"/>
    <s v="PO"/>
    <m/>
    <m/>
    <s v="-"/>
    <s v="-"/>
    <s v="-"/>
    <s v="-"/>
    <x v="19"/>
    <x v="12"/>
    <s v="AUDOUARD"/>
    <s v="accueil@sbidaud.fr"/>
    <n v="437039915"/>
    <s v="-"/>
    <s v="oui"/>
    <d v="2021-08-24T00:00:00"/>
    <s v="chaudière"/>
    <n v="2001"/>
    <x v="3"/>
    <x v="0"/>
    <s v="WINDHAGER"/>
    <s v="BioWIN 2"/>
    <n v="17"/>
    <n v="15.1"/>
    <n v="94"/>
    <n v="2E-3"/>
    <s v="FV7"/>
    <m/>
    <n v="14573.56"/>
    <m/>
    <m/>
    <m/>
    <n v="3491.15"/>
    <n v="18064.71"/>
    <n v="993.55904999999996"/>
    <n v="19058.269049999999"/>
    <n v="19058.900000000001"/>
    <s v="oui"/>
    <m/>
    <m/>
    <s v="REGION 2020"/>
    <s v="NC"/>
  </r>
  <r>
    <x v="1"/>
    <n v="9"/>
    <x v="2"/>
    <x v="1"/>
    <s v="EBL"/>
    <s v="VRB0047"/>
    <n v="400"/>
    <d v="2020-09-05T00:00:00"/>
    <d v="2020-09-07T00:00:00"/>
    <s v="-"/>
    <s v="-"/>
    <d v="2020-09-08T00:00:00"/>
    <d v="2020-09-08T00:00:00"/>
    <d v="2020-09-10T00:00:00"/>
    <m/>
    <d v="2020-11-16T00:00:00"/>
    <d v="2020-09-21T00:00:00"/>
    <s v="-"/>
    <d v="2020-11-23T00:00:00"/>
    <d v="2020-11-23T00:00:00"/>
    <d v="2020-12-01T00:00:00"/>
    <m/>
    <m/>
    <m/>
    <s v="RAMBERT"/>
    <s v="Aline"/>
    <n v="6"/>
    <n v="69087"/>
    <n v="3"/>
    <s v="Rue de l'Orgeoise"/>
    <n v="38500"/>
    <x v="1"/>
    <n v="608012238"/>
    <s v="rambert.aline@orange.fr"/>
    <s v="PO"/>
    <m/>
    <m/>
    <s v="-"/>
    <s v="-"/>
    <s v="-"/>
    <s v="-"/>
    <x v="6"/>
    <x v="6"/>
    <s v="FAURE Jacques"/>
    <s v="jacques.faure24@wanadoo.fr"/>
    <n v="476355605"/>
    <s v="-"/>
    <s v="oui"/>
    <d v="2021-10-26T00:00:00"/>
    <s v="insert / foyer fermé"/>
    <n v="1986"/>
    <x v="2"/>
    <x v="1"/>
    <s v="FONTE FLAMME"/>
    <s v="VISION 775-10K"/>
    <n v="23"/>
    <n v="10"/>
    <n v="78"/>
    <n v="7.0000000000000007E-2"/>
    <s v="FV7"/>
    <m/>
    <n v="4739.4000000000005"/>
    <m/>
    <m/>
    <m/>
    <n v="1856.1200000000001"/>
    <n v="6595.52"/>
    <n v="362.75360000000001"/>
    <n v="6958.2736000000004"/>
    <n v="6958.27"/>
    <s v="oui"/>
    <m/>
    <m/>
    <s v="REGION 2020"/>
    <s v="NC"/>
  </r>
  <r>
    <x v="1"/>
    <n v="9"/>
    <x v="2"/>
    <x v="1"/>
    <s v="EBL"/>
    <s v="VRB0048"/>
    <n v="400"/>
    <d v="2020-09-05T00:00:00"/>
    <d v="2020-09-07T00:00:00"/>
    <s v="-"/>
    <s v="-"/>
    <d v="2020-09-08T00:00:00"/>
    <d v="2020-09-08T00:00:00"/>
    <d v="2020-09-10T00:00:00"/>
    <m/>
    <d v="2021-01-14T00:00:00"/>
    <d v="2021-01-07T00:00:00"/>
    <s v="-"/>
    <d v="2021-01-14T00:00:00"/>
    <d v="2021-01-14T00:00:00"/>
    <d v="2021-02-08T00:00:00"/>
    <m/>
    <m/>
    <m/>
    <s v="IVOL"/>
    <s v="Franck"/>
    <n v="4"/>
    <n v="47079"/>
    <n v="29"/>
    <s v="Chemin de la Tour"/>
    <n v="38850"/>
    <x v="7"/>
    <n v="603263723"/>
    <s v="rachel.ivol@laposte.net"/>
    <s v="PO"/>
    <m/>
    <m/>
    <s v="-"/>
    <s v="-"/>
    <s v="-"/>
    <s v="-"/>
    <x v="16"/>
    <x v="10"/>
    <s v="ALO"/>
    <s v="cheminees.jay@orange.fr"/>
    <n v="476500550"/>
    <s v="-"/>
    <s v="oui"/>
    <d v="2021-06-28T00:00:00"/>
    <s v="insert / foyer fermé"/>
    <n v="1996"/>
    <x v="0"/>
    <x v="1"/>
    <s v="TURBO FONTE"/>
    <s v="PYLA"/>
    <n v="35"/>
    <n v="5.9"/>
    <n v="80.2"/>
    <n v="0.09"/>
    <s v="FV7"/>
    <m/>
    <n v="3477.08"/>
    <m/>
    <m/>
    <m/>
    <n v="780"/>
    <n v="4257.08"/>
    <n v="234.13939999999999"/>
    <n v="4491.2194"/>
    <n v="4491.22"/>
    <s v="non"/>
    <m/>
    <m/>
    <s v="REGION 2020"/>
    <s v="NC"/>
  </r>
  <r>
    <x v="1"/>
    <n v="9"/>
    <x v="2"/>
    <x v="1"/>
    <s v="EBL"/>
    <s v="VRB0049"/>
    <n v="400"/>
    <d v="2020-09-07T00:00:00"/>
    <d v="2020-09-08T00:00:00"/>
    <s v="-"/>
    <s v="-"/>
    <d v="2020-09-08T00:00:00"/>
    <d v="2020-09-08T00:00:00"/>
    <d v="2020-09-10T00:00:00"/>
    <m/>
    <d v="2020-11-05T00:00:00"/>
    <d v="2020-10-16T00:00:00"/>
    <s v="-"/>
    <d v="2020-11-10T00:00:00"/>
    <d v="2020-11-10T00:00:00"/>
    <d v="2020-11-12T00:00:00"/>
    <m/>
    <m/>
    <m/>
    <s v="BELLINA"/>
    <s v="Gilles"/>
    <n v="2"/>
    <n v="42658"/>
    <n v="110"/>
    <s v="Route du Chanin"/>
    <n v="38140"/>
    <x v="10"/>
    <n v="675319202"/>
    <s v="bellingil@msn.com"/>
    <s v="PO"/>
    <m/>
    <m/>
    <s v="-"/>
    <s v="-"/>
    <s v="-"/>
    <s v="-"/>
    <x v="5"/>
    <x v="5"/>
    <s v="TORRES Kevin"/>
    <s v="godin-grenoble@orange.fr"/>
    <n v="474934316"/>
    <s v="-"/>
    <s v="oui"/>
    <d v="2021-03-21T00:00:00"/>
    <s v="insert / foyer fermé"/>
    <n v="1996"/>
    <x v="0"/>
    <x v="1"/>
    <s v="GODIN"/>
    <s v="388131 ELIOT"/>
    <n v="29"/>
    <n v="8"/>
    <n v="77"/>
    <n v="0.05"/>
    <s v="FV7"/>
    <m/>
    <n v="2768"/>
    <m/>
    <m/>
    <m/>
    <n v="750"/>
    <n v="3518"/>
    <n v="193.49"/>
    <n v="3711.49"/>
    <n v="3727"/>
    <s v="non"/>
    <m/>
    <m/>
    <s v="REGION 2020"/>
    <s v="NC"/>
  </r>
  <r>
    <x v="1"/>
    <n v="9"/>
    <x v="2"/>
    <x v="1"/>
    <s v="EBL"/>
    <s v="VRB0050"/>
    <n v="400"/>
    <d v="2020-09-11T00:00:00"/>
    <d v="2020-09-17T00:00:00"/>
    <s v="-"/>
    <s v="-"/>
    <d v="2020-09-22T00:00:00"/>
    <d v="2020-09-22T00:00:00"/>
    <d v="2020-09-28T00:00:00"/>
    <m/>
    <d v="2020-10-22T00:00:00"/>
    <d v="2020-10-12T00:00:00"/>
    <s v="-"/>
    <d v="2020-10-27T00:00:00"/>
    <d v="2020-10-27T00:00:00"/>
    <d v="2020-10-29T00:00:00"/>
    <m/>
    <m/>
    <m/>
    <s v="GOLFETTO"/>
    <s v="Christine"/>
    <n v="1"/>
    <n v="23659"/>
    <n v="425"/>
    <s v="Le Grand Chemin"/>
    <n v="38210"/>
    <x v="3"/>
    <n v="671860705"/>
    <s v="golfetto-christine@hotmail.com"/>
    <s v="PO"/>
    <m/>
    <m/>
    <s v="-"/>
    <s v="-"/>
    <s v="-"/>
    <s v="-"/>
    <x v="1"/>
    <x v="1"/>
    <s v="LIBER Jean-Christophe"/>
    <s v="jlc.services@orange.fr"/>
    <s v="04 76 07 14 61"/>
    <s v="-"/>
    <s v="oui"/>
    <d v="2020-11-03T00:00:00"/>
    <s v="insert / foyer fermé"/>
    <n v="1990"/>
    <x v="0"/>
    <x v="0"/>
    <s v="MCZ"/>
    <s v="EGO AIR-2016 UP!"/>
    <n v="17"/>
    <n v="8.1"/>
    <n v="90.9"/>
    <n v="2E-3"/>
    <s v="FV7"/>
    <m/>
    <n v="4863.28"/>
    <m/>
    <m/>
    <m/>
    <n v="480"/>
    <n v="5343.28"/>
    <n v="293.88040000000001"/>
    <n v="5637.1603999999998"/>
    <n v="5637.16"/>
    <s v="oui"/>
    <m/>
    <m/>
    <s v="REGION 2020"/>
    <s v="NC"/>
  </r>
  <r>
    <x v="2"/>
    <n v="1"/>
    <x v="0"/>
    <x v="0"/>
    <s v="EBL"/>
    <s v="VRB0051"/>
    <n v="400"/>
    <d v="2020-09-14T00:00:00"/>
    <d v="2020-09-17T00:00:00"/>
    <d v="2020-09-22T00:00:00"/>
    <s v="manque dernière page taxe foncière - relance le 16/11/20-relance le 14/01/21 (ok le 26/01/21)"/>
    <d v="2021-01-26T00:00:00"/>
    <d v="2021-01-26T00:00:00"/>
    <d v="2021-02-02T00:00:00"/>
    <m/>
    <d v="2021-04-30T00:00:00"/>
    <d v="2020-11-23T00:00:00"/>
    <s v="-"/>
    <s v="-"/>
    <s v="-"/>
    <s v="-"/>
    <m/>
    <d v="2021-05-25T00:00:00"/>
    <s v="Facture antérieur a l'arrêté"/>
    <s v="SCI TRIMAGA"/>
    <s v="GUINET Fabien"/>
    <n v="3"/>
    <n v="90024"/>
    <n v="1222"/>
    <s v="Route du Col"/>
    <n v="38340"/>
    <x v="23"/>
    <n v="621701038"/>
    <s v="fabien.guinet@gmail.com"/>
    <s v="PB"/>
    <m/>
    <m/>
    <n v="1238"/>
    <s v="Route du Col"/>
    <n v="38340"/>
    <s v="LA SURE EN CHARTREUSE"/>
    <x v="16"/>
    <x v="10"/>
    <s v="ALO"/>
    <s v="cheminees.jay@orange.fr"/>
    <n v="476500550"/>
    <s v="-"/>
    <s v="oui"/>
    <d v="2021-06-28T00:00:00"/>
    <s v="insert / foyer fermé"/>
    <s v="&lt;2002"/>
    <x v="0"/>
    <x v="1"/>
    <s v="TURBO FONTE"/>
    <s v="JAZZ 7kW"/>
    <n v="32"/>
    <n v="7"/>
    <n v="77.8"/>
    <n v="0.08"/>
    <s v="FV7"/>
    <m/>
    <n v="2985.8"/>
    <m/>
    <m/>
    <m/>
    <n v="1250"/>
    <n v="4235.8"/>
    <n v="232.96900000000002"/>
    <n v="4468.7690000000002"/>
    <n v="4468.7700000000004"/>
    <s v="oui"/>
    <m/>
    <m/>
    <n v="0"/>
    <s v="NC"/>
  </r>
  <r>
    <x v="1"/>
    <n v="9"/>
    <x v="2"/>
    <x v="1"/>
    <s v="EBL"/>
    <s v="VRB0052"/>
    <n v="400"/>
    <d v="2020-09-21T00:00:00"/>
    <d v="2021-09-21T00:00:00"/>
    <s v="-"/>
    <s v="-"/>
    <d v="2020-09-22T00:00:00"/>
    <d v="2020-09-22T00:00:00"/>
    <d v="2020-09-28T00:00:00"/>
    <m/>
    <d v="2020-11-12T00:00:00"/>
    <d v="2020-11-02T00:00:00"/>
    <s v="-"/>
    <d v="2020-11-13T00:00:00"/>
    <d v="2020-11-13T00:00:00"/>
    <d v="2020-11-18T00:00:00"/>
    <m/>
    <m/>
    <m/>
    <s v="BERARD"/>
    <s v="Eric"/>
    <n v="2"/>
    <n v="56652"/>
    <n v="54"/>
    <s v="Chemin des Espinas"/>
    <n v="38340"/>
    <x v="17"/>
    <n v="781130712"/>
    <s v="eriberard@wanadoo.fr"/>
    <s v="PO"/>
    <m/>
    <m/>
    <s v="-"/>
    <s v="-"/>
    <s v="-"/>
    <s v="-"/>
    <x v="5"/>
    <x v="5"/>
    <s v="HAMAIN Jérémie"/>
    <s v="godin-grenoble@orange.fr"/>
    <n v="438021901"/>
    <s v="-"/>
    <s v="oui"/>
    <d v="2021-03-21T00:00:00"/>
    <s v="insert / foyer fermé"/>
    <n v="1989"/>
    <x v="0"/>
    <x v="1"/>
    <s v="GODIN"/>
    <n v="368102"/>
    <n v="28"/>
    <n v="10.5"/>
    <n v="75.599999999999994"/>
    <n v="0.12"/>
    <s v="FV7"/>
    <m/>
    <n v="4744"/>
    <m/>
    <m/>
    <m/>
    <n v="892"/>
    <n v="5636"/>
    <n v="309.98"/>
    <n v="5945.98"/>
    <n v="5967"/>
    <s v="non"/>
    <m/>
    <m/>
    <s v="REGION 2020"/>
    <s v="NC"/>
  </r>
  <r>
    <x v="1"/>
    <n v="9"/>
    <x v="2"/>
    <x v="1"/>
    <s v="EBL"/>
    <s v="VRB0053"/>
    <n v="400"/>
    <d v="2020-09-21T00:00:00"/>
    <d v="2020-09-22T00:00:00"/>
    <d v="2020-09-22T00:00:00"/>
    <s v="manque lettre de sollicitation (ok)"/>
    <d v="2020-09-23T00:00:00"/>
    <d v="2020-09-28T00:00:00"/>
    <d v="2020-10-05T00:00:00"/>
    <m/>
    <d v="2020-11-20T00:00:00"/>
    <d v="2020-11-03T00:00:00"/>
    <s v="-"/>
    <d v="2020-11-26T00:00:00"/>
    <d v="2020-11-26T00:00:00"/>
    <d v="2020-12-01T00:00:00"/>
    <m/>
    <m/>
    <m/>
    <s v="FERMOND"/>
    <s v="Jacques"/>
    <n v="2"/>
    <n v="37304"/>
    <n v="69"/>
    <s v="Chemin des Mairies"/>
    <n v="38960"/>
    <x v="11"/>
    <n v="683416401"/>
    <s v="fermond.jacques@orange.fr"/>
    <s v="PO"/>
    <m/>
    <m/>
    <s v="-"/>
    <s v="-"/>
    <s v="-"/>
    <s v="-"/>
    <x v="7"/>
    <x v="1"/>
    <s v="PIERRE Emmanuel"/>
    <s v="voiron@techni-nature.com"/>
    <n v="951096343"/>
    <s v="-"/>
    <s v="oui"/>
    <d v="2021-08-25T00:00:00"/>
    <s v="insert / foyer fermé"/>
    <n v="1990"/>
    <x v="0"/>
    <x v="0"/>
    <s v="INOVALP"/>
    <s v="HOBEN H6 Horizon"/>
    <n v="20"/>
    <n v="7.9"/>
    <n v="89"/>
    <n v="1.7999999999999999E-2"/>
    <s v="registre"/>
    <m/>
    <n v="6762.35"/>
    <m/>
    <m/>
    <m/>
    <n v="630"/>
    <n v="7392.35"/>
    <n v="406.57925"/>
    <n v="7798.9292500000001"/>
    <n v="7400"/>
    <s v="oui"/>
    <m/>
    <m/>
    <s v="REGION 2020"/>
    <s v="NC"/>
  </r>
  <r>
    <x v="1"/>
    <n v="9"/>
    <x v="2"/>
    <x v="2"/>
    <s v="EBL"/>
    <s v="VRB0054"/>
    <n v="800"/>
    <d v="2020-09-22T00:00:00"/>
    <d v="2020-09-24T00:00:00"/>
    <s v="-"/>
    <s v="-"/>
    <d v="2020-09-28T00:00:00"/>
    <d v="2020-09-28T00:00:00"/>
    <d v="2020-10-05T00:00:00"/>
    <m/>
    <d v="2020-11-26T00:00:00"/>
    <d v="2020-11-24T00:00:00"/>
    <s v="-"/>
    <d v="2020-11-30T00:00:00"/>
    <d v="2020-11-30T00:00:00"/>
    <d v="2020-12-01T00:00:00"/>
    <m/>
    <m/>
    <m/>
    <s v="WOLFF"/>
    <s v="Eric et Lucie"/>
    <n v="4"/>
    <n v="37103"/>
    <n v="238"/>
    <s v="Route des Allées"/>
    <n v="38730"/>
    <x v="5"/>
    <n v="632154897"/>
    <s v="luciesava@hotmail.com"/>
    <s v="PO"/>
    <m/>
    <m/>
    <s v="-"/>
    <s v="-"/>
    <s v="-"/>
    <s v="-"/>
    <x v="20"/>
    <x v="13"/>
    <s v="M.BICKERT"/>
    <s v="alby-eco@sfr.fr"/>
    <n v="476018471"/>
    <s v="-"/>
    <s v="oui"/>
    <d v="2021-08-04T00:00:00"/>
    <s v="foyer ouvert"/>
    <n v="1970"/>
    <x v="0"/>
    <x v="0"/>
    <s v="JOLLY MEC"/>
    <s v="Botero 2 10kW"/>
    <n v="10.8"/>
    <n v="10"/>
    <n v="91.2"/>
    <n v="0.01"/>
    <s v="registre"/>
    <m/>
    <n v="4047.12"/>
    <m/>
    <m/>
    <m/>
    <n v="750"/>
    <n v="4797.12"/>
    <n v="263.84159999999997"/>
    <n v="5060.9615999999996"/>
    <n v="5060.96"/>
    <s v="oui"/>
    <m/>
    <m/>
    <s v="REGION 2020"/>
    <s v="NC"/>
  </r>
  <r>
    <x v="1"/>
    <n v="9"/>
    <x v="2"/>
    <x v="2"/>
    <s v="EBL"/>
    <s v="VRB0055"/>
    <n v="800"/>
    <d v="2020-09-24T00:00:00"/>
    <d v="2020-09-25T00:00:00"/>
    <s v="-"/>
    <s v="-"/>
    <d v="2020-09-28T00:00:00"/>
    <d v="2020-09-28T00:00:00"/>
    <d v="2020-10-05T00:00:00"/>
    <m/>
    <d v="2021-01-20T00:00:00"/>
    <d v="2021-01-05T00:00:00"/>
    <s v="-"/>
    <d v="2021-01-26T00:00:00"/>
    <d v="2021-01-26T00:00:00"/>
    <d v="2021-02-15T00:00:00"/>
    <m/>
    <m/>
    <m/>
    <s v="ROUSSELIN"/>
    <s v="Astrid"/>
    <n v="3"/>
    <n v="24073"/>
    <n v="160"/>
    <s v="Chemin du Clapier"/>
    <n v="38140"/>
    <x v="8"/>
    <n v="651128960"/>
    <s v="astridrousselin@hotmail.com"/>
    <s v="PO"/>
    <m/>
    <m/>
    <s v="-"/>
    <s v="-"/>
    <s v="-"/>
    <s v="-"/>
    <x v="16"/>
    <x v="10"/>
    <s v="ALO"/>
    <s v="cheminees.jay@orange.fr"/>
    <n v="476500550"/>
    <s v="-"/>
    <s v="oui"/>
    <d v="2021-06-28T00:00:00"/>
    <s v="poêle"/>
    <n v="2000"/>
    <x v="0"/>
    <x v="0"/>
    <s v="KLOVER"/>
    <s v="SOFT 80 (S8K)"/>
    <n v="14.8"/>
    <n v="7.4"/>
    <n v="92.5"/>
    <n v="1.2E-2"/>
    <s v="registre"/>
    <m/>
    <n v="3455.0699999999997"/>
    <m/>
    <m/>
    <m/>
    <n v="900"/>
    <n v="4355.07"/>
    <n v="239.52884999999998"/>
    <n v="4594.5988499999994"/>
    <n v="4594.6000000000004"/>
    <s v="non"/>
    <m/>
    <m/>
    <s v="REGION 2020"/>
    <s v="NC"/>
  </r>
  <r>
    <x v="1"/>
    <n v="10"/>
    <x v="2"/>
    <x v="2"/>
    <s v="EBL"/>
    <s v="VRB0056"/>
    <n v="800"/>
    <d v="2020-09-24T00:00:00"/>
    <d v="2020-09-25T00:00:00"/>
    <d v="2020-09-28T00:00:00"/>
    <s v="photo en plan large (ok)"/>
    <d v="2020-10-19T00:00:00"/>
    <d v="2020-10-19T00:00:00"/>
    <d v="2020-10-29T00:00:00"/>
    <m/>
    <d v="2020-11-18T00:00:00"/>
    <d v="2020-11-06T00:00:00"/>
    <s v="-"/>
    <d v="2020-11-23T00:00:00"/>
    <d v="2020-11-23T00:00:00"/>
    <d v="2020-12-01T00:00:00"/>
    <m/>
    <m/>
    <m/>
    <s v="COLLIN "/>
    <s v="Didier"/>
    <n v="4"/>
    <n v="35656"/>
    <n v="1990"/>
    <s v="Rue Principale"/>
    <n v="38850"/>
    <x v="24"/>
    <n v="632604993"/>
    <s v="collinfabienne22@gmail.com"/>
    <s v="PO"/>
    <m/>
    <m/>
    <s v="-"/>
    <s v="-"/>
    <s v="-"/>
    <s v="-"/>
    <x v="7"/>
    <x v="1"/>
    <s v="PIERRE Emmanuel"/>
    <s v="voiron@techni-nature.com"/>
    <n v="951096343"/>
    <s v="-"/>
    <s v="oui"/>
    <d v="2021-08-25T00:00:00"/>
    <s v="poêle"/>
    <n v="1999"/>
    <x v="0"/>
    <x v="0"/>
    <s v="INOVALP"/>
    <s v="HOBEN H6 Horizon"/>
    <n v="20"/>
    <n v="7.9"/>
    <n v="89"/>
    <n v="1.7999999999999999E-2"/>
    <s v="registre"/>
    <m/>
    <n v="7227.15"/>
    <m/>
    <m/>
    <m/>
    <n v="630"/>
    <n v="7857.15"/>
    <n v="432.14324999999997"/>
    <n v="8289.2932499999988"/>
    <n v="7900"/>
    <s v="oui"/>
    <m/>
    <m/>
    <s v="REGION 2020"/>
    <s v="NC"/>
  </r>
  <r>
    <x v="1"/>
    <n v="10"/>
    <x v="2"/>
    <x v="1"/>
    <s v="EBL"/>
    <s v="VRB0057"/>
    <n v="400"/>
    <d v="2020-09-29T00:00:00"/>
    <d v="2020-10-01T00:00:00"/>
    <s v="-"/>
    <s v="-"/>
    <d v="2020-10-05T00:00:00"/>
    <d v="2020-10-05T00:00:00"/>
    <d v="2020-10-12T00:00:00"/>
    <m/>
    <d v="2021-01-21T00:00:00"/>
    <d v="2020-12-22T00:00:00"/>
    <s v="-"/>
    <d v="2021-01-26T00:00:00"/>
    <d v="2021-01-26T00:00:00"/>
    <d v="2021-02-15T00:00:00"/>
    <m/>
    <m/>
    <m/>
    <s v="RIEDO"/>
    <s v="Marc"/>
    <n v="3"/>
    <n v="50344"/>
    <n v="2"/>
    <s v="Rue Adolphe Chatin"/>
    <n v="38210"/>
    <x v="15"/>
    <n v="476072761"/>
    <s v="marc.riedo@wanadoo.fr"/>
    <s v="PO"/>
    <m/>
    <m/>
    <s v="-"/>
    <s v="-"/>
    <s v="-"/>
    <s v="-"/>
    <x v="1"/>
    <x v="1"/>
    <s v="LIBER Jean-Christophe"/>
    <s v="jlc.services@orange.fr"/>
    <s v="04 76 07 14 61"/>
    <s v="-"/>
    <s v="oui"/>
    <d v="2020-11-03T00:00:00"/>
    <s v="insert / foyer fermé"/>
    <n v="1990"/>
    <x v="0"/>
    <x v="0"/>
    <s v="MCZ"/>
    <s v="LOOP"/>
    <n v="17"/>
    <n v="8"/>
    <n v="90.4"/>
    <n v="3.0000000000000001E-3"/>
    <s v="FV7"/>
    <m/>
    <n v="4442.4400000000005"/>
    <m/>
    <m/>
    <m/>
    <n v="485"/>
    <n v="4927.4400000000005"/>
    <n v="271.00920000000002"/>
    <n v="5198.4492000000009"/>
    <n v="4500"/>
    <s v="non"/>
    <m/>
    <m/>
    <s v="REGION 2020"/>
    <s v="NC"/>
  </r>
  <r>
    <x v="0"/>
    <e v="#VALUE!"/>
    <x v="0"/>
    <x v="0"/>
    <s v="EBL"/>
    <s v="VRB0058"/>
    <s v="-"/>
    <d v="2020-09-29T00:00:00"/>
    <d v="2020-10-01T00:00:00"/>
    <s v="-"/>
    <s v="-"/>
    <s v="-"/>
    <s v="-"/>
    <s v="-"/>
    <m/>
    <s v="-"/>
    <s v="-"/>
    <s v="-"/>
    <s v="-"/>
    <s v="-"/>
    <s v="-"/>
    <m/>
    <d v="2020-10-05T00:00:00"/>
    <s v="Ancien appareil datant de 2015"/>
    <s v="BOURDE"/>
    <s v="Vanessa"/>
    <n v="6"/>
    <n v="38369"/>
    <n v="1020"/>
    <s v="Route de la Couratière"/>
    <n v="38140"/>
    <x v="8"/>
    <n v="687373832"/>
    <s v="vanessa.bourde@wanadoo.fr"/>
    <s v="PO"/>
    <m/>
    <m/>
    <s v="-"/>
    <s v="-"/>
    <s v="-"/>
    <s v="-"/>
    <x v="7"/>
    <x v="1"/>
    <s v="PIERRE Emmanuel"/>
    <s v="voiron@techni-nature.com"/>
    <n v="951096343"/>
    <s v="-"/>
    <s v="oui"/>
    <d v="2021-08-25T00:00:00"/>
    <s v="poêle"/>
    <n v="2015"/>
    <x v="0"/>
    <x v="0"/>
    <s v="INOVALP"/>
    <s v="HOBEN H5"/>
    <n v="30"/>
    <n v="6.3"/>
    <n v="89"/>
    <n v="1.7999999999999999E-2"/>
    <s v="registre"/>
    <m/>
    <n v="4801.8500000000004"/>
    <m/>
    <m/>
    <m/>
    <n v="450"/>
    <n v="5251.85"/>
    <n v="288.85175000000004"/>
    <n v="5540.7017500000002"/>
    <n v="5200"/>
    <s v="non"/>
    <m/>
    <m/>
    <n v="0"/>
    <s v="NC"/>
  </r>
  <r>
    <x v="2"/>
    <n v="3"/>
    <x v="3"/>
    <x v="1"/>
    <s v="EBL"/>
    <s v="VRB0059"/>
    <n v="400"/>
    <d v="2020-09-29T00:00:00"/>
    <d v="2020-10-01T00:00:00"/>
    <d v="2020-10-05T00:00:00"/>
    <s v="Appareil non flamme verte (relance Maelenn le 14/01/21)- ok"/>
    <d v="2021-03-08T00:00:00"/>
    <d v="2021-03-08T00:00:00"/>
    <d v="2021-04-23T00:00:00"/>
    <m/>
    <d v="2021-03-02T00:00:00"/>
    <d v="2021-02-23T00:00:00"/>
    <s v="-"/>
    <d v="2021-03-08T00:00:00"/>
    <d v="2021-03-08T00:00:00"/>
    <d v="2021-04-23T00:00:00"/>
    <m/>
    <m/>
    <m/>
    <s v="MARTINO"/>
    <s v="Alexandre"/>
    <n v="4"/>
    <n v="79133"/>
    <n v="849"/>
    <s v="Route de Grenoble, 117 Résidence du Stade"/>
    <n v="38500"/>
    <x v="4"/>
    <n v="641445621"/>
    <s v="alexmartino73@yahoo.fr"/>
    <s v="PO"/>
    <m/>
    <m/>
    <s v="-"/>
    <s v="-"/>
    <s v="-"/>
    <s v="-"/>
    <x v="16"/>
    <x v="10"/>
    <s v="ALO"/>
    <s v="cheminees.jay@orange.fr"/>
    <n v="476500550"/>
    <s v="-"/>
    <s v="oui"/>
    <d v="2021-06-28T00:00:00"/>
    <s v="insert / foyer fermé"/>
    <n v="1980"/>
    <x v="0"/>
    <x v="1"/>
    <s v="TURBO FONTE"/>
    <s v="OCTAVE Pierre Ollaire"/>
    <n v="10"/>
    <n v="5"/>
    <n v="80"/>
    <n v="0.08"/>
    <s v="FV7"/>
    <m/>
    <n v="2894.51"/>
    <m/>
    <m/>
    <m/>
    <n v="660"/>
    <n v="3554.51"/>
    <n v="195.49805000000001"/>
    <n v="3750.0080500000004"/>
    <n v="3750"/>
    <s v="oui"/>
    <m/>
    <m/>
    <s v="ADEME 2020"/>
    <s v="NC"/>
  </r>
  <r>
    <x v="0"/>
    <e v="#VALUE!"/>
    <x v="0"/>
    <x v="0"/>
    <s v="EBL"/>
    <s v="VRB0060"/>
    <s v="-"/>
    <d v="2020-09-30T00:00:00"/>
    <d v="2020-10-01T00:00:00"/>
    <s v="-"/>
    <s v="-"/>
    <s v="-"/>
    <s v="-"/>
    <s v="-"/>
    <m/>
    <s v="-"/>
    <s v="-"/>
    <s v="-"/>
    <s v="-"/>
    <s v="-"/>
    <s v="-"/>
    <m/>
    <d v="2020-10-05T00:00:00"/>
    <s v="Hors CAPV"/>
    <s v="MINET"/>
    <s v="Christiane"/>
    <n v="1"/>
    <m/>
    <m/>
    <s v="Le Grand Chenevey"/>
    <n v="73670"/>
    <x v="25"/>
    <s v="04 79 65 88 56"/>
    <s v="-"/>
    <s v="PO"/>
    <m/>
    <m/>
    <s v="-"/>
    <s v="-"/>
    <s v="-"/>
    <s v="-"/>
    <x v="21"/>
    <x v="14"/>
    <s v="M.POMIN"/>
    <s v="tecnicservices@yahoo.fr"/>
    <n v="479710404"/>
    <s v="-"/>
    <s v="oui"/>
    <d v="2021-04-14T00:00:00"/>
    <s v="cuisinière"/>
    <n v="1982"/>
    <x v="0"/>
    <x v="1"/>
    <s v="GODIN"/>
    <s v="SILINDA"/>
    <n v="28"/>
    <n v="7"/>
    <n v="76"/>
    <n v="0.12"/>
    <s v="FV7"/>
    <m/>
    <n v="1517"/>
    <m/>
    <m/>
    <m/>
    <n v="1209"/>
    <n v="2726"/>
    <n v="149.93"/>
    <n v="2875.93"/>
    <n v="2875.93"/>
    <s v="oui"/>
    <m/>
    <m/>
    <n v="0"/>
    <s v="NC"/>
  </r>
  <r>
    <x v="1"/>
    <n v="10"/>
    <x v="2"/>
    <x v="2"/>
    <s v="EBL"/>
    <s v="VRB0061"/>
    <n v="800"/>
    <d v="2020-10-01T00:00:00"/>
    <d v="2020-10-01T00:00:00"/>
    <d v="2020-10-05T00:00:00"/>
    <s v="Manque formulaire de demande(ok)+Questionnaire(ok)+Avis d'imposition complet(ok)+justificatif de propriété complet(ok)+Devis complet(ok)+rib(ok)"/>
    <d v="2020-10-19T00:00:00"/>
    <d v="2020-10-19T00:00:00"/>
    <d v="2020-10-29T00:00:00"/>
    <m/>
    <d v="2020-11-09T00:00:00"/>
    <d v="2020-11-07T00:00:00"/>
    <s v="-"/>
    <d v="2020-11-10T00:00:00"/>
    <d v="2020-11-10T00:00:00"/>
    <d v="2020-11-12T00:00:00"/>
    <m/>
    <m/>
    <m/>
    <s v="BARTHELEMY"/>
    <s v="Rémi"/>
    <n v="4"/>
    <n v="38896"/>
    <n v="8"/>
    <s v="Allée du Château"/>
    <n v="38620"/>
    <x v="0"/>
    <n v="689414935"/>
    <s v="rmibarthlmy@yahoo.fr"/>
    <s v="PO"/>
    <m/>
    <m/>
    <s v="-"/>
    <s v="-"/>
    <s v="-"/>
    <s v="-"/>
    <x v="7"/>
    <x v="1"/>
    <s v="PIERRE Emmanuel"/>
    <s v="voiron@techni-nature.com"/>
    <n v="951096343"/>
    <s v="-"/>
    <s v="oui"/>
    <d v="2021-08-25T00:00:00"/>
    <s v="insert / foyer fermé"/>
    <n v="1980"/>
    <x v="0"/>
    <x v="1"/>
    <s v="HWAM / WIKING"/>
    <s v="MIRO 2"/>
    <n v="18"/>
    <n v="4.9000000000000004"/>
    <n v="78"/>
    <n v="0.09"/>
    <s v="FV7"/>
    <m/>
    <n v="4167.3"/>
    <m/>
    <m/>
    <m/>
    <n v="1380"/>
    <n v="5547.3"/>
    <n v="305.10149999999999"/>
    <n v="5852.4014999999999"/>
    <n v="4998.91"/>
    <s v="oui"/>
    <m/>
    <m/>
    <s v="REGION 2020"/>
    <s v="NC"/>
  </r>
  <r>
    <x v="1"/>
    <n v="10"/>
    <x v="2"/>
    <x v="1"/>
    <s v="EBL"/>
    <s v="VRB0062"/>
    <n v="400"/>
    <d v="2020-10-04T00:00:00"/>
    <d v="2020-10-05T00:00:00"/>
    <s v="-"/>
    <s v="-"/>
    <d v="2020-10-05T00:00:00"/>
    <d v="2020-10-05T00:00:00"/>
    <d v="2020-10-12T00:00:00"/>
    <m/>
    <d v="2020-11-03T00:00:00"/>
    <d v="2020-10-28T00:00:00"/>
    <s v="-"/>
    <d v="2020-11-05T00:00:00"/>
    <d v="2020-11-05T00:00:00"/>
    <d v="2020-11-12T00:00:00"/>
    <m/>
    <m/>
    <m/>
    <s v="CHARLOT"/>
    <s v="Philippe"/>
    <n v="5"/>
    <n v="117343"/>
    <n v="2976"/>
    <s v="Chemin des Grands Champs"/>
    <n v="38210"/>
    <x v="15"/>
    <n v="628091397"/>
    <s v="bamaclo4@gmail.com"/>
    <s v="PO"/>
    <m/>
    <m/>
    <s v="-"/>
    <s v="-"/>
    <s v="-"/>
    <s v="-"/>
    <x v="6"/>
    <x v="6"/>
    <s v="FAURE Jacques"/>
    <s v="jacques.faure24@wanadoo.fr"/>
    <n v="476355605"/>
    <s v="-"/>
    <s v="oui"/>
    <d v="2021-10-26T00:00:00"/>
    <s v="insert / foyer fermé"/>
    <n v="1998"/>
    <x v="2"/>
    <x v="1"/>
    <s v="FONTE FLAMME"/>
    <s v="VISION 775-10KW"/>
    <n v="23"/>
    <n v="10"/>
    <n v="78"/>
    <n v="7.0000000000000007E-2"/>
    <s v="FV7"/>
    <m/>
    <n v="4371.4500000000007"/>
    <m/>
    <m/>
    <m/>
    <n v="1317.34"/>
    <n v="5688.7900000000009"/>
    <n v="312.88345000000004"/>
    <n v="6001.6734500000011"/>
    <n v="6001.67"/>
    <s v="oui"/>
    <m/>
    <m/>
    <s v="REGION 2020"/>
    <s v="NC"/>
  </r>
  <r>
    <x v="1"/>
    <n v="10"/>
    <x v="2"/>
    <x v="1"/>
    <s v="EBL"/>
    <s v="VRB0063"/>
    <n v="400"/>
    <d v="2020-10-08T00:00:00"/>
    <d v="2020-10-12T00:00:00"/>
    <s v="-"/>
    <s v="-"/>
    <d v="2020-10-12T00:00:00"/>
    <d v="2020-10-12T00:00:00"/>
    <d v="2020-10-21T00:00:00"/>
    <m/>
    <d v="2021-02-08T00:00:00"/>
    <d v="2020-11-06T00:00:00"/>
    <s v="-"/>
    <d v="2021-02-09T00:00:00"/>
    <d v="2021-02-09T00:00:00"/>
    <d v="2021-02-24T00:00:00"/>
    <m/>
    <m/>
    <m/>
    <s v="TROMPETTE"/>
    <s v="Emilien&amp;Joanna"/>
    <n v="3"/>
    <n v="36568"/>
    <n v="30"/>
    <s v="Rue de la Ferronniere"/>
    <n v="38500"/>
    <x v="1"/>
    <n v="783952681"/>
    <s v="emilien52100@hotmail.fr"/>
    <s v="PO"/>
    <m/>
    <m/>
    <s v="-"/>
    <s v="-"/>
    <s v="-"/>
    <s v="-"/>
    <x v="7"/>
    <x v="1"/>
    <s v="PIERRE Emmanuel"/>
    <s v="voiron@techni-nature.com"/>
    <n v="951096343"/>
    <s v="-"/>
    <s v="oui"/>
    <d v="2021-08-25T00:00:00"/>
    <s v="poêle"/>
    <s v="&lt;1990"/>
    <x v="0"/>
    <x v="0"/>
    <s v="INOVALP"/>
    <s v="HOBEN 9"/>
    <n v="15"/>
    <n v="9.3000000000000007"/>
    <n v="87"/>
    <n v="1.7999999999999999E-2"/>
    <s v="registre"/>
    <m/>
    <n v="6284.4"/>
    <m/>
    <m/>
    <m/>
    <n v="630"/>
    <n v="6914.4"/>
    <n v="380.29199999999997"/>
    <n v="7294.692"/>
    <n v="7200"/>
    <s v="oui"/>
    <m/>
    <m/>
    <s v="REGION 2020"/>
    <s v="NC"/>
  </r>
  <r>
    <x v="1"/>
    <n v="10"/>
    <x v="3"/>
    <x v="1"/>
    <s v="EBL"/>
    <s v="VRB0064"/>
    <n v="400"/>
    <d v="2020-10-08T00:00:00"/>
    <d v="2020-10-12T00:00:00"/>
    <s v="-"/>
    <s v="-"/>
    <d v="2020-10-12T00:00:00"/>
    <d v="2020-10-12T00:00:00"/>
    <d v="2020-10-21T00:00:00"/>
    <m/>
    <d v="2021-04-22T00:00:00"/>
    <d v="2021-04-17T00:00:00"/>
    <s v="-"/>
    <d v="2021-04-22T00:00:00"/>
    <d v="2021-04-22T00:00:00"/>
    <d v="2021-05-12T00:00:00"/>
    <m/>
    <m/>
    <m/>
    <s v="MELINON"/>
    <s v="Sebastien"/>
    <n v="2"/>
    <n v="34545"/>
    <n v="89"/>
    <s v="Chemin des Coches"/>
    <n v="38960"/>
    <x v="22"/>
    <n v="627858495"/>
    <s v="stnazaire26@gmail.com"/>
    <s v="PO"/>
    <m/>
    <m/>
    <s v="-"/>
    <s v="-"/>
    <s v="-"/>
    <s v="-"/>
    <x v="14"/>
    <x v="1"/>
    <s v="SIMON Frédéric"/>
    <s v="contact@ecvoiron.fr"/>
    <n v="476069938"/>
    <s v="-"/>
    <s v="oui"/>
    <d v="2021-09-18T00:00:00"/>
    <s v="insert / foyer fermé"/>
    <n v="1989"/>
    <x v="0"/>
    <x v="1"/>
    <s v="CHARNWOOD"/>
    <s v="BAYBX"/>
    <n v="12"/>
    <n v="5"/>
    <n v="81"/>
    <n v="0.1"/>
    <s v="FV7"/>
    <m/>
    <n v="2856"/>
    <m/>
    <m/>
    <m/>
    <n v="1691"/>
    <n v="4547"/>
    <n v="250.08500000000001"/>
    <n v="4797.085"/>
    <n v="4797.09"/>
    <s v="oui"/>
    <m/>
    <m/>
    <s v="ADEME 2020"/>
    <s v="NC"/>
  </r>
  <r>
    <x v="1"/>
    <n v="10"/>
    <x v="2"/>
    <x v="1"/>
    <s v="EBL"/>
    <s v="VRB0065"/>
    <n v="400"/>
    <d v="2020-10-09T00:00:00"/>
    <d v="2020-10-12T00:00:00"/>
    <s v="-"/>
    <s v="-"/>
    <d v="2020-10-12T00:00:00"/>
    <d v="2020-10-12T00:00:00"/>
    <d v="2020-10-21T00:00:00"/>
    <m/>
    <d v="2021-01-21T00:00:00"/>
    <d v="2020-12-29T00:00:00"/>
    <s v="-"/>
    <d v="2021-01-26T00:00:00"/>
    <d v="2021-01-26T00:00:00"/>
    <d v="2021-02-15T00:00:00"/>
    <m/>
    <m/>
    <m/>
    <s v="METRAL"/>
    <s v="Jean-Pierre"/>
    <n v="2"/>
    <n v="35294"/>
    <n v="454"/>
    <s v="Chemin Cote Bayard"/>
    <n v="38500"/>
    <x v="18"/>
    <n v="476059799"/>
    <s v="jeanpierre.metral@yahoo.fr"/>
    <s v="PO"/>
    <m/>
    <m/>
    <s v="-"/>
    <s v="-"/>
    <s v="-"/>
    <s v="-"/>
    <x v="1"/>
    <x v="1"/>
    <s v="LIBER Jean-Christophe"/>
    <s v="jlc.services@orange.fr"/>
    <s v="04 76 07 14 61"/>
    <s v="-"/>
    <s v="oui"/>
    <d v="2020-11-03T00:00:00"/>
    <s v="insert / foyer fermé"/>
    <n v="1987"/>
    <x v="0"/>
    <x v="1"/>
    <s v="FONTE FLAMME"/>
    <s v="MESA"/>
    <n v="22"/>
    <n v="7"/>
    <n v="80"/>
    <n v="0.08"/>
    <s v="FV7"/>
    <m/>
    <n v="3471.17"/>
    <m/>
    <m/>
    <m/>
    <n v="465"/>
    <n v="3936.17"/>
    <n v="216.48935"/>
    <n v="4152.6593499999999"/>
    <n v="3558.69"/>
    <s v="oui"/>
    <m/>
    <m/>
    <s v="REGION 2020"/>
    <s v="NC"/>
  </r>
  <r>
    <x v="1"/>
    <n v="10"/>
    <x v="2"/>
    <x v="1"/>
    <s v="EBL"/>
    <s v="VRB0066"/>
    <n v="400"/>
    <d v="2020-10-09T00:00:00"/>
    <d v="2020-10-12T00:00:00"/>
    <d v="2020-10-12T00:00:00"/>
    <s v="Manque adresse RIB(ok)"/>
    <d v="2020-10-19T00:00:00"/>
    <d v="2020-10-19T00:00:00"/>
    <d v="2020-10-29T00:00:00"/>
    <m/>
    <d v="2020-12-23T00:00:00"/>
    <d v="2020-11-17T00:00:00"/>
    <s v="-"/>
    <d v="2021-01-08T00:00:00"/>
    <d v="2021-01-08T00:00:00"/>
    <d v="2021-01-15T00:00:00"/>
    <m/>
    <m/>
    <m/>
    <s v="CREVATIN"/>
    <s v="Stephane"/>
    <n v="4"/>
    <n v="61229"/>
    <n v="130"/>
    <s v="Chemin de Chabons"/>
    <n v="38210"/>
    <x v="15"/>
    <n v="684406525"/>
    <s v="crevatin.s@gmail.com"/>
    <s v="PO"/>
    <m/>
    <m/>
    <s v="-"/>
    <s v="-"/>
    <s v="-"/>
    <s v="-"/>
    <x v="2"/>
    <x v="2"/>
    <s v="DIDIER Jean-Christophe"/>
    <s v="jcduo@orange.fr"/>
    <n v="608287337"/>
    <s v="-"/>
    <s v="oui"/>
    <d v="2021-08-09T00:00:00"/>
    <s v="foyer ouvert"/>
    <n v="2000"/>
    <x v="2"/>
    <x v="1"/>
    <s v="WANDERS"/>
    <s v="S68 FRONT"/>
    <n v="39"/>
    <n v="7"/>
    <n v="75"/>
    <n v="0.09"/>
    <s v="registre"/>
    <m/>
    <n v="4527"/>
    <m/>
    <m/>
    <m/>
    <n v="230"/>
    <n v="4757"/>
    <n v="261.63499999999999"/>
    <n v="5018.6350000000002"/>
    <n v="4400"/>
    <s v="oui"/>
    <m/>
    <m/>
    <s v="REGION 2020"/>
    <s v="NC"/>
  </r>
  <r>
    <x v="0"/>
    <e v="#VALUE!"/>
    <x v="0"/>
    <x v="0"/>
    <s v="EBL"/>
    <s v="VRB0067"/>
    <s v="-"/>
    <d v="2020-10-13T00:00:00"/>
    <d v="2020-10-15T00:00:00"/>
    <s v="-"/>
    <s v="-"/>
    <s v="-"/>
    <s v="-"/>
    <s v="-"/>
    <m/>
    <s v="-"/>
    <s v="-"/>
    <s v="-"/>
    <s v="-"/>
    <s v="-"/>
    <s v="-"/>
    <m/>
    <d v="2020-10-19T00:00:00"/>
    <s v="Travaux déjà réalisé"/>
    <s v="GIROUD"/>
    <s v="Monique"/>
    <n v="1"/>
    <n v="20244"/>
    <n v="3244"/>
    <s v="Chemin Vert"/>
    <n v="38210"/>
    <x v="15"/>
    <n v="624648780"/>
    <s v="alain.giroud0855@orange.fr"/>
    <s v="PO"/>
    <m/>
    <m/>
    <s v="-"/>
    <s v="-"/>
    <s v="-"/>
    <s v="-"/>
    <x v="5"/>
    <x v="5"/>
    <s v="HAMAIN Jérémie"/>
    <s v="godin-grenoble@orange.fr"/>
    <n v="438021901"/>
    <s v="-"/>
    <s v="oui"/>
    <d v="2021-03-21T00:00:00"/>
    <s v="cuisinière"/>
    <s v="&lt;1996"/>
    <x v="0"/>
    <x v="1"/>
    <s v="GODIN"/>
    <s v="363101 ECO"/>
    <n v="38"/>
    <n v="8.5"/>
    <n v="75.400000000000006"/>
    <n v="0.08"/>
    <s v="FV7"/>
    <m/>
    <n v="4768.05"/>
    <m/>
    <m/>
    <m/>
    <n v="3511"/>
    <n v="8279.0499999999993"/>
    <n v="455.34774999999996"/>
    <n v="8734.3977500000001"/>
    <n v="8756"/>
    <s v="oui"/>
    <m/>
    <m/>
    <n v="0"/>
    <s v="NC"/>
  </r>
  <r>
    <x v="1"/>
    <n v="10"/>
    <x v="2"/>
    <x v="1"/>
    <s v="EBL"/>
    <s v="VRB0068"/>
    <n v="400"/>
    <d v="2020-10-19T00:00:00"/>
    <d v="2020-10-20T00:00:00"/>
    <s v="-"/>
    <s v="-"/>
    <d v="2020-10-22T00:00:00"/>
    <d v="2020-10-22T00:00:00"/>
    <d v="2020-11-04T00:00:00"/>
    <m/>
    <d v="2020-11-25T00:00:00"/>
    <d v="2020-11-04T00:00:00"/>
    <s v="-"/>
    <d v="2020-11-30T00:00:00"/>
    <d v="2020-11-30T00:00:00"/>
    <d v="2020-12-01T00:00:00"/>
    <m/>
    <m/>
    <m/>
    <s v="DOS SANTOS"/>
    <s v="Steve"/>
    <n v="3"/>
    <n v="38732"/>
    <n v="11"/>
    <s v="Lotissement le Petit bois"/>
    <n v="38140"/>
    <x v="8"/>
    <n v="662389628"/>
    <s v="stevedossentos6@gmail.com"/>
    <s v="PO"/>
    <m/>
    <m/>
    <s v="-"/>
    <s v="-"/>
    <s v="-"/>
    <s v="-"/>
    <x v="22"/>
    <x v="15"/>
    <s v="M.NESTORI"/>
    <s v="nessfrance38@hotmail.fr"/>
    <n v="611403887"/>
    <s v="-"/>
    <s v="oui"/>
    <d v="2021-02-21T00:00:00"/>
    <s v="foyer ouvert"/>
    <n v="1989"/>
    <x v="2"/>
    <x v="1"/>
    <s v="INVICTA"/>
    <s v="Foyer 600 GA"/>
    <n v="30"/>
    <n v="8"/>
    <n v="76"/>
    <n v="0.1"/>
    <s v="FV7"/>
    <m/>
    <n v="999.69"/>
    <m/>
    <m/>
    <m/>
    <n v="700"/>
    <n v="1699.69"/>
    <n v="93.482950000000002"/>
    <n v="1793.1729500000001"/>
    <n v="1793.18"/>
    <s v="oui"/>
    <m/>
    <m/>
    <s v="REGION 2020"/>
    <s v="NC"/>
  </r>
  <r>
    <x v="1"/>
    <n v="10"/>
    <x v="3"/>
    <x v="1"/>
    <s v="EBL"/>
    <s v="VRB0069"/>
    <n v="400"/>
    <d v="2020-10-21T00:00:00"/>
    <d v="2020-10-22T00:00:00"/>
    <d v="2020-10-22T00:00:00"/>
    <s v="Manque adresse RIB(ok)"/>
    <d v="2020-10-27T00:00:00"/>
    <d v="2020-10-27T00:00:00"/>
    <d v="2020-10-29T00:00:00"/>
    <m/>
    <d v="2021-06-01T00:00:00"/>
    <d v="2021-01-28T00:00:00"/>
    <s v="Manque facture+attestation+photo"/>
    <d v="2021-06-11T00:00:00"/>
    <d v="2021-06-11T00:00:00"/>
    <d v="2021-07-01T00:00:00"/>
    <m/>
    <m/>
    <m/>
    <s v="ACCARIER"/>
    <s v="Gerald"/>
    <n v="4"/>
    <n v="55357"/>
    <n v="256"/>
    <s v="Route de Voiron"/>
    <n v="38430"/>
    <x v="2"/>
    <n v="608722047"/>
    <s v="le160607@yahoo.fr"/>
    <s v="PO"/>
    <m/>
    <m/>
    <s v="-"/>
    <s v="-"/>
    <s v="-"/>
    <s v="-"/>
    <x v="16"/>
    <x v="10"/>
    <s v="ALO"/>
    <s v="cheminees.jay@orange.fr"/>
    <n v="476500550"/>
    <s v="-"/>
    <s v="oui"/>
    <d v="2021-06-28T00:00:00"/>
    <s v="foyer ouvert"/>
    <n v="1980"/>
    <x v="0"/>
    <x v="0"/>
    <s v="CADEL (KAROO)"/>
    <s v="SHELL 3 (R9C)"/>
    <n v="12"/>
    <n v="9.1"/>
    <n v="88.7"/>
    <n v="8.9999999999999993E-3"/>
    <s v="FV7"/>
    <m/>
    <n v="4177.3"/>
    <m/>
    <m/>
    <m/>
    <n v="900"/>
    <n v="5077.3"/>
    <n v="279.25150000000002"/>
    <n v="5356.5515000000005"/>
    <n v="5356.55"/>
    <s v="oui"/>
    <m/>
    <m/>
    <s v="ADEME 2020"/>
    <s v="NC"/>
  </r>
  <r>
    <x v="1"/>
    <n v="10"/>
    <x v="0"/>
    <x v="0"/>
    <s v="EBL"/>
    <s v="VRB0070"/>
    <n v="400"/>
    <d v="2020-10-23T00:00:00"/>
    <d v="2020-10-26T00:00:00"/>
    <d v="2020-10-27T00:00:00"/>
    <s v="Photo en fonctionnement (ok)"/>
    <d v="2020-10-29T00:00:00"/>
    <d v="2020-10-29T00:00:00"/>
    <d v="2020-11-02T00:00:00"/>
    <m/>
    <d v="2022-01-12T00:00:00"/>
    <d v="2020-10-14T00:00:00"/>
    <s v="Facture acquittée. Reçu le 12/01/2022"/>
    <m/>
    <m/>
    <m/>
    <m/>
    <d v="2022-02-04T00:00:00"/>
    <s v="Facture antérieur a l'arrêté"/>
    <s v="CLOT"/>
    <s v="Yvan"/>
    <n v="2"/>
    <n v="33682"/>
    <s v="138F"/>
    <s v="Route de la Gare"/>
    <n v="38140"/>
    <x v="8"/>
    <n v="679501080"/>
    <s v="yclot.asur@gmail.com"/>
    <s v="PO"/>
    <m/>
    <m/>
    <s v="-"/>
    <s v="-"/>
    <s v="-"/>
    <s v="-"/>
    <x v="2"/>
    <x v="2"/>
    <s v="DIDIER Jean-Christophe"/>
    <s v="jcduo@orange.fr"/>
    <n v="608287337"/>
    <s v="-"/>
    <s v="oui"/>
    <d v="2021-08-09T00:00:00"/>
    <s v="poêle"/>
    <s v="&lt;2002"/>
    <x v="0"/>
    <x v="0"/>
    <s v="MORETTI"/>
    <s v="RELAX 8"/>
    <n v="26"/>
    <n v="8"/>
    <n v="91.9"/>
    <n v="7.0000000000000001E-3"/>
    <s v="registre"/>
    <m/>
    <n v="5060"/>
    <m/>
    <m/>
    <m/>
    <n v="1135"/>
    <n v="6195"/>
    <n v="340.72500000000002"/>
    <n v="6535.7250000000004"/>
    <n v="6195"/>
    <s v="non"/>
    <m/>
    <m/>
    <n v="0"/>
    <s v="NC"/>
  </r>
  <r>
    <x v="0"/>
    <e v="#VALUE!"/>
    <x v="0"/>
    <x v="0"/>
    <s v="EBL"/>
    <s v="VRB0071"/>
    <s v="-"/>
    <d v="2020-10-23T00:00:00"/>
    <d v="2020-10-26T00:00:00"/>
    <s v="-"/>
    <s v="-"/>
    <s v="-"/>
    <s v="-"/>
    <s v="-"/>
    <m/>
    <s v="-"/>
    <s v="-"/>
    <s v="-"/>
    <s v="-"/>
    <s v="-"/>
    <s v="-"/>
    <m/>
    <d v="2020-10-27T00:00:00"/>
    <s v="Travaux déjà réalisé"/>
    <s v="CARRAJAT"/>
    <s v="Joël"/>
    <n v="6"/>
    <n v="64567"/>
    <n v="47"/>
    <s v="Chemin de Monteuils"/>
    <n v="38500"/>
    <x v="4"/>
    <n v="633070261"/>
    <s v="j.carrajat@orange.fr"/>
    <s v="PO"/>
    <m/>
    <m/>
    <s v="-"/>
    <s v="-"/>
    <s v="-"/>
    <s v="-"/>
    <x v="0"/>
    <x v="0"/>
    <s v="CARRE François"/>
    <s v="f.carre@carre-f.com"/>
    <s v="04 76 37 03 50"/>
    <s v="-"/>
    <s v="oui  "/>
    <d v="2021-11-17T00:00:00"/>
    <s v="insert / foyer fermé"/>
    <n v="2001"/>
    <x v="0"/>
    <x v="0"/>
    <s v="PALAZZETTI"/>
    <s v="Ecofire Anna 12 US"/>
    <n v="11"/>
    <n v="12"/>
    <n v="88.5"/>
    <n v="7.0000000000000001E-3"/>
    <s v="FV7"/>
    <m/>
    <n v="5091.5"/>
    <m/>
    <m/>
    <m/>
    <n v="590"/>
    <n v="5681.5"/>
    <n v="312.48250000000002"/>
    <n v="5993.9825000000001"/>
    <n v="5993.98"/>
    <s v="oui"/>
    <m/>
    <m/>
    <n v="0"/>
    <s v="NC"/>
  </r>
  <r>
    <x v="1"/>
    <n v="10"/>
    <x v="2"/>
    <x v="2"/>
    <s v="EBL"/>
    <s v="VRB0072"/>
    <n v="800"/>
    <d v="2020-10-27T00:00:00"/>
    <d v="2020-10-27T00:00:00"/>
    <s v="-"/>
    <s v="-"/>
    <d v="2020-10-29T00:00:00"/>
    <d v="2020-10-29T00:00:00"/>
    <d v="2020-11-02T00:00:00"/>
    <m/>
    <d v="2020-12-12T00:00:00"/>
    <d v="2020-11-24T00:00:00"/>
    <s v="-"/>
    <d v="2020-12-14T00:00:00"/>
    <d v="2020-12-14T00:00:00"/>
    <d v="2021-01-07T00:00:00"/>
    <m/>
    <m/>
    <m/>
    <s v="DURAND"/>
    <s v="Marie-Noelle"/>
    <n v="2"/>
    <n v="19951"/>
    <n v="355"/>
    <s v="Route du Rivier"/>
    <n v="38140"/>
    <x v="26"/>
    <n v="476911082"/>
    <s v="coralie1923@orange.fr"/>
    <s v="PO"/>
    <m/>
    <m/>
    <s v="-"/>
    <s v="-"/>
    <s v="-"/>
    <s v="-"/>
    <x v="1"/>
    <x v="1"/>
    <s v="LIBER Jean-Christophe"/>
    <s v="jlc.services@orange.fr"/>
    <s v="04 76 07 14 61"/>
    <s v="-"/>
    <s v="oui"/>
    <d v="2020-12-31T00:00:00"/>
    <s v="poêle"/>
    <n v="1990"/>
    <x v="0"/>
    <x v="0"/>
    <s v="MCZ"/>
    <s v="MUSA AIR UP"/>
    <n v="18"/>
    <n v="10"/>
    <n v="90.4"/>
    <n v="3.0000000000000001E-3"/>
    <s v="FV7"/>
    <m/>
    <n v="4238"/>
    <m/>
    <m/>
    <m/>
    <n v="485"/>
    <n v="4723"/>
    <n v="259.76499999999999"/>
    <n v="4982.7650000000003"/>
    <n v="4982.76"/>
    <s v="non"/>
    <m/>
    <m/>
    <s v="REGION 2020"/>
    <s v="NC"/>
  </r>
  <r>
    <x v="1"/>
    <n v="10"/>
    <x v="2"/>
    <x v="1"/>
    <s v="EBL"/>
    <s v="VRB0073"/>
    <n v="400"/>
    <d v="2020-10-26T00:00:00"/>
    <d v="2020-10-27T00:00:00"/>
    <s v="-"/>
    <s v="-"/>
    <d v="2020-10-29T00:00:00"/>
    <d v="2020-10-29T00:00:00"/>
    <d v="2020-11-04T00:00:00"/>
    <m/>
    <d v="2020-11-23T00:00:00"/>
    <d v="2020-11-19T00:00:00"/>
    <s v="Manque mention acquittée sur la facture"/>
    <d v="2020-12-04T00:00:00"/>
    <d v="2020-12-04T00:00:00"/>
    <d v="2020-12-09T00:00:00"/>
    <m/>
    <m/>
    <m/>
    <s v="LACHENAL"/>
    <s v="Claude"/>
    <n v="2"/>
    <n v="34738"/>
    <n v="43"/>
    <s v="Les Horizons 1"/>
    <n v="38210"/>
    <x v="15"/>
    <n v="476072089"/>
    <s v="claudelachenal@orange.fr"/>
    <s v="PO"/>
    <m/>
    <m/>
    <s v="-"/>
    <s v="-"/>
    <s v="-"/>
    <s v="-"/>
    <x v="14"/>
    <x v="1"/>
    <s v="SIMON Frédéric"/>
    <s v="contact@ecvoiron.fr"/>
    <n v="476069938"/>
    <s v="-"/>
    <s v="oui"/>
    <d v="2021-09-18T00:00:00"/>
    <s v="foyer ouvert"/>
    <n v="1985"/>
    <x v="2"/>
    <x v="1"/>
    <s v="CHARNWOOD"/>
    <s v="BAYBX"/>
    <n v="12"/>
    <n v="5"/>
    <n v="81"/>
    <n v="0.1"/>
    <s v="FV7"/>
    <m/>
    <n v="2994"/>
    <m/>
    <m/>
    <m/>
    <n v="700"/>
    <n v="3694"/>
    <n v="203.17"/>
    <n v="3897.17"/>
    <n v="3897.17"/>
    <s v="non"/>
    <m/>
    <m/>
    <s v="REGION 2020"/>
    <s v="NC"/>
  </r>
  <r>
    <x v="1"/>
    <n v="11"/>
    <x v="3"/>
    <x v="1"/>
    <s v="EBL"/>
    <s v="VRB0074"/>
    <n v="400"/>
    <d v="2020-10-27T00:00:00"/>
    <d v="2020-11-02T00:00:00"/>
    <s v="-"/>
    <s v="-"/>
    <d v="2020-11-05T00:00:00"/>
    <d v="2020-11-05T00:00:00"/>
    <d v="2020-11-12T00:00:00"/>
    <m/>
    <d v="2021-09-28T00:00:00"/>
    <d v="2021-07-29T00:00:00"/>
    <s v="-"/>
    <d v="2021-09-30T00:00:00"/>
    <d v="2021-09-30T00:00:00"/>
    <d v="2021-09-30T00:00:00"/>
    <m/>
    <m/>
    <m/>
    <s v="SEGOVIA"/>
    <s v="Sophie"/>
    <n v="1"/>
    <n v="27708"/>
    <n v="505"/>
    <s v="Route des Sources"/>
    <n v="38140"/>
    <x v="10"/>
    <n v="603660533"/>
    <s v="s.segovia@hotmail.fr"/>
    <s v="PO"/>
    <m/>
    <m/>
    <s v="-"/>
    <s v="-"/>
    <s v="-"/>
    <s v="-"/>
    <x v="2"/>
    <x v="2"/>
    <s v="DIDIER Jean-Christophe"/>
    <s v="jcduo@orange.fr"/>
    <n v="608287337"/>
    <s v="-"/>
    <s v="oui"/>
    <d v="2021-08-09T00:00:00"/>
    <s v="poêle"/>
    <n v="1998"/>
    <x v="0"/>
    <x v="0"/>
    <s v="MORETTI"/>
    <s v="ERGONOMIC GLASS C11"/>
    <n v="15.4"/>
    <n v="11.03"/>
    <n v="87.7"/>
    <n v="0.01"/>
    <s v="registre"/>
    <m/>
    <n v="4697"/>
    <m/>
    <m/>
    <m/>
    <n v="650"/>
    <n v="5347"/>
    <n v="294.08499999999998"/>
    <n v="5641.085"/>
    <n v="5347"/>
    <s v="oui"/>
    <m/>
    <m/>
    <s v="ADEME 2020"/>
    <s v="NC"/>
  </r>
  <r>
    <x v="1"/>
    <n v="11"/>
    <x v="3"/>
    <x v="1"/>
    <s v="EBL"/>
    <s v="VRB0075"/>
    <n v="400"/>
    <d v="2020-11-09T00:00:00"/>
    <d v="2020-11-10T00:00:00"/>
    <s v="-"/>
    <s v="-"/>
    <d v="2020-11-10T00:00:00"/>
    <d v="2020-11-10T00:00:00"/>
    <d v="2020-11-13T00:00:00"/>
    <m/>
    <d v="2021-01-26T00:00:00"/>
    <d v="2021-01-21T00:00:00"/>
    <s v="-"/>
    <d v="2021-01-28T00:00:00"/>
    <d v="2021-01-28T00:00:00"/>
    <d v="2021-02-15T00:00:00"/>
    <m/>
    <m/>
    <m/>
    <s v="DEMANGE"/>
    <s v="Jehanne"/>
    <n v="4"/>
    <n v="47733"/>
    <n v="130"/>
    <s v="Impasse du Cellier"/>
    <n v="38140"/>
    <x v="8"/>
    <n v="771860544"/>
    <s v="jrd38@orange.fr"/>
    <s v="PO"/>
    <m/>
    <m/>
    <s v="-"/>
    <s v="-"/>
    <s v="-"/>
    <s v="-"/>
    <x v="1"/>
    <x v="1"/>
    <s v="LIBER Jean-Christophe"/>
    <s v="jlc.services@orange.fr"/>
    <s v="04 76 07 14 61"/>
    <s v="-"/>
    <s v="oui"/>
    <d v="2020-12-31T00:00:00"/>
    <s v="cuisinière"/>
    <n v="1990"/>
    <x v="0"/>
    <x v="1"/>
    <s v="SELF CLIMAT MORVAN"/>
    <s v="Vision R"/>
    <n v="15"/>
    <n v="6"/>
    <n v="77"/>
    <n v="0.1"/>
    <s v="FV7"/>
    <m/>
    <n v="3090.5"/>
    <m/>
    <m/>
    <m/>
    <n v="250"/>
    <n v="3340.5"/>
    <n v="183.72749999999999"/>
    <n v="3524.2275"/>
    <n v="3390.77"/>
    <s v="oui"/>
    <m/>
    <m/>
    <s v="ADEME 2020"/>
    <s v="NC"/>
  </r>
  <r>
    <x v="1"/>
    <n v="11"/>
    <x v="2"/>
    <x v="1"/>
    <s v="EBL"/>
    <s v="VRB0076"/>
    <n v="400"/>
    <d v="2020-11-10T00:00:00"/>
    <d v="2020-11-13T00:00:00"/>
    <s v="-"/>
    <s v="-"/>
    <d v="2020-11-13T00:00:00"/>
    <d v="2020-11-13T00:00:00"/>
    <d v="2020-11-18T00:00:00"/>
    <m/>
    <d v="2021-01-04T00:00:00"/>
    <d v="2020-12-24T00:00:00"/>
    <s v="-"/>
    <d v="2021-01-08T00:00:00"/>
    <d v="2021-01-08T00:00:00"/>
    <d v="2021-01-15T00:00:00"/>
    <m/>
    <m/>
    <m/>
    <s v="LEMAITRE"/>
    <s v="André"/>
    <n v="2"/>
    <n v="51147"/>
    <n v="225"/>
    <s v="Route du Grand Velanne"/>
    <n v="38620"/>
    <x v="27"/>
    <n v="476076261"/>
    <s v="andre.lemaitre7@orange.fr"/>
    <s v="PO"/>
    <m/>
    <m/>
    <s v="-"/>
    <s v="-"/>
    <s v="-"/>
    <s v="-"/>
    <x v="0"/>
    <x v="0"/>
    <s v="CARRE François"/>
    <s v="f.carre@carre-f.com"/>
    <s v="04 76 37 03 50"/>
    <s v="-"/>
    <s v="oui  "/>
    <d v="2021-11-17T00:00:00"/>
    <s v="insert / foyer fermé"/>
    <n v="1989"/>
    <x v="0"/>
    <x v="0"/>
    <s v="PALAZZETTI"/>
    <s v="Ecofire Anna 12"/>
    <n v="11"/>
    <n v="12"/>
    <n v="88.5"/>
    <n v="0.01"/>
    <s v="FV7"/>
    <m/>
    <n v="6599"/>
    <m/>
    <m/>
    <m/>
    <n v="590"/>
    <n v="7189"/>
    <n v="395.39499999999998"/>
    <n v="7584.3950000000004"/>
    <n v="7584.4"/>
    <s v="non"/>
    <m/>
    <m/>
    <s v="REGION 2020"/>
    <s v="NC"/>
  </r>
  <r>
    <x v="1"/>
    <n v="11"/>
    <x v="2"/>
    <x v="1"/>
    <s v="EBL"/>
    <s v="VRB0077"/>
    <n v="400"/>
    <d v="2020-11-17T00:00:00"/>
    <d v="2020-11-19T00:00:00"/>
    <s v="-"/>
    <s v="-"/>
    <d v="2020-11-23T00:00:00"/>
    <d v="2020-11-23T00:00:00"/>
    <d v="2020-12-01T00:00:00"/>
    <m/>
    <d v="2021-01-25T00:00:00"/>
    <d v="2020-12-15T00:00:00"/>
    <s v="Manque facture (ok le 26/01/21)"/>
    <d v="2021-01-26T00:00:00"/>
    <d v="2021-01-26T00:00:00"/>
    <d v="2021-02-15T00:00:00"/>
    <m/>
    <m/>
    <m/>
    <s v="CARPAYE"/>
    <s v="Jean"/>
    <n v="2"/>
    <n v="95914"/>
    <n v="23"/>
    <s v="Rue du Lavoir Criel"/>
    <n v="38500"/>
    <x v="1"/>
    <n v="758814649"/>
    <s v="jean.carpaye1@gmail.com"/>
    <s v="PO"/>
    <m/>
    <m/>
    <s v="-"/>
    <s v="-"/>
    <s v="-"/>
    <s v="-"/>
    <x v="10"/>
    <x v="1"/>
    <s v="GILLET Pascal"/>
    <s v="bois-soleil.chauffage@orange.fr"/>
    <n v="476323235"/>
    <s v="-"/>
    <s v="oui"/>
    <d v="2021-08-21T00:00:00"/>
    <s v="insert / foyer fermé"/>
    <n v="1998"/>
    <x v="0"/>
    <x v="0"/>
    <s v="MCZ"/>
    <s v="EGO AIR-2016 UP!"/>
    <n v="18"/>
    <n v="10"/>
    <n v="90.4"/>
    <n v="3.0000000000000001E-3"/>
    <s v="FV7"/>
    <m/>
    <n v="3529"/>
    <m/>
    <m/>
    <m/>
    <n v="1085"/>
    <n v="4614"/>
    <n v="253.77"/>
    <n v="4867.7700000000004"/>
    <n v="4898.6000000000004"/>
    <s v="non"/>
    <m/>
    <m/>
    <s v="REGION 2020"/>
    <s v="NC"/>
  </r>
  <r>
    <x v="1"/>
    <n v="12"/>
    <x v="2"/>
    <x v="1"/>
    <s v="EBL"/>
    <s v="VRB0078"/>
    <n v="400"/>
    <d v="2020-11-20T00:00:00"/>
    <d v="2020-11-24T00:00:00"/>
    <d v="2020-11-26T00:00:00"/>
    <s v="manque dernière page taxe foncière+adresse RIB"/>
    <d v="2020-12-04T00:00:00"/>
    <d v="2020-12-04T00:00:00"/>
    <d v="2020-12-09T00:00:00"/>
    <m/>
    <d v="2021-02-19T00:00:00"/>
    <d v="2021-01-09T00:00:00"/>
    <s v="-"/>
    <d v="2021-02-25T00:00:00"/>
    <d v="2021-02-25T00:00:00"/>
    <d v="2021-03-09T00:00:00"/>
    <m/>
    <m/>
    <m/>
    <s v="VANGELISTA"/>
    <s v="Urbain"/>
    <n v="1"/>
    <n v="21946"/>
    <n v="415"/>
    <s v="Chemin de Vieron"/>
    <n v="38210"/>
    <x v="3"/>
    <n v="684691214"/>
    <s v="ur38@orange.fr"/>
    <s v="PO"/>
    <m/>
    <m/>
    <s v="-"/>
    <s v="-"/>
    <s v="-"/>
    <s v="-"/>
    <x v="6"/>
    <x v="6"/>
    <s v="FAURE Jacques"/>
    <s v="jacques.faure24@wanadoo.fr"/>
    <n v="476355605"/>
    <s v="-"/>
    <s v="oui"/>
    <d v="2021-10-26T00:00:00"/>
    <s v="foyer ouvert"/>
    <n v="1980"/>
    <x v="2"/>
    <x v="1"/>
    <s v="FONTE FLAMME"/>
    <s v="VISION 700-8K"/>
    <n v="26"/>
    <n v="8"/>
    <n v="81"/>
    <n v="7.0000000000000007E-2"/>
    <s v="FV7"/>
    <m/>
    <n v="3182.31"/>
    <m/>
    <m/>
    <m/>
    <n v="1431.12"/>
    <n v="4613.43"/>
    <n v="253.73865000000001"/>
    <n v="4867.1686500000005"/>
    <n v="4867.17"/>
    <s v="non"/>
    <m/>
    <m/>
    <s v="REGION 2020"/>
    <s v="NC"/>
  </r>
  <r>
    <x v="1"/>
    <n v="11"/>
    <x v="2"/>
    <x v="1"/>
    <s v="EBL"/>
    <s v="VRB0079"/>
    <n v="400"/>
    <d v="2020-11-20T00:00:00"/>
    <d v="2020-11-24T00:00:00"/>
    <s v="-"/>
    <s v="-"/>
    <d v="2020-11-26T00:00:00"/>
    <d v="2020-11-26T00:00:00"/>
    <d v="2020-12-01T00:00:00"/>
    <m/>
    <d v="2020-12-16T00:00:00"/>
    <d v="2020-12-02T00:00:00"/>
    <s v="-"/>
    <d v="2020-12-21T00:00:00"/>
    <d v="2020-12-21T00:00:00"/>
    <d v="2021-01-27T00:00:00"/>
    <m/>
    <m/>
    <m/>
    <s v="KRETZ"/>
    <s v="Thierry"/>
    <n v="5"/>
    <n v="103965"/>
    <n v="165"/>
    <s v="Champ de la Cour"/>
    <n v="38430"/>
    <x v="28"/>
    <n v="671371067"/>
    <s v="krthierry@wanadoo.fr"/>
    <s v="PO"/>
    <m/>
    <m/>
    <s v="-"/>
    <s v="-"/>
    <s v="-"/>
    <s v="-"/>
    <x v="7"/>
    <x v="1"/>
    <s v="PIERRE Emmanuel"/>
    <s v="voiron@techni-nature.com"/>
    <n v="951096343"/>
    <s v="-"/>
    <s v="oui"/>
    <d v="2021-08-25T00:00:00"/>
    <s v="poêle"/>
    <n v="2001"/>
    <x v="0"/>
    <x v="0"/>
    <s v="INOVALP"/>
    <s v="HOBEN H5"/>
    <n v="30"/>
    <n v="6.3"/>
    <n v="89"/>
    <n v="0.18"/>
    <s v="registre"/>
    <m/>
    <n v="5490"/>
    <m/>
    <m/>
    <m/>
    <n v="315"/>
    <n v="5805"/>
    <n v="319.27499999999998"/>
    <n v="6124.2749999999996"/>
    <n v="5649.53"/>
    <s v="non"/>
    <m/>
    <m/>
    <s v="REGION 2020"/>
    <s v="NC"/>
  </r>
  <r>
    <x v="1"/>
    <n v="11"/>
    <x v="3"/>
    <x v="1"/>
    <s v="EBL"/>
    <s v="VRB0080"/>
    <n v="400"/>
    <d v="2020-11-24T00:00:00"/>
    <d v="2020-11-24T00:00:00"/>
    <s v="-"/>
    <s v="-"/>
    <d v="2020-11-26T00:00:00"/>
    <d v="2020-11-26T00:00:00"/>
    <d v="2020-12-01T00:00:00"/>
    <m/>
    <d v="2021-04-11T00:00:00"/>
    <d v="2021-01-29T00:00:00"/>
    <s v="Manque mention acquittée (ok le 15/04/21)"/>
    <d v="2021-04-15T00:00:00"/>
    <d v="2021-04-15T00:00:00"/>
    <d v="2021-04-21T00:00:00"/>
    <m/>
    <m/>
    <m/>
    <s v="LIBERPRE"/>
    <s v="Aurélien"/>
    <n v="2"/>
    <n v="35675"/>
    <n v="1118"/>
    <s v="Route de la Haute Véronnière"/>
    <n v="38620"/>
    <x v="16"/>
    <n v="685635735"/>
    <s v="lefebvreaude@orange.fr"/>
    <s v="PO"/>
    <m/>
    <m/>
    <s v="-"/>
    <s v="-"/>
    <s v="-"/>
    <s v="-"/>
    <x v="14"/>
    <x v="1"/>
    <s v="SIMON Frédéric"/>
    <s v="contact@ecvoiron.fr"/>
    <n v="476069938"/>
    <s v="-"/>
    <s v="oui"/>
    <d v="2021-09-18T00:00:00"/>
    <s v="poêle"/>
    <n v="1967"/>
    <x v="0"/>
    <x v="1"/>
    <s v="ROMOTOP"/>
    <s v="ALEA"/>
    <n v="20"/>
    <n v="5.7"/>
    <n v="82.9"/>
    <n v="6.7000000000000004E-2"/>
    <s v="FV7"/>
    <m/>
    <n v="3740"/>
    <m/>
    <m/>
    <m/>
    <n v="451"/>
    <n v="4191"/>
    <n v="230.505"/>
    <n v="4421.5050000000001"/>
    <n v="4421.51"/>
    <s v="non"/>
    <m/>
    <m/>
    <s v="ADEME 2020"/>
    <s v="NC"/>
  </r>
  <r>
    <x v="1"/>
    <n v="12"/>
    <x v="2"/>
    <x v="2"/>
    <s v="EBL"/>
    <s v="VRB0081"/>
    <n v="800"/>
    <d v="2020-11-27T00:00:00"/>
    <d v="2020-12-01T00:00:00"/>
    <s v="-"/>
    <s v="-"/>
    <d v="2020-12-07T00:00:00"/>
    <d v="2020-12-07T00:00:00"/>
    <d v="2020-12-09T00:00:00"/>
    <m/>
    <d v="2021-01-11T00:00:00"/>
    <d v="2020-12-24T00:00:00"/>
    <s v="Manque mention acquittée (ok le 18/01/21)"/>
    <d v="2021-01-18T00:00:00"/>
    <d v="2021-01-18T00:00:00"/>
    <d v="2021-02-15T00:00:00"/>
    <m/>
    <m/>
    <m/>
    <s v="GARON-GUINAUD"/>
    <s v="Matthieu"/>
    <n v="4"/>
    <n v="32982"/>
    <n v="44"/>
    <s v="Impasse Major"/>
    <n v="38620"/>
    <x v="29"/>
    <n v="619264424"/>
    <s v="gaelle.berthet@live.fr"/>
    <s v="PO"/>
    <m/>
    <m/>
    <s v="-"/>
    <s v="-"/>
    <s v="-"/>
    <s v="-"/>
    <x v="0"/>
    <x v="0"/>
    <s v="CARRE François"/>
    <s v="f.carre@carre-f.com"/>
    <s v="04 76 37 03 50"/>
    <s v="-"/>
    <s v="oui  "/>
    <d v="2021-11-17T00:00:00"/>
    <s v="poêle"/>
    <n v="1985"/>
    <x v="0"/>
    <x v="1"/>
    <s v="FIREPLACE"/>
    <s v="ALICANTE Pierre Ollaire"/>
    <n v="34"/>
    <n v="8"/>
    <n v="81"/>
    <n v="0.06"/>
    <s v="FV7"/>
    <m/>
    <n v="3323"/>
    <m/>
    <m/>
    <m/>
    <n v="490"/>
    <n v="3813"/>
    <n v="209.715"/>
    <n v="4022.7150000000001"/>
    <n v="3813"/>
    <s v="non"/>
    <m/>
    <m/>
    <s v="REGION 2020"/>
    <s v="NC"/>
  </r>
  <r>
    <x v="0"/>
    <e v="#VALUE!"/>
    <x v="0"/>
    <x v="0"/>
    <s v="EBL"/>
    <s v="VRB0082"/>
    <s v="-"/>
    <d v="2020-11-30T00:00:00"/>
    <d v="2020-12-01T00:00:00"/>
    <d v="2020-12-07T00:00:00"/>
    <s v="Manque année d'acquisition + photo plan large (relance le 15/04/21 &amp; le 16/07/21) A cloturer début aout si pas de réponse"/>
    <s v="-"/>
    <s v="-"/>
    <s v="-"/>
    <m/>
    <s v="-"/>
    <s v="-"/>
    <s v="-"/>
    <s v="-"/>
    <s v="-"/>
    <s v="-"/>
    <m/>
    <d v="2021-08-16T00:00:00"/>
    <s v="Dossier incomplet malgré plusieurs relances"/>
    <s v="ODISIO"/>
    <s v="Jerome"/>
    <n v="5"/>
    <n v="41516"/>
    <n v="110"/>
    <s v="Impasse de la Truitière"/>
    <n v="38850"/>
    <x v="5"/>
    <n v="665273186"/>
    <s v="jerome.odisio@yahoo.fr"/>
    <s v="PO"/>
    <m/>
    <m/>
    <s v="-"/>
    <s v="-"/>
    <s v="-"/>
    <s v="-"/>
    <x v="23"/>
    <x v="16"/>
    <s v="CUNAUD Bertrand"/>
    <m/>
    <n v="970825050"/>
    <s v="-"/>
    <m/>
    <d v="2021-02-16T00:00:00"/>
    <s v="poêle"/>
    <n v="2012"/>
    <x v="0"/>
    <x v="0"/>
    <s v="MCZ"/>
    <s v="HALO AIR 8 M1"/>
    <n v="17"/>
    <n v="8.1"/>
    <n v="90.9"/>
    <n v="2E-3"/>
    <s v="FV7"/>
    <m/>
    <n v="3783.0799999999995"/>
    <m/>
    <m/>
    <m/>
    <n v="585.56000000000006"/>
    <n v="4368.6399999999994"/>
    <n v="240.27519999999996"/>
    <n v="4608.9151999999995"/>
    <n v="713.49"/>
    <s v="oui"/>
    <m/>
    <m/>
    <n v="0"/>
    <s v="NC"/>
  </r>
  <r>
    <x v="1"/>
    <n v="12"/>
    <x v="2"/>
    <x v="1"/>
    <s v="EBL"/>
    <s v="VRB0083"/>
    <n v="400"/>
    <d v="2020-12-01T00:00:00"/>
    <d v="2020-12-03T00:00:00"/>
    <d v="2020-12-07T00:00:00"/>
    <s v="Manque adresse RIB + photo-ok le 10/12/20"/>
    <d v="2020-12-11T00:00:00"/>
    <d v="2020-12-11T00:00:00"/>
    <d v="2020-12-17T00:00:00"/>
    <m/>
    <d v="2021-03-09T00:00:00"/>
    <d v="2021-02-28T00:00:00"/>
    <s v="-"/>
    <d v="2021-03-16T00:00:00"/>
    <d v="2021-03-16T00:00:00"/>
    <d v="2021-03-22T00:00:00"/>
    <m/>
    <m/>
    <m/>
    <s v="CHANAL "/>
    <s v="Jacques"/>
    <n v="2"/>
    <n v="50466"/>
    <n v="58"/>
    <s v="Chemin des Mulets"/>
    <n v="38620"/>
    <x v="14"/>
    <n v="660493158"/>
    <s v="yvan.jacques.38@free.fr"/>
    <s v="PO"/>
    <m/>
    <m/>
    <s v="-"/>
    <s v="-"/>
    <s v="-"/>
    <s v="-"/>
    <x v="1"/>
    <x v="1"/>
    <s v="LIBER Jean-Christophe"/>
    <s v="jlc.services@orange.fr"/>
    <s v="04 76 07 14 61"/>
    <s v="-"/>
    <s v="oui"/>
    <d v="2020-12-31T00:00:00"/>
    <s v="insert / foyer fermé"/>
    <n v="1992"/>
    <x v="0"/>
    <x v="0"/>
    <s v="MCZ"/>
    <s v="STREAM CONFORT AIR 12 M1"/>
    <n v="14"/>
    <n v="11.9"/>
    <n v="90.8"/>
    <n v="7.0000000000000001E-3"/>
    <s v="FV7"/>
    <m/>
    <n v="5404"/>
    <m/>
    <m/>
    <m/>
    <n v="400"/>
    <n v="5804"/>
    <n v="319.22000000000003"/>
    <n v="6123.22"/>
    <n v="6123.22"/>
    <s v="oui"/>
    <m/>
    <m/>
    <s v="REGION 2020"/>
    <s v="NC"/>
  </r>
  <r>
    <x v="1"/>
    <n v="12"/>
    <x v="2"/>
    <x v="1"/>
    <s v="EBL"/>
    <s v="VRB0084"/>
    <n v="400"/>
    <d v="2020-12-01T00:00:00"/>
    <d v="2020-12-03T00:00:00"/>
    <s v="-"/>
    <s v="-"/>
    <d v="2020-12-07T00:00:00"/>
    <d v="2020-12-07T00:00:00"/>
    <d v="2020-12-09T00:00:00"/>
    <m/>
    <d v="2021-01-15T00:00:00"/>
    <d v="2020-12-16T00:00:00"/>
    <s v="-"/>
    <d v="2021-01-18T00:00:00"/>
    <d v="2021-01-18T00:00:00"/>
    <d v="2021-02-15T00:00:00"/>
    <m/>
    <m/>
    <m/>
    <s v="Nicole"/>
    <s v="Arnaud"/>
    <n v="4"/>
    <n v="99887"/>
    <n v="393"/>
    <s v="Rue du Charrat"/>
    <n v="38960"/>
    <x v="22"/>
    <n v="603463179"/>
    <s v="arnaudrdz@hotmail.fr"/>
    <s v="PO"/>
    <m/>
    <m/>
    <s v="-"/>
    <s v="-"/>
    <s v="-"/>
    <s v="-"/>
    <x v="16"/>
    <x v="10"/>
    <s v="ALO"/>
    <s v="cheminees.jay@orange.fr"/>
    <n v="476500550"/>
    <s v="-"/>
    <s v="oui"/>
    <d v="2021-06-28T00:00:00"/>
    <s v="insert / foyer fermé"/>
    <n v="2001"/>
    <x v="2"/>
    <x v="1"/>
    <s v="TURBO FONTE"/>
    <s v="ELISEO 700 EFFICIENS"/>
    <n v="30"/>
    <n v="13"/>
    <n v="84"/>
    <n v="0.04"/>
    <s v="FV7"/>
    <m/>
    <n v="3436.2399999999993"/>
    <m/>
    <m/>
    <m/>
    <n v="1800"/>
    <n v="5236.24"/>
    <n v="287.9932"/>
    <n v="5524.2331999999997"/>
    <n v="5524.23"/>
    <s v="oui"/>
    <m/>
    <m/>
    <s v="REGION 2020"/>
    <s v="NC"/>
  </r>
  <r>
    <x v="1"/>
    <n v="12"/>
    <x v="2"/>
    <x v="1"/>
    <s v="EBL"/>
    <s v="VRB0085"/>
    <n v="400"/>
    <d v="2020-12-03T00:00:00"/>
    <d v="2020-12-04T00:00:00"/>
    <s v="-"/>
    <s v="-"/>
    <d v="2020-12-07T00:00:00"/>
    <d v="2020-12-07T00:00:00"/>
    <d v="2020-12-09T00:00:00"/>
    <m/>
    <d v="2021-01-04T00:00:00"/>
    <d v="2020-12-18T00:00:00"/>
    <s v="Manque Facture acquittée"/>
    <d v="2021-01-14T00:00:00"/>
    <d v="2021-01-14T00:00:00"/>
    <d v="2021-02-08T00:00:00"/>
    <m/>
    <m/>
    <m/>
    <s v="LAPOUGE"/>
    <s v="Jean-Paul"/>
    <n v="1"/>
    <n v="20971"/>
    <n v="1253"/>
    <s v="Route de la Grangère"/>
    <n v="38850"/>
    <x v="7"/>
    <n v="621653362"/>
    <s v="lapougesteyer@sfr.fr"/>
    <s v="PO"/>
    <m/>
    <m/>
    <s v="-"/>
    <s v="-"/>
    <s v="-"/>
    <s v="-"/>
    <x v="0"/>
    <x v="0"/>
    <s v="CARRE François"/>
    <s v="f.carre@carre-f.com"/>
    <s v="04 76 37 03 50"/>
    <s v="-"/>
    <s v="oui  "/>
    <d v="2021-11-17T00:00:00"/>
    <s v="insert / foyer fermé"/>
    <n v="2001"/>
    <x v="2"/>
    <x v="0"/>
    <s v="PALAZZETTI"/>
    <s v="A70"/>
    <n v="19"/>
    <n v="9"/>
    <n v="90.7"/>
    <n v="0.01"/>
    <s v="FV7"/>
    <m/>
    <n v="4785"/>
    <m/>
    <m/>
    <m/>
    <n v="890"/>
    <n v="5675"/>
    <n v="312.125"/>
    <n v="5987.125"/>
    <n v="5987.12"/>
    <s v="oui"/>
    <m/>
    <m/>
    <s v="REGION 2020"/>
    <s v="NC"/>
  </r>
  <r>
    <x v="1"/>
    <n v="12"/>
    <x v="2"/>
    <x v="2"/>
    <s v="EBL"/>
    <s v="VRB0086"/>
    <n v="800"/>
    <d v="2020-12-03T00:00:00"/>
    <d v="2020-12-04T00:00:00"/>
    <s v="-"/>
    <s v="-"/>
    <d v="2020-12-07T00:00:00"/>
    <d v="2020-12-07T00:00:00"/>
    <d v="2020-12-09T00:00:00"/>
    <m/>
    <d v="2021-01-07T00:00:00"/>
    <d v="2020-12-15T00:00:00"/>
    <s v="-"/>
    <d v="2021-01-08T00:00:00"/>
    <d v="2021-01-08T00:00:00"/>
    <d v="2021-01-15T00:00:00"/>
    <m/>
    <m/>
    <m/>
    <s v="GARDA"/>
    <s v="Christophe"/>
    <n v="4"/>
    <n v="37449"/>
    <n v="469"/>
    <s v="Route des Planchettes"/>
    <n v="38620"/>
    <x v="27"/>
    <n v="685551406"/>
    <s v="chester4@orange.fr"/>
    <s v="PO"/>
    <m/>
    <m/>
    <s v="-"/>
    <s v="-"/>
    <s v="-"/>
    <s v="-"/>
    <x v="0"/>
    <x v="0"/>
    <s v="CARRE François"/>
    <s v="f.carre@carre-f.com"/>
    <s v="04 76 37 03 50"/>
    <s v="-"/>
    <s v="oui  "/>
    <d v="2021-11-17T00:00:00"/>
    <s v="poêle"/>
    <n v="2001"/>
    <x v="0"/>
    <x v="0"/>
    <s v="PALAZZETTI"/>
    <s v="ANNA ECOFIRE US"/>
    <n v="11"/>
    <n v="12"/>
    <n v="88.5"/>
    <n v="7.0000000000000001E-3"/>
    <s v="FV7"/>
    <m/>
    <n v="5374"/>
    <m/>
    <m/>
    <m/>
    <n v="590"/>
    <n v="5964"/>
    <n v="328.02"/>
    <n v="6292.02"/>
    <n v="6292.02"/>
    <s v="oui"/>
    <m/>
    <m/>
    <s v="REGION 2020"/>
    <s v="NC"/>
  </r>
  <r>
    <x v="1"/>
    <n v="12"/>
    <x v="2"/>
    <x v="1"/>
    <s v="EBL"/>
    <s v="VRB0087"/>
    <n v="400"/>
    <d v="2020-12-04T00:00:00"/>
    <d v="2020-12-07T00:00:00"/>
    <s v="-"/>
    <s v="-"/>
    <d v="2020-12-07T00:00:00"/>
    <d v="2020-12-07T00:00:00"/>
    <d v="2020-12-09T00:00:00"/>
    <m/>
    <d v="2021-02-12T00:00:00"/>
    <d v="2021-02-18T00:00:00"/>
    <s v="-"/>
    <d v="2021-02-19T00:00:00"/>
    <d v="2021-02-19T00:00:00"/>
    <d v="2021-02-25T00:00:00"/>
    <m/>
    <m/>
    <m/>
    <s v="GOULLON"/>
    <s v="Gérard"/>
    <n v="2"/>
    <n v="30694"/>
    <n v="451"/>
    <s v="Chemin de Bois Rayer"/>
    <n v="38850"/>
    <x v="5"/>
    <n v="476313621"/>
    <s v="ggoullon@orange.fr"/>
    <s v="PO"/>
    <m/>
    <m/>
    <s v="-"/>
    <s v="-"/>
    <s v="-"/>
    <s v="-"/>
    <x v="14"/>
    <x v="1"/>
    <s v="SIMON Frédéric"/>
    <s v="contact@ecvoiron.fr"/>
    <n v="476069938"/>
    <s v="-"/>
    <s v="oui"/>
    <d v="2021-09-18T00:00:00"/>
    <s v="cuisinière"/>
    <n v="1978"/>
    <x v="0"/>
    <x v="0"/>
    <s v="KLOVER"/>
    <s v="SOFT 80"/>
    <n v="14.8"/>
    <n v="7.4"/>
    <n v="92.5"/>
    <n v="1.2E-2"/>
    <s v="registre"/>
    <m/>
    <n v="4079"/>
    <m/>
    <m/>
    <m/>
    <n v="1126.97"/>
    <n v="5205.97"/>
    <n v="286.32835"/>
    <n v="5492.29835"/>
    <n v="5492.3"/>
    <s v="oui"/>
    <m/>
    <m/>
    <s v="REGION 2020"/>
    <s v="NC"/>
  </r>
  <r>
    <x v="1"/>
    <n v="12"/>
    <x v="2"/>
    <x v="1"/>
    <s v="EBL"/>
    <s v="VRB0088"/>
    <n v="400"/>
    <d v="2020-12-10T00:00:00"/>
    <d v="2020-12-11T00:00:00"/>
    <s v="-"/>
    <s v="-"/>
    <d v="2020-12-11T00:00:00"/>
    <d v="2020-12-11T00:00:00"/>
    <d v="2020-12-17T00:00:00"/>
    <m/>
    <d v="2021-02-01T00:00:00"/>
    <d v="2021-01-20T00:00:00"/>
    <s v="-"/>
    <d v="2021-02-02T00:00:00"/>
    <d v="2021-02-02T00:00:00"/>
    <d v="2021-02-16T00:00:00"/>
    <m/>
    <m/>
    <m/>
    <s v="NEYRET"/>
    <s v="Patrick"/>
    <n v="2"/>
    <n v="48910"/>
    <n v="66"/>
    <s v="Avenue Gambetta"/>
    <n v="38500"/>
    <x v="1"/>
    <n v="686054322"/>
    <s v="neyretdp@orange.fr"/>
    <s v="PO"/>
    <m/>
    <m/>
    <s v="-"/>
    <s v="-"/>
    <s v="-"/>
    <s v="-"/>
    <x v="5"/>
    <x v="5"/>
    <s v="HAMAIN Jérémie"/>
    <s v="godin-grenoble@orange.fr"/>
    <n v="438021901"/>
    <s v="-"/>
    <s v="oui"/>
    <d v="2021-03-21T00:00:00"/>
    <s v="poêle"/>
    <n v="1980"/>
    <x v="0"/>
    <x v="1"/>
    <s v="GODIN"/>
    <s v="ECLIPSE"/>
    <n v="29"/>
    <n v="8"/>
    <n v="77"/>
    <n v="0.05"/>
    <s v="FV7"/>
    <m/>
    <n v="3138"/>
    <m/>
    <m/>
    <m/>
    <n v="891"/>
    <n v="4029"/>
    <n v="221.595"/>
    <n v="4250.5950000000003"/>
    <n v="3951"/>
    <s v="oui"/>
    <m/>
    <m/>
    <s v="REGION 2020"/>
    <s v="NC"/>
  </r>
  <r>
    <x v="1"/>
    <n v="12"/>
    <x v="3"/>
    <x v="1"/>
    <s v="EBL"/>
    <s v="VRB0089"/>
    <n v="400"/>
    <d v="2020-12-11T00:00:00"/>
    <d v="2020-12-14T00:00:00"/>
    <s v="-"/>
    <s v="-"/>
    <d v="2020-12-14T00:00:00"/>
    <d v="2020-12-14T00:00:00"/>
    <d v="2020-12-14T00:00:00"/>
    <m/>
    <d v="2021-04-20T00:00:00"/>
    <d v="2021-03-29T00:00:00"/>
    <s v="-"/>
    <d v="2021-04-22T00:00:00"/>
    <d v="2021-04-22T00:00:00"/>
    <d v="2021-05-12T00:00:00"/>
    <m/>
    <m/>
    <m/>
    <s v="GAUVIN"/>
    <s v="Ian"/>
    <n v="3"/>
    <n v="48151"/>
    <n v="23"/>
    <s v="Rue du Lavoir Criel"/>
    <n v="38500"/>
    <x v="1"/>
    <n v="670612485"/>
    <s v="iangauvin@hotmail.com"/>
    <s v="PO"/>
    <m/>
    <m/>
    <s v="-"/>
    <s v="-"/>
    <s v="-"/>
    <s v="-"/>
    <x v="10"/>
    <x v="1"/>
    <s v="GILLET Pascal"/>
    <s v="bois-soleil.chauffage@orange.fr"/>
    <n v="476323235"/>
    <s v="-"/>
    <s v="oui"/>
    <d v="2021-08-21T00:00:00"/>
    <s v="poêle"/>
    <n v="1998"/>
    <x v="0"/>
    <x v="0"/>
    <s v="MCZ"/>
    <s v="EGO AIR 8M1"/>
    <n v="17"/>
    <n v="8.1"/>
    <n v="90.9"/>
    <n v="2E-3"/>
    <s v="FV7"/>
    <m/>
    <n v="3232"/>
    <m/>
    <m/>
    <m/>
    <n v="440"/>
    <n v="3672"/>
    <n v="201.96"/>
    <n v="3873.96"/>
    <n v="3876.96"/>
    <s v="oui"/>
    <m/>
    <m/>
    <s v="ADEME 2020"/>
    <s v="NC"/>
  </r>
  <r>
    <x v="1"/>
    <n v="12"/>
    <x v="3"/>
    <x v="2"/>
    <s v="EBL"/>
    <s v="VRB0090"/>
    <n v="800"/>
    <d v="2020-12-12T00:00:00"/>
    <d v="2020-12-14T00:00:00"/>
    <d v="2020-12-14T00:00:00"/>
    <s v="Manque adresse RIB (ok)"/>
    <d v="2020-12-21T00:00:00"/>
    <d v="2020-12-21T00:00:00"/>
    <d v="2021-01-27T00:00:00"/>
    <m/>
    <d v="2021-09-28T00:00:00"/>
    <d v="2021-06-29T00:00:00"/>
    <s v="-"/>
    <d v="2021-09-30T00:00:00"/>
    <d v="2021-09-30T00:00:00"/>
    <d v="2021-09-30T00:00:00"/>
    <m/>
    <m/>
    <m/>
    <s v="BLANCHIN"/>
    <s v="Michelle"/>
    <n v="1"/>
    <n v="15437"/>
    <n v="799"/>
    <s v="Route de la Ture"/>
    <n v="38960"/>
    <x v="11"/>
    <n v="677472320"/>
    <s v="pmblanchin@hotmail.fr"/>
    <s v="PO"/>
    <m/>
    <m/>
    <s v="-"/>
    <s v="-"/>
    <s v="-"/>
    <s v="-"/>
    <x v="14"/>
    <x v="1"/>
    <s v="SIMON Frédéric"/>
    <s v="contact@ecvoiron.fr"/>
    <n v="476069938"/>
    <s v="-"/>
    <s v="oui"/>
    <d v="2021-09-18T00:00:00"/>
    <s v="cuisinière"/>
    <s v="&lt;1990"/>
    <x v="0"/>
    <x v="1"/>
    <s v="ROMOTOP"/>
    <s v="NAVIA G"/>
    <n v="40"/>
    <n v="6"/>
    <n v="83"/>
    <n v="7.0000000000000007E-2"/>
    <s v="FV7"/>
    <m/>
    <n v="6199"/>
    <m/>
    <m/>
    <m/>
    <n v="300"/>
    <n v="6499"/>
    <n v="357.44499999999999"/>
    <n v="6856.4449999999997"/>
    <n v="6856.45"/>
    <s v="oui"/>
    <m/>
    <m/>
    <s v="ADEME 2020"/>
    <s v="NC"/>
  </r>
  <r>
    <x v="2"/>
    <n v="1"/>
    <x v="3"/>
    <x v="1"/>
    <s v="EBL"/>
    <s v="VRB0091"/>
    <n v="400"/>
    <d v="2020-12-21T00:00:00"/>
    <d v="2020-12-22T00:00:00"/>
    <d v="2021-01-05T00:00:00"/>
    <s v="Manque adresse RIB + justif de domicile(ok le 26/01/21)"/>
    <d v="2021-01-26T00:00:00"/>
    <d v="2021-01-26T00:00:00"/>
    <d v="2021-02-02T00:00:00"/>
    <m/>
    <d v="2022-01-11T00:00:00"/>
    <d v="2021-07-06T00:00:00"/>
    <s v="Facture acquittée (ok le 7/3)"/>
    <d v="2022-03-30T00:00:00"/>
    <d v="2022-03-30T00:00:00"/>
    <d v="2022-04-01T00:00:00"/>
    <m/>
    <m/>
    <m/>
    <s v="SCI LACVIF II"/>
    <s v="MICHALLAT Michelle&amp;Lionel"/>
    <n v="5"/>
    <n v="98055"/>
    <n v="620"/>
    <s v="Route du Camet"/>
    <n v="38500"/>
    <x v="18"/>
    <n v="687354321"/>
    <s v="isabelle.michallatpro@gmai.com"/>
    <s v="PO"/>
    <m/>
    <m/>
    <s v="-"/>
    <s v="-"/>
    <s v="-"/>
    <s v="-"/>
    <x v="7"/>
    <x v="1"/>
    <s v="PIERRE Emmanuel"/>
    <s v="voiron@techni-nature.com"/>
    <n v="951096343"/>
    <s v="-"/>
    <s v="oui"/>
    <d v="2021-08-25T00:00:00"/>
    <s v="foyer ouvert"/>
    <s v="&lt;1990"/>
    <x v="2"/>
    <x v="1"/>
    <s v="SEGUIN"/>
    <s v="EUROPA 7 EVO"/>
    <n v="31"/>
    <n v="9.6999999999999993"/>
    <n v="75"/>
    <n v="0.11"/>
    <s v="FV7"/>
    <m/>
    <n v="5764.56"/>
    <m/>
    <m/>
    <m/>
    <n v="1029"/>
    <n v="6793.56"/>
    <n v="373.64580000000001"/>
    <n v="7167.2058000000006"/>
    <n v="7000"/>
    <s v="oui"/>
    <m/>
    <m/>
    <s v="ADEME 2020"/>
    <s v="NC"/>
  </r>
  <r>
    <x v="2"/>
    <n v="4"/>
    <x v="3"/>
    <x v="2"/>
    <s v="EBL"/>
    <s v="VRB0092"/>
    <n v="800"/>
    <d v="2020-12-21T00:00:00"/>
    <d v="2020-12-22T00:00:00"/>
    <d v="2021-01-08T00:00:00"/>
    <s v="Installataire non signataire (relance le 15/04/21-ok le 16/04/21)"/>
    <d v="2021-04-16T00:00:00"/>
    <d v="2021-04-16T00:00:00"/>
    <d v="2021-04-23T00:00:00"/>
    <m/>
    <d v="2021-05-28T00:00:00"/>
    <d v="2021-03-02T00:00:00"/>
    <s v="CAPV ok"/>
    <d v="2021-05-31T00:00:00"/>
    <d v="2021-05-31T00:00:00"/>
    <d v="2021-06-25T00:00:00"/>
    <m/>
    <m/>
    <m/>
    <s v="SCIPILLITI"/>
    <s v="Karine"/>
    <n v="2"/>
    <n v="18509"/>
    <n v="387"/>
    <s v="Route de la Revollière"/>
    <n v="38134"/>
    <x v="23"/>
    <n v="612379166"/>
    <s v="scipikari@gmail.com"/>
    <s v="PO"/>
    <m/>
    <m/>
    <s v="-"/>
    <s v="-"/>
    <s v="-"/>
    <s v="-"/>
    <x v="24"/>
    <x v="17"/>
    <s v="FELLER Dominique"/>
    <s v="fellerchauffage@orange.fr"/>
    <n v="479262569"/>
    <s v="-"/>
    <s v="oui"/>
    <d v="2021-08-10T00:00:00"/>
    <s v="insert / foyer fermé"/>
    <s v="&lt;1990"/>
    <x v="0"/>
    <x v="1"/>
    <s v="LA NORDICA"/>
    <s v="ISETTA Con CERCHI EVO"/>
    <n v="8"/>
    <n v="7.7"/>
    <n v="82"/>
    <n v="0.1"/>
    <s v="FV7"/>
    <m/>
    <n v="2380"/>
    <m/>
    <m/>
    <m/>
    <n v="830"/>
    <n v="3210"/>
    <n v="176.55"/>
    <n v="3386.55"/>
    <n v="3386.55"/>
    <s v="non"/>
    <m/>
    <m/>
    <s v="ADEME 2020"/>
    <s v="NC"/>
  </r>
  <r>
    <x v="2"/>
    <n v="1"/>
    <x v="2"/>
    <x v="1"/>
    <s v="EBL"/>
    <s v="VRB0093"/>
    <n v="400"/>
    <d v="2020-12-21T00:00:00"/>
    <d v="2020-12-22T00:00:00"/>
    <s v="-"/>
    <s v="-"/>
    <d v="2021-01-08T00:00:00"/>
    <d v="2021-01-08T00:00:00"/>
    <d v="2021-01-15T00:00:00"/>
    <m/>
    <d v="2021-02-22T00:00:00"/>
    <d v="2021-02-09T00:00:00"/>
    <s v="-"/>
    <d v="2021-02-25T00:00:00"/>
    <d v="2021-02-25T00:00:00"/>
    <d v="2021-03-09T00:00:00"/>
    <m/>
    <m/>
    <m/>
    <s v="ARIBERT"/>
    <s v="Jean-Paul"/>
    <n v="2"/>
    <n v="76086"/>
    <n v="41"/>
    <s v="Chemin des Sources"/>
    <n v="38500"/>
    <x v="30"/>
    <n v="679299484"/>
    <s v="jpaul.aribert@wanadoo.fr"/>
    <s v="PO"/>
    <m/>
    <m/>
    <s v="-"/>
    <s v="-"/>
    <s v="-"/>
    <s v="-"/>
    <x v="14"/>
    <x v="1"/>
    <s v="SIMON Frédéric"/>
    <s v="contact@ecvoiron.fr"/>
    <n v="476069938"/>
    <s v="-"/>
    <s v="oui"/>
    <d v="2021-09-18T00:00:00"/>
    <s v="foyer ouvert"/>
    <n v="1985"/>
    <x v="2"/>
    <x v="1"/>
    <s v="AUSTROFLAMM"/>
    <s v="63x40x42S"/>
    <n v="30"/>
    <n v="8"/>
    <n v="85"/>
    <n v="7.0000000000000007E-2"/>
    <s v="FV7"/>
    <m/>
    <n v="6098.16"/>
    <m/>
    <m/>
    <m/>
    <n v="1930"/>
    <n v="8028.16"/>
    <n v="441.54879999999997"/>
    <n v="8469.7088000000003"/>
    <n v="8469.7099999999991"/>
    <s v="oui"/>
    <m/>
    <m/>
    <s v="REGION 2020"/>
    <s v="NC"/>
  </r>
  <r>
    <x v="2"/>
    <n v="1"/>
    <x v="2"/>
    <x v="2"/>
    <s v="EBL"/>
    <s v="VRB0094"/>
    <n v="800"/>
    <d v="2020-12-21T00:00:00"/>
    <d v="2020-12-22T00:00:00"/>
    <s v="-"/>
    <s v="-"/>
    <d v="2021-01-08T00:00:00"/>
    <d v="2021-01-08T00:00:00"/>
    <d v="2021-01-15T00:00:00"/>
    <m/>
    <d v="2021-03-02T00:00:00"/>
    <d v="2021-02-10T00:00:00"/>
    <s v="-"/>
    <d v="2021-03-04T00:00:00"/>
    <d v="2021-03-04T00:00:00"/>
    <d v="2021-03-15T00:00:00"/>
    <m/>
    <m/>
    <m/>
    <s v="BOWN"/>
    <s v="William"/>
    <n v="6"/>
    <n v="43548"/>
    <n v="36"/>
    <s v="Chemin de Farnoussière"/>
    <n v="38850"/>
    <x v="7"/>
    <n v="663118921"/>
    <s v="bown.william@gmail.com"/>
    <s v="PO"/>
    <m/>
    <m/>
    <s v="-"/>
    <s v="-"/>
    <s v="-"/>
    <s v="-"/>
    <x v="3"/>
    <x v="3"/>
    <s v="TROUBA"/>
    <s v="flammeiseroise38300@orange.fr"/>
    <n v="474937373"/>
    <s v="-"/>
    <s v="oui"/>
    <d v="2021-04-28T00:00:00"/>
    <s v="foyer ouvert"/>
    <n v="1980"/>
    <x v="0"/>
    <x v="0"/>
    <s v="JOLLY MEC"/>
    <s v="BOTERO 2 10KW"/>
    <n v="11"/>
    <n v="10"/>
    <n v="91.2"/>
    <n v="0.01"/>
    <s v="registre"/>
    <m/>
    <n v="4330"/>
    <m/>
    <m/>
    <m/>
    <n v="1400"/>
    <n v="5730"/>
    <n v="315.14999999999998"/>
    <n v="6045.15"/>
    <n v="6045.15"/>
    <s v="non"/>
    <m/>
    <m/>
    <s v="REGION 2020"/>
    <s v="NC"/>
  </r>
  <r>
    <x v="2"/>
    <n v="1"/>
    <x v="3"/>
    <x v="1"/>
    <s v="EBL"/>
    <s v="VRB0095"/>
    <n v="400"/>
    <d v="2020-12-22T00:00:00"/>
    <d v="2020-12-22T00:00:00"/>
    <d v="2021-01-08T00:00:00"/>
    <s v="Manque adresse RIB(ok)"/>
    <d v="2021-01-08T00:00:00"/>
    <d v="2021-01-08T00:00:00"/>
    <d v="2021-01-15T00:00:00"/>
    <m/>
    <d v="2021-06-17T00:00:00"/>
    <d v="2021-06-10T00:00:00"/>
    <s v="-"/>
    <d v="2021-06-21T00:00:00"/>
    <d v="2021-06-21T00:00:00"/>
    <d v="2021-07-01T00:00:00"/>
    <m/>
    <m/>
    <m/>
    <s v="MARLETAZ&amp;ZARKA"/>
    <s v="Myriam&amp;Andre"/>
    <n v="2"/>
    <n v="46143"/>
    <n v="467"/>
    <s v="Route du Val d'Ainan"/>
    <n v="38850"/>
    <x v="7"/>
    <n v="675070073"/>
    <s v="andrezarka@gmail.com"/>
    <s v="PO"/>
    <m/>
    <m/>
    <s v="-"/>
    <s v="-"/>
    <s v="-"/>
    <s v="-"/>
    <x v="2"/>
    <x v="2"/>
    <s v="DIDIER Jean-Christophe"/>
    <s v="jcduo@orange.fr"/>
    <n v="608287337"/>
    <s v="-"/>
    <s v="oui"/>
    <d v="2021-08-09T00:00:00"/>
    <s v="insert / foyer fermé"/>
    <n v="1987"/>
    <x v="0"/>
    <x v="0"/>
    <s v="KLOVER"/>
    <s v="Soft80"/>
    <n v="14.8"/>
    <n v="7.4"/>
    <n v="92.5"/>
    <n v="1.2E-2"/>
    <s v="registre"/>
    <m/>
    <n v="3722"/>
    <m/>
    <m/>
    <m/>
    <n v="718"/>
    <n v="4440"/>
    <n v="244.2"/>
    <n v="4684.2"/>
    <n v="4400"/>
    <s v="oui"/>
    <m/>
    <m/>
    <s v="ADEME 2020"/>
    <s v="NC"/>
  </r>
  <r>
    <x v="2"/>
    <n v="1"/>
    <x v="3"/>
    <x v="1"/>
    <s v="EBL"/>
    <s v="VRB0096"/>
    <n v="400"/>
    <d v="2020-12-23T00:00:00"/>
    <d v="2021-01-04T00:00:00"/>
    <d v="2021-01-08T00:00:00"/>
    <s v="Photo en plan large (ok le 20/01/21)"/>
    <d v="2021-01-21T00:00:00"/>
    <d v="2021-01-21T00:00:00"/>
    <d v="2021-01-25T00:00:00"/>
    <m/>
    <d v="2021-03-10T00:00:00"/>
    <d v="2021-03-03T00:00:00"/>
    <s v="-"/>
    <d v="2021-03-16T00:00:00"/>
    <d v="2021-03-16T00:00:00"/>
    <d v="2021-03-22T00:00:00"/>
    <m/>
    <m/>
    <m/>
    <s v="HUMBERT"/>
    <s v="Robert"/>
    <n v="2"/>
    <n v="31045"/>
    <n v="15"/>
    <s v="Chemin du Grifond"/>
    <n v="38620"/>
    <x v="16"/>
    <n v="615779053"/>
    <s v="pagonis.noelle@gmail.com"/>
    <s v="PO"/>
    <m/>
    <m/>
    <s v="-"/>
    <s v="-"/>
    <s v="-"/>
    <s v="-"/>
    <x v="0"/>
    <x v="0"/>
    <s v="CARRE François"/>
    <s v="f.carre@carre-f.com"/>
    <s v="04 76 37 03 50"/>
    <s v="-"/>
    <s v="oui  "/>
    <d v="2021-11-17T00:00:00"/>
    <s v="poêle"/>
    <n v="2000"/>
    <x v="0"/>
    <x v="0"/>
    <s v="PALAZZETTI"/>
    <s v="ECOFIRE BIANCA 12"/>
    <n v="11"/>
    <n v="12"/>
    <n v="88.5"/>
    <n v="0.01"/>
    <s v="FV7"/>
    <m/>
    <n v="3964.5"/>
    <m/>
    <m/>
    <m/>
    <n v="590"/>
    <n v="4554.5"/>
    <n v="250.4975"/>
    <n v="4804.9975000000004"/>
    <n v="4805"/>
    <s v="non"/>
    <m/>
    <m/>
    <s v="ADEME 2020"/>
    <s v="NC"/>
  </r>
  <r>
    <x v="2"/>
    <n v="1"/>
    <x v="3"/>
    <x v="2"/>
    <s v="EBL"/>
    <s v="VRB0097"/>
    <n v="800"/>
    <d v="2020-12-24T00:00:00"/>
    <d v="2021-01-04T00:00:00"/>
    <s v="-"/>
    <s v="-"/>
    <d v="2021-01-08T00:00:00"/>
    <d v="2021-01-08T00:00:00"/>
    <d v="2021-01-15T00:00:00"/>
    <m/>
    <d v="2021-03-18T00:00:00"/>
    <d v="2021-02-26T00:00:00"/>
    <s v="-"/>
    <d v="2021-03-23T00:00:00"/>
    <d v="2021-03-23T00:00:00"/>
    <d v="2021-03-29T00:00:00"/>
    <m/>
    <m/>
    <m/>
    <s v="CZEKATA"/>
    <s v="Madeleine"/>
    <n v="1"/>
    <n v="18493"/>
    <n v="125"/>
    <s v="Route du Pont du Jour"/>
    <n v="38210"/>
    <x v="3"/>
    <n v="651782010"/>
    <s v="m.czekata@gmail.com"/>
    <s v="PO"/>
    <m/>
    <m/>
    <s v="-"/>
    <s v="-"/>
    <s v="-"/>
    <s v="-"/>
    <x v="10"/>
    <x v="1"/>
    <s v="GILLET Pascal"/>
    <s v="bois-soleil.chauffage@orange.fr"/>
    <n v="476323235"/>
    <s v="-"/>
    <s v="oui"/>
    <d v="2021-08-21T00:00:00"/>
    <s v="poêle"/>
    <n v="2000"/>
    <x v="0"/>
    <x v="1"/>
    <s v="ILD"/>
    <s v="ILD12"/>
    <n v="12"/>
    <n v="9.1999999999999993"/>
    <n v="77"/>
    <n v="0.04"/>
    <s v="FV7"/>
    <m/>
    <n v="2189"/>
    <m/>
    <m/>
    <m/>
    <n v="1365"/>
    <n v="3554"/>
    <n v="195.47"/>
    <n v="3749.47"/>
    <n v="3598.23"/>
    <s v="non"/>
    <m/>
    <m/>
    <s v="ADEME 2020"/>
    <s v="NC"/>
  </r>
  <r>
    <x v="2"/>
    <n v="1"/>
    <x v="3"/>
    <x v="1"/>
    <s v="EBL"/>
    <s v="VRB0098"/>
    <n v="400"/>
    <d v="2020-12-24T00:00:00"/>
    <d v="2021-01-04T00:00:00"/>
    <s v="-"/>
    <s v="-"/>
    <d v="2021-01-08T00:00:00"/>
    <d v="2021-01-08T00:00:00"/>
    <d v="2021-01-15T00:00:00"/>
    <m/>
    <d v="2021-08-16T00:00:00"/>
    <d v="2021-06-18T00:00:00"/>
    <s v="-"/>
    <d v="2021-08-16T00:00:00"/>
    <d v="2021-08-16T00:00:00"/>
    <d v="2021-09-22T00:00:00"/>
    <m/>
    <m/>
    <m/>
    <s v="REYMOND"/>
    <s v="Pascal"/>
    <n v="6"/>
    <n v="53020"/>
    <n v="64"/>
    <s v="Impasse Jean Mermoz"/>
    <n v="38340"/>
    <x v="17"/>
    <n v="608148742"/>
    <s v="napa.reymond@wanadoo.fr"/>
    <s v="PO"/>
    <m/>
    <m/>
    <s v="-"/>
    <s v="-"/>
    <s v="-"/>
    <s v="-"/>
    <x v="11"/>
    <x v="2"/>
    <s v="GRATIER Pascal"/>
    <s v="grenoble@hase-boutique.fr"/>
    <n v="476452433"/>
    <s v="-"/>
    <s v="oui"/>
    <d v="2022-01-28T00:00:00"/>
    <s v="foyer ouvert"/>
    <n v="1975"/>
    <x v="0"/>
    <x v="1"/>
    <s v="HASE"/>
    <s v="SILA"/>
    <n v="16"/>
    <n v="6.4"/>
    <n v="81"/>
    <n v="0.08"/>
    <s v="FV7"/>
    <m/>
    <n v="5004.74"/>
    <m/>
    <m/>
    <m/>
    <n v="780"/>
    <n v="5784.74"/>
    <n v="318.16069999999996"/>
    <n v="6102.9007000000001"/>
    <n v="6102.9"/>
    <s v="oui"/>
    <m/>
    <m/>
    <s v="ADEME 2020"/>
    <s v="NC"/>
  </r>
  <r>
    <x v="2"/>
    <n v="1"/>
    <x v="3"/>
    <x v="1"/>
    <s v="EBL"/>
    <s v="VRB0099"/>
    <n v="400"/>
    <d v="2020-12-29T00:00:00"/>
    <d v="2021-01-04T00:00:00"/>
    <d v="2021-01-08T00:00:00"/>
    <s v="Justif domicile au nom d'une SCI(ok)"/>
    <d v="2021-01-08T00:00:00"/>
    <d v="2021-01-08T00:00:00"/>
    <d v="2021-01-15T00:00:00"/>
    <m/>
    <d v="2021-09-06T00:00:00"/>
    <d v="2021-05-18T00:00:00"/>
    <s v="-"/>
    <d v="2021-09-16T00:00:00"/>
    <d v="2021-09-16T00:00:00"/>
    <d v="2021-09-30T00:00:00"/>
    <m/>
    <m/>
    <m/>
    <s v="MICHON "/>
    <s v="Yoann"/>
    <n v="2"/>
    <n v="50726"/>
    <n v="80"/>
    <s v="Chemin du Champ de l'Orme"/>
    <n v="38140"/>
    <x v="10"/>
    <n v="659535343"/>
    <s v="yo-963@orange.fr"/>
    <s v="PO"/>
    <m/>
    <m/>
    <s v="-"/>
    <s v="-"/>
    <s v="-"/>
    <s v="-"/>
    <x v="16"/>
    <x v="10"/>
    <s v="ALO"/>
    <s v="cheminees.jay@orange.fr"/>
    <n v="476500550"/>
    <s v="-"/>
    <s v="oui"/>
    <d v="2021-06-28T00:00:00"/>
    <s v="cuisinière"/>
    <s v="&lt;1990"/>
    <x v="0"/>
    <x v="1"/>
    <s v="JOTUL"/>
    <s v="F400 ECO"/>
    <n v="6"/>
    <n v="7"/>
    <n v="83"/>
    <n v="5.8000000000000003E-2"/>
    <s v="FV7"/>
    <m/>
    <n v="3941.16"/>
    <m/>
    <m/>
    <m/>
    <n v="1340"/>
    <n v="5281.16"/>
    <n v="290.46379999999999"/>
    <n v="5571.6237999999994"/>
    <n v="5100"/>
    <s v="oui"/>
    <m/>
    <m/>
    <s v="ADEME 2020"/>
    <s v="NC"/>
  </r>
  <r>
    <x v="2"/>
    <n v="1"/>
    <x v="3"/>
    <x v="2"/>
    <s v="EBL"/>
    <s v="VRB0100"/>
    <n v="800"/>
    <d v="2020-12-29T00:00:00"/>
    <d v="2021-01-04T00:00:00"/>
    <d v="2021-01-08T00:00:00"/>
    <s v="Justif domicile&amp;Devis illisible+Manque adresse RIB(ok)"/>
    <d v="2021-01-14T00:00:00"/>
    <d v="2021-01-14T00:00:00"/>
    <d v="2021-01-15T00:00:00"/>
    <m/>
    <d v="2021-05-06T00:00:00"/>
    <d v="2021-04-15T00:00:00"/>
    <s v="-"/>
    <d v="2021-05-07T00:00:00"/>
    <d v="2021-05-07T00:00:00"/>
    <d v="2021-06-03T00:00:00"/>
    <m/>
    <m/>
    <m/>
    <s v="LAUNAY"/>
    <s v="Pierre-Alexandre"/>
    <n v="4"/>
    <n v="38746"/>
    <n v="381"/>
    <s v="Route de du Picard"/>
    <n v="38960"/>
    <x v="22"/>
    <n v="691386009"/>
    <s v="palaunay@gmail.com"/>
    <s v="PO"/>
    <m/>
    <m/>
    <s v="-"/>
    <s v="-"/>
    <s v="-"/>
    <s v="-"/>
    <x v="16"/>
    <x v="10"/>
    <s v="ALO"/>
    <s v="cheminees.jay@orange.fr"/>
    <n v="476500550"/>
    <s v="-"/>
    <s v="oui"/>
    <d v="2021-06-28T00:00:00"/>
    <s v="foyer ouvert"/>
    <n v="1980"/>
    <x v="0"/>
    <x v="1"/>
    <s v="TURBO FONTE"/>
    <s v="JAZZ 7kW"/>
    <n v="32"/>
    <n v="7"/>
    <n v="77.8"/>
    <n v="8.0000000000000002E-3"/>
    <s v="FV7"/>
    <m/>
    <n v="3237.3199999999997"/>
    <m/>
    <m/>
    <m/>
    <n v="900"/>
    <n v="4137.32"/>
    <n v="227.55259999999998"/>
    <n v="4364.8725999999997"/>
    <n v="4067.87"/>
    <s v="non"/>
    <m/>
    <m/>
    <s v="ADEME 2020"/>
    <s v="NC"/>
  </r>
  <r>
    <x v="2"/>
    <n v="1"/>
    <x v="3"/>
    <x v="2"/>
    <s v="EBL"/>
    <s v="VRB0101"/>
    <n v="1000"/>
    <d v="2021-01-04T00:00:00"/>
    <d v="2021-01-04T00:00:00"/>
    <s v="-"/>
    <s v="-"/>
    <d v="2021-01-08T00:00:00"/>
    <d v="2021-01-08T00:00:00"/>
    <d v="2021-01-15T00:00:00"/>
    <m/>
    <d v="2021-04-23T00:00:00"/>
    <d v="2021-04-13T00:00:00"/>
    <s v="-"/>
    <d v="2021-04-27T00:00:00"/>
    <d v="2021-04-27T00:00:00"/>
    <d v="2021-05-03T00:00:00"/>
    <m/>
    <m/>
    <m/>
    <s v="DORIAT"/>
    <s v="Daniele"/>
    <n v="1"/>
    <n v="15945"/>
    <n v="46"/>
    <s v="Chemin de Bouleaux"/>
    <n v="38500"/>
    <x v="30"/>
    <n v="662630888"/>
    <s v="daniele.doriat@gmail.com"/>
    <s v="PO"/>
    <m/>
    <m/>
    <s v="-"/>
    <s v="-"/>
    <s v="-"/>
    <s v="-"/>
    <x v="16"/>
    <x v="10"/>
    <s v="ALO"/>
    <s v="cheminees.jay@orange.fr"/>
    <n v="476500550"/>
    <s v="-"/>
    <s v="oui"/>
    <d v="2021-06-28T00:00:00"/>
    <s v="insert / foyer fermé"/>
    <n v="1980"/>
    <x v="2"/>
    <x v="1"/>
    <s v="TURBO FONTE"/>
    <s v="ASTREA 888 ULTRA L"/>
    <n v="40"/>
    <n v="18"/>
    <n v="79"/>
    <n v="7.0000000000000007E-2"/>
    <s v="FV7"/>
    <m/>
    <n v="4147.53"/>
    <m/>
    <m/>
    <m/>
    <n v="900"/>
    <n v="5047.53"/>
    <n v="277.61415"/>
    <n v="5325.1441500000001"/>
    <n v="5025.1400000000003"/>
    <s v="oui"/>
    <m/>
    <m/>
    <s v="ADEME 2021"/>
    <s v="NC"/>
  </r>
  <r>
    <x v="2"/>
    <n v="1"/>
    <x v="3"/>
    <x v="1"/>
    <s v="EBL"/>
    <s v="VRB0102"/>
    <n v="400"/>
    <d v="2021-01-07T00:00:00"/>
    <d v="2021-01-08T00:00:00"/>
    <d v="2021-01-08T00:00:00"/>
    <s v="Dossier V648Travaux déjà réalisé (Olivier ok)"/>
    <d v="2021-01-12T00:00:00"/>
    <d v="2021-01-12T00:00:00"/>
    <d v="2021-04-23T00:00:00"/>
    <m/>
    <d v="2021-01-07T00:00:00"/>
    <d v="2020-07-06T00:00:00"/>
    <s v="-"/>
    <d v="2021-01-12T00:00:00"/>
    <d v="2021-01-12T00:00:00"/>
    <d v="2021-04-23T00:00:00"/>
    <m/>
    <m/>
    <m/>
    <s v="FERRARO"/>
    <s v="Jean-Luc"/>
    <n v="2"/>
    <n v="43712"/>
    <n v="545"/>
    <s v="Le Grand Chemin"/>
    <n v="38210"/>
    <x v="3"/>
    <n v="645646622"/>
    <s v="nicolejeanluc21@hotmail.fr"/>
    <s v="PO"/>
    <m/>
    <m/>
    <s v="-"/>
    <s v="-"/>
    <s v="-"/>
    <s v="-"/>
    <x v="2"/>
    <x v="2"/>
    <s v="DIDIER Jean-Christophe"/>
    <s v="jcduo@orange.fr"/>
    <n v="608287337"/>
    <s v="-"/>
    <s v="oui"/>
    <d v="2021-08-09T00:00:00"/>
    <s v="poêle"/>
    <s v="&lt;1990"/>
    <x v="0"/>
    <x v="0"/>
    <s v="MORETTI"/>
    <s v="RELAX 8"/>
    <n v="26"/>
    <n v="8"/>
    <n v="91.9"/>
    <n v="7.0000000000000001E-3"/>
    <s v="registre"/>
    <m/>
    <n v="4434"/>
    <m/>
    <m/>
    <m/>
    <n v="500"/>
    <n v="4934"/>
    <n v="271.37"/>
    <n v="5205.37"/>
    <n v="4800"/>
    <s v="oui"/>
    <m/>
    <m/>
    <s v="ADEME 2021"/>
    <s v="NC"/>
  </r>
  <r>
    <x v="2"/>
    <n v="1"/>
    <x v="3"/>
    <x v="1"/>
    <s v="EBL"/>
    <s v="VRB0103"/>
    <n v="600"/>
    <d v="2021-01-14T00:00:00"/>
    <d v="2021-01-18T00:00:00"/>
    <s v="-"/>
    <s v="-"/>
    <d v="2021-01-18T00:00:00"/>
    <d v="2021-01-18T00:00:00"/>
    <d v="2021-01-20T00:00:00"/>
    <m/>
    <d v="2021-03-04T00:00:00"/>
    <d v="2021-02-22T00:00:00"/>
    <s v="-"/>
    <d v="2021-03-04T00:00:00"/>
    <d v="2021-03-04T00:00:00"/>
    <d v="2021-03-15T00:00:00"/>
    <m/>
    <m/>
    <m/>
    <s v="FAYET"/>
    <s v="Patrick"/>
    <n v="2"/>
    <n v="45466"/>
    <n v="223"/>
    <s v="Rue Cure et Bennes"/>
    <n v="38850"/>
    <x v="24"/>
    <n v="678423644"/>
    <s v="patrick.fayet@wanadoo.fr"/>
    <s v="PO"/>
    <m/>
    <m/>
    <s v="-"/>
    <s v="-"/>
    <s v="-"/>
    <s v="-"/>
    <x v="6"/>
    <x v="6"/>
    <s v="FAURE Jacques"/>
    <s v="jacques.faure24@wanadoo.fr"/>
    <n v="476355605"/>
    <s v="-"/>
    <s v="oui"/>
    <d v="2021-10-26T00:00:00"/>
    <s v="insert / foyer fermé"/>
    <n v="1985"/>
    <x v="0"/>
    <x v="1"/>
    <s v="FONTE FLAMME"/>
    <s v="NARA"/>
    <n v="22"/>
    <n v="7"/>
    <n v="80"/>
    <n v="0.08"/>
    <s v="FV7"/>
    <m/>
    <n v="3043.8999999999996"/>
    <m/>
    <m/>
    <m/>
    <n v="974.09"/>
    <n v="4017.99"/>
    <n v="220.98944999999998"/>
    <n v="4238.9794499999998"/>
    <n v="4238.9799999999996"/>
    <s v="oui"/>
    <m/>
    <m/>
    <s v="ADEME 2021"/>
    <s v="NC"/>
  </r>
  <r>
    <x v="2"/>
    <n v="1"/>
    <x v="3"/>
    <x v="1"/>
    <s v="EBL"/>
    <s v="VRB0104"/>
    <n v="600"/>
    <d v="2021-01-18T00:00:00"/>
    <d v="2021-01-21T00:00:00"/>
    <d v="2021-01-21T00:00:00"/>
    <s v="Manque RIB (26/01/21)"/>
    <d v="2021-01-26T00:00:00"/>
    <d v="2021-01-26T00:00:00"/>
    <d v="2021-02-02T00:00:00"/>
    <m/>
    <d v="2021-05-05T00:00:00"/>
    <d v="2021-02-17T00:00:00"/>
    <s v="-"/>
    <d v="2021-05-06T00:00:00"/>
    <d v="2021-05-06T00:00:00"/>
    <d v="2021-05-17T00:00:00"/>
    <m/>
    <m/>
    <m/>
    <s v="CHAVALLARD"/>
    <s v="Nicole"/>
    <n v="1"/>
    <n v="38019"/>
    <n v="527"/>
    <s v="Chemin du Mollard"/>
    <n v="38850"/>
    <x v="7"/>
    <n v="607382961"/>
    <s v="nchavallard@hotmail.fr"/>
    <s v="PO"/>
    <m/>
    <m/>
    <s v="-"/>
    <s v="-"/>
    <s v="-"/>
    <s v="-"/>
    <x v="5"/>
    <x v="5"/>
    <s v="HAMAIN Jérémie"/>
    <s v="godin-grenoble@orange.fr"/>
    <n v="438021901"/>
    <s v="-"/>
    <s v="oui"/>
    <d v="2022-03-21T00:00:00"/>
    <s v="insert / foyer fermé"/>
    <n v="1986"/>
    <x v="2"/>
    <x v="1"/>
    <s v="GODIN"/>
    <s v="VISI 75-F"/>
    <n v="33"/>
    <n v="10"/>
    <n v="80.8"/>
    <n v="0.09"/>
    <s v="FV7"/>
    <m/>
    <n v="4483"/>
    <m/>
    <m/>
    <m/>
    <n v="892"/>
    <n v="5375"/>
    <n v="295.625"/>
    <n v="5670.625"/>
    <n v="5059"/>
    <s v="oui"/>
    <m/>
    <m/>
    <s v="ADEME 2021"/>
    <s v="NC"/>
  </r>
  <r>
    <x v="2"/>
    <n v="1"/>
    <x v="3"/>
    <x v="1"/>
    <s v="EBL"/>
    <s v="VRB0105"/>
    <n v="600"/>
    <d v="2021-01-21T00:00:00"/>
    <d v="2021-01-22T00:00:00"/>
    <s v="-"/>
    <s v="-"/>
    <d v="2021-01-26T00:00:00"/>
    <d v="2021-01-26T00:00:00"/>
    <d v="2021-02-02T00:00:00"/>
    <m/>
    <d v="2021-02-19T00:00:00"/>
    <d v="2021-02-18T00:00:00"/>
    <s v="-"/>
    <d v="2021-02-25T00:00:00"/>
    <d v="2021-02-25T00:00:00"/>
    <d v="2021-03-09T00:00:00"/>
    <m/>
    <m/>
    <m/>
    <s v="GENTON"/>
    <s v="François"/>
    <n v="2"/>
    <n v="80661"/>
    <n v="330"/>
    <s v="Route de St Jean"/>
    <n v="38430"/>
    <x v="2"/>
    <n v="665585688"/>
    <s v="gentonf@gmail.com"/>
    <s v="PO"/>
    <m/>
    <m/>
    <s v="-"/>
    <s v="-"/>
    <s v="-"/>
    <s v="-"/>
    <x v="6"/>
    <x v="6"/>
    <s v="FAURE Jacques"/>
    <s v="jacques.faure24@wanadoo.fr"/>
    <n v="476355605"/>
    <s v="-"/>
    <s v="oui"/>
    <d v="2021-10-26T00:00:00"/>
    <s v="foyer ouvert"/>
    <n v="1970"/>
    <x v="2"/>
    <x v="1"/>
    <s v="FONTE FLAMME"/>
    <s v="VISION 775 10K"/>
    <n v="23"/>
    <n v="10"/>
    <n v="78"/>
    <n v="7.0000000000000007E-2"/>
    <s v="FV7"/>
    <m/>
    <n v="3606.11"/>
    <m/>
    <m/>
    <m/>
    <n v="1430.03"/>
    <n v="5036.1400000000003"/>
    <n v="276.98770000000002"/>
    <n v="5313.1277"/>
    <n v="5313.18"/>
    <s v="oui"/>
    <m/>
    <m/>
    <s v="ADEME 2021"/>
    <s v="NC"/>
  </r>
  <r>
    <x v="2"/>
    <n v="1"/>
    <x v="3"/>
    <x v="1"/>
    <s v="EBL"/>
    <s v="VRB0106"/>
    <n v="600"/>
    <d v="2021-01-23T00:00:00"/>
    <d v="2021-01-26T00:00:00"/>
    <d v="2021-01-26T00:00:00"/>
    <s v="Manque questionnaire+dernieres pages impots + derniere page taxe (ok le 26/01/21)"/>
    <d v="2021-01-26T00:00:00"/>
    <d v="2021-01-26T00:00:00"/>
    <d v="2021-02-02T00:00:00"/>
    <m/>
    <d v="2021-03-25T00:00:00"/>
    <d v="2021-03-16T00:00:00"/>
    <s v="-"/>
    <d v="2021-03-26T00:00:00"/>
    <d v="2021-03-26T00:00:00"/>
    <d v="2021-03-31T00:00:00"/>
    <m/>
    <m/>
    <m/>
    <s v="MOLLIER"/>
    <s v="Christophe"/>
    <n v="4"/>
    <n v="77784"/>
    <n v="589"/>
    <s v="Chemin de la Grande Sure"/>
    <n v="38500"/>
    <x v="18"/>
    <n v="786327414"/>
    <s v="c.mollier@yahoo.fr"/>
    <s v="PO"/>
    <m/>
    <m/>
    <s v="-"/>
    <s v="-"/>
    <s v="-"/>
    <s v="-"/>
    <x v="10"/>
    <x v="1"/>
    <s v="GILLET Pascal"/>
    <s v="bois-soleil.chauffage@orange.fr"/>
    <n v="476323235"/>
    <s v="-"/>
    <s v="oui"/>
    <d v="2021-08-21T00:00:00"/>
    <s v="foyer ouvert"/>
    <n v="1972"/>
    <x v="0"/>
    <x v="1"/>
    <s v="ILD"/>
    <s v="ILD13"/>
    <n v="12"/>
    <n v="9.1999999999999993"/>
    <n v="77"/>
    <n v="0.04"/>
    <s v="FV7"/>
    <m/>
    <n v="3858"/>
    <m/>
    <m/>
    <m/>
    <n v="698"/>
    <n v="4556"/>
    <n v="250.58"/>
    <n v="4806.58"/>
    <n v="4700"/>
    <s v="non"/>
    <m/>
    <m/>
    <s v="ADEME 2021"/>
    <s v="NC"/>
  </r>
  <r>
    <x v="2"/>
    <n v="1"/>
    <x v="3"/>
    <x v="1"/>
    <s v="EBL"/>
    <s v="VRB0107"/>
    <n v="600"/>
    <d v="2021-01-23T00:00:00"/>
    <d v="2021-01-26T00:00:00"/>
    <d v="2021-01-26T00:00:00"/>
    <s v="Manque adresse RIB (ok le 27/01/21)"/>
    <d v="2021-01-28T00:00:00"/>
    <d v="2021-01-28T00:00:00"/>
    <d v="2021-02-04T00:00:00"/>
    <m/>
    <d v="2021-06-01T00:00:00"/>
    <d v="2021-05-26T00:00:00"/>
    <s v="Manque page 2 de la facture"/>
    <d v="2021-06-04T00:00:00"/>
    <d v="2021-06-04T00:00:00"/>
    <d v="2021-07-01T00:00:00"/>
    <m/>
    <m/>
    <m/>
    <s v="FERRARIS"/>
    <s v="Olivier"/>
    <n v="3"/>
    <n v="79930"/>
    <n v="35"/>
    <s v="Chemin du Pont Gros"/>
    <n v="38210"/>
    <x v="15"/>
    <n v="632952832"/>
    <s v="o.ferraris38@gmail.com"/>
    <s v="PO"/>
    <m/>
    <m/>
    <s v="-"/>
    <s v="-"/>
    <s v="-"/>
    <s v="-"/>
    <x v="14"/>
    <x v="1"/>
    <s v="SIMON Frédéric"/>
    <s v="contact@ecvoiron.fr"/>
    <n v="476069938"/>
    <s v="-"/>
    <s v="oui"/>
    <d v="2021-09-18T00:00:00"/>
    <s v="insert / foyer fermé"/>
    <n v="1990"/>
    <x v="0"/>
    <x v="0"/>
    <s v="PALAZZETTI"/>
    <s v="ECOFIRE BIANCA LUX 12 PRO 3"/>
    <n v="11"/>
    <n v="12"/>
    <n v="88.5"/>
    <n v="7.0000000000000001E-3"/>
    <s v="FV7"/>
    <m/>
    <n v="6375"/>
    <m/>
    <m/>
    <m/>
    <n v="1980"/>
    <n v="8355"/>
    <n v="459.52499999999998"/>
    <n v="8814.5249999999996"/>
    <n v="8814.5300000000007"/>
    <s v="non"/>
    <m/>
    <m/>
    <s v="ADEME 2021"/>
    <s v="NC"/>
  </r>
  <r>
    <x v="2"/>
    <n v="1"/>
    <x v="3"/>
    <x v="1"/>
    <s v="EBL"/>
    <s v="VRB0108"/>
    <n v="600"/>
    <d v="2021-01-27T00:00:00"/>
    <d v="2021-01-28T00:00:00"/>
    <s v="-"/>
    <s v="-"/>
    <d v="2021-01-28T00:00:00"/>
    <d v="2021-01-28T00:00:00"/>
    <d v="2021-02-04T00:00:00"/>
    <m/>
    <d v="2021-06-07T00:00:00"/>
    <d v="2021-05-28T00:00:00"/>
    <s v="-"/>
    <d v="2021-06-08T00:00:00"/>
    <d v="2021-06-08T00:00:00"/>
    <d v="2021-07-01T00:00:00"/>
    <m/>
    <m/>
    <m/>
    <s v="ROBERT"/>
    <s v="Stéphane"/>
    <n v="2"/>
    <n v="91184"/>
    <n v="140"/>
    <s v="Chemin de l'Ermitage"/>
    <n v="38430"/>
    <x v="2"/>
    <n v="603799179"/>
    <s v="laurence.elipot@gmail.com"/>
    <s v="PO"/>
    <m/>
    <m/>
    <s v="-"/>
    <s v="-"/>
    <s v="-"/>
    <s v="-"/>
    <x v="11"/>
    <x v="2"/>
    <s v="GRATIER Pascal"/>
    <s v="grenoble@hase-boutique.fr"/>
    <n v="476452433"/>
    <s v="-"/>
    <s v="oui"/>
    <d v="2022-02-28T00:00:00"/>
    <s v="insert / foyer fermé"/>
    <s v="&lt;2002"/>
    <x v="0"/>
    <x v="0"/>
    <s v="THERMOROSSI"/>
    <s v="POP8"/>
    <n v="14.4"/>
    <n v="8.25"/>
    <n v="92"/>
    <n v="4.0000000000000001E-3"/>
    <s v="registre"/>
    <m/>
    <n v="4546.32"/>
    <m/>
    <m/>
    <m/>
    <n v="850"/>
    <n v="5396.32"/>
    <n v="296.79759999999999"/>
    <n v="5693.1175999999996"/>
    <n v="5334.42"/>
    <s v="non"/>
    <m/>
    <m/>
    <s v="ADEME 2021"/>
    <s v="NC"/>
  </r>
  <r>
    <x v="2"/>
    <n v="2"/>
    <x v="3"/>
    <x v="2"/>
    <s v="EBL"/>
    <s v="VRB0109"/>
    <n v="1000"/>
    <d v="2021-01-29T00:00:00"/>
    <d v="2021-02-02T00:00:00"/>
    <d v="2021-02-02T00:00:00"/>
    <s v="Photo plan large et en fonctionnement (ok le 02/02/21)"/>
    <d v="2021-02-02T00:00:00"/>
    <d v="2021-02-02T00:00:00"/>
    <d v="2021-02-04T00:00:00"/>
    <m/>
    <d v="2021-05-31T00:00:00"/>
    <d v="2021-05-13T00:00:00"/>
    <s v="-"/>
    <d v="2021-05-31T00:00:00"/>
    <d v="2021-05-31T00:00:00"/>
    <d v="2021-06-25T00:00:00"/>
    <m/>
    <m/>
    <m/>
    <s v="BROSILLE"/>
    <s v="Timothée"/>
    <n v="5"/>
    <n v="34763"/>
    <n v="1"/>
    <s v="Rue Beaudelaire"/>
    <n v="38430"/>
    <x v="2"/>
    <n v="678028601"/>
    <s v="timibro@yahoo.fr"/>
    <s v="PO"/>
    <m/>
    <m/>
    <s v="-"/>
    <s v="-"/>
    <s v="-"/>
    <s v="-"/>
    <x v="6"/>
    <x v="6"/>
    <s v="FAURE Jacques"/>
    <s v="jacques.faure24@wanadoo.fr"/>
    <n v="476355605"/>
    <s v="-"/>
    <s v="oui"/>
    <d v="2021-10-26T00:00:00"/>
    <s v="insert / foyer fermé"/>
    <n v="2000"/>
    <x v="0"/>
    <x v="1"/>
    <s v="FONTE FLAMME"/>
    <s v="Managa"/>
    <n v="31"/>
    <n v="6"/>
    <n v="80"/>
    <n v="0.08"/>
    <s v="FV7"/>
    <m/>
    <n v="2848.58"/>
    <m/>
    <m/>
    <m/>
    <n v="775"/>
    <n v="3623.58"/>
    <n v="199.29689999999999"/>
    <n v="3822.8768999999998"/>
    <n v="3822.88"/>
    <s v="non"/>
    <m/>
    <m/>
    <s v="ADEME 2021"/>
    <s v="NC"/>
  </r>
  <r>
    <x v="2"/>
    <n v="2"/>
    <x v="3"/>
    <x v="1"/>
    <s v="EBL"/>
    <s v="VRB0110"/>
    <n v="600"/>
    <d v="2021-01-29T00:00:00"/>
    <d v="2021-02-02T00:00:00"/>
    <d v="2021-02-02T00:00:00"/>
    <s v="Manque questionnaire (ok le 8/02/21)"/>
    <d v="2021-02-09T00:00:00"/>
    <d v="2021-02-09T00:00:00"/>
    <d v="2021-02-16T00:00:00"/>
    <m/>
    <d v="2021-04-21T00:00:00"/>
    <d v="2021-03-05T00:00:00"/>
    <s v="-"/>
    <d v="2021-04-22T00:00:00"/>
    <d v="2021-04-22T00:00:00"/>
    <d v="2021-05-12T00:00:00"/>
    <m/>
    <m/>
    <m/>
    <s v="CLAUSSE"/>
    <s v="Cédric"/>
    <n v="1"/>
    <n v="54543"/>
    <n v="133"/>
    <s v="Montée du Preynat"/>
    <n v="38850"/>
    <x v="5"/>
    <n v="650431891"/>
    <s v="cedric.clausse@gmail.com"/>
    <s v="PO"/>
    <m/>
    <m/>
    <s v="-"/>
    <s v="-"/>
    <s v="-"/>
    <s v="-"/>
    <x v="18"/>
    <x v="11"/>
    <s v="BROSSARD Marie"/>
    <s v="marie-brossard@femsynergie.fr"/>
    <n v="478900404"/>
    <s v="-"/>
    <s v="oui"/>
    <d v="2021-03-10T00:00:00"/>
    <s v="insert / foyer fermé"/>
    <n v="1970"/>
    <x v="0"/>
    <x v="1"/>
    <s v="HWAM / WIKING"/>
    <s v="MIRO 4"/>
    <n v="18"/>
    <n v="4.9000000000000004"/>
    <n v="78"/>
    <n v="0.09"/>
    <s v="FV7"/>
    <m/>
    <n v="3356.6800000000003"/>
    <m/>
    <m/>
    <m/>
    <n v="624.36"/>
    <n v="3981.0400000000004"/>
    <n v="218.95720000000003"/>
    <n v="4199.9972000000007"/>
    <n v="4200"/>
    <s v="non"/>
    <m/>
    <m/>
    <s v="ADEME 2021"/>
    <s v="NC"/>
  </r>
  <r>
    <x v="0"/>
    <e v="#VALUE!"/>
    <x v="4"/>
    <x v="0"/>
    <s v="EBL"/>
    <s v="VRB0111"/>
    <s v="-"/>
    <d v="2021-02-08T00:00:00"/>
    <d v="2021-02-09T00:00:00"/>
    <d v="2021-02-09T00:00:00"/>
    <s v="Appareil retiré du registre en janvier 2021 (relancé le 15/04/21 &amp; le 16/07/21 à cloturer le 01/08/21 si pas de réponse)"/>
    <s v="-"/>
    <s v="-"/>
    <s v="-"/>
    <m/>
    <s v="-"/>
    <s v="-"/>
    <s v="-"/>
    <s v="-"/>
    <s v="-"/>
    <s v="-"/>
    <m/>
    <d v="2021-08-16T00:00:00"/>
    <s v="Appareil non FV7*"/>
    <s v="VERNERAY"/>
    <s v="Vincent&amp;Gaelle"/>
    <n v="5"/>
    <n v="117003"/>
    <n v="375"/>
    <s v="Avenue de Stalingrad"/>
    <n v="38340"/>
    <x v="17"/>
    <n v="760752246"/>
    <s v="gaelle.vernerey@gmail.com"/>
    <s v="PO"/>
    <m/>
    <m/>
    <s v="-"/>
    <s v="-"/>
    <s v="-"/>
    <s v="-"/>
    <x v="2"/>
    <x v="2"/>
    <s v="DIDIER Jean-Christophe"/>
    <s v="jcduo@orange.fr"/>
    <n v="608287337"/>
    <s v="-"/>
    <s v="oui"/>
    <d v="2021-08-09T00:00:00"/>
    <s v="poêle"/>
    <s v="&lt;2002"/>
    <x v="0"/>
    <x v="1"/>
    <s v="WANDERS"/>
    <s v="S68 FRONT"/>
    <n v="39"/>
    <n v="7"/>
    <n v="75"/>
    <n v="0.09"/>
    <s v="non"/>
    <m/>
    <n v="4926"/>
    <m/>
    <m/>
    <m/>
    <n v="930"/>
    <n v="5856"/>
    <n v="322.08"/>
    <n v="6178.08"/>
    <n v="5893"/>
    <s v="oui"/>
    <m/>
    <m/>
    <n v="0"/>
    <s v="NC"/>
  </r>
  <r>
    <x v="2"/>
    <n v="2"/>
    <x v="3"/>
    <x v="2"/>
    <s v="EBL"/>
    <s v="VRB0112"/>
    <n v="1000"/>
    <d v="2021-02-08T00:00:00"/>
    <d v="2021-02-09T00:00:00"/>
    <d v="2021-02-09T00:00:00"/>
    <s v="Manque adresse RIB (ok le 09/02/21)"/>
    <d v="2021-02-09T00:00:00"/>
    <d v="2021-02-09T00:00:00"/>
    <d v="2021-02-16T00:00:00"/>
    <m/>
    <d v="2021-04-23T00:00:00"/>
    <d v="2021-04-19T00:00:00"/>
    <s v="Mention acquitté (ok)"/>
    <d v="2021-05-03T00:00:00"/>
    <d v="2021-05-03T00:00:00"/>
    <d v="2021-05-10T00:00:00"/>
    <m/>
    <m/>
    <m/>
    <s v="BLANCO"/>
    <s v="Roberto"/>
    <n v="4"/>
    <n v="34556"/>
    <n v="71"/>
    <s v="Route de la Mérie"/>
    <n v="38620"/>
    <x v="0"/>
    <n v="651142031"/>
    <s v="elodie.blanco38@gmail.com"/>
    <s v="PO"/>
    <m/>
    <m/>
    <s v="-"/>
    <s v="-"/>
    <s v="-"/>
    <s v="-"/>
    <x v="14"/>
    <x v="1"/>
    <s v="SIMON Frédéric"/>
    <s v="contact@ecvoiron.fr"/>
    <n v="476069938"/>
    <s v="-"/>
    <s v="oui"/>
    <d v="2021-09-18T00:00:00"/>
    <s v="insert / foyer fermé"/>
    <n v="1980"/>
    <x v="0"/>
    <x v="0"/>
    <s v="KLOVER"/>
    <s v="Soft80"/>
    <n v="14.8"/>
    <n v="7.4"/>
    <n v="92.5"/>
    <n v="1.2E-2"/>
    <s v="registre"/>
    <m/>
    <n v="4219"/>
    <m/>
    <m/>
    <m/>
    <n v="840"/>
    <n v="5059"/>
    <n v="278.245"/>
    <n v="5337.2449999999999"/>
    <n v="5337.25"/>
    <s v="oui"/>
    <m/>
    <m/>
    <s v="ADEME 2021"/>
    <s v="NC"/>
  </r>
  <r>
    <x v="2"/>
    <n v="2"/>
    <x v="3"/>
    <x v="1"/>
    <s v="EBL"/>
    <s v="VRB0113"/>
    <n v="600"/>
    <d v="2021-02-12T00:00:00"/>
    <d v="2021-02-15T00:00:00"/>
    <s v="-"/>
    <s v="-"/>
    <d v="2021-02-19T00:00:00"/>
    <d v="2021-02-19T00:00:00"/>
    <d v="2021-02-25T00:00:00"/>
    <m/>
    <d v="2021-06-03T00:00:00"/>
    <d v="2021-03-29T00:00:00"/>
    <s v="Manque mention acquitée"/>
    <d v="2021-06-08T00:00:00"/>
    <d v="2021-06-08T00:00:00"/>
    <d v="2021-07-01T00:00:00"/>
    <m/>
    <m/>
    <m/>
    <s v="ROCHER"/>
    <s v="Gilles"/>
    <n v="3"/>
    <n v="52060"/>
    <n v="1512"/>
    <s v="Route de Chartreuse Lotissement le Fagot"/>
    <n v="38850"/>
    <x v="7"/>
    <n v="476358306"/>
    <s v="rocher.gi@wanadoo.fr"/>
    <s v="PO"/>
    <m/>
    <m/>
    <s v="-"/>
    <s v="-"/>
    <s v="-"/>
    <s v="-"/>
    <x v="14"/>
    <x v="1"/>
    <s v="SIMON Frédéric"/>
    <s v="contact@ecvoiron.fr"/>
    <n v="476069938"/>
    <s v="-"/>
    <s v="oui"/>
    <d v="2021-09-18T00:00:00"/>
    <s v="poêle"/>
    <s v="&lt;2001"/>
    <x v="0"/>
    <x v="0"/>
    <s v="KLOVER"/>
    <s v="Soft80"/>
    <n v="14.8"/>
    <n v="7.4"/>
    <n v="92.5"/>
    <n v="1.2E-2"/>
    <s v="registre"/>
    <m/>
    <n v="4703.66"/>
    <m/>
    <m/>
    <m/>
    <n v="1030"/>
    <n v="5733.66"/>
    <n v="315.35129999999998"/>
    <n v="6049.0113000000001"/>
    <n v="6049.01"/>
    <s v="non"/>
    <m/>
    <m/>
    <s v="ADEME 2021"/>
    <s v="NC"/>
  </r>
  <r>
    <x v="2"/>
    <n v="2"/>
    <x v="3"/>
    <x v="1"/>
    <s v="EBL"/>
    <s v="VRB0114"/>
    <n v="600"/>
    <d v="2021-02-14T00:00:00"/>
    <d v="2021-02-15T00:00:00"/>
    <d v="2021-02-19T00:00:00"/>
    <s v="Manque page devis+Questionnaire"/>
    <d v="2021-02-25T00:00:00"/>
    <d v="2021-02-25T00:00:00"/>
    <d v="2021-03-03T00:00:00"/>
    <m/>
    <d v="2021-07-06T00:00:00"/>
    <d v="2021-06-14T00:00:00"/>
    <s v="Manque mention acquitée+photo+attestation (relancé le 16/07/21)(ok)"/>
    <d v="2021-08-30T00:00:00"/>
    <d v="2021-08-30T00:00:00"/>
    <d v="2021-09-16T00:00:00"/>
    <m/>
    <m/>
    <m/>
    <s v="GARCIA"/>
    <s v="Christian"/>
    <n v="1"/>
    <n v="27210"/>
    <n v="4"/>
    <s v="Chemin du Regardou de l'Agnelas"/>
    <n v="38500"/>
    <x v="1"/>
    <n v="663839478"/>
    <s v="christiangarciaa@gmail.com"/>
    <s v="PO"/>
    <m/>
    <m/>
    <s v="-"/>
    <s v="-"/>
    <s v="-"/>
    <s v="-"/>
    <x v="14"/>
    <x v="1"/>
    <s v="SIMON Frédéric"/>
    <s v="contact@ecvoiron.fr"/>
    <n v="476069938"/>
    <s v="-"/>
    <s v="oui"/>
    <d v="2021-09-18T00:00:00"/>
    <s v="poêle"/>
    <s v="&lt;2002"/>
    <x v="0"/>
    <x v="1"/>
    <s v="ROMOTOP"/>
    <s v="OvalisT"/>
    <n v="40"/>
    <n v="5.9"/>
    <n v="83.6"/>
    <n v="7.0000000000000007E-2"/>
    <s v="FV7"/>
    <m/>
    <n v="3117"/>
    <m/>
    <m/>
    <m/>
    <n v="750"/>
    <n v="3867"/>
    <n v="212.685"/>
    <n v="4079.6849999999999"/>
    <n v="4079.69"/>
    <s v="oui"/>
    <m/>
    <m/>
    <s v="ADEME 2021"/>
    <s v="NC"/>
  </r>
  <r>
    <x v="2"/>
    <n v="6"/>
    <x v="4"/>
    <x v="0"/>
    <s v="EBL"/>
    <s v="VRB0115"/>
    <n v="600"/>
    <d v="2021-02-17T00:00:00"/>
    <d v="2021-02-18T00:00:00"/>
    <d v="2021-02-19T00:00:00"/>
    <s v="Appareil non flamme verte (ok) + Installateur non signataire(ok)+ Adresse RIB(ok)"/>
    <d v="2021-06-01T00:00:00"/>
    <d v="2021-06-01T00:00:00"/>
    <d v="2021-06-07T00:00:00"/>
    <m/>
    <d v="2021-11-26T00:00:00"/>
    <d v="2021-09-14T00:00:00"/>
    <s v="Manque attestations (ok sauf déchetterie) + photo (ok)"/>
    <m/>
    <m/>
    <m/>
    <m/>
    <d v="2023-01-04T00:00:00"/>
    <s v="dossier caduque depuis le 7/6/2022 (pas de mail envoyé)"/>
    <s v="CHARBONNEAU"/>
    <s v="Thomas "/>
    <n v="4"/>
    <n v="46699"/>
    <n v="506"/>
    <s v="Route des Pierres Blanches"/>
    <n v="38210"/>
    <x v="3"/>
    <n v="677803804"/>
    <s v="thomas.charbonneau@gmail.com"/>
    <s v="PO"/>
    <m/>
    <m/>
    <s v="-"/>
    <s v="-"/>
    <s v="-"/>
    <s v="-"/>
    <x v="25"/>
    <x v="18"/>
    <s v="RAVET Eric"/>
    <s v="aucoindufeu38@gmail.com"/>
    <n v="681726245"/>
    <s v="-"/>
    <s v="oui"/>
    <d v="2021-03-23T00:00:00"/>
    <s v="insert / foyer fermé"/>
    <n v="1975"/>
    <x v="0"/>
    <x v="0"/>
    <s v="RIKA"/>
    <s v="PARO"/>
    <m/>
    <n v="8"/>
    <n v="91.3"/>
    <n v="0.121"/>
    <s v="registre"/>
    <m/>
    <n v="8140.6500000000005"/>
    <m/>
    <m/>
    <m/>
    <n v="768"/>
    <n v="8908.6500000000015"/>
    <n v="489.97575000000006"/>
    <n v="9398.6257500000011"/>
    <n v="8632.8700000000008"/>
    <s v="oui"/>
    <m/>
    <m/>
    <n v="0"/>
    <s v="NC"/>
  </r>
  <r>
    <x v="2"/>
    <n v="3"/>
    <x v="3"/>
    <x v="2"/>
    <s v="EBL"/>
    <s v="VRB0116"/>
    <n v="1000"/>
    <d v="2021-02-17T00:00:00"/>
    <d v="2021-02-18T00:00:00"/>
    <d v="2021-02-19T00:00:00"/>
    <s v="Manque dernière page taxe foncière (ok le 4/3/21)"/>
    <d v="2021-03-04T00:00:00"/>
    <d v="2021-03-04T00:00:00"/>
    <d v="2021-03-15T00:00:00"/>
    <m/>
    <d v="2021-10-29T00:00:00"/>
    <d v="2021-09-30T00:00:00"/>
    <s v="-"/>
    <d v="2021-11-12T00:00:00"/>
    <d v="2021-11-12T00:00:00"/>
    <d v="2021-11-18T00:00:00"/>
    <m/>
    <m/>
    <m/>
    <s v="BRAGA"/>
    <s v="Fernando"/>
    <n v="2"/>
    <n v="26187"/>
    <n v="72"/>
    <s v="Avenue de la Patinière"/>
    <n v="38500"/>
    <x v="1"/>
    <n v="623112745"/>
    <s v="catherine_braga@yahoo.fr"/>
    <s v="PO"/>
    <m/>
    <m/>
    <s v="-"/>
    <s v="-"/>
    <s v="-"/>
    <s v="-"/>
    <x v="1"/>
    <x v="1"/>
    <s v="LIBER Jean-Christophe"/>
    <s v="jlc.services@orange.fr"/>
    <s v="04 76 07 14 61"/>
    <s v="-"/>
    <s v="oui"/>
    <d v="2021-11-03T00:00:00"/>
    <s v="insert / foyer fermé"/>
    <n v="1990"/>
    <x v="0"/>
    <x v="0"/>
    <s v="MCZ"/>
    <s v="MAGGIE COMFORT"/>
    <n v="18"/>
    <n v="10"/>
    <n v="90.4"/>
    <n v="3.3999999999999998E-3"/>
    <s v="FV7"/>
    <m/>
    <n v="2949"/>
    <m/>
    <m/>
    <m/>
    <n v="330"/>
    <n v="3279"/>
    <n v="180.345"/>
    <n v="3459.3449999999998"/>
    <n v="3459.35"/>
    <s v="non"/>
    <m/>
    <m/>
    <s v="ADEME 2021"/>
    <s v="NC"/>
  </r>
  <r>
    <x v="2"/>
    <n v="2"/>
    <x v="3"/>
    <x v="1"/>
    <s v="EBL"/>
    <s v="VRB0117"/>
    <n v="600"/>
    <d v="2021-02-18T00:00:00"/>
    <d v="2021-02-18T00:00:00"/>
    <s v="-"/>
    <s v="-"/>
    <d v="2021-02-19T00:00:00"/>
    <d v="2021-02-19T00:00:00"/>
    <d v="2021-02-25T00:00:00"/>
    <m/>
    <d v="2021-07-13T00:00:00"/>
    <d v="2021-07-05T00:00:00"/>
    <s v="Manque mention acquittée (ok)"/>
    <d v="2021-08-05T00:00:00"/>
    <d v="2021-08-05T00:00:00"/>
    <d v="2021-09-14T00:00:00"/>
    <m/>
    <m/>
    <m/>
    <s v="VALETTE"/>
    <s v="Jean-François"/>
    <n v="2"/>
    <n v="40838"/>
    <n v="351"/>
    <s v="Route de Grosset"/>
    <n v="38620"/>
    <x v="31"/>
    <n v="688946735"/>
    <s v="valette.jf@wanadoo.fr"/>
    <s v="PO"/>
    <m/>
    <m/>
    <s v="-"/>
    <s v="-"/>
    <s v="-"/>
    <s v="-"/>
    <x v="9"/>
    <x v="3"/>
    <s v="DURANTON Patrick"/>
    <s v="patrickduranton@passionflamme.fr"/>
    <n v="474432868"/>
    <s v="-"/>
    <s v="oui"/>
    <d v="2021-11-14T00:00:00"/>
    <s v="insert / foyer fermé"/>
    <n v="1985"/>
    <x v="0"/>
    <x v="0"/>
    <s v="NOBIS"/>
    <s v="A10 C PLUS ZENITH"/>
    <n v="14"/>
    <n v="9.1"/>
    <n v="90.2"/>
    <n v="4.5999999999999999E-3"/>
    <s v="FV7"/>
    <m/>
    <n v="4028.2799999999997"/>
    <m/>
    <m/>
    <m/>
    <n v="675"/>
    <n v="4703.28"/>
    <n v="258.68039999999996"/>
    <n v="4961.9603999999999"/>
    <n v="4961.96"/>
    <s v="oui"/>
    <m/>
    <m/>
    <s v="ADEME 2021"/>
    <s v="NC"/>
  </r>
  <r>
    <x v="2"/>
    <n v="2"/>
    <x v="3"/>
    <x v="1"/>
    <s v="EBL"/>
    <s v="VRB0118"/>
    <n v="600"/>
    <d v="2021-02-18T00:00:00"/>
    <d v="2021-02-18T00:00:00"/>
    <s v="-"/>
    <s v="-"/>
    <d v="2021-02-19T00:00:00"/>
    <d v="2021-02-19T00:00:00"/>
    <d v="2021-02-25T00:00:00"/>
    <m/>
    <d v="2021-12-21T00:00:00"/>
    <d v="2021-07-26T00:00:00"/>
    <s v="Manque photo plan large + attestation de fin de travaux"/>
    <d v="2022-01-31T00:00:00"/>
    <d v="2022-01-31T00:00:00"/>
    <d v="2022-02-01T00:00:00"/>
    <m/>
    <m/>
    <m/>
    <s v="SAVARY&amp;BAUDIN"/>
    <s v="Sylvie&amp;Nicolas"/>
    <n v="2"/>
    <n v="82383"/>
    <n v="280"/>
    <s v="Rue Grolandières"/>
    <n v="38850"/>
    <x v="24"/>
    <n v="695223795"/>
    <s v="sylvie.savary04@orange.fr"/>
    <s v="PO"/>
    <m/>
    <m/>
    <s v="-"/>
    <s v="-"/>
    <s v="-"/>
    <s v="-"/>
    <x v="9"/>
    <x v="3"/>
    <s v="DURANTON Patrick"/>
    <s v="patrickduranton@passionflamme.fr"/>
    <n v="474432868"/>
    <s v="-"/>
    <s v="oui"/>
    <d v="2021-11-14T00:00:00"/>
    <s v="insert / foyer fermé"/>
    <n v="1993"/>
    <x v="2"/>
    <x v="1"/>
    <s v="THERMI CONFORT"/>
    <s v="LATERAL GAUCHE ENERGIA"/>
    <n v="38"/>
    <n v="9.9"/>
    <n v="77.900000000000006"/>
    <n v="0.1"/>
    <s v="FV7"/>
    <m/>
    <n v="7027.02"/>
    <m/>
    <m/>
    <m/>
    <n v="1750"/>
    <n v="8777.02"/>
    <n v="482.73610000000002"/>
    <n v="9259.7561000000005"/>
    <n v="9864.27"/>
    <s v="non"/>
    <m/>
    <m/>
    <s v="ADEME 2021"/>
    <s v="NC"/>
  </r>
  <r>
    <x v="2"/>
    <n v="3"/>
    <x v="3"/>
    <x v="1"/>
    <s v="EBL"/>
    <s v="VRB0119"/>
    <n v="600"/>
    <d v="2021-02-18T00:00:00"/>
    <d v="2021-02-18T00:00:00"/>
    <d v="2021-01-19T00:00:00"/>
    <s v="Manque Lettre+Avis impot+justif domicile+devis+RIB+photo(ok)"/>
    <d v="2021-03-11T00:00:00"/>
    <d v="2021-03-11T00:00:00"/>
    <d v="2021-03-22T00:00:00"/>
    <m/>
    <d v="2021-06-24T00:00:00"/>
    <d v="2021-05-04T00:00:00"/>
    <s v="-"/>
    <d v="2021-06-25T00:00:00"/>
    <d v="2021-06-25T00:00:00"/>
    <d v="2021-07-12T00:00:00"/>
    <m/>
    <m/>
    <m/>
    <s v="PEGOURIE"/>
    <s v="Pierre"/>
    <n v="2"/>
    <n v="102564"/>
    <n v="304"/>
    <s v="Route de Mongolfier"/>
    <n v="38140"/>
    <x v="6"/>
    <n v="608405553"/>
    <s v="pegourie.pierre@club-internet.fr"/>
    <s v="PO"/>
    <m/>
    <m/>
    <s v="-"/>
    <s v="-"/>
    <s v="-"/>
    <s v="-"/>
    <x v="16"/>
    <x v="10"/>
    <s v="ALO"/>
    <s v="cheminees.jay@orange.fr"/>
    <n v="476500550"/>
    <s v="-"/>
    <s v="oui"/>
    <d v="2021-06-28T00:00:00"/>
    <s v="insert / foyer fermé"/>
    <n v="1993"/>
    <x v="0"/>
    <x v="1"/>
    <s v="TURBO FONTE"/>
    <s v="JAZZ L CV"/>
    <n v="32"/>
    <n v="7"/>
    <n v="77.900000000000006"/>
    <n v="0.08"/>
    <s v="FV7"/>
    <m/>
    <n v="2808.06"/>
    <m/>
    <m/>
    <m/>
    <n v="1514.56"/>
    <n v="4322.62"/>
    <n v="237.7441"/>
    <n v="4560.3640999999998"/>
    <n v="4560.3599999999997"/>
    <s v="non"/>
    <m/>
    <m/>
    <s v="ADEME 2021"/>
    <s v="NC"/>
  </r>
  <r>
    <x v="2"/>
    <n v="2"/>
    <x v="3"/>
    <x v="2"/>
    <s v="EBL"/>
    <s v="VRB0120"/>
    <n v="1000"/>
    <d v="2021-02-22T00:00:00"/>
    <d v="2021-02-23T00:00:00"/>
    <s v="-"/>
    <s v="-"/>
    <d v="2021-02-25T00:00:00"/>
    <d v="2021-02-25T00:00:00"/>
    <d v="2021-03-03T00:00:00"/>
    <m/>
    <d v="2021-07-16T00:00:00"/>
    <d v="2021-06-21T00:00:00"/>
    <s v="-"/>
    <d v="2021-08-05T00:00:00"/>
    <d v="2021-08-05T00:00:00"/>
    <d v="2021-09-14T00:00:00"/>
    <m/>
    <m/>
    <m/>
    <s v="GUILLERMIN"/>
    <s v="Régis"/>
    <n v="6"/>
    <n v="28729"/>
    <n v="292"/>
    <s v="Chemin de la Grande Sure"/>
    <n v="38500"/>
    <x v="18"/>
    <n v="625917386"/>
    <s v="rd.guillermin.com@gmail.com"/>
    <s v="PO"/>
    <m/>
    <m/>
    <s v="-"/>
    <s v="-"/>
    <s v="-"/>
    <s v="-"/>
    <x v="14"/>
    <x v="1"/>
    <s v="SIMON Frédéric"/>
    <s v="contact@ecvoiron.fr"/>
    <n v="476069938"/>
    <s v="-"/>
    <s v="oui"/>
    <d v="2021-09-18T00:00:00"/>
    <s v="foyer ouvert"/>
    <n v="1977"/>
    <x v="0"/>
    <x v="1"/>
    <s v="NORDPEIS"/>
    <s v="QUADRO 1"/>
    <n v="23"/>
    <n v="6.2"/>
    <n v="80.400000000000006"/>
    <n v="0.09"/>
    <s v="FV7"/>
    <m/>
    <n v="3330.84"/>
    <m/>
    <m/>
    <m/>
    <n v="750"/>
    <n v="4080.84"/>
    <n v="224.4462"/>
    <n v="4305.2862000000005"/>
    <n v="4318.9399999999996"/>
    <s v="oui"/>
    <m/>
    <m/>
    <s v="ADEME 2021"/>
    <s v="NC"/>
  </r>
  <r>
    <x v="0"/>
    <e v="#VALUE!"/>
    <x v="4"/>
    <x v="0"/>
    <s v="EBL"/>
    <s v="VRB0121"/>
    <s v="-"/>
    <d v="2021-02-23T00:00:00"/>
    <d v="2021-02-23T00:00:00"/>
    <d v="2021-02-25T00:00:00"/>
    <s v="Année installation du poele+Derniere page taxe foncières"/>
    <s v="-"/>
    <s v="-"/>
    <s v="-"/>
    <m/>
    <s v="-"/>
    <s v="-"/>
    <s v="-"/>
    <s v="-"/>
    <s v="-"/>
    <s v="-"/>
    <m/>
    <d v="2021-04-15T00:00:00"/>
    <s v="Poêle supp à 2002"/>
    <s v="VINCENT"/>
    <s v="Sandrine"/>
    <n v="4"/>
    <n v="40747"/>
    <n v="120"/>
    <s v="Rue Boileau"/>
    <n v="38140"/>
    <x v="6"/>
    <n v="681016828"/>
    <s v="sandrineco@orange.fr"/>
    <s v="PO"/>
    <m/>
    <m/>
    <s v="-"/>
    <s v="-"/>
    <s v="-"/>
    <s v="-"/>
    <x v="13"/>
    <x v="1"/>
    <s v="CHARREL Stephane"/>
    <s v="contact@fer-et-feu.fr"/>
    <n v="476059444"/>
    <s v="-"/>
    <s v="oui"/>
    <d v="2021-08-16T00:00:00"/>
    <s v="poêle"/>
    <s v="&gt;2002"/>
    <x v="0"/>
    <x v="0"/>
    <s v="RIKA"/>
    <s v="FILO RAO"/>
    <n v="14.5"/>
    <n v="8"/>
    <n v="91.5"/>
    <n v="4.0000000000000001E-3"/>
    <s v="registre"/>
    <m/>
    <n v="4735"/>
    <m/>
    <m/>
    <m/>
    <n v="490"/>
    <n v="5225"/>
    <n v="287.375"/>
    <n v="5512.375"/>
    <n v="5512.38"/>
    <s v="oui"/>
    <m/>
    <m/>
    <n v="0"/>
    <s v="NC"/>
  </r>
  <r>
    <x v="2"/>
    <n v="2"/>
    <x v="3"/>
    <x v="1"/>
    <s v="EBL"/>
    <s v="VRB0122"/>
    <n v="600"/>
    <d v="2021-02-23T00:00:00"/>
    <d v="2021-02-25T00:00:00"/>
    <d v="2021-02-25T00:00:00"/>
    <s v="Dernière page taxe foncière (ok)"/>
    <d v="2021-02-25T00:00:00"/>
    <d v="2021-02-25T00:00:00"/>
    <d v="2021-02-03T00:00:00"/>
    <m/>
    <d v="2021-05-14T00:00:00"/>
    <d v="2021-05-07T00:00:00"/>
    <s v="-"/>
    <d v="2021-05-25T00:00:00"/>
    <d v="2021-05-25T00:00:00"/>
    <d v="2021-05-31T00:00:00"/>
    <m/>
    <m/>
    <m/>
    <s v="VANCHETTA"/>
    <s v="Olivier"/>
    <n v="4"/>
    <n v="41724"/>
    <n v="11"/>
    <s v="Lotissement des Primevères"/>
    <n v="38500"/>
    <x v="13"/>
    <n v="675220900"/>
    <s v="olivier.laure38@free.fr"/>
    <s v="PO"/>
    <m/>
    <m/>
    <s v="-"/>
    <s v="-"/>
    <s v="-"/>
    <s v="-"/>
    <x v="6"/>
    <x v="6"/>
    <s v="FAURE Jacques"/>
    <s v="jacques.faure24@wanadoo.fr"/>
    <n v="476355605"/>
    <s v="-"/>
    <s v="oui"/>
    <d v="2021-10-26T00:00:00"/>
    <s v="insert / foyer fermé"/>
    <n v="1996"/>
    <x v="0"/>
    <x v="1"/>
    <s v="FONTE FLAMME"/>
    <s v="LONA"/>
    <n v="22"/>
    <n v="7"/>
    <n v="80"/>
    <n v="0.08"/>
    <s v="FV7"/>
    <m/>
    <n v="2906.9199999999996"/>
    <m/>
    <m/>
    <m/>
    <n v="525"/>
    <n v="3431.9199999999996"/>
    <n v="188.75559999999999"/>
    <n v="3620.6755999999996"/>
    <n v="3620.68"/>
    <s v="non"/>
    <m/>
    <m/>
    <s v="ADEME 2021"/>
    <s v="NC"/>
  </r>
  <r>
    <x v="2"/>
    <n v="3"/>
    <x v="3"/>
    <x v="2"/>
    <s v="EBL"/>
    <s v="VRB0123"/>
    <n v="1000"/>
    <d v="2021-02-24T00:00:00"/>
    <d v="2021-02-25T00:00:00"/>
    <d v="2021-02-25T00:00:00"/>
    <s v="Photo en plan large (ok)"/>
    <d v="2021-03-04T00:00:00"/>
    <d v="2021-03-04T00:00:00"/>
    <d v="2021-03-15T00:00:00"/>
    <m/>
    <d v="2022-03-08T00:00:00"/>
    <d v="2021-12-31T00:00:00"/>
    <s v="-"/>
    <d v="2022-03-10T00:00:00"/>
    <d v="2022-03-10T00:00:00"/>
    <d v="2022-03-10T00:00:00"/>
    <m/>
    <m/>
    <m/>
    <s v="MARTIN"/>
    <s v="Nicolas&amp;Christelle"/>
    <n v="3"/>
    <n v="32876"/>
    <n v="305"/>
    <s v="Rue de la Caserne"/>
    <n v="38850"/>
    <x v="24"/>
    <n v="614040050"/>
    <s v="cricek38@gmail.com"/>
    <s v="PO"/>
    <m/>
    <m/>
    <s v="-"/>
    <s v="-"/>
    <s v="-"/>
    <s v="-"/>
    <x v="8"/>
    <x v="7"/>
    <s v="MOREY Thomas"/>
    <s v="thomas.morey@wattethome.com"/>
    <n v="476065876"/>
    <s v="-"/>
    <s v="oui"/>
    <d v="2021-07-21T00:00:00"/>
    <s v="foyer ouvert"/>
    <n v="1900"/>
    <x v="0"/>
    <x v="0"/>
    <s v="PALAZZETTI"/>
    <s v="ECOFIRE Marianne"/>
    <n v="16"/>
    <n v="9.1"/>
    <n v="91.8"/>
    <n v="3.0000000000000001E-3"/>
    <s v="FV7"/>
    <m/>
    <n v="3690"/>
    <m/>
    <m/>
    <m/>
    <n v="400"/>
    <n v="4090"/>
    <n v="224.95"/>
    <n v="4314.95"/>
    <n v="4314.95"/>
    <s v="non"/>
    <m/>
    <m/>
    <s v="ADEME 2021"/>
    <s v="NC"/>
  </r>
  <r>
    <x v="2"/>
    <n v="2"/>
    <x v="3"/>
    <x v="1"/>
    <s v="EBL"/>
    <s v="VRB0124"/>
    <n v="600"/>
    <d v="2021-02-24T00:00:00"/>
    <d v="2021-02-25T00:00:00"/>
    <s v="-"/>
    <s v="-"/>
    <d v="2021-02-25T00:00:00"/>
    <d v="2021-02-25T00:00:00"/>
    <d v="2021-02-03T00:00:00"/>
    <m/>
    <d v="2021-04-27T00:00:00"/>
    <d v="2021-04-06T00:00:00"/>
    <s v="-"/>
    <d v="2021-05-03T00:00:00"/>
    <d v="2021-05-03T00:00:00"/>
    <d v="2021-05-10T00:00:00"/>
    <m/>
    <m/>
    <m/>
    <s v="RHONE"/>
    <s v="Xavier&amp;Isabelle"/>
    <n v="2"/>
    <n v="129708"/>
    <n v="44"/>
    <s v="Avenue d'Haussez"/>
    <n v="38500"/>
    <x v="1"/>
    <n v="689952429"/>
    <s v="xais.rhone@gmail.com"/>
    <s v="PO"/>
    <m/>
    <m/>
    <s v="-"/>
    <s v="-"/>
    <s v="-"/>
    <s v="-"/>
    <x v="14"/>
    <x v="1"/>
    <s v="SIMON Frédéric"/>
    <s v="contact@ecvoiron.fr"/>
    <n v="476069938"/>
    <s v="-"/>
    <s v="oui"/>
    <d v="2021-09-18T00:00:00"/>
    <s v="foyer ouvert"/>
    <n v="1963"/>
    <x v="2"/>
    <x v="1"/>
    <s v="PALAZZETTI"/>
    <s v="ECOPALEX 88T"/>
    <n v="28"/>
    <n v="12.6"/>
    <n v="76.2"/>
    <n v="0.09"/>
    <s v="FV7"/>
    <m/>
    <n v="3495.4"/>
    <m/>
    <m/>
    <m/>
    <n v="770"/>
    <n v="4265.3999999999996"/>
    <n v="234.59699999999998"/>
    <n v="4499.9969999999994"/>
    <n v="4500"/>
    <s v="oui"/>
    <m/>
    <m/>
    <s v="ADEME 2021"/>
    <s v="NC"/>
  </r>
  <r>
    <x v="2"/>
    <n v="3"/>
    <x v="3"/>
    <x v="1"/>
    <s v="EBL"/>
    <s v="VRB0125"/>
    <n v="600"/>
    <d v="2021-02-25T00:00:00"/>
    <d v="2021-02-26T00:00:00"/>
    <s v="-"/>
    <s v="-"/>
    <d v="2021-03-04T00:00:00"/>
    <d v="2021-03-04T00:00:00"/>
    <d v="2021-03-15T00:00:00"/>
    <m/>
    <d v="2021-07-15T00:00:00"/>
    <d v="2021-06-29T00:00:00"/>
    <s v="-"/>
    <d v="2021-07-16T00:00:00"/>
    <d v="2021-07-16T00:00:00"/>
    <d v="2021-08-26T00:00:00"/>
    <m/>
    <m/>
    <m/>
    <s v="PERRIN"/>
    <s v="Marcel"/>
    <n v="2"/>
    <n v="42826"/>
    <n v="25"/>
    <s v="Rue du Grand Arbre"/>
    <n v="38140"/>
    <x v="8"/>
    <n v="683079330"/>
    <s v="marcel.perrin38@laposte.net"/>
    <s v="PO"/>
    <m/>
    <m/>
    <s v="-"/>
    <s v="-"/>
    <s v="-"/>
    <s v="-"/>
    <x v="0"/>
    <x v="0"/>
    <s v="CARRE François"/>
    <s v="f.carre@carre-f.com"/>
    <s v="04 76 37 03 50"/>
    <s v="-"/>
    <s v="oui  "/>
    <d v="2021-11-17T00:00:00"/>
    <s v="insert / foyer fermé"/>
    <n v="1990"/>
    <x v="0"/>
    <x v="1"/>
    <s v="ROMOTOP"/>
    <s v="STROMBOLI N"/>
    <n v="17"/>
    <n v="9"/>
    <n v="79.5"/>
    <n v="0.12"/>
    <s v="FV7"/>
    <m/>
    <n v="2896"/>
    <m/>
    <m/>
    <m/>
    <n v="490"/>
    <n v="3386"/>
    <n v="186.23"/>
    <n v="3572.23"/>
    <n v="3572.23"/>
    <s v="oui"/>
    <m/>
    <m/>
    <s v="ADEME 2021"/>
    <s v="NC"/>
  </r>
  <r>
    <x v="2"/>
    <n v="3"/>
    <x v="3"/>
    <x v="1"/>
    <s v="EBL"/>
    <s v="VRB0126"/>
    <n v="600"/>
    <d v="2021-02-25T00:00:00"/>
    <d v="2021-02-26T00:00:00"/>
    <s v="-"/>
    <s v="-"/>
    <d v="2021-03-04T00:00:00"/>
    <d v="2021-03-04T00:00:00"/>
    <d v="2021-03-15T00:00:00"/>
    <m/>
    <d v="2021-07-22T00:00:00"/>
    <d v="2021-07-12T00:00:00"/>
    <s v="-"/>
    <d v="2021-08-05T00:00:00"/>
    <d v="2021-08-05T00:00:00"/>
    <d v="2021-09-14T00:00:00"/>
    <m/>
    <m/>
    <m/>
    <s v="MALAGOLA"/>
    <s v="Patrick"/>
    <n v="2"/>
    <n v="33129"/>
    <n v="40"/>
    <s v="Chemin du Parc"/>
    <n v="38140"/>
    <x v="6"/>
    <n v="647219904"/>
    <s v="patrick.malagola@gmail.com"/>
    <s v="PO"/>
    <m/>
    <m/>
    <s v="-"/>
    <s v="-"/>
    <s v="-"/>
    <s v="-"/>
    <x v="6"/>
    <x v="6"/>
    <s v="FAURE Jacques"/>
    <s v="jacques.faure24@wanadoo.fr"/>
    <n v="476355605"/>
    <s v="-"/>
    <s v="oui"/>
    <d v="2021-10-26T00:00:00"/>
    <s v="insert / foyer fermé"/>
    <n v="1986"/>
    <x v="0"/>
    <x v="1"/>
    <s v="FONTE FLAMME"/>
    <s v="MAGMA"/>
    <n v="14"/>
    <n v="7.8"/>
    <n v="81"/>
    <n v="0.08"/>
    <s v="FV7"/>
    <m/>
    <n v="3652.3399999999997"/>
    <m/>
    <m/>
    <m/>
    <n v="949.9"/>
    <n v="4602.24"/>
    <n v="253.1232"/>
    <n v="4855.3631999999998"/>
    <n v="4854.51"/>
    <s v="oui"/>
    <m/>
    <m/>
    <s v="ADEME 2021"/>
    <s v="NC"/>
  </r>
  <r>
    <x v="2"/>
    <n v="3"/>
    <x v="3"/>
    <x v="1"/>
    <s v="EBL"/>
    <s v="VRB0127"/>
    <n v="600"/>
    <d v="2021-02-03T00:00:00"/>
    <d v="2021-02-04T00:00:00"/>
    <s v="-"/>
    <s v="-"/>
    <d v="2021-03-04T00:00:00"/>
    <d v="2021-03-04T00:00:00"/>
    <d v="2021-03-15T00:00:00"/>
    <m/>
    <d v="2021-05-31T00:00:00"/>
    <d v="2021-05-20T00:00:00"/>
    <s v="-"/>
    <d v="2021-05-31T00:00:00"/>
    <d v="2021-05-31T00:00:00"/>
    <d v="2021-06-25T00:00:00"/>
    <m/>
    <m/>
    <m/>
    <s v="ANTONAKIOS"/>
    <s v="Nicolas "/>
    <n v="2"/>
    <n v="45831"/>
    <n v="379"/>
    <s v="Route de la Garangère"/>
    <n v="38850"/>
    <x v="7"/>
    <n v="687062764"/>
    <s v="koleli2609@orange.fr"/>
    <s v="PO"/>
    <m/>
    <m/>
    <s v="-"/>
    <s v="-"/>
    <s v="-"/>
    <s v="-"/>
    <x v="26"/>
    <x v="19"/>
    <s v="ZELUS Jean-Pierre"/>
    <s v="voglans@poelesgranules.fr"/>
    <n v="479524432"/>
    <s v="-"/>
    <s v="oui"/>
    <d v="2021-06-30T00:00:00"/>
    <s v="insert / foyer fermé"/>
    <s v="&gt;2002"/>
    <x v="0"/>
    <x v="0"/>
    <s v="EDILKAMIN"/>
    <s v="EVIA 2"/>
    <n v="14"/>
    <n v="7.9"/>
    <n v="87.1"/>
    <n v="6.0000000000000001E-3"/>
    <s v="FV7"/>
    <m/>
    <n v="3750"/>
    <m/>
    <m/>
    <m/>
    <n v="81"/>
    <n v="3831"/>
    <n v="210.70500000000001"/>
    <n v="4041.7049999999999"/>
    <n v="4083"/>
    <s v="oui"/>
    <m/>
    <m/>
    <s v="ADEME 2021"/>
    <s v="NC"/>
  </r>
  <r>
    <x v="2"/>
    <n v="4"/>
    <x v="3"/>
    <x v="2"/>
    <s v="EBL"/>
    <s v="VRB0128"/>
    <n v="1000"/>
    <d v="2021-03-05T00:00:00"/>
    <d v="2021-03-08T00:00:00"/>
    <d v="2021-03-23T00:00:00"/>
    <s v="Manque dernière page taxe foncière + RIB (ok)"/>
    <d v="2021-04-01T00:00:00"/>
    <d v="2021-04-01T00:00:00"/>
    <d v="2021-04-06T00:00:00"/>
    <m/>
    <d v="2021-06-30T00:00:00"/>
    <d v="2021-06-22T00:00:00"/>
    <s v="-"/>
    <d v="2021-07-06T00:00:00"/>
    <d v="2021-07-06T00:00:00"/>
    <d v="2021-07-12T00:00:00"/>
    <m/>
    <m/>
    <m/>
    <s v="VIALON"/>
    <s v="Bernard"/>
    <n v="2"/>
    <n v="25406"/>
    <n v="77"/>
    <s v="Chemin de Larchat"/>
    <n v="38500"/>
    <x v="30"/>
    <n v="680443876"/>
    <s v="bvialon@hotmail.com"/>
    <s v="PO"/>
    <m/>
    <m/>
    <s v="-"/>
    <s v="-"/>
    <s v="-"/>
    <s v="-"/>
    <x v="14"/>
    <x v="1"/>
    <s v="SIMON Frédéric"/>
    <s v="contact@ecvoiron.fr"/>
    <n v="476069938"/>
    <s v="-"/>
    <s v="oui"/>
    <d v="2021-09-18T00:00:00"/>
    <s v="insert / foyer fermé"/>
    <s v="&lt;2002"/>
    <x v="2"/>
    <x v="1"/>
    <s v="AUSTROFLAMM"/>
    <s v="65x51 K/K RUND"/>
    <n v="35"/>
    <n v="8.6"/>
    <n v="80.5"/>
    <n v="0.1"/>
    <s v="FV7"/>
    <m/>
    <n v="4500"/>
    <m/>
    <m/>
    <m/>
    <n v="1240"/>
    <n v="5740"/>
    <n v="315.7"/>
    <n v="6055.7"/>
    <n v="6055.7"/>
    <s v="oui"/>
    <m/>
    <m/>
    <s v="ADEME 2021"/>
    <s v="NC"/>
  </r>
  <r>
    <x v="2"/>
    <n v="3"/>
    <x v="3"/>
    <x v="2"/>
    <s v="EBL"/>
    <s v="VRB0129"/>
    <n v="1000"/>
    <d v="2021-03-09T00:00:00"/>
    <d v="2021-03-23T00:00:00"/>
    <s v="-"/>
    <s v="-"/>
    <d v="2021-03-16T00:00:00"/>
    <d v="2021-03-16T00:00:00"/>
    <d v="2021-03-22T00:00:00"/>
    <m/>
    <d v="2021-05-06T00:00:00"/>
    <d v="2021-05-04T00:00:00"/>
    <s v="-"/>
    <d v="2021-05-07T00:00:00"/>
    <d v="2021-05-07T00:00:00"/>
    <d v="2021-06-03T00:00:00"/>
    <m/>
    <m/>
    <m/>
    <s v="GUILLIGAY"/>
    <s v="Jean-Luc"/>
    <n v="1"/>
    <n v="18520"/>
    <n v="431"/>
    <s v="Route de Saint  Sixte"/>
    <n v="38500"/>
    <x v="13"/>
    <n v="603535960"/>
    <s v="jeanluc.guilligay@hotmail.fr"/>
    <s v="PO"/>
    <m/>
    <m/>
    <s v="-"/>
    <s v="-"/>
    <s v="-"/>
    <s v="-"/>
    <x v="7"/>
    <x v="1"/>
    <s v="PIERRE Emmanuel"/>
    <s v="voiron@techni-nature.com"/>
    <n v="951096343"/>
    <s v="-"/>
    <s v="oui"/>
    <d v="2021-08-25T00:00:00"/>
    <s v="poêle"/>
    <s v="&lt;2002"/>
    <x v="0"/>
    <x v="0"/>
    <s v="INOVALP"/>
    <s v="HOBEN H7"/>
    <n v="20"/>
    <n v="8.3000000000000007"/>
    <n v="87"/>
    <n v="1.7999999999999999E-2"/>
    <s v="registre"/>
    <m/>
    <n v="6038.18"/>
    <m/>
    <m/>
    <m/>
    <n v="630"/>
    <n v="6668.18"/>
    <n v="366.74990000000003"/>
    <n v="7034.9299000000001"/>
    <n v="6500"/>
    <s v="non"/>
    <m/>
    <m/>
    <s v="ADEME 2021"/>
    <s v="NC"/>
  </r>
  <r>
    <x v="2"/>
    <n v="3"/>
    <x v="3"/>
    <x v="1"/>
    <s v="EBL"/>
    <s v="VRB0130"/>
    <n v="600"/>
    <d v="2021-03-09T00:00:00"/>
    <d v="2021-03-23T00:00:00"/>
    <d v="2021-03-16T00:00:00"/>
    <s v="Manque Adresse RIB (ok le 25/03/21)"/>
    <d v="2021-03-26T00:00:00"/>
    <d v="2021-03-26T00:00:00"/>
    <d v="2021-03-31T00:00:00"/>
    <m/>
    <d v="2021-05-04T00:00:00"/>
    <d v="2021-04-27T00:00:00"/>
    <s v="-"/>
    <d v="2021-05-06T00:00:00"/>
    <d v="2021-05-06T00:00:00"/>
    <d v="2021-05-17T00:00:00"/>
    <m/>
    <m/>
    <m/>
    <s v="AYRAUD"/>
    <s v="Michel"/>
    <n v="3"/>
    <n v="74146"/>
    <n v="257"/>
    <s v="Rue Hector Berlioz"/>
    <n v="38340"/>
    <x v="17"/>
    <n v="476506230"/>
    <s v="michel.ayraud@outlook.fr"/>
    <s v="PO"/>
    <m/>
    <m/>
    <s v="-"/>
    <s v="-"/>
    <s v="-"/>
    <s v="-"/>
    <x v="16"/>
    <x v="10"/>
    <s v="ALO"/>
    <s v="cheminees.jay@orange.fr"/>
    <n v="476500550"/>
    <s v="-"/>
    <s v="oui"/>
    <d v="2021-06-28T00:00:00"/>
    <s v="poêle"/>
    <n v="2001"/>
    <x v="0"/>
    <x v="1"/>
    <s v="TURBO FONTE"/>
    <s v="HARMONY OPTIMA"/>
    <n v="8"/>
    <n v="4"/>
    <n v="76"/>
    <n v="0.09"/>
    <s v="FV7"/>
    <m/>
    <n v="3216.14"/>
    <m/>
    <m/>
    <m/>
    <n v="690"/>
    <n v="3906.14"/>
    <n v="214.83769999999998"/>
    <n v="4120.9776999999995"/>
    <n v="3637.44"/>
    <s v="oui"/>
    <m/>
    <m/>
    <s v="ADEME 2021"/>
    <s v="NC"/>
  </r>
  <r>
    <x v="2"/>
    <n v="3"/>
    <x v="3"/>
    <x v="1"/>
    <s v="EBL"/>
    <s v="VRB0131"/>
    <n v="600"/>
    <d v="2021-03-12T00:00:00"/>
    <d v="2021-03-23T00:00:00"/>
    <s v="-"/>
    <s v="-"/>
    <d v="2021-03-16T00:00:00"/>
    <d v="2021-03-16T00:00:00"/>
    <d v="2021-03-22T00:00:00"/>
    <m/>
    <d v="2021-04-22T00:00:00"/>
    <d v="2021-04-13T00:00:00"/>
    <s v="-"/>
    <d v="2021-04-22T00:00:00"/>
    <d v="2021-04-22T00:00:00"/>
    <d v="2021-05-12T00:00:00"/>
    <m/>
    <m/>
    <m/>
    <s v="LATIL"/>
    <s v="Monique"/>
    <n v="3"/>
    <n v="40944"/>
    <n v="81"/>
    <s v="Impasse du Clos Vert"/>
    <n v="38140"/>
    <x v="6"/>
    <n v="661245850"/>
    <s v="latil.monique@neuf.fr"/>
    <s v="PO"/>
    <m/>
    <m/>
    <s v="-"/>
    <s v="-"/>
    <s v="-"/>
    <s v="-"/>
    <x v="6"/>
    <x v="6"/>
    <s v="FAURE Jacques"/>
    <s v="jacques.faure24@wanadoo.fr"/>
    <n v="476355605"/>
    <s v="-"/>
    <s v="oui"/>
    <d v="2021-10-26T00:00:00"/>
    <s v="insert / foyer fermé"/>
    <n v="1996"/>
    <x v="2"/>
    <x v="1"/>
    <s v="FONTE FLAMME"/>
    <s v="VISION 700-8K"/>
    <n v="26"/>
    <n v="8"/>
    <n v="81"/>
    <n v="7.0000000000000007E-2"/>
    <s v="FV7"/>
    <m/>
    <n v="3716.75"/>
    <m/>
    <m/>
    <m/>
    <n v="1168.56"/>
    <n v="4885.3099999999995"/>
    <n v="268.69204999999999"/>
    <n v="5154.0020499999991"/>
    <n v="5154"/>
    <s v="non"/>
    <m/>
    <m/>
    <s v="ADEME 2021"/>
    <s v="NC"/>
  </r>
  <r>
    <x v="2"/>
    <n v="5"/>
    <x v="3"/>
    <x v="1"/>
    <s v="EBL"/>
    <s v="VRB0132"/>
    <n v="600"/>
    <d v="2021-03-12T00:00:00"/>
    <d v="2021-03-23T00:00:00"/>
    <d v="2021-03-16T00:00:00"/>
    <s v="Manque adresse RIB (ok)"/>
    <d v="2021-05-03T00:00:00"/>
    <d v="2021-05-03T00:00:00"/>
    <d v="2021-05-10T00:00:00"/>
    <m/>
    <d v="2021-06-14T00:00:00"/>
    <d v="2021-05-20T00:00:00"/>
    <s v="-"/>
    <d v="2021-06-15T00:00:00"/>
    <d v="2021-06-15T00:00:00"/>
    <d v="2021-07-01T00:00:00"/>
    <m/>
    <m/>
    <m/>
    <s v="PIERRE"/>
    <s v="Patrick"/>
    <n v="2"/>
    <n v="115275"/>
    <n v="4"/>
    <s v="Chemin des Charrières"/>
    <n v="38340"/>
    <x v="23"/>
    <n v="675749441"/>
    <s v="ppierre@questel.com"/>
    <s v="PO"/>
    <m/>
    <m/>
    <s v="-"/>
    <s v="-"/>
    <s v="-"/>
    <s v="-"/>
    <x v="27"/>
    <x v="20"/>
    <s v="GABORIT Sabin"/>
    <s v="adv@atre-loisirs.fr"/>
    <n v="476441060"/>
    <s v="-"/>
    <s v="oui"/>
    <d v="2021-07-21T00:00:00"/>
    <s v="insert / foyer fermé"/>
    <n v="1990"/>
    <x v="0"/>
    <x v="1"/>
    <s v="TULIKIVI"/>
    <s v="JOKKA"/>
    <n v="11"/>
    <n v="5.7"/>
    <n v="85"/>
    <n v="7.0000000000000007E-2"/>
    <s v="FV7"/>
    <m/>
    <n v="9244.14"/>
    <m/>
    <m/>
    <m/>
    <n v="3052"/>
    <n v="12296.14"/>
    <n v="676.28769999999997"/>
    <n v="12972.4277"/>
    <n v="12000"/>
    <s v="oui"/>
    <m/>
    <m/>
    <s v="ADEME 2021"/>
    <s v="NC"/>
  </r>
  <r>
    <x v="2"/>
    <n v="3"/>
    <x v="3"/>
    <x v="1"/>
    <s v="EBL"/>
    <s v="VRB0133"/>
    <n v="600"/>
    <d v="2021-03-12T00:00:00"/>
    <d v="2021-03-23T00:00:00"/>
    <s v="-"/>
    <s v="-"/>
    <d v="2021-03-16T00:00:00"/>
    <d v="2021-03-16T00:00:00"/>
    <d v="2021-03-22T00:00:00"/>
    <m/>
    <d v="2021-07-02T00:00:00"/>
    <d v="2021-05-22T00:00:00"/>
    <s v="-"/>
    <d v="2021-07-16T00:00:00"/>
    <d v="2021-07-16T00:00:00"/>
    <d v="2021-08-26T00:00:00"/>
    <m/>
    <m/>
    <m/>
    <s v="MARTOIA"/>
    <s v="Paul"/>
    <n v="1"/>
    <n v="24759"/>
    <n v="35"/>
    <s v="Chemin du Clapier"/>
    <n v="38140"/>
    <x v="8"/>
    <n v="625410327"/>
    <s v="picco.remy@neuf.fr"/>
    <s v="PO"/>
    <m/>
    <m/>
    <s v="-"/>
    <s v="-"/>
    <s v="-"/>
    <s v="-"/>
    <x v="1"/>
    <x v="1"/>
    <s v="LIBER Jean-Christophe"/>
    <s v="jlc.services@orange.fr"/>
    <s v="04 76 07 14 61"/>
    <s v="-"/>
    <s v="oui"/>
    <d v="2021-11-03T00:00:00"/>
    <s v="insert / foyer fermé"/>
    <n v="1980"/>
    <x v="0"/>
    <x v="1"/>
    <s v="FONTE FLAMME"/>
    <s v="BOMBAY"/>
    <n v="18"/>
    <n v="7.6"/>
    <n v="76"/>
    <n v="0.08"/>
    <s v="FV7"/>
    <m/>
    <n v="3839.5"/>
    <m/>
    <m/>
    <m/>
    <n v="880"/>
    <n v="4719.5"/>
    <n v="259.57249999999999"/>
    <n v="4979.0725000000002"/>
    <n v="4349.24"/>
    <s v="oui"/>
    <m/>
    <m/>
    <s v="ADEME 2021"/>
    <s v="NC"/>
  </r>
  <r>
    <x v="2"/>
    <n v="3"/>
    <x v="3"/>
    <x v="1"/>
    <s v="EBL"/>
    <s v="VRB0134"/>
    <n v="600"/>
    <d v="2021-03-12T00:00:00"/>
    <d v="2021-03-23T00:00:00"/>
    <s v="-"/>
    <s v="-"/>
    <d v="2021-03-16T00:00:00"/>
    <d v="2021-03-16T00:00:00"/>
    <d v="2021-03-22T00:00:00"/>
    <m/>
    <d v="2021-07-07T00:00:00"/>
    <d v="2021-06-06T00:00:00"/>
    <s v="Manque attestation de destruction (ok)"/>
    <d v="2021-08-30T00:00:00"/>
    <d v="2021-08-30T00:00:00"/>
    <d v="2021-09-16T00:00:00"/>
    <m/>
    <m/>
    <m/>
    <s v="CARRON-CABARET"/>
    <s v="Christian"/>
    <n v="2"/>
    <n v="36068"/>
    <n v="116"/>
    <s v="Route de Chanay"/>
    <n v="38620"/>
    <x v="31"/>
    <n v="476075870"/>
    <s v="chriscarron@orange.fr"/>
    <s v="PO"/>
    <m/>
    <m/>
    <s v="-"/>
    <s v="-"/>
    <s v="-"/>
    <s v="-"/>
    <x v="1"/>
    <x v="1"/>
    <s v="LIBER Jean-Christophe"/>
    <s v="jlc.services@orange.fr"/>
    <s v="04 76 07 14 61"/>
    <s v="-"/>
    <s v="oui"/>
    <d v="2021-11-03T00:00:00"/>
    <s v="insert / foyer fermé"/>
    <n v="2001"/>
    <x v="0"/>
    <x v="1"/>
    <s v="FONTE FLAMME"/>
    <s v="MESA"/>
    <n v="22"/>
    <n v="7"/>
    <n v="80"/>
    <n v="0.08"/>
    <s v="FV7"/>
    <m/>
    <n v="4299.21"/>
    <m/>
    <m/>
    <m/>
    <n v="380"/>
    <n v="4679.21"/>
    <n v="257.35655000000003"/>
    <n v="4936.5665500000005"/>
    <n v="4236.05"/>
    <s v="oui"/>
    <m/>
    <m/>
    <s v="ADEME 2021"/>
    <s v="NC"/>
  </r>
  <r>
    <x v="2"/>
    <n v="3"/>
    <x v="3"/>
    <x v="2"/>
    <s v="EBL"/>
    <s v="VRB0135"/>
    <n v="1000"/>
    <d v="2021-03-16T00:00:00"/>
    <d v="2021-03-23T00:00:00"/>
    <d v="2021-03-23T00:00:00"/>
    <s v="Manque Adresse RIB (ok le 25/03/21)"/>
    <d v="2021-03-26T00:00:00"/>
    <d v="2021-03-26T00:00:00"/>
    <d v="2021-03-31T00:00:00"/>
    <m/>
    <d v="2021-07-21T00:00:00"/>
    <d v="2021-07-01T00:00:00"/>
    <s v="-"/>
    <d v="2021-08-05T00:00:00"/>
    <d v="2021-08-05T00:00:00"/>
    <d v="2021-09-14T00:00:00"/>
    <m/>
    <m/>
    <m/>
    <s v="GONON"/>
    <s v="Odile"/>
    <n v="1"/>
    <n v="11616"/>
    <n v="550"/>
    <s v="Route de la cascade"/>
    <n v="38850"/>
    <x v="7"/>
    <s v="06 82 32 97 11"/>
    <s v="pigonon@orange.fr"/>
    <s v="PO"/>
    <m/>
    <m/>
    <s v="-"/>
    <s v="-"/>
    <s v="-"/>
    <s v="-"/>
    <x v="13"/>
    <x v="1"/>
    <s v="CHARREL Stephane"/>
    <s v="contact@fer-et-feu.fr"/>
    <n v="476059444"/>
    <s v="-"/>
    <s v="oui"/>
    <d v="2021-08-16T00:00:00"/>
    <s v="insert / foyer fermé"/>
    <n v="1991"/>
    <x v="0"/>
    <x v="0"/>
    <s v="RIKA"/>
    <s v="DOMO RAO"/>
    <n v="17.5"/>
    <n v="10"/>
    <n v="92.7"/>
    <n v="4.0000000000000001E-3"/>
    <s v="registre"/>
    <m/>
    <n v="7356"/>
    <m/>
    <m/>
    <m/>
    <n v="1650"/>
    <n v="9006"/>
    <n v="495.33"/>
    <n v="9501.33"/>
    <n v="9501.33"/>
    <s v="oui"/>
    <m/>
    <m/>
    <s v="ADEME 2021"/>
    <s v="NC"/>
  </r>
  <r>
    <x v="2"/>
    <n v="3"/>
    <x v="3"/>
    <x v="1"/>
    <s v="EBL"/>
    <s v="VRB0136"/>
    <n v="600"/>
    <d v="2021-03-16T00:00:00"/>
    <d v="2021-03-23T00:00:00"/>
    <s v="-"/>
    <s v="-"/>
    <d v="2021-03-23T00:00:00"/>
    <d v="2021-03-23T00:00:00"/>
    <d v="2021-03-29T00:00:00"/>
    <m/>
    <d v="2021-05-04T00:00:00"/>
    <d v="2021-04-22T00:00:00"/>
    <s v="-"/>
    <d v="2021-05-06T00:00:00"/>
    <d v="2021-05-06T00:00:00"/>
    <d v="2021-05-17T00:00:00"/>
    <m/>
    <m/>
    <m/>
    <s v="GARAGNON"/>
    <s v="Gilles"/>
    <n v="2"/>
    <n v="31727"/>
    <n v="5"/>
    <s v="Le clos du paradis"/>
    <n v="38210"/>
    <x v="15"/>
    <s v="06 82 29 48 02"/>
    <s v="gilles.garagnon@orange.fr"/>
    <s v="PO"/>
    <m/>
    <m/>
    <s v="-"/>
    <s v="-"/>
    <s v="-"/>
    <s v="-"/>
    <x v="16"/>
    <x v="10"/>
    <s v="ALO"/>
    <s v="cheminees.jay@orange.fr"/>
    <n v="476500550"/>
    <s v="-"/>
    <s v="oui"/>
    <d v="2021-06-28T00:00:00"/>
    <s v="insert / foyer fermé"/>
    <n v="1993"/>
    <x v="0"/>
    <x v="1"/>
    <s v="AXIS"/>
    <s v="1000P"/>
    <n v="30"/>
    <n v="8"/>
    <n v="75"/>
    <n v="0.1"/>
    <s v="FV7"/>
    <m/>
    <n v="4989.170000000001"/>
    <m/>
    <m/>
    <m/>
    <n v="1570"/>
    <n v="6559.170000000001"/>
    <n v="360.75435000000004"/>
    <n v="6919.9243500000011"/>
    <n v="6619.92"/>
    <s v="non"/>
    <m/>
    <m/>
    <s v="ADEME 2021"/>
    <s v="NC"/>
  </r>
  <r>
    <x v="2"/>
    <n v="3"/>
    <x v="3"/>
    <x v="1"/>
    <s v="EBL"/>
    <s v="VRB0137"/>
    <n v="600"/>
    <d v="2021-03-16T00:00:00"/>
    <d v="2021-03-23T00:00:00"/>
    <s v="-"/>
    <s v="-"/>
    <d v="2021-03-23T00:00:00"/>
    <d v="2021-03-23T00:00:00"/>
    <d v="2021-03-29T00:00:00"/>
    <m/>
    <d v="2021-05-27T00:00:00"/>
    <d v="2021-05-22T00:00:00"/>
    <s v="-"/>
    <d v="2021-05-27T00:00:00"/>
    <d v="2021-05-27T00:00:00"/>
    <d v="2021-06-04T00:00:00"/>
    <m/>
    <m/>
    <m/>
    <s v="LIONS"/>
    <s v="Robert"/>
    <n v="2"/>
    <n v="33408"/>
    <n v="185"/>
    <s v="Route du Cerveloup"/>
    <n v="38210"/>
    <x v="3"/>
    <s v="04 76 07 26 24"/>
    <s v="robertlions38@gmail.com"/>
    <s v="PO"/>
    <m/>
    <m/>
    <s v="-"/>
    <s v="-"/>
    <s v="-"/>
    <s v="-"/>
    <x v="6"/>
    <x v="6"/>
    <s v="FAURE Jacques"/>
    <s v="jacques.faure24@wanadoo.fr"/>
    <n v="476355605"/>
    <s v="-"/>
    <s v="oui"/>
    <d v="2021-10-26T00:00:00"/>
    <s v="insert / foyer fermé"/>
    <n v="1978"/>
    <x v="0"/>
    <x v="1"/>
    <s v="FONTE FLAMME"/>
    <s v="LONA"/>
    <n v="22"/>
    <n v="7"/>
    <n v="80"/>
    <n v="0.08"/>
    <s v="FV7"/>
    <m/>
    <n v="2877.99"/>
    <m/>
    <m/>
    <m/>
    <n v="625"/>
    <n v="3502.99"/>
    <n v="192.66444999999999"/>
    <n v="3695.65445"/>
    <n v="3695.65"/>
    <s v="oui"/>
    <m/>
    <m/>
    <s v="ADEME 2021"/>
    <s v="NC"/>
  </r>
  <r>
    <x v="2"/>
    <n v="3"/>
    <x v="3"/>
    <x v="2"/>
    <s v="EBL"/>
    <s v="VRB0138"/>
    <n v="1000"/>
    <d v="2021-03-18T00:00:00"/>
    <d v="2021-03-23T00:00:00"/>
    <d v="2021-03-23T00:00:00"/>
    <s v="Manque dernière page taxe foncière (ok le 25/03/21)"/>
    <d v="2021-03-26T00:00:00"/>
    <d v="2021-03-26T00:00:00"/>
    <d v="2021-03-31T00:00:00"/>
    <m/>
    <d v="2021-06-28T00:00:00"/>
    <d v="2021-06-08T00:00:00"/>
    <s v="-"/>
    <d v="2021-06-29T00:00:00"/>
    <d v="2021-06-29T00:00:00"/>
    <d v="2021-07-12T00:00:00"/>
    <m/>
    <m/>
    <m/>
    <s v="MOUTON"/>
    <s v="Marc"/>
    <n v="2"/>
    <n v="18362"/>
    <n v="12"/>
    <s v="Rue Alfred Musset"/>
    <n v="38430"/>
    <x v="2"/>
    <n v="786607325"/>
    <s v="marchelene0067@orange.fr"/>
    <s v="PO"/>
    <m/>
    <m/>
    <s v="-"/>
    <s v="-"/>
    <s v="-"/>
    <s v="-"/>
    <x v="14"/>
    <x v="1"/>
    <s v="SIMON Frédéric"/>
    <s v="contact@ecvoiron.fr"/>
    <n v="476069938"/>
    <s v="-"/>
    <s v="oui"/>
    <d v="2021-09-18T00:00:00"/>
    <s v="insert / foyer fermé"/>
    <n v="1995"/>
    <x v="0"/>
    <x v="1"/>
    <s v="ROMOTOP"/>
    <s v="OVALIS G Accum"/>
    <n v="40"/>
    <n v="6"/>
    <n v="83"/>
    <n v="7.0000000000000007E-2"/>
    <s v="FV7"/>
    <m/>
    <n v="4659"/>
    <m/>
    <m/>
    <m/>
    <n v="300"/>
    <n v="4959"/>
    <n v="272.745"/>
    <n v="5231.7449999999999"/>
    <n v="5231.75"/>
    <s v="oui"/>
    <m/>
    <m/>
    <s v="ADEME 2021"/>
    <s v="NC"/>
  </r>
  <r>
    <x v="2"/>
    <n v="3"/>
    <x v="3"/>
    <x v="1"/>
    <s v="EBL"/>
    <s v="VRB0139"/>
    <n v="600"/>
    <d v="2021-03-23T00:00:00"/>
    <d v="2021-03-25T00:00:00"/>
    <s v="-"/>
    <s v="-"/>
    <d v="2021-03-26T00:00:00"/>
    <d v="2021-03-26T00:00:00"/>
    <d v="2021-03-31T00:00:00"/>
    <m/>
    <d v="2021-07-06T00:00:00"/>
    <d v="2021-05-29T00:00:00"/>
    <s v="-"/>
    <d v="2021-07-06T00:00:00"/>
    <d v="2021-07-06T00:00:00"/>
    <d v="2021-07-12T00:00:00"/>
    <m/>
    <m/>
    <m/>
    <s v="LEICK"/>
    <s v="Laura"/>
    <n v="4"/>
    <n v="60312"/>
    <n v="129"/>
    <s v="Chemin de la Morge"/>
    <n v="38960"/>
    <x v="22"/>
    <n v="676054951"/>
    <s v="laura.sperandio@gmail.com"/>
    <s v="PO"/>
    <m/>
    <m/>
    <s v="-"/>
    <s v="-"/>
    <s v="-"/>
    <s v="-"/>
    <x v="6"/>
    <x v="6"/>
    <s v="FAURE Jacques"/>
    <s v="jacques.faure24@wanadoo.fr"/>
    <n v="476355605"/>
    <s v="-"/>
    <s v="oui"/>
    <d v="2021-10-26T00:00:00"/>
    <s v="foyer ouvert"/>
    <n v="1976"/>
    <x v="2"/>
    <x v="1"/>
    <s v="FONTE FLAMME"/>
    <s v="VISION 775-10KW"/>
    <n v="23"/>
    <n v="10"/>
    <n v="78"/>
    <n v="7.0000000000000007E-2"/>
    <s v="FV7"/>
    <m/>
    <n v="3375.86"/>
    <m/>
    <m/>
    <m/>
    <n v="1450.15"/>
    <n v="4826.01"/>
    <n v="265.43055000000004"/>
    <n v="5091.4405500000003"/>
    <n v="5091.4399999999996"/>
    <s v="non"/>
    <m/>
    <m/>
    <s v="ADEME 2021"/>
    <s v="NC"/>
  </r>
  <r>
    <x v="2"/>
    <n v="4"/>
    <x v="3"/>
    <x v="1"/>
    <s v="EBL"/>
    <s v="VRB0140"/>
    <n v="600"/>
    <d v="2021-03-25T00:00:00"/>
    <d v="2021-03-25T00:00:00"/>
    <d v="2021-03-26T00:00:00"/>
    <s v="Manque adresse RIB (ok le 29/03/21)"/>
    <d v="2021-04-15T00:00:00"/>
    <d v="2021-04-15T00:00:00"/>
    <d v="2021-04-21T00:00:00"/>
    <m/>
    <d v="2021-09-20T00:00:00"/>
    <d v="2021-09-09T00:00:00"/>
    <s v="-"/>
    <d v="2021-09-23T00:00:00"/>
    <d v="2021-09-23T00:00:00"/>
    <d v="2021-09-30T00:00:00"/>
    <m/>
    <m/>
    <m/>
    <s v="GRESSE"/>
    <s v="Jean-Paul"/>
    <n v="2"/>
    <n v="37669"/>
    <n v="664"/>
    <s v="Route du Grand Rocher "/>
    <n v="38960"/>
    <x v="22"/>
    <n v="652546935"/>
    <s v="gresse@neuf.fr"/>
    <s v="PO"/>
    <m/>
    <m/>
    <s v="-"/>
    <s v="-"/>
    <s v="-"/>
    <s v="-"/>
    <x v="7"/>
    <x v="1"/>
    <s v="PIERRE Emmanuel"/>
    <s v="voiron@techni-nature.com"/>
    <n v="951096343"/>
    <s v="-"/>
    <s v="oui"/>
    <d v="2022-08-25T00:00:00"/>
    <s v="insert / foyer fermé"/>
    <n v="1992"/>
    <x v="0"/>
    <x v="0"/>
    <s v="INOVALP"/>
    <s v="HOBEN H6 Horizon"/>
    <n v="20"/>
    <n v="7.9"/>
    <n v="89"/>
    <n v="1.7999999999999999E-2"/>
    <s v="registre"/>
    <m/>
    <n v="6779"/>
    <m/>
    <m/>
    <m/>
    <n v="630"/>
    <n v="7409"/>
    <n v="407.495"/>
    <n v="7816.4949999999999"/>
    <n v="7500"/>
    <s v="oui"/>
    <m/>
    <m/>
    <s v="ADEME 2021"/>
    <s v="NC"/>
  </r>
  <r>
    <x v="2"/>
    <n v="4"/>
    <x v="3"/>
    <x v="1"/>
    <s v="EBL"/>
    <s v="VRB0141"/>
    <n v="600"/>
    <d v="2021-03-26T00:00:00"/>
    <d v="2021-03-26T00:00:00"/>
    <d v="2021-04-01T00:00:00"/>
    <s v="Manque adresse RIB (ok le 01/04/21)"/>
    <d v="2021-04-07T00:00:00"/>
    <d v="2021-04-07T00:00:00"/>
    <d v="2021-04-09T00:00:00"/>
    <m/>
    <d v="2021-07-12T00:00:00"/>
    <d v="2021-07-08T00:00:00"/>
    <s v="-"/>
    <d v="2021-07-16T00:00:00"/>
    <d v="2021-07-16T00:00:00"/>
    <d v="2021-08-26T00:00:00"/>
    <m/>
    <m/>
    <m/>
    <s v="MOLINIE"/>
    <s v="Philippe"/>
    <n v="2"/>
    <n v="45534"/>
    <n v="51"/>
    <s v="Impasse des Vignes"/>
    <n v="38620"/>
    <x v="31"/>
    <n v="662696862"/>
    <s v="moli.philmolinie@gmail.com"/>
    <s v="PO"/>
    <m/>
    <m/>
    <s v="-"/>
    <s v="-"/>
    <s v="-"/>
    <s v="-"/>
    <x v="7"/>
    <x v="1"/>
    <s v="PIERRE Emmanuel"/>
    <s v="voiron@techni-nature.com"/>
    <n v="951096343"/>
    <s v="-"/>
    <s v="oui"/>
    <d v="2021-08-25T00:00:00"/>
    <s v="insert / foyer fermé"/>
    <s v="&lt;2002"/>
    <x v="0"/>
    <x v="0"/>
    <s v="INOVALP"/>
    <s v="HOBEN H9"/>
    <n v="15"/>
    <n v="9.3000000000000007"/>
    <n v="87"/>
    <n v="1.7999999999999999E-2"/>
    <s v="registre"/>
    <m/>
    <n v="6360.5700000000006"/>
    <m/>
    <m/>
    <m/>
    <n v="880.1"/>
    <n v="7240.670000000001"/>
    <n v="398.23685000000006"/>
    <n v="7638.9068500000012"/>
    <n v="7349.98"/>
    <s v="oui"/>
    <m/>
    <m/>
    <s v="ADEME 2021"/>
    <s v="NC"/>
  </r>
  <r>
    <x v="2"/>
    <n v="4"/>
    <x v="3"/>
    <x v="2"/>
    <s v="EBL"/>
    <s v="VRB0142"/>
    <n v="1000"/>
    <d v="2021-03-26T00:00:00"/>
    <d v="2021-03-26T00:00:00"/>
    <d v="2021-04-01T00:00:00"/>
    <s v="Photo en fonctionnement (ok)"/>
    <d v="2021-04-22T00:00:00"/>
    <d v="2021-04-22T00:00:00"/>
    <d v="2021-05-03T00:00:00"/>
    <m/>
    <d v="2021-07-08T00:00:00"/>
    <d v="2021-06-18T00:00:00"/>
    <s v="Manque attestation &amp; Mention acquitée(ok)"/>
    <d v="2021-08-05T00:00:00"/>
    <d v="2021-08-05T00:00:00"/>
    <d v="2021-09-14T00:00:00"/>
    <m/>
    <m/>
    <m/>
    <s v="CAILLAT"/>
    <s v="Brigitte"/>
    <n v="1"/>
    <n v="4169"/>
    <n v="146"/>
    <s v="Route de Vers Ars"/>
    <n v="38730"/>
    <x v="5"/>
    <n v="682834197"/>
    <s v="caillatvalerie@gmail.com"/>
    <s v="PO"/>
    <m/>
    <m/>
    <s v="-"/>
    <s v="-"/>
    <s v="-"/>
    <s v="-"/>
    <x v="28"/>
    <x v="21"/>
    <s v="QUAY THEVENON Thierry"/>
    <s v="bureau@avizenergie.fr"/>
    <n v="474281667"/>
    <s v="-"/>
    <s v="oui"/>
    <d v="2021-08-28T00:00:00"/>
    <s v="insert / foyer fermé"/>
    <n v="1980"/>
    <x v="0"/>
    <x v="1"/>
    <s v="MCZ"/>
    <s v="RAY CONFORT AIR"/>
    <n v="11"/>
    <n v="7.8"/>
    <n v="75"/>
    <n v="6.0000000000000001E-3"/>
    <s v="FV7"/>
    <m/>
    <n v="4078"/>
    <m/>
    <m/>
    <m/>
    <n v="650"/>
    <n v="4728"/>
    <n v="260.04000000000002"/>
    <n v="4988.04"/>
    <n v="4988.04"/>
    <s v="non"/>
    <m/>
    <m/>
    <s v="ADEME 2021"/>
    <s v="NC"/>
  </r>
  <r>
    <x v="2"/>
    <n v="3"/>
    <x v="3"/>
    <x v="2"/>
    <s v="EBL"/>
    <s v="VRB0143"/>
    <n v="1000"/>
    <d v="2021-03-01T00:00:00"/>
    <d v="2021-03-30T00:00:00"/>
    <s v="-"/>
    <s v="-"/>
    <d v="2021-03-30T00:00:00"/>
    <d v="2021-03-30T00:00:00"/>
    <d v="2021-03-30T00:00:00"/>
    <m/>
    <d v="2021-10-20T00:00:00"/>
    <d v="2021-10-07T00:00:00"/>
    <s v="-"/>
    <d v="2021-10-22T00:00:00"/>
    <d v="2021-10-22T00:00:00"/>
    <d v="2021-10-27T00:00:00"/>
    <m/>
    <m/>
    <m/>
    <s v="BEVY"/>
    <s v="Sandrine"/>
    <n v="3"/>
    <n v="32246"/>
    <n v="21"/>
    <s v="Montée de Champe"/>
    <n v="38620"/>
    <x v="0"/>
    <n v="680852715"/>
    <s v="juju.lulu@rocketmail.com"/>
    <s v="PO"/>
    <m/>
    <m/>
    <s v="-"/>
    <s v="-"/>
    <s v="-"/>
    <s v="-"/>
    <x v="1"/>
    <x v="1"/>
    <s v="LIBER Jean-Christophe"/>
    <s v="jlc.services@orange.fr"/>
    <s v="04 76 07 14 61"/>
    <s v="-"/>
    <s v="oui"/>
    <d v="2021-11-03T00:00:00"/>
    <s v="insert / foyer fermé"/>
    <n v="1980"/>
    <x v="0"/>
    <x v="1"/>
    <s v="DICK GEURTS par FONTE FLAMME"/>
    <s v="VIDAR WALL"/>
    <n v="18"/>
    <n v="10.6"/>
    <n v="88"/>
    <n v="7.0000000000000007E-2"/>
    <s v="FV7"/>
    <m/>
    <n v="4433.04"/>
    <m/>
    <m/>
    <m/>
    <n v="480"/>
    <n v="4913.04"/>
    <n v="270.21719999999999"/>
    <n v="5183.2572"/>
    <n v="5183.25"/>
    <s v="oui"/>
    <m/>
    <m/>
    <s v="ADEME 2021"/>
    <s v="NC"/>
  </r>
  <r>
    <x v="2"/>
    <n v="4"/>
    <x v="3"/>
    <x v="1"/>
    <s v="EBL"/>
    <s v="VRB0144"/>
    <n v="600"/>
    <d v="2021-03-10T00:00:00"/>
    <d v="2021-04-01T00:00:00"/>
    <d v="2021-04-01T00:00:00"/>
    <s v="Manque questionnaire (ok le 01/04/21)"/>
    <d v="2021-04-07T00:00:00"/>
    <d v="2021-04-07T00:00:00"/>
    <d v="2021-04-09T00:00:00"/>
    <m/>
    <d v="2021-11-24T00:00:00"/>
    <m/>
    <s v="-"/>
    <d v="2021-11-25T00:00:00"/>
    <d v="2021-11-25T00:00:00"/>
    <d v="2021-12-09T00:00:00"/>
    <m/>
    <m/>
    <m/>
    <s v="PERRIN"/>
    <s v="Pierre-Antoine"/>
    <n v="2"/>
    <n v="34985"/>
    <n v="50"/>
    <s v="Montée de l'Enclos du Château"/>
    <n v="38140"/>
    <x v="8"/>
    <n v="647046984"/>
    <s v="girault.perrin@orange.fr"/>
    <s v="PO"/>
    <m/>
    <m/>
    <s v="-"/>
    <s v="-"/>
    <s v="-"/>
    <s v="-"/>
    <x v="14"/>
    <x v="1"/>
    <s v="SIMON Frédéric"/>
    <s v="contact@ecvoiron.fr"/>
    <n v="476069938"/>
    <s v="-"/>
    <s v="oui"/>
    <d v="2021-09-18T00:00:00"/>
    <s v="insert / foyer fermé"/>
    <n v="1980"/>
    <x v="0"/>
    <x v="1"/>
    <s v="ROMOTOP"/>
    <s v="LAREDO F"/>
    <n v="35"/>
    <n v="5.9"/>
    <n v="80.2"/>
    <n v="0.09"/>
    <s v="FV7"/>
    <m/>
    <n v="3485.84"/>
    <m/>
    <m/>
    <m/>
    <n v="840"/>
    <n v="4325.84"/>
    <n v="237.9212"/>
    <n v="4563.7611999999999"/>
    <n v="4468.8100000000004"/>
    <s v="oui"/>
    <m/>
    <m/>
    <s v="ADEME 2021"/>
    <s v="NC"/>
  </r>
  <r>
    <x v="2"/>
    <n v="4"/>
    <x v="3"/>
    <x v="1"/>
    <s v="EBL"/>
    <s v="VRB0145"/>
    <n v="600"/>
    <d v="2021-03-15T00:00:00"/>
    <d v="2021-04-01T00:00:00"/>
    <s v="-"/>
    <s v="-"/>
    <d v="2021-04-01T00:00:00"/>
    <d v="2021-04-01T00:00:00"/>
    <d v="2021-04-06T00:00:00"/>
    <m/>
    <d v="2021-06-02T00:00:00"/>
    <d v="2021-05-20T00:00:00"/>
    <s v="-"/>
    <d v="2021-06-04T00:00:00"/>
    <d v="2021-06-04T00:00:00"/>
    <d v="2021-07-01T00:00:00"/>
    <m/>
    <m/>
    <m/>
    <s v="CERLES"/>
    <s v="Jean-Marc"/>
    <n v="2"/>
    <n v="169573"/>
    <n v="25"/>
    <s v="Rue du Dauphiné"/>
    <n v="38430"/>
    <x v="2"/>
    <n v="607848815"/>
    <s v="cerlesjm@gmail.com"/>
    <s v="PO"/>
    <m/>
    <m/>
    <s v="-"/>
    <s v="-"/>
    <s v="-"/>
    <s v="-"/>
    <x v="29"/>
    <x v="22"/>
    <s v="TODESCHINI Alain"/>
    <s v="todeschini@orange.fr"/>
    <n v="476911347"/>
    <s v="-"/>
    <s v="oui"/>
    <d v="2021-05-24T00:00:00"/>
    <s v="insert / foyer fermé"/>
    <n v="1985"/>
    <x v="0"/>
    <x v="1"/>
    <s v="ARTENSE"/>
    <s v="KIANO 4"/>
    <n v="25"/>
    <n v="7"/>
    <n v="80"/>
    <n v="7.0000000000000007E-2"/>
    <s v="registre"/>
    <m/>
    <n v="3376"/>
    <m/>
    <m/>
    <m/>
    <n v="1260"/>
    <n v="4636"/>
    <n v="254.98"/>
    <n v="4890.9799999999996"/>
    <n v="5080.88"/>
    <s v="oui"/>
    <m/>
    <m/>
    <s v="ADEME 2021"/>
    <s v="NC"/>
  </r>
  <r>
    <x v="2"/>
    <n v="4"/>
    <x v="3"/>
    <x v="1"/>
    <s v="EBL"/>
    <s v="VRB0146"/>
    <n v="600"/>
    <d v="2021-03-16T00:00:00"/>
    <d v="2021-04-01T00:00:00"/>
    <s v="-"/>
    <s v="-"/>
    <d v="2021-04-01T00:00:00"/>
    <d v="2021-04-01T00:00:00"/>
    <d v="2021-04-06T00:00:00"/>
    <m/>
    <d v="2021-12-08T00:00:00"/>
    <d v="2021-10-28T00:00:00"/>
    <s v="-"/>
    <d v="2021-12-09T00:00:00"/>
    <d v="2021-12-09T00:00:00"/>
    <d v="2021-12-10T00:00:00"/>
    <m/>
    <m/>
    <m/>
    <s v="LOURY"/>
    <s v="Paul&amp;Julie"/>
    <n v="4"/>
    <n v="52078"/>
    <n v="139"/>
    <s v="Chemin du Bret"/>
    <n v="38500"/>
    <x v="18"/>
    <n v="658482292"/>
    <s v="julieloury.mail@gmail.com"/>
    <s v="PO"/>
    <m/>
    <m/>
    <s v="-"/>
    <s v="-"/>
    <s v="-"/>
    <s v="-"/>
    <x v="19"/>
    <x v="12"/>
    <s v="AUDOUARD"/>
    <s v="accueil@sbidaud.fr"/>
    <n v="437039915"/>
    <s v="-"/>
    <s v="oui"/>
    <d v="2021-08-24T00:00:00"/>
    <s v="poêle"/>
    <s v="&lt;2002"/>
    <x v="3"/>
    <x v="0"/>
    <s v="SOLARFOCUS"/>
    <s v="ECOTOP 15"/>
    <n v="11"/>
    <n v="15.4"/>
    <n v="93.8"/>
    <n v="8.8000000000000003E-4"/>
    <s v="FV7"/>
    <m/>
    <n v="14695.56"/>
    <m/>
    <m/>
    <m/>
    <n v="3425.8599999999997"/>
    <n v="18121.419999999998"/>
    <n v="996.67809999999986"/>
    <n v="19118.098099999999"/>
    <n v="17957.599999999999"/>
    <s v="oui"/>
    <m/>
    <m/>
    <s v="ADEME 2021"/>
    <s v="NC"/>
  </r>
  <r>
    <x v="2"/>
    <n v="4"/>
    <x v="3"/>
    <x v="1"/>
    <s v="EBL"/>
    <s v="VRB0147"/>
    <n v="600"/>
    <d v="2021-03-16T00:00:00"/>
    <d v="2021-04-01T00:00:00"/>
    <s v="-"/>
    <s v="-"/>
    <d v="2021-04-01T00:00:00"/>
    <d v="2021-04-01T00:00:00"/>
    <d v="2021-04-06T00:00:00"/>
    <m/>
    <d v="2021-06-21T00:00:00"/>
    <d v="2021-05-20T00:00:00"/>
    <s v="-"/>
    <d v="2021-06-25T00:00:00"/>
    <d v="2021-06-25T00:00:00"/>
    <d v="2021-07-12T00:00:00"/>
    <m/>
    <m/>
    <m/>
    <s v="DELCAMBRE&amp;ROY"/>
    <s v="Jean-Frédéric&amp;Fabienne"/>
    <n v="4"/>
    <n v="78228"/>
    <n v="337"/>
    <s v="Chemin du Bernardin"/>
    <n v="38850"/>
    <x v="9"/>
    <n v="476353822"/>
    <s v="fabi.roy@free.fr"/>
    <s v="PO"/>
    <m/>
    <m/>
    <s v="-"/>
    <s v="-"/>
    <s v="-"/>
    <s v="-"/>
    <x v="1"/>
    <x v="1"/>
    <s v="LIBER Jean-Christophe"/>
    <s v="jlc.services@orange.fr"/>
    <s v="04 76 07 14 61"/>
    <s v="-"/>
    <s v="oui"/>
    <d v="2021-11-03T00:00:00"/>
    <s v="insert / foyer fermé"/>
    <n v="2001"/>
    <x v="0"/>
    <x v="1"/>
    <s v="FONTE FLAMME"/>
    <s v="MESA"/>
    <n v="22"/>
    <n v="7"/>
    <n v="80"/>
    <n v="0.08"/>
    <s v="FV7"/>
    <m/>
    <n v="3809.14"/>
    <m/>
    <m/>
    <m/>
    <n v="470"/>
    <n v="4279.1399999999994"/>
    <n v="235.35269999999997"/>
    <n v="4514.4926999999998"/>
    <n v="3902.59"/>
    <s v="oui"/>
    <m/>
    <m/>
    <s v="ADEME 2021"/>
    <s v="NC"/>
  </r>
  <r>
    <x v="2"/>
    <n v="4"/>
    <x v="3"/>
    <x v="2"/>
    <s v="EBL"/>
    <s v="VRB0148"/>
    <n v="1000"/>
    <d v="2021-03-23T00:00:00"/>
    <d v="2021-04-01T00:00:00"/>
    <d v="2021-04-01T00:00:00"/>
    <s v="Manque Questionnaire + Devis (ok le 02/04/21)"/>
    <d v="2021-04-07T00:00:00"/>
    <d v="2021-04-07T00:00:00"/>
    <d v="2021-04-09T00:00:00"/>
    <m/>
    <d v="2021-08-17T00:00:00"/>
    <d v="2021-07-31T00:00:00"/>
    <s v="-"/>
    <d v="2021-08-18T00:00:00"/>
    <d v="2021-08-18T00:00:00"/>
    <d v="2021-09-23T00:00:00"/>
    <m/>
    <m/>
    <m/>
    <s v="MERMET"/>
    <s v="Bernard"/>
    <n v="2"/>
    <n v="25956"/>
    <n v="80"/>
    <s v="Chemin du Lavoir"/>
    <n v="38730"/>
    <x v="5"/>
    <n v="675092556"/>
    <s v="bmermet@orange.fr"/>
    <s v="PO"/>
    <m/>
    <m/>
    <s v="-"/>
    <s v="-"/>
    <s v="-"/>
    <s v="-"/>
    <x v="10"/>
    <x v="1"/>
    <s v="GILLET Pascal"/>
    <s v="bois-soleil.chauffage@orange.fr"/>
    <n v="476323235"/>
    <s v="-"/>
    <s v="oui"/>
    <d v="2021-08-21T00:00:00"/>
    <s v="insert / foyer fermé"/>
    <n v="1990"/>
    <x v="0"/>
    <x v="1"/>
    <s v="ILD"/>
    <s v="ILD 13"/>
    <n v="12"/>
    <n v="9.1999999999999993"/>
    <n v="77"/>
    <n v="0.04"/>
    <s v="FV7"/>
    <m/>
    <n v="3847"/>
    <m/>
    <m/>
    <m/>
    <n v="953"/>
    <n v="4800"/>
    <n v="264"/>
    <n v="5064"/>
    <n v="4732.8500000000004"/>
    <s v="non"/>
    <m/>
    <m/>
    <s v="ADEME 2021"/>
    <s v="NC"/>
  </r>
  <r>
    <x v="2"/>
    <n v="4"/>
    <x v="3"/>
    <x v="1"/>
    <s v="EBL"/>
    <s v="VRB0149"/>
    <n v="600"/>
    <d v="2021-03-31T00:00:00"/>
    <d v="2021-04-01T00:00:00"/>
    <d v="2021-04-01T00:00:00"/>
    <s v="Artisan non signataire(ok 01/04/21)"/>
    <d v="2021-04-01T00:00:00"/>
    <d v="2021-04-01T00:00:00"/>
    <d v="2021-04-06T00:00:00"/>
    <m/>
    <d v="2022-03-07T00:00:00"/>
    <d v="2021-05-10T00:00:00"/>
    <s v="attestation fin de travaux (ok)"/>
    <d v="2022-04-11T00:00:00"/>
    <d v="2022-04-11T00:00:00"/>
    <d v="2022-04-12T00:00:00"/>
    <m/>
    <m/>
    <m/>
    <s v="BRETIN"/>
    <s v="Alexandre"/>
    <n v="4"/>
    <n v="42427"/>
    <n v="31"/>
    <s v="Rue du Moulin"/>
    <n v="38500"/>
    <x v="4"/>
    <n v="634093384"/>
    <s v="juliette77fr@gmail.com"/>
    <s v="PO"/>
    <m/>
    <m/>
    <s v="-"/>
    <s v="-"/>
    <s v="-"/>
    <s v="-"/>
    <x v="30"/>
    <x v="23"/>
    <s v="GERENTE PAQUET Hervé"/>
    <s v="expertise.ramonage.paquet@gmail.com"/>
    <n v="476554922"/>
    <s v="-"/>
    <s v="non"/>
    <d v="2021-06-15T00:00:00"/>
    <s v="insert / foyer fermé"/>
    <s v="&lt;2002"/>
    <x v="0"/>
    <x v="1"/>
    <s v="HARK"/>
    <s v="HARK98 ECOPLUS"/>
    <n v="14"/>
    <n v="7"/>
    <n v="85.4"/>
    <n v="5.6000000000000001E-2"/>
    <s v="registre"/>
    <m/>
    <n v="6054.2529999999997"/>
    <m/>
    <m/>
    <m/>
    <n v="3600"/>
    <n v="9654.2530000000006"/>
    <n v="530.98391500000002"/>
    <n v="10185.236915000001"/>
    <n v="9626.24"/>
    <s v="oui"/>
    <m/>
    <m/>
    <s v="ADEME 2021"/>
    <s v="NC"/>
  </r>
  <r>
    <x v="2"/>
    <n v="4"/>
    <x v="3"/>
    <x v="1"/>
    <s v="EBL"/>
    <s v="VRB0150"/>
    <n v="600"/>
    <d v="2021-03-31T00:00:00"/>
    <d v="2021-04-01T00:00:00"/>
    <s v="-"/>
    <s v="-"/>
    <d v="2021-04-01T00:00:00"/>
    <d v="2021-04-01T00:00:00"/>
    <d v="2021-04-06T00:00:00"/>
    <m/>
    <d v="2021-09-16T00:00:00"/>
    <d v="2021-03-31T00:00:00"/>
    <s v="-"/>
    <d v="2021-09-23T00:00:00"/>
    <d v="2021-09-23T00:00:00"/>
    <d v="2021-09-30T00:00:00"/>
    <m/>
    <m/>
    <m/>
    <s v="CADIS"/>
    <s v="Matthieu"/>
    <n v="4"/>
    <n v="56872"/>
    <n v="219"/>
    <s v="Rue de l'Isère"/>
    <n v="38500"/>
    <x v="4"/>
    <n v="631177259"/>
    <s v="cadis.matthieu@gmail.com"/>
    <s v="PO"/>
    <m/>
    <m/>
    <s v="-"/>
    <s v="-"/>
    <s v="-"/>
    <s v="-"/>
    <x v="7"/>
    <x v="1"/>
    <s v="PIERRE Emmanuel"/>
    <s v="voiron@techni-nature.com"/>
    <n v="951096343"/>
    <s v="-"/>
    <s v="oui"/>
    <d v="2021-08-25T00:00:00"/>
    <s v="foyer ouvert"/>
    <s v="&lt;2002"/>
    <x v="0"/>
    <x v="0"/>
    <s v="INOVALP"/>
    <s v="HOBEN H7"/>
    <n v="20"/>
    <n v="8.3000000000000007"/>
    <n v="87"/>
    <n v="1.7999999999999999E-2"/>
    <s v="registre"/>
    <m/>
    <n v="6106.19"/>
    <m/>
    <m/>
    <m/>
    <n v="360"/>
    <n v="6466.19"/>
    <n v="355.64044999999999"/>
    <n v="6821.8304499999995"/>
    <n v="6800"/>
    <s v="non"/>
    <m/>
    <m/>
    <s v="ADEME 2021"/>
    <s v="NC"/>
  </r>
  <r>
    <x v="2"/>
    <n v="4"/>
    <x v="3"/>
    <x v="2"/>
    <s v="EBL"/>
    <s v="VRB0151"/>
    <n v="1000"/>
    <d v="2021-03-29T00:00:00"/>
    <d v="2021-04-01T00:00:00"/>
    <d v="2021-04-01T00:00:00"/>
    <s v="Manque dernière page taxe foncière (ok)"/>
    <d v="2021-04-12T00:00:00"/>
    <d v="2021-04-12T00:00:00"/>
    <d v="2021-04-19T00:00:00"/>
    <m/>
    <d v="2021-08-13T00:00:00"/>
    <d v="2021-08-12T00:00:00"/>
    <s v="-"/>
    <d v="2021-08-16T00:00:00"/>
    <d v="2021-08-16T00:00:00"/>
    <d v="2021-09-22T00:00:00"/>
    <m/>
    <m/>
    <m/>
    <s v="JUILLIAN-BINARD"/>
    <s v="Michel"/>
    <n v="2"/>
    <n v="17732"/>
    <n v="15"/>
    <s v="Chemin de Vir Fourche"/>
    <n v="38500"/>
    <x v="1"/>
    <n v="688942089"/>
    <s v="chantal.mangione@orange.fr"/>
    <s v="PO"/>
    <m/>
    <m/>
    <s v="-"/>
    <s v="-"/>
    <s v="-"/>
    <s v="-"/>
    <x v="6"/>
    <x v="6"/>
    <s v="FAURE Jacques"/>
    <s v="jacques.faure24@wanadoo.fr"/>
    <n v="476355605"/>
    <s v="-"/>
    <s v="oui"/>
    <d v="2021-10-26T00:00:00"/>
    <s v="insert / foyer fermé"/>
    <n v="1990"/>
    <x v="0"/>
    <x v="1"/>
    <s v="DICK GEURTS par FONTE FLAMME"/>
    <s v="IVAR 5"/>
    <n v="8"/>
    <n v="5.0999999999999996"/>
    <n v="82"/>
    <n v="0.09"/>
    <s v="FV7"/>
    <m/>
    <n v="4728.32"/>
    <m/>
    <m/>
    <m/>
    <n v="1134.8"/>
    <n v="5863.12"/>
    <n v="322.47160000000002"/>
    <n v="6185.5915999999997"/>
    <n v="6185.59"/>
    <s v="non"/>
    <m/>
    <m/>
    <s v="ADEME 2021"/>
    <s v="NC"/>
  </r>
  <r>
    <x v="2"/>
    <n v="4"/>
    <x v="3"/>
    <x v="1"/>
    <s v="EBL"/>
    <s v="VRB0152"/>
    <n v="600"/>
    <d v="2021-04-02T00:00:00"/>
    <d v="2021-04-06T00:00:00"/>
    <s v="-"/>
    <s v="-"/>
    <d v="2021-04-07T00:00:00"/>
    <d v="2021-04-07T00:00:00"/>
    <d v="2021-04-09T00:00:00"/>
    <m/>
    <d v="2021-09-14T00:00:00"/>
    <d v="2021-09-07T00:00:00"/>
    <s v="-"/>
    <d v="2021-09-16T00:00:00"/>
    <d v="2021-09-16T00:00:00"/>
    <d v="2021-09-30T00:00:00"/>
    <m/>
    <m/>
    <m/>
    <s v="BOISSARD"/>
    <s v="Jean-Michel"/>
    <n v="3"/>
    <n v="44200"/>
    <s v="556 C"/>
    <s v="Rue de la Moyroude"/>
    <n v="38140"/>
    <x v="6"/>
    <n v="476915676"/>
    <s v="jean-michel.boissard@wanadoo.fr"/>
    <s v="PO"/>
    <m/>
    <m/>
    <s v="-"/>
    <s v="-"/>
    <s v="-"/>
    <s v="-"/>
    <x v="11"/>
    <x v="2"/>
    <s v="GRATIER Pascal"/>
    <s v="grenoble@hase-boutique.fr"/>
    <n v="476452433"/>
    <s v="-"/>
    <s v="oui"/>
    <d v="2022-01-28T00:00:00"/>
    <s v="insert / foyer fermé"/>
    <n v="1998"/>
    <x v="0"/>
    <x v="1"/>
    <s v="HASE"/>
    <s v="PADUA"/>
    <n v="15"/>
    <n v="7.9"/>
    <n v="81"/>
    <n v="0.08"/>
    <s v="FV7"/>
    <m/>
    <n v="8910.2899999999991"/>
    <m/>
    <m/>
    <m/>
    <n v="985"/>
    <n v="9895.2899999999991"/>
    <n v="544.24095"/>
    <n v="10439.530949999998"/>
    <n v="10018.59"/>
    <s v="oui"/>
    <m/>
    <m/>
    <s v="ADEME 2021"/>
    <s v="NC"/>
  </r>
  <r>
    <x v="2"/>
    <n v="4"/>
    <x v="3"/>
    <x v="2"/>
    <s v="EBL"/>
    <s v="VRB0153"/>
    <n v="1000"/>
    <d v="2021-04-02T00:00:00"/>
    <d v="2021-04-06T00:00:00"/>
    <d v="2021-04-07T00:00:00"/>
    <s v="Mauvais justificatif de domicile (ok)"/>
    <d v="2021-04-12T00:00:00"/>
    <d v="2021-04-12T00:00:00"/>
    <d v="2021-04-19T00:00:00"/>
    <m/>
    <d v="2021-06-02T00:00:00"/>
    <d v="2021-05-25T00:00:00"/>
    <s v="Manque photo (ok)"/>
    <d v="2021-06-08T00:00:00"/>
    <d v="2021-06-08T00:00:00"/>
    <d v="2021-07-01T00:00:00"/>
    <m/>
    <m/>
    <m/>
    <s v="MATHIEU"/>
    <s v="Nathalie"/>
    <n v="3"/>
    <n v="14789"/>
    <n v="75"/>
    <s v="Rue du Janin"/>
    <n v="38850"/>
    <x v="24"/>
    <n v="622182443"/>
    <s v="mathieu.nath@gmail.com"/>
    <s v="PO"/>
    <m/>
    <m/>
    <s v="-"/>
    <s v="-"/>
    <s v="-"/>
    <s v="-"/>
    <x v="31"/>
    <x v="24"/>
    <s v="BRUNO Pascal"/>
    <s v="pascal.brn@gmail.com"/>
    <n v="618630529"/>
    <s v="-"/>
    <s v="oui"/>
    <d v="2021-11-14T00:00:00"/>
    <s v="poêle"/>
    <n v="1998"/>
    <x v="0"/>
    <x v="0"/>
    <s v="INOVALP"/>
    <s v="HOBEN H7"/>
    <n v="20"/>
    <n v="8.3000000000000007"/>
    <n v="87"/>
    <n v="1.7999999999999999E-2"/>
    <s v="registre"/>
    <m/>
    <n v="5095"/>
    <m/>
    <m/>
    <m/>
    <n v="570"/>
    <n v="5665"/>
    <n v="311.57499999999999"/>
    <n v="5976.5749999999998"/>
    <n v="5276.06"/>
    <s v="non"/>
    <m/>
    <m/>
    <s v="ADEME 2021"/>
    <s v="NC"/>
  </r>
  <r>
    <x v="2"/>
    <n v="4"/>
    <x v="3"/>
    <x v="1"/>
    <s v="EBL"/>
    <s v="VRB0154"/>
    <n v="600"/>
    <d v="2021-04-08T00:00:00"/>
    <d v="2021-04-12T00:00:00"/>
    <s v="-"/>
    <s v="-"/>
    <d v="2021-04-12T00:00:00"/>
    <d v="2021-04-12T00:00:00"/>
    <d v="2021-04-19T00:00:00"/>
    <m/>
    <d v="2021-11-19T00:00:00"/>
    <d v="2021-09-29T00:00:00"/>
    <s v="-"/>
    <d v="2021-11-25T00:00:00"/>
    <d v="2021-11-25T00:00:00"/>
    <d v="2021-12-09T00:00:00"/>
    <m/>
    <m/>
    <m/>
    <s v="JEAN"/>
    <s v="David"/>
    <n v="4"/>
    <n v="46984"/>
    <n v="116"/>
    <s v="Rue de la Procession"/>
    <n v="38500"/>
    <x v="4"/>
    <n v="645255437"/>
    <s v="david.jean66@laposte.net"/>
    <s v="PO"/>
    <m/>
    <m/>
    <s v="-"/>
    <s v="-"/>
    <s v="-"/>
    <s v="-"/>
    <x v="7"/>
    <x v="1"/>
    <s v="PIERRE Emmanuel"/>
    <s v="voiron@techni-nature.com"/>
    <n v="951096343"/>
    <s v="-"/>
    <s v="oui"/>
    <d v="2021-08-25T00:00:00"/>
    <s v="insert / foyer fermé"/>
    <n v="2000"/>
    <x v="0"/>
    <x v="0"/>
    <s v="INOVALP"/>
    <s v="HOBEN H7"/>
    <n v="20"/>
    <n v="8.3000000000000007"/>
    <n v="87"/>
    <n v="1.7999999999999999E-2"/>
    <s v="registre"/>
    <m/>
    <n v="6121.27"/>
    <m/>
    <m/>
    <m/>
    <n v="628.44000000000005"/>
    <n v="6749.7100000000009"/>
    <n v="371.23405000000008"/>
    <n v="7120.944050000001"/>
    <n v="7000"/>
    <s v="non"/>
    <m/>
    <m/>
    <s v="ADEME 2021"/>
    <s v="NC"/>
  </r>
  <r>
    <x v="2"/>
    <n v="4"/>
    <x v="3"/>
    <x v="1"/>
    <s v="EBL"/>
    <s v="VRB0155"/>
    <n v="600"/>
    <d v="2021-04-09T00:00:00"/>
    <d v="2021-04-12T00:00:00"/>
    <s v="-"/>
    <s v="-"/>
    <d v="2021-04-12T00:00:00"/>
    <d v="2021-04-12T00:00:00"/>
    <d v="2021-04-19T00:00:00"/>
    <m/>
    <d v="2021-09-02T00:00:00"/>
    <d v="2021-07-28T00:00:00"/>
    <s v="-"/>
    <d v="2021-09-03T00:00:00"/>
    <d v="2021-09-03T00:00:00"/>
    <d v="2021-09-30T00:00:00"/>
    <m/>
    <m/>
    <m/>
    <s v="GILLET"/>
    <s v="Xavier"/>
    <n v="2"/>
    <n v="64816"/>
    <n v="57"/>
    <s v="Chemin des Combes"/>
    <n v="38500"/>
    <x v="30"/>
    <n v="672083137"/>
    <s v="xa860@hotmail.com"/>
    <s v="PO"/>
    <m/>
    <m/>
    <s v="-"/>
    <s v="-"/>
    <s v="-"/>
    <s v="-"/>
    <x v="27"/>
    <x v="20"/>
    <s v="GABORIT Sabin"/>
    <s v="infos38@atre-loisirs.fr"/>
    <n v="476441060"/>
    <s v="-"/>
    <s v="oui"/>
    <d v="2021-07-21T00:00:00"/>
    <s v="insert / foyer fermé"/>
    <n v="1993"/>
    <x v="0"/>
    <x v="1"/>
    <s v="JOTUL"/>
    <s v="F360 ADVANCE"/>
    <n v="4"/>
    <n v="6.8"/>
    <n v="78"/>
    <n v="0.06"/>
    <s v="FV7"/>
    <m/>
    <n v="3741.5"/>
    <m/>
    <m/>
    <m/>
    <n v="680"/>
    <n v="4421.5"/>
    <n v="243.1825"/>
    <n v="4664.6824999999999"/>
    <n v="4000.03"/>
    <s v="non"/>
    <m/>
    <m/>
    <s v="ADEME 2021"/>
    <s v="NC"/>
  </r>
  <r>
    <x v="2"/>
    <n v="4"/>
    <x v="3"/>
    <x v="2"/>
    <s v="EBL"/>
    <s v="VRB0156"/>
    <n v="1000"/>
    <d v="2021-04-13T00:00:00"/>
    <d v="2021-04-15T00:00:00"/>
    <s v="-"/>
    <s v="-"/>
    <d v="2021-04-15T00:00:00"/>
    <d v="2021-04-15T00:00:00"/>
    <d v="2021-04-21T00:00:00"/>
    <m/>
    <d v="2021-07-13T00:00:00"/>
    <d v="2021-07-12T00:00:00"/>
    <s v="-"/>
    <d v="2021-07-16T00:00:00"/>
    <d v="2021-07-16T00:00:00"/>
    <d v="2021-08-26T00:00:00"/>
    <m/>
    <m/>
    <m/>
    <s v="LOBASCIO"/>
    <s v="Josette"/>
    <n v="1"/>
    <n v="14428"/>
    <n v="22"/>
    <s v="Route de Montmartel"/>
    <n v="38430"/>
    <x v="2"/>
    <n v="476955063"/>
    <s v="jo.lobascio@free.fr"/>
    <s v="PO"/>
    <m/>
    <m/>
    <s v="-"/>
    <s v="-"/>
    <s v="-"/>
    <s v="-"/>
    <x v="6"/>
    <x v="6"/>
    <s v="FAURE Jacques"/>
    <s v="jacques.faure24@wanadoo.fr"/>
    <n v="476355605"/>
    <s v="-"/>
    <s v="oui"/>
    <d v="2021-10-26T00:00:00"/>
    <s v="insert / foyer fermé"/>
    <n v="1990"/>
    <x v="2"/>
    <x v="1"/>
    <s v="FONTE FLAMME"/>
    <s v="VISION 700-8K"/>
    <n v="26"/>
    <n v="8"/>
    <n v="81"/>
    <n v="7.0000000000000007E-2"/>
    <s v="FV7"/>
    <m/>
    <n v="3177.25"/>
    <m/>
    <m/>
    <m/>
    <n v="1431.12"/>
    <n v="4608.37"/>
    <n v="253.46035000000001"/>
    <n v="4861.8303500000002"/>
    <n v="4861.83"/>
    <s v="oui"/>
    <m/>
    <m/>
    <s v="ADEME 2021"/>
    <s v="NC"/>
  </r>
  <r>
    <x v="2"/>
    <n v="4"/>
    <x v="3"/>
    <x v="1"/>
    <s v="EBL"/>
    <s v="VRB0157"/>
    <n v="600"/>
    <d v="2021-04-13T00:00:00"/>
    <d v="2021-04-15T00:00:00"/>
    <d v="2021-04-15T00:00:00"/>
    <s v="Manque avis d'imposition 2020+Acte notarié (ok le 16/04/21)"/>
    <d v="2021-04-19T00:00:00"/>
    <d v="2021-04-19T00:00:00"/>
    <d v="2021-04-26T00:00:00"/>
    <m/>
    <d v="2021-10-26T00:00:00"/>
    <d v="2021-06-02T00:00:00"/>
    <s v="-"/>
    <d v="2021-10-28T00:00:00"/>
    <d v="2021-10-28T00:00:00"/>
    <d v="2021-10-29T00:00:00"/>
    <m/>
    <m/>
    <m/>
    <s v="BIET"/>
    <s v="Steeve"/>
    <n v="3"/>
    <n v="45309"/>
    <s v="41A"/>
    <s v="Rue du Pomarin"/>
    <n v="38500"/>
    <x v="4"/>
    <n v="645356996"/>
    <s v="famille.biet.38@gmail.com"/>
    <s v="PO"/>
    <m/>
    <m/>
    <s v="-"/>
    <s v="-"/>
    <s v="-"/>
    <s v="-"/>
    <x v="12"/>
    <x v="8"/>
    <s v="AILLOUD Jérôme"/>
    <s v="sarlpab@orange.fr"/>
    <n v="437064566"/>
    <s v="-"/>
    <s v="oui"/>
    <d v="2022-03-13T00:00:00"/>
    <s v="foyer ouvert"/>
    <n v="1987"/>
    <x v="0"/>
    <x v="0"/>
    <s v="FREEPOINT"/>
    <s v="VEGA"/>
    <n v="12"/>
    <n v="10.5"/>
    <n v="87"/>
    <n v="0.01"/>
    <s v="FV7"/>
    <m/>
    <n v="3377.1499999999996"/>
    <m/>
    <m/>
    <m/>
    <n v="1571.1000000000001"/>
    <n v="4948.25"/>
    <n v="272.15375"/>
    <n v="5220.4037500000004"/>
    <n v="4761.08"/>
    <s v="non"/>
    <m/>
    <m/>
    <s v="ADEME 2021"/>
    <s v="NC"/>
  </r>
  <r>
    <x v="2"/>
    <n v="4"/>
    <x v="3"/>
    <x v="1"/>
    <s v="EBL"/>
    <s v="VRB0158"/>
    <n v="600"/>
    <d v="2021-04-16T00:00:00"/>
    <d v="2021-04-19T00:00:00"/>
    <s v="-"/>
    <s v="-"/>
    <d v="2021-04-19T00:00:00"/>
    <d v="2021-04-19T00:00:00"/>
    <d v="2021-04-26T00:00:00"/>
    <m/>
    <d v="2021-09-15T00:00:00"/>
    <d v="2021-07-24T00:00:00"/>
    <s v="-"/>
    <d v="2021-09-16T00:00:00"/>
    <d v="2021-09-16T00:00:00"/>
    <d v="2021-09-30T00:00:00"/>
    <m/>
    <m/>
    <m/>
    <s v="PELLEGRIN"/>
    <s v="Christian"/>
    <n v="3"/>
    <n v="84071"/>
    <n v="37"/>
    <s v="Rue des Ecureuils"/>
    <n v="38500"/>
    <x v="18"/>
    <n v="767605415"/>
    <s v="christian.pellegrin@free.fr"/>
    <s v="PO"/>
    <m/>
    <m/>
    <s v="-"/>
    <s v="-"/>
    <s v="-"/>
    <s v="-"/>
    <x v="7"/>
    <x v="1"/>
    <s v="PIERRE Emmanuel"/>
    <s v="voiron@techni-nature.com"/>
    <n v="951096343"/>
    <s v="-"/>
    <s v="oui"/>
    <d v="2021-08-25T00:00:00"/>
    <s v="insert / foyer fermé"/>
    <n v="1988"/>
    <x v="0"/>
    <x v="0"/>
    <s v="PIAZZETTA"/>
    <s v="P963T"/>
    <n v="10"/>
    <n v="11.3"/>
    <n v="90"/>
    <n v="0.01"/>
    <s v="FV7"/>
    <m/>
    <n v="6229.25"/>
    <m/>
    <m/>
    <m/>
    <n v="630"/>
    <n v="6859.25"/>
    <n v="377.25875000000002"/>
    <n v="7236.50875"/>
    <n v="6387.9"/>
    <s v="oui"/>
    <m/>
    <m/>
    <s v="ADEME 2021"/>
    <s v="NC"/>
  </r>
  <r>
    <x v="2"/>
    <n v="4"/>
    <x v="3"/>
    <x v="1"/>
    <s v="EBL"/>
    <s v="VRB0159"/>
    <n v="600"/>
    <d v="2021-04-18T00:00:00"/>
    <d v="2021-04-19T00:00:00"/>
    <d v="2021-04-19T00:00:00"/>
    <s v="Manque questionnaire (ok le 19/04/21)"/>
    <d v="2021-04-20T00:00:00"/>
    <d v="2021-04-20T00:00:00"/>
    <d v="2021-04-27T00:00:00"/>
    <m/>
    <d v="2021-09-07T00:00:00"/>
    <d v="2021-06-30T00:00:00"/>
    <s v="-"/>
    <d v="2021-09-16T00:00:00"/>
    <d v="2021-09-16T00:00:00"/>
    <d v="2021-09-30T00:00:00"/>
    <m/>
    <m/>
    <m/>
    <s v="DUCOURANT"/>
    <s v="Thierry&amp;Francine"/>
    <n v="2"/>
    <n v="115583"/>
    <n v="42"/>
    <s v="Rue Louvasset"/>
    <n v="38500"/>
    <x v="1"/>
    <n v="630398972"/>
    <s v="tf.ducourant@orange.fr"/>
    <s v="PO"/>
    <m/>
    <m/>
    <s v="-"/>
    <s v="-"/>
    <s v="-"/>
    <s v="-"/>
    <x v="10"/>
    <x v="1"/>
    <s v="GILLET Pascal"/>
    <s v="bois-soleil.chauffage@orange.fr"/>
    <n v="476323235"/>
    <s v="-"/>
    <s v="oui"/>
    <d v="2021-08-21T00:00:00"/>
    <s v="foyer ouvert"/>
    <n v="1990"/>
    <x v="0"/>
    <x v="1"/>
    <s v="JOTUL"/>
    <s v="F360 ADVANCE"/>
    <n v="4"/>
    <n v="6.8"/>
    <n v="78"/>
    <n v="0.06"/>
    <s v="FV7"/>
    <m/>
    <n v="3690"/>
    <m/>
    <m/>
    <m/>
    <n v="735"/>
    <n v="4425"/>
    <n v="243.375"/>
    <n v="4668.375"/>
    <n v="4298.97"/>
    <s v="oui"/>
    <m/>
    <m/>
    <s v="ADEME 2021"/>
    <s v="NC"/>
  </r>
  <r>
    <x v="2"/>
    <n v="4"/>
    <x v="3"/>
    <x v="1"/>
    <s v="EBL"/>
    <s v="VRB0160"/>
    <n v="600"/>
    <d v="2021-04-19T00:00:00"/>
    <d v="2021-04-19T00:00:00"/>
    <d v="2021-04-19T00:00:00"/>
    <s v="Manque adresse RIB+photo en plan large (ok le 19/04/21)"/>
    <d v="2021-04-20T00:00:00"/>
    <d v="2021-04-20T00:00:00"/>
    <d v="2021-04-27T00:00:00"/>
    <m/>
    <d v="2021-06-30T00:00:00"/>
    <d v="2021-06-09T00:00:00"/>
    <s v="-"/>
    <d v="2021-07-06T00:00:00"/>
    <d v="2021-07-06T00:00:00"/>
    <d v="2021-07-12T00:00:00"/>
    <m/>
    <m/>
    <m/>
    <s v="PEYRIN"/>
    <s v="Jean-Claude"/>
    <n v="2"/>
    <n v="133121"/>
    <n v="976"/>
    <s v="Chemin du Pansu"/>
    <n v="38500"/>
    <x v="4"/>
    <n v="622733959"/>
    <s v="jean-claude.peyrin@outlook.fr"/>
    <s v="PO"/>
    <m/>
    <m/>
    <s v="-"/>
    <s v="-"/>
    <s v="-"/>
    <s v="-"/>
    <x v="16"/>
    <x v="10"/>
    <s v="ALO"/>
    <s v="cheminees.jay@orange.fr"/>
    <n v="476500550"/>
    <s v="-"/>
    <s v="oui"/>
    <d v="2021-06-28T00:00:00"/>
    <s v="foyer ouvert"/>
    <n v="1990"/>
    <x v="0"/>
    <x v="1"/>
    <s v="DOVRE"/>
    <n v="760"/>
    <n v="40"/>
    <n v="12"/>
    <n v="80"/>
    <n v="0.06"/>
    <s v="FV7"/>
    <m/>
    <n v="3156.2000000000003"/>
    <m/>
    <m/>
    <m/>
    <n v="1346.17"/>
    <n v="4502.3700000000008"/>
    <n v="247.63035000000005"/>
    <n v="4750.0003500000012"/>
    <n v="4750"/>
    <s v="oui"/>
    <m/>
    <m/>
    <s v="ADEME 2021"/>
    <s v="NC"/>
  </r>
  <r>
    <x v="2"/>
    <n v="5"/>
    <x v="3"/>
    <x v="1"/>
    <s v="EBL"/>
    <s v="VRB0161"/>
    <n v="600"/>
    <d v="2021-04-20T00:00:00"/>
    <d v="2021-04-22T00:00:00"/>
    <d v="2021-04-22T00:00:00"/>
    <s v="Manque dernière page taxe fonçière+RGE expiré + appareil non flamme verte (ok)"/>
    <d v="2021-05-01T00:00:00"/>
    <d v="2021-05-01T00:00:00"/>
    <d v="2021-05-03T00:00:00"/>
    <m/>
    <d v="2021-07-02T00:00:00"/>
    <d v="2021-06-26T00:00:00"/>
    <s v="Accord CAPV"/>
    <d v="2021-08-18T00:00:00"/>
    <d v="2021-08-18T00:00:00"/>
    <d v="2021-09-22T00:00:00"/>
    <m/>
    <s v="-"/>
    <s v="Dossier incomplet mais travaux réalisé (mail du 06/07/2021 puis dérog accepté"/>
    <s v="LAULHE"/>
    <s v="Christian"/>
    <n v="3"/>
    <n v="48851"/>
    <n v="65"/>
    <s v="Lotissement Les Jardins du Centre"/>
    <n v="38140"/>
    <x v="8"/>
    <n v="682939237"/>
    <s v="laulhe.christian@orange.fr"/>
    <s v="PO"/>
    <m/>
    <m/>
    <s v="-"/>
    <s v="-"/>
    <s v="-"/>
    <s v="-"/>
    <x v="5"/>
    <x v="5"/>
    <s v="HAMAIN Jérémie"/>
    <s v="godin-grenoble@orange.fr"/>
    <n v="438021901"/>
    <s v="-"/>
    <s v="oui"/>
    <d v="2022-03-21T00:00:00"/>
    <s v="insert / foyer fermé"/>
    <n v="1994"/>
    <x v="2"/>
    <x v="1"/>
    <s v="CHEMINEE GODIN"/>
    <s v="757 SR"/>
    <n v="30"/>
    <n v="14.1"/>
    <n v="80.2"/>
    <n v="0.09"/>
    <s v="FV7"/>
    <m/>
    <n v="4891"/>
    <m/>
    <m/>
    <m/>
    <n v="891"/>
    <n v="5782"/>
    <n v="318.01"/>
    <n v="6100.01"/>
    <n v="6100"/>
    <s v="oui"/>
    <m/>
    <m/>
    <s v="ADEME 2021"/>
    <s v="NC"/>
  </r>
  <r>
    <x v="2"/>
    <n v="4"/>
    <x v="3"/>
    <x v="2"/>
    <s v="EBL"/>
    <s v="VRB0162"/>
    <n v="1000"/>
    <d v="2021-04-21T00:00:00"/>
    <d v="2021-04-22T00:00:00"/>
    <d v="2021-04-22T00:00:00"/>
    <s v="Manque page 3 devis (ok)"/>
    <d v="2021-04-27T00:00:00"/>
    <d v="2021-04-27T00:00:00"/>
    <d v="2021-05-03T00:00:00"/>
    <m/>
    <d v="2021-09-28T00:00:00"/>
    <d v="2021-09-16T00:00:00"/>
    <s v="-"/>
    <d v="2021-09-30T00:00:00"/>
    <d v="2021-09-30T00:00:00"/>
    <d v="2021-09-30T00:00:00"/>
    <m/>
    <m/>
    <m/>
    <s v="MARTIN"/>
    <s v="Jean-René"/>
    <n v="2"/>
    <n v="24064"/>
    <n v="94"/>
    <s v="Route de Saint Nicolas de Macherin La Nouvellière"/>
    <n v="38620"/>
    <x v="32"/>
    <n v="624279382"/>
    <s v="jrm38@orange.fr"/>
    <s v="PO"/>
    <m/>
    <m/>
    <s v="-"/>
    <s v="-"/>
    <s v="-"/>
    <s v="-"/>
    <x v="32"/>
    <x v="25"/>
    <s v="HUGUENIN Guillaume"/>
    <s v="contact@alpisorenov.fr"/>
    <n v="476221190"/>
    <s v="-"/>
    <s v="oui"/>
    <d v="2021-06-02T00:00:00"/>
    <s v="poêle"/>
    <s v="&lt;2002"/>
    <x v="0"/>
    <x v="1"/>
    <s v="BRONPI"/>
    <s v="TUDELA"/>
    <n v="27"/>
    <n v="13"/>
    <n v="81.599999999999994"/>
    <n v="0.12"/>
    <s v="FV7"/>
    <m/>
    <n v="2279.02"/>
    <m/>
    <m/>
    <m/>
    <n v="455.5"/>
    <n v="2734.52"/>
    <n v="150.39859999999999"/>
    <n v="2884.9186"/>
    <n v="2884.92"/>
    <s v="oui"/>
    <m/>
    <m/>
    <s v="ADEME 2021"/>
    <s v="NC"/>
  </r>
  <r>
    <x v="0"/>
    <e v="#VALUE!"/>
    <x v="4"/>
    <x v="0"/>
    <s v="EBL"/>
    <s v="VRB0163"/>
    <s v="-"/>
    <d v="2021-04-21T00:00:00"/>
    <d v="2021-04-22T00:00:00"/>
    <s v="-"/>
    <s v="-"/>
    <s v="-"/>
    <s v="-"/>
    <s v="-"/>
    <m/>
    <s v="-"/>
    <s v="-"/>
    <s v="-"/>
    <s v="-"/>
    <s v="-"/>
    <s v="-"/>
    <m/>
    <d v="2021-04-22T00:00:00"/>
    <s v="Poêle supp à 2002"/>
    <s v="BLANC"/>
    <s v="Joël"/>
    <n v="2"/>
    <n v="29717"/>
    <n v="740"/>
    <s v="Chemin de la Mearie"/>
    <n v="38210"/>
    <x v="15"/>
    <n v="668005367"/>
    <s v="-"/>
    <s v="PO"/>
    <m/>
    <m/>
    <s v="-"/>
    <s v="-"/>
    <s v="-"/>
    <s v="-"/>
    <x v="33"/>
    <x v="26"/>
    <s v="GUILLAUD SAUMUR"/>
    <s v="latredauphinois@gmail.com"/>
    <n v="676354364"/>
    <s v="-"/>
    <s v="non"/>
    <d v="2021-10-26T00:00:00"/>
    <s v="insert / foyer fermé"/>
    <n v="2006"/>
    <x v="0"/>
    <x v="0"/>
    <s v="RAVELLI"/>
    <s v="S90"/>
    <s v="-"/>
    <s v="-"/>
    <s v="-"/>
    <s v="-"/>
    <s v="non"/>
    <m/>
    <n v="2725.29"/>
    <m/>
    <m/>
    <m/>
    <n v="500"/>
    <n v="3225.29"/>
    <n v="177.39095"/>
    <n v="3402.6809499999999"/>
    <m/>
    <m/>
    <m/>
    <m/>
    <n v="0"/>
    <s v="NC"/>
  </r>
  <r>
    <x v="2"/>
    <n v="5"/>
    <x v="3"/>
    <x v="1"/>
    <s v="EBL"/>
    <s v="VRB0164"/>
    <n v="600"/>
    <d v="2021-04-29T00:00:00"/>
    <d v="2021-05-04T00:00:00"/>
    <s v="-"/>
    <s v="-"/>
    <d v="2021-05-06T00:00:00"/>
    <d v="2021-05-06T00:00:00"/>
    <d v="2021-05-17T00:00:00"/>
    <m/>
    <d v="2022-01-21T00:00:00"/>
    <d v="2021-07-23T00:00:00"/>
    <m/>
    <d v="2022-02-02T00:00:00"/>
    <d v="2022-02-03T00:00:00"/>
    <d v="2022-02-08T00:00:00"/>
    <m/>
    <m/>
    <m/>
    <s v="DILAS"/>
    <s v="Bruno"/>
    <n v="2"/>
    <n v="33751"/>
    <n v="382"/>
    <s v="Route de la Croix Blanche"/>
    <n v="38500"/>
    <x v="13"/>
    <n v="648589845"/>
    <s v="mariedilas@yahoo.fr"/>
    <s v="PO"/>
    <m/>
    <m/>
    <s v="-"/>
    <s v="-"/>
    <s v="-"/>
    <s v="-"/>
    <x v="12"/>
    <x v="8"/>
    <s v="AILLOUD Jérôme"/>
    <s v="sarlpab@orange.fr"/>
    <n v="437064566"/>
    <s v="-"/>
    <s v="oui"/>
    <d v="2022-03-13T00:00:00"/>
    <s v="insert / foyer fermé"/>
    <n v="1992"/>
    <x v="0"/>
    <x v="1"/>
    <s v="INVICTA"/>
    <s v="CALCIAS"/>
    <n v="20"/>
    <n v="9"/>
    <n v="77"/>
    <n v="0.1"/>
    <s v="FV7"/>
    <m/>
    <n v="4023.15"/>
    <m/>
    <m/>
    <m/>
    <n v="1330"/>
    <n v="5353.15"/>
    <n v="294.42325"/>
    <n v="5647.5732499999995"/>
    <n v="5080.93"/>
    <s v="oui"/>
    <m/>
    <m/>
    <s v="ADEME 2021"/>
    <s v="NC"/>
  </r>
  <r>
    <x v="2"/>
    <n v="5"/>
    <x v="3"/>
    <x v="1"/>
    <s v="EBL"/>
    <s v="VRB0165"/>
    <n v="600"/>
    <d v="2021-05-01T00:00:00"/>
    <d v="2021-05-04T00:00:00"/>
    <s v="-"/>
    <s v="-"/>
    <d v="2021-05-06T00:00:00"/>
    <d v="2021-05-06T00:00:00"/>
    <d v="2021-05-17T00:00:00"/>
    <m/>
    <d v="2021-08-02T00:00:00"/>
    <d v="2021-07-06T00:00:00"/>
    <s v="-"/>
    <d v="2021-08-05T00:00:00"/>
    <d v="2021-08-05T00:00:00"/>
    <d v="2021-09-14T00:00:00"/>
    <m/>
    <m/>
    <m/>
    <s v="PENOT"/>
    <s v="Sophie"/>
    <n v="2"/>
    <n v="48305"/>
    <n v="19"/>
    <s v=" Lotissement Domaine de Merlière"/>
    <n v="38210"/>
    <x v="15"/>
    <n v="659397120"/>
    <s v="sophie.penot07@gmail.com"/>
    <s v="PO"/>
    <m/>
    <m/>
    <s v="-"/>
    <s v="-"/>
    <s v="-"/>
    <s v="-"/>
    <x v="6"/>
    <x v="6"/>
    <s v="FAURE Jacques"/>
    <s v="jacques.faure24@wanadoo.fr"/>
    <n v="476355605"/>
    <s v="-"/>
    <s v="oui"/>
    <d v="2021-10-26T00:00:00"/>
    <s v="insert / foyer fermé"/>
    <n v="1996"/>
    <x v="0"/>
    <x v="1"/>
    <s v="FONTE FLAMME"/>
    <s v="ONA"/>
    <n v="14"/>
    <n v="5"/>
    <n v="81"/>
    <n v="0.06"/>
    <s v="FV7"/>
    <m/>
    <n v="2654.8399999999997"/>
    <m/>
    <m/>
    <m/>
    <n v="525"/>
    <n v="3179.8399999999997"/>
    <n v="174.8912"/>
    <n v="3354.7311999999997"/>
    <n v="3354.73"/>
    <s v="oui"/>
    <m/>
    <m/>
    <s v="ADEME 2021"/>
    <s v="NC"/>
  </r>
  <r>
    <x v="0"/>
    <e v="#VALUE!"/>
    <x v="4"/>
    <x v="0"/>
    <s v="EBL"/>
    <s v="VRB0166"/>
    <s v="-"/>
    <d v="2021-05-04T00:00:00"/>
    <d v="2021-05-04T00:00:00"/>
    <s v="-"/>
    <s v="-"/>
    <s v="-"/>
    <s v="-"/>
    <s v="-"/>
    <m/>
    <s v="-"/>
    <s v="-"/>
    <s v="-"/>
    <s v="-"/>
    <s v="-"/>
    <s v="-"/>
    <m/>
    <d v="2021-05-06T00:00:00"/>
    <s v="Pas d'ancien appareil"/>
    <s v="BRUNO"/>
    <s v="Aldo"/>
    <n v="2"/>
    <n v="24670"/>
    <n v="130"/>
    <s v="Rouet de la Grangère"/>
    <n v="38850"/>
    <x v="7"/>
    <n v="683891392"/>
    <s v="helicados@gmail.com"/>
    <s v="PO"/>
    <m/>
    <m/>
    <s v="-"/>
    <s v="-"/>
    <s v="-"/>
    <s v="-"/>
    <x v="34"/>
    <x v="27"/>
    <s v="JACQUET"/>
    <s v="laglaceetlefeu38@gmail.com"/>
    <n v="476042368"/>
    <s v="-"/>
    <s v="oui"/>
    <d v="2021-11-24T00:00:00"/>
    <m/>
    <m/>
    <x v="0"/>
    <x v="1"/>
    <s v="PANADERO"/>
    <s v="ECODESIGN"/>
    <n v="30"/>
    <n v="8"/>
    <n v="78"/>
    <n v="0.1"/>
    <s v="FV7"/>
    <m/>
    <n v="2128.8000000000002"/>
    <m/>
    <m/>
    <m/>
    <n v="1084"/>
    <n v="3212.8"/>
    <n v="176.70400000000001"/>
    <n v="3389.5040000000004"/>
    <n v="3212.8"/>
    <s v="non"/>
    <m/>
    <m/>
    <n v="0"/>
    <s v="NC"/>
  </r>
  <r>
    <x v="2"/>
    <n v="5"/>
    <x v="3"/>
    <x v="2"/>
    <s v="EBL"/>
    <s v="VRB0167"/>
    <n v="1000"/>
    <d v="2021-05-04T00:00:00"/>
    <d v="2021-05-04T00:00:00"/>
    <s v="-"/>
    <s v="-"/>
    <d v="2021-05-06T00:00:00"/>
    <d v="2021-05-06T00:00:00"/>
    <d v="2021-05-17T00:00:00"/>
    <m/>
    <d v="2021-08-16T00:00:00"/>
    <d v="2021-08-10T00:00:00"/>
    <s v="-"/>
    <d v="2022-08-15T00:00:00"/>
    <d v="2022-08-15T00:00:00"/>
    <s v="-"/>
    <m/>
    <m/>
    <m/>
    <s v="POTISK"/>
    <s v="Daniel"/>
    <n v="3"/>
    <n v="28976"/>
    <n v="437"/>
    <s v="Chemin du Molard"/>
    <n v="38850"/>
    <x v="7"/>
    <n v="676783853"/>
    <s v="daniel.potisk@orange.fr"/>
    <s v="PO"/>
    <m/>
    <m/>
    <s v="-"/>
    <s v="-"/>
    <s v="-"/>
    <s v="-"/>
    <x v="14"/>
    <x v="1"/>
    <s v="SIMON Frédéric"/>
    <s v="contact@ecvoiron.fr"/>
    <n v="476069938"/>
    <s v="-"/>
    <s v="oui"/>
    <d v="2021-09-18T00:00:00"/>
    <s v="insert / foyer fermé"/>
    <n v="2000"/>
    <x v="0"/>
    <x v="1"/>
    <s v="ROMOTOP"/>
    <s v="RIANO"/>
    <n v="26"/>
    <n v="9"/>
    <n v="79.5"/>
    <n v="0.12"/>
    <s v="FV7"/>
    <m/>
    <n v="9303"/>
    <m/>
    <m/>
    <m/>
    <n v="2270"/>
    <n v="11573"/>
    <n v="636.51499999999999"/>
    <n v="12209.514999999999"/>
    <n v="12209.52"/>
    <s v="oui"/>
    <m/>
    <m/>
    <s v="ADEME 2021"/>
    <s v="NC"/>
  </r>
  <r>
    <x v="2"/>
    <n v="5"/>
    <x v="3"/>
    <x v="1"/>
    <s v="EBL"/>
    <s v="VRB0168"/>
    <n v="600"/>
    <d v="2021-05-04T00:00:00"/>
    <d v="2021-05-04T00:00:00"/>
    <d v="2021-05-06T00:00:00"/>
    <s v="Installataire non signataire (ok)"/>
    <d v="2021-05-07T00:00:00"/>
    <d v="2021-05-07T00:00:00"/>
    <d v="2021-05-12T00:00:00"/>
    <m/>
    <d v="2021-10-04T00:00:00"/>
    <d v="2021-09-15T00:00:00"/>
    <s v="-"/>
    <d v="2021-10-07T00:00:00"/>
    <d v="2021-10-07T00:00:00"/>
    <d v="2021-10-12T00:00:00"/>
    <m/>
    <m/>
    <m/>
    <s v="CHARAT"/>
    <s v="Claire"/>
    <n v="4"/>
    <n v="54189"/>
    <n v="405"/>
    <s v="Route de Trefond"/>
    <n v="38140"/>
    <x v="10"/>
    <n v="615207989"/>
    <s v="cbellemincomte@gmail.com"/>
    <s v="PO"/>
    <m/>
    <m/>
    <s v="-"/>
    <s v="-"/>
    <s v="-"/>
    <s v="-"/>
    <x v="33"/>
    <x v="26"/>
    <s v="GUILLAUD SAUMUR"/>
    <s v="latredauphinois@gmail.com"/>
    <n v="676354364"/>
    <s v="-"/>
    <s v="non "/>
    <d v="2021-10-26T00:00:00"/>
    <s v="insert / foyer fermé"/>
    <n v="1990"/>
    <x v="0"/>
    <x v="1"/>
    <s v="STUV"/>
    <s v="STUV 30"/>
    <n v="28"/>
    <n v="10"/>
    <n v="81"/>
    <n v="0.05"/>
    <s v="registre"/>
    <m/>
    <n v="6684.6699999999992"/>
    <m/>
    <m/>
    <m/>
    <n v="635"/>
    <n v="7319.6699999999992"/>
    <n v="402.58184999999997"/>
    <n v="7722.2518499999987"/>
    <n v="7722.26"/>
    <s v="oui"/>
    <m/>
    <m/>
    <s v="ADEME 2021"/>
    <s v="NC"/>
  </r>
  <r>
    <x v="2"/>
    <n v="5"/>
    <x v="3"/>
    <x v="1"/>
    <s v="EBL"/>
    <s v="VRB0169"/>
    <n v="600"/>
    <d v="2021-05-05T00:00:00"/>
    <d v="2021-05-06T00:00:00"/>
    <s v="-"/>
    <s v="-"/>
    <d v="2021-05-06T00:00:00"/>
    <d v="2021-05-06T00:00:00"/>
    <d v="2021-05-17T00:00:00"/>
    <m/>
    <d v="2021-07-21T00:00:00"/>
    <d v="2021-07-06T00:00:00"/>
    <s v="-"/>
    <d v="2021-08-05T00:00:00"/>
    <d v="2021-08-05T00:00:00"/>
    <d v="2021-09-14T00:00:00"/>
    <m/>
    <m/>
    <m/>
    <s v="DURAND"/>
    <s v="Patrice"/>
    <n v="2"/>
    <n v="34349"/>
    <n v="175"/>
    <s v="Impasse Plan et Oacarie"/>
    <n v="38850"/>
    <x v="9"/>
    <n v="770399256"/>
    <m/>
    <s v="PO"/>
    <m/>
    <m/>
    <s v="-"/>
    <s v="-"/>
    <s v="-"/>
    <s v="-"/>
    <x v="16"/>
    <x v="10"/>
    <s v="ALO"/>
    <s v="cheminees.jay@orange.fr"/>
    <n v="476500550"/>
    <s v="-"/>
    <s v="oui"/>
    <d v="2021-06-28T00:00:00"/>
    <s v="insert / foyer fermé"/>
    <n v="1990"/>
    <x v="0"/>
    <x v="1"/>
    <s v="TURBO FONTE"/>
    <s v="OCTAVE Pierre Ollaire"/>
    <n v="10"/>
    <n v="5"/>
    <n v="80"/>
    <n v="0.08"/>
    <s v="FV7"/>
    <m/>
    <n v="3785.13"/>
    <m/>
    <m/>
    <m/>
    <n v="900"/>
    <n v="4685.13"/>
    <n v="257.68215000000004"/>
    <n v="4942.8121499999997"/>
    <n v="4942.8100000000004"/>
    <s v="non"/>
    <m/>
    <m/>
    <s v="ADEME 2021"/>
    <s v="NC"/>
  </r>
  <r>
    <x v="2"/>
    <n v="5"/>
    <x v="3"/>
    <x v="2"/>
    <s v="EBL"/>
    <s v="VRB0170"/>
    <n v="1000"/>
    <d v="2021-05-06T00:00:00"/>
    <d v="2021-05-07T00:00:00"/>
    <s v="-"/>
    <s v="-"/>
    <d v="2021-05-07T00:00:00"/>
    <d v="2021-05-07T00:00:00"/>
    <d v="2021-05-12T00:00:00"/>
    <m/>
    <d v="2021-08-30T00:00:00"/>
    <d v="2021-07-23T00:00:00"/>
    <s v="-"/>
    <d v="2021-08-31T00:00:00"/>
    <d v="2021-08-31T00:00:00"/>
    <d v="2021-09-16T00:00:00"/>
    <m/>
    <m/>
    <m/>
    <s v="DIAZ "/>
    <s v="Audrey"/>
    <n v="4"/>
    <n v="26593"/>
    <n v="115"/>
    <s v="Route de Sanissard"/>
    <n v="38210"/>
    <x v="3"/>
    <n v="667207220"/>
    <s v="diaz-audrey@hotmail.fr"/>
    <s v="PO"/>
    <m/>
    <m/>
    <s v="-"/>
    <s v="-"/>
    <s v="-"/>
    <s v="-"/>
    <x v="35"/>
    <x v="3"/>
    <s v="CARUANA Anthony"/>
    <s v="contact.echirolles@alp-confort.fr"/>
    <n v="438920220"/>
    <s v="-"/>
    <s v="oui"/>
    <d v="2022-04-17T00:00:00"/>
    <s v="insert / foyer fermé"/>
    <n v="1999"/>
    <x v="0"/>
    <x v="1"/>
    <s v="JOTUL"/>
    <s v="F360 ADVANCE"/>
    <n v="4"/>
    <n v="6.8"/>
    <n v="78"/>
    <n v="0.06"/>
    <s v="FV7"/>
    <m/>
    <n v="3807"/>
    <m/>
    <m/>
    <m/>
    <n v="875"/>
    <n v="4682"/>
    <n v="257.51"/>
    <n v="4939.51"/>
    <n v="4782.43"/>
    <s v="oui"/>
    <m/>
    <m/>
    <s v="ADEME 2021"/>
    <s v="NC"/>
  </r>
  <r>
    <x v="2"/>
    <n v="5"/>
    <x v="3"/>
    <x v="1"/>
    <s v="EBL"/>
    <s v="VRB0171"/>
    <n v="600"/>
    <d v="2021-05-07T00:00:00"/>
    <d v="2021-05-07T00:00:00"/>
    <s v="-"/>
    <s v="-"/>
    <d v="2021-05-10T00:00:00"/>
    <d v="2021-05-10T00:00:00"/>
    <d v="2021-05-17T00:00:00"/>
    <m/>
    <d v="2021-11-24T00:00:00"/>
    <d v="2021-07-31T00:00:00"/>
    <s v="-"/>
    <d v="2021-11-25T00:00:00"/>
    <d v="2021-11-25T00:00:00"/>
    <d v="2021-12-09T00:00:00"/>
    <m/>
    <m/>
    <m/>
    <s v="FAURE-VINCENT"/>
    <s v="Bernard"/>
    <n v="1"/>
    <n v="19840"/>
    <n v="110"/>
    <s v="Descente du Pavé"/>
    <n v="38140"/>
    <x v="8"/>
    <n v="781789698"/>
    <s v="b.faure-vincent@laposte.fr"/>
    <s v="PO"/>
    <m/>
    <m/>
    <s v="-"/>
    <s v="-"/>
    <s v="-"/>
    <s v="-"/>
    <x v="10"/>
    <x v="1"/>
    <s v="GILLET Pascal"/>
    <s v="bois-soleil.chauffage@orange.fr"/>
    <n v="476323235"/>
    <s v="-"/>
    <s v="oui"/>
    <d v="2021-08-21T00:00:00"/>
    <s v="insert / foyer fermé"/>
    <n v="1994"/>
    <x v="0"/>
    <x v="1"/>
    <s v="ILD"/>
    <s v="ILD 13"/>
    <n v="12"/>
    <n v="9.1999999999999993"/>
    <n v="77"/>
    <n v="0.04"/>
    <s v="FV7"/>
    <m/>
    <n v="4301"/>
    <m/>
    <m/>
    <m/>
    <n v="775"/>
    <n v="5076"/>
    <n v="279.18"/>
    <n v="5355.18"/>
    <n v="5060.8599999999997"/>
    <s v="non"/>
    <m/>
    <m/>
    <s v="ADEME 2021"/>
    <s v="NC"/>
  </r>
  <r>
    <x v="2"/>
    <n v="5"/>
    <x v="3"/>
    <x v="1"/>
    <s v="EBL"/>
    <s v="VRB0172"/>
    <n v="600"/>
    <d v="2021-05-07T00:00:00"/>
    <d v="2021-05-10T00:00:00"/>
    <s v="-"/>
    <s v="-"/>
    <d v="2021-05-10T00:00:00"/>
    <d v="2021-05-10T00:00:00"/>
    <d v="2021-05-17T00:00:00"/>
    <m/>
    <d v="2021-11-03T00:00:00"/>
    <d v="2021-10-22T00:00:00"/>
    <s v="-"/>
    <d v="2021-11-12T00:00:00"/>
    <d v="2021-11-12T00:00:00"/>
    <d v="2021-11-18T00:00:00"/>
    <m/>
    <m/>
    <m/>
    <s v="DUCHATEAU"/>
    <s v="Rémy"/>
    <n v="4"/>
    <n v="42237"/>
    <n v="74"/>
    <s v="Rue de la Lieure"/>
    <n v="38500"/>
    <x v="1"/>
    <n v="760038201"/>
    <s v="remyduchateau@tutanota.com"/>
    <s v="PO"/>
    <m/>
    <m/>
    <s v="-"/>
    <s v="-"/>
    <s v="-"/>
    <s v="-"/>
    <x v="14"/>
    <x v="1"/>
    <s v="SIMON Frédéric"/>
    <s v="contact@ecvoiron.fr"/>
    <n v="476069938"/>
    <s v="-"/>
    <s v="oui"/>
    <d v="2021-09-18T00:00:00"/>
    <s v="foyer ouvert"/>
    <n v="1993"/>
    <x v="0"/>
    <x v="1"/>
    <s v="AUSTROFLAMM"/>
    <s v="MO Duo"/>
    <n v="18"/>
    <n v="9.4"/>
    <n v="90"/>
    <n v="8.0000000000000002E-3"/>
    <s v="FV7"/>
    <m/>
    <n v="11763"/>
    <m/>
    <m/>
    <m/>
    <n v="1040"/>
    <n v="12803"/>
    <n v="704.16499999999996"/>
    <n v="13507.165000000001"/>
    <n v="13507.17"/>
    <s v="oui"/>
    <m/>
    <m/>
    <s v="ADEME 2021"/>
    <s v="NC"/>
  </r>
  <r>
    <x v="2"/>
    <n v="5"/>
    <x v="3"/>
    <x v="1"/>
    <s v="EBL"/>
    <s v="VRB0173"/>
    <n v="600"/>
    <d v="2021-05-11T00:00:00"/>
    <d v="2021-05-17T00:00:00"/>
    <d v="2021-05-25T00:00:00"/>
    <s v="Manque photo (ok)"/>
    <d v="2021-05-25T00:00:00"/>
    <d v="2021-05-25T00:00:00"/>
    <d v="2021-05-31T00:00:00"/>
    <m/>
    <d v="2021-06-15T00:00:00"/>
    <d v="2021-06-15T00:00:00"/>
    <s v="-"/>
    <d v="2021-06-21T00:00:00"/>
    <d v="2021-06-21T00:00:00"/>
    <d v="2021-07-01T00:00:00"/>
    <m/>
    <m/>
    <m/>
    <s v="COLLIAT"/>
    <s v="Jean-Christophe"/>
    <n v="2"/>
    <n v="73004"/>
    <n v="740"/>
    <s v="Route de Voiron"/>
    <n v="38140"/>
    <x v="12"/>
    <n v="679412268"/>
    <s v="jc.colliat@aliceadsl.fr"/>
    <s v="PO"/>
    <m/>
    <m/>
    <s v="-"/>
    <s v="-"/>
    <s v="-"/>
    <s v="-"/>
    <x v="14"/>
    <x v="1"/>
    <s v="SIMON Frédéric"/>
    <s v="contact@ecvoiron.fr"/>
    <n v="476069938"/>
    <s v="-"/>
    <s v="oui"/>
    <d v="2021-09-18T00:00:00"/>
    <s v="insert / foyer fermé"/>
    <n v="1987"/>
    <x v="2"/>
    <x v="1"/>
    <s v="AUSTROFLAMM"/>
    <s v="45x51 KII"/>
    <n v="23"/>
    <n v="6.6"/>
    <n v="80.2"/>
    <n v="0.1"/>
    <s v="FV7"/>
    <m/>
    <n v="3568.5"/>
    <m/>
    <m/>
    <m/>
    <n v="1830"/>
    <n v="5398.5"/>
    <n v="296.91750000000002"/>
    <n v="5695.4174999999996"/>
    <n v="5695.42"/>
    <s v="oui"/>
    <m/>
    <m/>
    <s v="ADEME 2021"/>
    <s v="NC"/>
  </r>
  <r>
    <x v="2"/>
    <n v="5"/>
    <x v="3"/>
    <x v="1"/>
    <s v="EBL"/>
    <s v="VRB0174"/>
    <n v="600"/>
    <d v="2021-05-12T00:00:00"/>
    <d v="2021-05-17T00:00:00"/>
    <s v="-"/>
    <s v="-"/>
    <d v="2021-05-25T00:00:00"/>
    <d v="2021-05-25T00:00:00"/>
    <d v="2021-05-31T00:00:00"/>
    <m/>
    <d v="2021-10-26T00:00:00"/>
    <d v="2021-09-29T00:00:00"/>
    <s v="-"/>
    <d v="2021-10-28T00:00:00"/>
    <d v="2021-10-28T00:00:00"/>
    <d v="2021-10-29T00:00:00"/>
    <m/>
    <m/>
    <m/>
    <s v="PILOT"/>
    <s v="Edith"/>
    <n v="2"/>
    <n v="37596"/>
    <n v="54"/>
    <s v="Chemin du Pont de Bessey"/>
    <n v="38730"/>
    <x v="5"/>
    <n v="679602764"/>
    <s v="edith.pilot@impex.fr"/>
    <s v="PO"/>
    <m/>
    <m/>
    <s v="-"/>
    <s v="-"/>
    <s v="-"/>
    <s v="-"/>
    <x v="0"/>
    <x v="0"/>
    <s v="CARRE François"/>
    <s v="f.carre@carre-f.com"/>
    <s v="04 76 37 03 50"/>
    <s v="-"/>
    <s v="oui  "/>
    <d v="2021-11-17T00:00:00"/>
    <s v="foyer ouvert"/>
    <n v="1970"/>
    <x v="0"/>
    <x v="0"/>
    <s v="PALAZZETTI"/>
    <s v="ECOFIRE Marianne"/>
    <n v="16"/>
    <n v="9.1"/>
    <n v="91.8"/>
    <n v="3.7000000000000002E-3"/>
    <s v="FV7"/>
    <m/>
    <n v="5394"/>
    <m/>
    <m/>
    <m/>
    <n v="690"/>
    <n v="6084"/>
    <n v="334.62"/>
    <n v="6418.62"/>
    <n v="6418.62"/>
    <s v="oui"/>
    <m/>
    <m/>
    <s v="ADEME 2021"/>
    <s v="NC"/>
  </r>
  <r>
    <x v="2"/>
    <n v="5"/>
    <x v="3"/>
    <x v="1"/>
    <s v="EBL"/>
    <s v="VRB0175"/>
    <n v="600"/>
    <d v="2021-05-12T00:00:00"/>
    <d v="2021-05-17T00:00:00"/>
    <s v="-"/>
    <s v="-"/>
    <d v="2021-05-25T00:00:00"/>
    <d v="2021-05-25T00:00:00"/>
    <d v="2021-05-31T00:00:00"/>
    <m/>
    <d v="2021-08-04T00:00:00"/>
    <d v="2021-07-23T00:00:00"/>
    <s v="-"/>
    <d v="2021-08-05T00:00:00"/>
    <d v="2021-08-05T00:00:00"/>
    <d v="2021-09-14T00:00:00"/>
    <m/>
    <m/>
    <m/>
    <s v="SIMON"/>
    <s v="Jacques"/>
    <n v="3"/>
    <n v="43812"/>
    <s v="1Bis"/>
    <s v="Chemin de Saint Jean de Chepy 1 Lot La Grange des Prés"/>
    <n v="38210"/>
    <x v="15"/>
    <n v="649309173"/>
    <s v="jacqsimon@wanadoo.fr"/>
    <s v="PO"/>
    <m/>
    <m/>
    <s v="-"/>
    <s v="-"/>
    <s v="-"/>
    <s v="-"/>
    <x v="14"/>
    <x v="1"/>
    <s v="SIMON Frédéric"/>
    <s v="contact@ecvoiron.fr"/>
    <n v="476069938"/>
    <s v="-"/>
    <s v="oui"/>
    <d v="2021-09-18T00:00:00"/>
    <s v="insert / foyer fermé"/>
    <n v="1997"/>
    <x v="0"/>
    <x v="1"/>
    <s v="AUSTROFLAMM"/>
    <s v="JESS XTRA"/>
    <n v="29"/>
    <n v="8"/>
    <n v="81.3"/>
    <n v="0.1"/>
    <s v="FV7"/>
    <m/>
    <n v="6010"/>
    <m/>
    <m/>
    <m/>
    <n v="890"/>
    <n v="6900"/>
    <n v="379.5"/>
    <n v="7279.5"/>
    <n v="7279.5"/>
    <s v="oui"/>
    <m/>
    <m/>
    <s v="ADEME 2021"/>
    <s v="NC"/>
  </r>
  <r>
    <x v="2"/>
    <n v="5"/>
    <x v="3"/>
    <x v="2"/>
    <s v="EBL"/>
    <s v="VRB0176"/>
    <n v="1000"/>
    <d v="2021-05-12T00:00:00"/>
    <d v="2021-05-17T00:00:00"/>
    <d v="2021-05-25T00:00:00"/>
    <s v="Manque taxe foncière 2020 (ok)+ preuve d'un ancien appareil de chauffage au bois(ok)"/>
    <d v="2021-05-27T00:00:00"/>
    <d v="2021-05-27T00:00:00"/>
    <d v="2021-06-04T00:00:00"/>
    <m/>
    <d v="2021-11-04T00:00:00"/>
    <d v="2021-10-20T00:00:00"/>
    <s v="-"/>
    <d v="2021-11-12T00:00:00"/>
    <d v="2021-11-12T00:00:00"/>
    <d v="2021-11-18T00:00:00"/>
    <m/>
    <m/>
    <m/>
    <s v="CONSTANTIN"/>
    <s v="Celine"/>
    <n v="3"/>
    <n v="11934"/>
    <n v="100"/>
    <s v="Route du Paris Lieu dit Coche"/>
    <n v="38620"/>
    <x v="31"/>
    <n v="677665415"/>
    <s v="celineconstantin@hotmail.com"/>
    <s v="PO"/>
    <m/>
    <m/>
    <s v="-"/>
    <s v="-"/>
    <s v="-"/>
    <s v="-"/>
    <x v="2"/>
    <x v="2"/>
    <s v="DIDIER Jean-Christophe"/>
    <s v="jcduo@orange.fr"/>
    <n v="608287337"/>
    <s v="-"/>
    <s v="oui"/>
    <d v="2021-08-09T00:00:00"/>
    <s v="poêle"/>
    <n v="2001"/>
    <x v="0"/>
    <x v="0"/>
    <s v="MORETTI"/>
    <s v="RELAX 8"/>
    <n v="26"/>
    <n v="8"/>
    <n v="91.9"/>
    <n v="7.0000000000000001E-3"/>
    <s v="registre"/>
    <m/>
    <n v="4419"/>
    <m/>
    <m/>
    <m/>
    <n v="900"/>
    <n v="5319"/>
    <n v="292.54500000000002"/>
    <n v="5611.5450000000001"/>
    <n v="5023.6899999999996"/>
    <s v="non"/>
    <m/>
    <m/>
    <s v="ADEME 2021"/>
    <s v="NC"/>
  </r>
  <r>
    <x v="2"/>
    <n v="5"/>
    <x v="3"/>
    <x v="2"/>
    <s v="EBL"/>
    <s v="VRB0177"/>
    <n v="1000"/>
    <d v="2021-05-19T00:00:00"/>
    <d v="2021-05-21T00:00:00"/>
    <d v="2021-05-25T00:00:00"/>
    <s v="Manque adresse RIB (ok)"/>
    <d v="2021-05-25T00:00:00"/>
    <d v="2021-05-25T00:00:00"/>
    <d v="2021-05-31T00:00:00"/>
    <m/>
    <d v="2021-09-30T00:00:00"/>
    <d v="2021-09-20T00:00:00"/>
    <s v="-"/>
    <d v="2021-10-07T00:00:00"/>
    <d v="2021-10-07T00:00:00"/>
    <d v="2021-10-12T00:00:00"/>
    <m/>
    <m/>
    <m/>
    <s v="MANAS&amp;DUMONT"/>
    <s v="Margaux&amp;Samuel"/>
    <n v="2"/>
    <n v="27424"/>
    <s v="379c"/>
    <s v="Route des 3 Fontaines"/>
    <n v="38140"/>
    <x v="6"/>
    <n v="770386895"/>
    <s v="manas.margaux@gmail.com"/>
    <s v="PO"/>
    <m/>
    <m/>
    <s v="-"/>
    <s v="-"/>
    <s v="-"/>
    <s v="-"/>
    <x v="14"/>
    <x v="1"/>
    <s v="SIMON Frédéric"/>
    <s v="contact@ecvoiron.fr"/>
    <n v="476069938"/>
    <s v="-"/>
    <s v="oui"/>
    <d v="2022-09-18T00:00:00"/>
    <s v="insert / foyer fermé"/>
    <n v="1990"/>
    <x v="0"/>
    <x v="1"/>
    <s v="ROMOTOP"/>
    <s v="STROMBOLI N"/>
    <n v="17"/>
    <n v="9"/>
    <n v="79.5"/>
    <n v="0.12"/>
    <s v="FV7"/>
    <m/>
    <n v="3929"/>
    <m/>
    <m/>
    <m/>
    <n v="750"/>
    <n v="4679"/>
    <n v="257.34500000000003"/>
    <n v="4936.3450000000003"/>
    <n v="4936.3500000000004"/>
    <s v="oui"/>
    <m/>
    <m/>
    <s v="ADEME 2021"/>
    <s v="NC"/>
  </r>
  <r>
    <x v="3"/>
    <n v="1"/>
    <x v="4"/>
    <x v="0"/>
    <s v="EBL"/>
    <s v="VRB0178"/>
    <s v="600?"/>
    <d v="2021-05-20T00:00:00"/>
    <d v="2021-05-21T00:00:00"/>
    <d v="2021-05-25T00:00:00"/>
    <s v="Installataire non signataire (ok) + Adresse RIB (Voir Paul)"/>
    <m/>
    <m/>
    <m/>
    <m/>
    <m/>
    <m/>
    <m/>
    <m/>
    <m/>
    <m/>
    <m/>
    <d v="2023-01-04T00:00:00"/>
    <s v="Dossier incomplet depuis plus de 6 mois"/>
    <s v="BENOIT-LORPHELIN"/>
    <s v="Loïc"/>
    <n v="2"/>
    <n v="46144"/>
    <n v="961"/>
    <s v="Route du Village"/>
    <n v="38620"/>
    <x v="29"/>
    <n v="675872516"/>
    <s v="loic.benoit69190@gmail.com"/>
    <s v="PO"/>
    <m/>
    <m/>
    <s v="-"/>
    <s v="-"/>
    <s v="-"/>
    <s v="-"/>
    <x v="36"/>
    <x v="28"/>
    <s v="BLANC Christophe"/>
    <s v="pur-tech@sfr.fr"/>
    <n v="623564343"/>
    <s v="-"/>
    <s v="non"/>
    <d v="2021-08-06T00:00:00"/>
    <s v="insert / foyer fermé"/>
    <n v="1990"/>
    <x v="3"/>
    <x v="0"/>
    <s v="HARGASSNER"/>
    <s v="NANO PK15"/>
    <n v="18"/>
    <n v="15"/>
    <n v="95.2"/>
    <n v="3.0000000000000001E-3"/>
    <s v="FV7"/>
    <m/>
    <n v="18767"/>
    <m/>
    <m/>
    <m/>
    <n v="4880"/>
    <n v="23647"/>
    <n v="1300.585"/>
    <n v="24947.584999999999"/>
    <n v="28090.43"/>
    <s v="oui"/>
    <m/>
    <m/>
    <n v="0"/>
    <s v="NC"/>
  </r>
  <r>
    <x v="2"/>
    <n v="5"/>
    <x v="3"/>
    <x v="2"/>
    <s v="EBL"/>
    <s v="VRB0179"/>
    <n v="1000"/>
    <d v="2021-05-21T00:00:00"/>
    <d v="2021-05-21T00:00:00"/>
    <s v="-"/>
    <s v="-"/>
    <d v="2021-05-25T00:00:00"/>
    <d v="2021-05-25T00:00:00"/>
    <d v="2021-05-31T00:00:00"/>
    <m/>
    <d v="2021-10-20T00:00:00"/>
    <d v="2021-10-11T00:00:00"/>
    <s v="-"/>
    <d v="2021-10-22T00:00:00"/>
    <d v="2021-10-22T00:00:00"/>
    <d v="2021-10-26T00:00:00"/>
    <m/>
    <m/>
    <m/>
    <s v="GUERRE"/>
    <s v="Gilbert"/>
    <n v="2"/>
    <n v="14287"/>
    <n v="23"/>
    <s v="Rue de Montponcon"/>
    <n v="38500"/>
    <x v="1"/>
    <n v="659473070"/>
    <s v="rafaeleguerre@free.fr"/>
    <s v="PO"/>
    <m/>
    <m/>
    <s v="-"/>
    <s v="-"/>
    <s v="-"/>
    <s v="-"/>
    <x v="1"/>
    <x v="1"/>
    <s v="LIBER Jean-Christophe"/>
    <s v="jlc.services@orange.fr"/>
    <s v="04 76 07 14 61"/>
    <s v="-"/>
    <s v="oui"/>
    <d v="2020-11-03T00:00:00"/>
    <s v="insert / foyer fermé"/>
    <n v="1990"/>
    <x v="0"/>
    <x v="1"/>
    <s v="FONTE FLAMME"/>
    <s v="MAZAN"/>
    <n v="31"/>
    <n v="6"/>
    <n v="80"/>
    <n v="0.08"/>
    <s v="FV7"/>
    <m/>
    <n v="2589"/>
    <m/>
    <m/>
    <m/>
    <n v="660"/>
    <n v="3249"/>
    <n v="178.69499999999999"/>
    <n v="3427.6950000000002"/>
    <n v="2882.26"/>
    <s v="oui"/>
    <m/>
    <m/>
    <s v="ADEME 2021"/>
    <s v="NC"/>
  </r>
  <r>
    <x v="2"/>
    <n v="5"/>
    <x v="3"/>
    <x v="1"/>
    <s v="EBL"/>
    <s v="VRB0180"/>
    <n v="600"/>
    <d v="2021-05-21T00:00:00"/>
    <d v="2021-05-21T00:00:00"/>
    <s v="-"/>
    <s v="-"/>
    <d v="2021-05-25T00:00:00"/>
    <d v="2021-05-25T00:00:00"/>
    <d v="2021-05-31T00:00:00"/>
    <m/>
    <d v="2021-09-09T00:00:00"/>
    <d v="2021-08-04T00:00:00"/>
    <s v="-"/>
    <d v="2021-09-16T00:00:00"/>
    <d v="2021-09-16T00:00:00"/>
    <d v="2021-09-30T00:00:00"/>
    <m/>
    <m/>
    <m/>
    <s v="CROUZET"/>
    <s v="Véronique"/>
    <n v="2"/>
    <n v="42540"/>
    <n v="484"/>
    <s v="Route de la Freydière"/>
    <n v="38620"/>
    <x v="0"/>
    <n v="637068367"/>
    <s v="crouzet.veronique@orange.fr"/>
    <s v="PO"/>
    <m/>
    <m/>
    <s v="-"/>
    <s v="-"/>
    <s v="-"/>
    <s v="-"/>
    <x v="2"/>
    <x v="2"/>
    <s v="DIDIER Jean-Christophe"/>
    <s v="jcduo@orange.fr"/>
    <n v="608287337"/>
    <s v="-"/>
    <s v="oui"/>
    <d v="2022-08-09T00:00:00"/>
    <s v="poêle"/>
    <s v="&lt;2002"/>
    <x v="0"/>
    <x v="0"/>
    <s v="LORFLAM"/>
    <s v="OFEN SP2"/>
    <n v="14.7"/>
    <n v="9.6"/>
    <n v="92.5"/>
    <n v="8.0000000000000002E-3"/>
    <s v="registre"/>
    <m/>
    <n v="4559"/>
    <m/>
    <m/>
    <m/>
    <n v="650"/>
    <n v="5209"/>
    <n v="286.495"/>
    <n v="5495.4949999999999"/>
    <n v="5000"/>
    <s v="non"/>
    <m/>
    <m/>
    <s v="ADEME 2021"/>
    <s v="NC"/>
  </r>
  <r>
    <x v="2"/>
    <n v="5"/>
    <x v="3"/>
    <x v="2"/>
    <s v="EBL"/>
    <s v="VRB0181"/>
    <n v="1000"/>
    <d v="2021-05-24T00:00:00"/>
    <d v="2021-05-25T00:00:00"/>
    <d v="2021-05-25T00:00:00"/>
    <s v="Manque RIB"/>
    <d v="2021-05-31T00:00:00"/>
    <d v="2021-05-31T00:00:00"/>
    <d v="2021-06-07T00:00:00"/>
    <m/>
    <d v="2021-11-03T00:00:00"/>
    <d v="2021-07-29T00:00:00"/>
    <s v="-"/>
    <d v="2021-11-12T00:00:00"/>
    <d v="2021-11-12T00:00:00"/>
    <d v="2021-11-18T00:00:00"/>
    <m/>
    <m/>
    <m/>
    <s v="KOEHL FABER"/>
    <s v="Charly"/>
    <n v="5"/>
    <n v="41879"/>
    <n v="181"/>
    <s v="Route des Ailloudières"/>
    <n v="38620"/>
    <x v="31"/>
    <n v="651152215"/>
    <s v="charly.koehl-faber@laposte.net"/>
    <s v="PO"/>
    <m/>
    <m/>
    <s v="-"/>
    <s v="-"/>
    <s v="-"/>
    <s v="-"/>
    <x v="6"/>
    <x v="6"/>
    <s v="FAURE Jacques"/>
    <s v="jacques.faure24@wanadoo.fr"/>
    <n v="476355605"/>
    <s v="-"/>
    <s v="oui"/>
    <d v="2021-10-26T00:00:00"/>
    <s v="insert / foyer fermé"/>
    <n v="2001"/>
    <x v="2"/>
    <x v="1"/>
    <s v="FONTE FLAMME"/>
    <s v="775-10K"/>
    <n v="23"/>
    <n v="10"/>
    <n v="78"/>
    <n v="7.0000000000000007E-2"/>
    <s v="FV7"/>
    <m/>
    <n v="6380.37"/>
    <m/>
    <m/>
    <m/>
    <n v="2098.69"/>
    <n v="8479.06"/>
    <n v="466.34829999999999"/>
    <n v="8945.4082999999991"/>
    <n v="8945.41"/>
    <s v="non"/>
    <m/>
    <m/>
    <s v="ADEME 2021"/>
    <s v="NC"/>
  </r>
  <r>
    <x v="0"/>
    <e v="#VALUE!"/>
    <x v="4"/>
    <x v="0"/>
    <s v="EBL"/>
    <s v="VRB0182"/>
    <s v="-"/>
    <d v="2021-05-25T00:00:00"/>
    <d v="2021-05-25T00:00:00"/>
    <d v="2021-05-25T00:00:00"/>
    <s v="Manque page 2 Taxe Fonciere + Appareil non FV7 (a refusé car Austroflamm fait une réduc de 600€)"/>
    <s v="-"/>
    <s v="-"/>
    <s v="-"/>
    <m/>
    <s v="-"/>
    <s v="-"/>
    <s v="-"/>
    <s v="-"/>
    <s v="-"/>
    <s v="-"/>
    <m/>
    <d v="2021-05-31T00:00:00"/>
    <s v="Appareil non FV7*"/>
    <s v="JARCZYK"/>
    <s v="Thierry"/>
    <n v="2"/>
    <n v="46714"/>
    <n v="97"/>
    <s v="Chemin des Granges"/>
    <n v="38730"/>
    <x v="5"/>
    <n v="607063767"/>
    <s v="arlette.jarczyk@gmail.com"/>
    <s v="PO"/>
    <m/>
    <m/>
    <s v="-"/>
    <s v="-"/>
    <s v="-"/>
    <s v="-"/>
    <x v="14"/>
    <x v="1"/>
    <s v="SIMON Frédéric"/>
    <s v="contact@ecvoiron.fr"/>
    <n v="476069938"/>
    <s v="-"/>
    <s v="oui"/>
    <d v="2021-09-18T00:00:00"/>
    <s v="insert / foyer fermé"/>
    <n v="2001"/>
    <x v="0"/>
    <x v="0"/>
    <s v="AUSTROFLAMM"/>
    <s v="Polly Light"/>
    <n v="18.399999999999999"/>
    <n v="9"/>
    <n v="90"/>
    <n v="2E-3"/>
    <s v="non"/>
    <m/>
    <n v="5630.67"/>
    <m/>
    <m/>
    <m/>
    <n v="591"/>
    <n v="6221.67"/>
    <n v="342.19184999999999"/>
    <n v="6563.8618500000002"/>
    <n v="6563.86"/>
    <s v="oui"/>
    <m/>
    <m/>
    <n v="0"/>
    <s v="NC"/>
  </r>
  <r>
    <x v="2"/>
    <n v="5"/>
    <x v="3"/>
    <x v="1"/>
    <s v="EBL"/>
    <s v="VRB0183"/>
    <n v="600"/>
    <d v="2021-05-25T00:00:00"/>
    <d v="2021-05-25T00:00:00"/>
    <s v="-"/>
    <s v="-"/>
    <d v="2021-05-31T00:00:00"/>
    <d v="2021-05-31T00:00:00"/>
    <d v="2021-06-07T00:00:00"/>
    <m/>
    <d v="2021-10-20T00:00:00"/>
    <d v="2021-09-20T00:00:00"/>
    <s v="-"/>
    <d v="2021-10-22T00:00:00"/>
    <d v="2021-10-22T00:00:00"/>
    <d v="2021-10-27T00:00:00"/>
    <m/>
    <m/>
    <m/>
    <s v="MARSAC&amp;VIDAL"/>
    <s v="Julian&amp;Audrey"/>
    <n v="2"/>
    <n v="70770"/>
    <n v="7"/>
    <s v="Lotissement des Voutes"/>
    <n v="38500"/>
    <x v="18"/>
    <n v="626073969"/>
    <s v="marsac_julian@orange.fr"/>
    <s v="PO"/>
    <m/>
    <m/>
    <s v="-"/>
    <s v="-"/>
    <s v="-"/>
    <s v="-"/>
    <x v="37"/>
    <x v="25"/>
    <s v="CATTARINA Kevin"/>
    <s v="kevincd@hotmail.fr"/>
    <n v="662398956"/>
    <s v="-"/>
    <s v="oui"/>
    <d v="2022-04-07T00:00:00"/>
    <s v="foyer ouvert"/>
    <n v="2000"/>
    <x v="0"/>
    <x v="1"/>
    <s v="TURBO FONTE"/>
    <s v="JAZZ"/>
    <n v="32"/>
    <n v="4"/>
    <n v="80.8"/>
    <n v="0.11"/>
    <s v="FV7"/>
    <m/>
    <n v="3521.0699999999997"/>
    <m/>
    <m/>
    <m/>
    <n v="1127.94"/>
    <n v="4649.01"/>
    <n v="255.69555000000003"/>
    <n v="4904.7055500000006"/>
    <n v="4588.21"/>
    <s v="non"/>
    <m/>
    <m/>
    <s v="ADEME 2021"/>
    <s v="NC"/>
  </r>
  <r>
    <x v="2"/>
    <n v="5"/>
    <x v="3"/>
    <x v="1"/>
    <s v="EBL"/>
    <s v="VRB0184"/>
    <n v="600"/>
    <d v="2021-05-28T00:00:00"/>
    <d v="2021-05-28T00:00:00"/>
    <s v="-"/>
    <s v="-"/>
    <d v="2021-05-31T00:00:00"/>
    <d v="2021-05-31T00:00:00"/>
    <d v="2021-06-07T00:00:00"/>
    <m/>
    <d v="2021-07-23T00:00:00"/>
    <d v="2021-07-21T00:00:00"/>
    <s v="-"/>
    <d v="2021-08-05T00:00:00"/>
    <d v="2021-08-05T00:00:00"/>
    <d v="2021-08-23T00:00:00"/>
    <m/>
    <m/>
    <m/>
    <s v="RANA"/>
    <s v="Sylvain"/>
    <n v="4"/>
    <n v="41068"/>
    <n v="115"/>
    <s v="Rue des Tilleuls"/>
    <n v="38340"/>
    <x v="17"/>
    <n v="689890608"/>
    <s v="sylvain.rana@orange.fr"/>
    <s v="PO"/>
    <m/>
    <m/>
    <s v="-"/>
    <s v="-"/>
    <s v="-"/>
    <s v="-"/>
    <x v="6"/>
    <x v="6"/>
    <s v="FAURE Jacques"/>
    <s v="jacques.faure24@wanadoo.fr"/>
    <n v="476355605"/>
    <s v="-"/>
    <s v="oui"/>
    <d v="2021-10-26T00:00:00"/>
    <s v="insert / foyer fermé"/>
    <n v="2000"/>
    <x v="0"/>
    <x v="1"/>
    <s v="FONTE FLAMME"/>
    <s v="MAGMA"/>
    <n v="14"/>
    <n v="7.8"/>
    <n v="81"/>
    <n v="0.08"/>
    <s v="FV7"/>
    <m/>
    <n v="2780.9799999999996"/>
    <m/>
    <m/>
    <m/>
    <n v="725"/>
    <n v="3505.9799999999996"/>
    <n v="192.82889999999998"/>
    <n v="3698.8088999999995"/>
    <n v="3698.81"/>
    <s v="oui"/>
    <m/>
    <m/>
    <s v="ADEME 2021"/>
    <s v="NC"/>
  </r>
  <r>
    <x v="2"/>
    <n v="6"/>
    <x v="3"/>
    <x v="2"/>
    <s v="EBL"/>
    <s v="VRB0185"/>
    <n v="1000"/>
    <d v="2021-06-01T00:00:00"/>
    <d v="2021-06-01T00:00:00"/>
    <s v="-"/>
    <s v="-"/>
    <d v="2021-06-01T00:00:00"/>
    <d v="2021-06-01T00:00:00"/>
    <d v="2021-06-07T00:00:00"/>
    <m/>
    <d v="2021-07-29T00:00:00"/>
    <d v="2021-07-23T00:00:00"/>
    <s v="-"/>
    <d v="2021-08-05T00:00:00"/>
    <d v="2021-08-05T00:00:00"/>
    <d v="2021-08-23T00:00:00"/>
    <m/>
    <m/>
    <m/>
    <s v="PORROVECCHIO"/>
    <s v="Vincent "/>
    <n v="2"/>
    <n v="22450"/>
    <n v="470"/>
    <s v="Route de Mercuel"/>
    <n v="38140"/>
    <x v="10"/>
    <n v="652956930"/>
    <s v="marylinepo@hotmail.fr"/>
    <s v="PO"/>
    <m/>
    <m/>
    <s v="-"/>
    <s v="-"/>
    <s v="-"/>
    <s v="-"/>
    <x v="14"/>
    <x v="1"/>
    <s v="SIMON Frédéric"/>
    <s v="contact@ecvoiron.fr"/>
    <n v="476069938"/>
    <s v="-"/>
    <s v="oui"/>
    <d v="2021-09-18T00:00:00"/>
    <s v="insert / foyer fermé"/>
    <n v="1997"/>
    <x v="0"/>
    <x v="0"/>
    <s v="KLOVER"/>
    <s v="Soft 80"/>
    <n v="14.8"/>
    <n v="7.4"/>
    <n v="92.5"/>
    <n v="1.2E-2"/>
    <s v="registre"/>
    <m/>
    <n v="3924"/>
    <m/>
    <m/>
    <m/>
    <n v="840"/>
    <n v="4764"/>
    <n v="262.02"/>
    <n v="5026.0200000000004"/>
    <n v="5026.0200000000004"/>
    <s v="oui"/>
    <m/>
    <m/>
    <s v="ADEME 2021"/>
    <s v="NC"/>
  </r>
  <r>
    <x v="2"/>
    <n v="6"/>
    <x v="3"/>
    <x v="1"/>
    <s v="EBL"/>
    <s v="VRB0186"/>
    <n v="600"/>
    <d v="2021-06-02T00:00:00"/>
    <d v="2021-06-03T00:00:00"/>
    <s v="-"/>
    <s v="-"/>
    <d v="2021-06-04T00:00:00"/>
    <d v="2021-06-04T00:00:00"/>
    <d v="2021-06-14T00:00:00"/>
    <m/>
    <d v="2021-12-07T00:00:00"/>
    <d v="2021-11-24T00:00:00"/>
    <s v="-"/>
    <d v="2021-12-16T00:00:00"/>
    <d v="2021-12-16T00:00:00"/>
    <d v="2021-12-17T00:00:00"/>
    <m/>
    <m/>
    <m/>
    <s v="RUEFF"/>
    <s v="Bernard"/>
    <n v="2"/>
    <n v="30284"/>
    <n v="111"/>
    <s v="Impasse des Mélèzes"/>
    <n v="38500"/>
    <x v="18"/>
    <n v="679556869"/>
    <s v="lemavica@bbox.fr"/>
    <s v="PO"/>
    <m/>
    <m/>
    <s v="-"/>
    <s v="-"/>
    <s v="-"/>
    <s v="-"/>
    <x v="1"/>
    <x v="1"/>
    <s v="LIBER Jean-Christophe"/>
    <s v="jlc.services@orange.fr"/>
    <s v="04 76 07 14 61"/>
    <s v="-"/>
    <s v="oui"/>
    <d v="2020-11-03T00:00:00"/>
    <s v="poêle"/>
    <n v="1990"/>
    <x v="0"/>
    <x v="0"/>
    <s v="MCZ"/>
    <s v="Suite AIR 10 UP"/>
    <n v="18"/>
    <n v="10"/>
    <n v="90.4"/>
    <n v="3.0000000000000001E-3"/>
    <s v="FV7"/>
    <m/>
    <n v="4244"/>
    <m/>
    <m/>
    <m/>
    <n v="510"/>
    <n v="4754"/>
    <n v="261.47000000000003"/>
    <n v="5015.47"/>
    <n v="5015.47"/>
    <s v="oui"/>
    <m/>
    <m/>
    <s v="ADEME 2021"/>
    <s v="NC"/>
  </r>
  <r>
    <x v="2"/>
    <n v="6"/>
    <x v="3"/>
    <x v="2"/>
    <s v="EBL"/>
    <s v="VRB0187"/>
    <n v="1000"/>
    <d v="2021-06-02T00:00:00"/>
    <d v="2021-06-03T00:00:00"/>
    <s v="-"/>
    <s v="-"/>
    <d v="2021-06-04T00:00:00"/>
    <d v="2021-06-04T00:00:00"/>
    <d v="2021-06-14T00:00:00"/>
    <m/>
    <d v="2021-12-15T00:00:00"/>
    <d v="2021-10-30T00:00:00"/>
    <s v="-"/>
    <d v="2021-12-16T00:00:00"/>
    <d v="2021-12-16T00:00:00"/>
    <d v="2021-12-17T00:00:00"/>
    <m/>
    <m/>
    <m/>
    <s v="NAUD"/>
    <s v="Christine"/>
    <n v="3"/>
    <n v="26760"/>
    <n v="23"/>
    <s v="Rue de la Chevalerie"/>
    <n v="38210"/>
    <x v="15"/>
    <n v="750212511"/>
    <s v="christine.naud.38@gmail.com"/>
    <s v="PO"/>
    <m/>
    <m/>
    <s v="-"/>
    <s v="-"/>
    <s v="-"/>
    <s v="-"/>
    <x v="10"/>
    <x v="1"/>
    <s v="GILLET Pascal"/>
    <s v="bois-soleil.chauffage@orange.fr"/>
    <n v="476323235"/>
    <s v="-"/>
    <s v="oui"/>
    <d v="2022-08-21T00:00:00"/>
    <s v="cuisinière"/>
    <n v="1986"/>
    <x v="1"/>
    <x v="1"/>
    <s v="LACUNZA"/>
    <s v="ETNA 7T"/>
    <n v="36"/>
    <n v="9"/>
    <n v="75"/>
    <n v="0.1"/>
    <s v="FV7"/>
    <m/>
    <n v="4015"/>
    <m/>
    <m/>
    <m/>
    <n v="770"/>
    <n v="4785"/>
    <n v="263.17500000000001"/>
    <n v="5048.1750000000002"/>
    <n v="4892.04"/>
    <s v="non"/>
    <m/>
    <m/>
    <s v="ADEME 2021"/>
    <s v="NC"/>
  </r>
  <r>
    <x v="2"/>
    <n v="6"/>
    <x v="3"/>
    <x v="1"/>
    <s v="EBL"/>
    <s v="VRB0188"/>
    <n v="600"/>
    <d v="2021-06-03T00:00:00"/>
    <d v="2021-06-04T00:00:00"/>
    <d v="2021-06-04T00:00:00"/>
    <s v="Manque page 2 Taxe Fonciere (ok)"/>
    <d v="2021-06-08T00:00:00"/>
    <d v="2021-06-08T00:00:00"/>
    <d v="2021-06-15T00:00:00"/>
    <m/>
    <d v="2021-09-12T00:00:00"/>
    <d v="2021-07-30T00:00:00"/>
    <s v="-"/>
    <d v="2021-09-16T00:00:00"/>
    <d v="2021-09-16T00:00:00"/>
    <d v="2021-09-30T00:00:00"/>
    <m/>
    <m/>
    <m/>
    <s v="CORINO"/>
    <s v="Yves"/>
    <n v="2"/>
    <n v="36731"/>
    <n v="180"/>
    <s v="Rue de Cuchet"/>
    <n v="38850"/>
    <x v="24"/>
    <n v="641185822"/>
    <s v="famille.corino@orange.fr"/>
    <s v="PO"/>
    <m/>
    <m/>
    <s v="-"/>
    <s v="-"/>
    <s v="-"/>
    <s v="-"/>
    <x v="14"/>
    <x v="1"/>
    <s v="SIMON Frédéric"/>
    <s v="contact@ecvoiron.fr"/>
    <n v="476069938"/>
    <s v="-"/>
    <s v="oui"/>
    <d v="2021-09-18T00:00:00"/>
    <s v="insert / foyer fermé"/>
    <n v="1985"/>
    <x v="0"/>
    <x v="1"/>
    <s v="AUSTROFLAMM"/>
    <s v="CODY"/>
    <n v="28"/>
    <n v="8"/>
    <n v="81.099999999999994"/>
    <n v="0.08"/>
    <s v="FV7"/>
    <m/>
    <n v="6412"/>
    <m/>
    <m/>
    <m/>
    <n v="300"/>
    <n v="6712"/>
    <n v="369.16"/>
    <n v="7081.16"/>
    <n v="7081.16"/>
    <s v="oui"/>
    <m/>
    <m/>
    <s v="ADEME 2021"/>
    <s v="NC"/>
  </r>
  <r>
    <x v="2"/>
    <n v="6"/>
    <x v="3"/>
    <x v="2"/>
    <s v="EBL"/>
    <s v="VRB0189"/>
    <n v="1000"/>
    <d v="2021-06-07T00:00:00"/>
    <d v="2021-06-07T00:00:00"/>
    <s v="-"/>
    <s v="-"/>
    <d v="2021-06-08T00:00:00"/>
    <d v="2021-06-08T00:00:00"/>
    <d v="2021-06-15T00:00:00"/>
    <m/>
    <d v="2021-08-12T00:00:00"/>
    <d v="2021-07-22T00:00:00"/>
    <s v="-"/>
    <d v="2021-08-16T00:00:00"/>
    <d v="2021-08-16T00:00:00"/>
    <d v="2021-09-22T00:00:00"/>
    <m/>
    <m/>
    <m/>
    <s v="GARIN"/>
    <s v="Georges"/>
    <n v="2"/>
    <n v="27182"/>
    <n v="374"/>
    <s v="Route de Bresin"/>
    <n v="38730"/>
    <x v="5"/>
    <s v="-"/>
    <s v="-"/>
    <s v="PO"/>
    <m/>
    <m/>
    <s v="-"/>
    <s v="-"/>
    <s v="-"/>
    <s v="-"/>
    <x v="0"/>
    <x v="0"/>
    <s v="CARRE François"/>
    <s v="f.carre@carre-f.com"/>
    <s v="04 76 37 03 50"/>
    <s v="-"/>
    <s v="oui  "/>
    <d v="2021-11-17T00:00:00"/>
    <s v="insert / foyer fermé"/>
    <s v="&lt;2002"/>
    <x v="0"/>
    <x v="0"/>
    <s v="PALAZZETTI"/>
    <s v="ECOFIRE MARISA"/>
    <n v="15"/>
    <n v="11.1"/>
    <n v="90"/>
    <n v="0.01"/>
    <s v="FV7"/>
    <m/>
    <n v="3328"/>
    <m/>
    <m/>
    <m/>
    <n v="1185"/>
    <n v="4513"/>
    <n v="248.215"/>
    <n v="4761.2150000000001"/>
    <n v="4761.22"/>
    <s v="oui"/>
    <m/>
    <m/>
    <s v="ADEME 2021"/>
    <s v="NC"/>
  </r>
  <r>
    <x v="2"/>
    <n v="6"/>
    <x v="3"/>
    <x v="2"/>
    <s v="EBL"/>
    <s v="VRB0190"/>
    <n v="1000"/>
    <d v="2021-06-08T00:00:00"/>
    <d v="2021-06-10T00:00:00"/>
    <s v="-"/>
    <s v="-"/>
    <d v="2021-06-11T00:00:00"/>
    <d v="2021-06-11T00:00:00"/>
    <d v="2021-06-18T00:00:00"/>
    <m/>
    <d v="2021-09-07T00:00:00"/>
    <d v="2021-08-25T00:00:00"/>
    <s v="Manque attestation de fin de travaux (ok)"/>
    <d v="2021-09-30T00:00:00"/>
    <d v="2021-09-30T00:00:00"/>
    <d v="2021-09-30T00:00:00"/>
    <m/>
    <m/>
    <m/>
    <s v="BRASSOD"/>
    <s v="Huguette"/>
    <n v="1"/>
    <n v="18045"/>
    <n v="169"/>
    <s v="Rue Jean Moulin"/>
    <n v="38340"/>
    <x v="17"/>
    <n v="476502293"/>
    <s v="hugbrassod@gmail.com"/>
    <s v="PO"/>
    <m/>
    <m/>
    <s v="-"/>
    <s v="-"/>
    <s v="-"/>
    <s v="-"/>
    <x v="5"/>
    <x v="5"/>
    <s v="TORRES Kevin"/>
    <s v="commercial-godin@orange.fr"/>
    <n v="474934316"/>
    <s v="-"/>
    <s v="oui"/>
    <d v="2022-03-21T00:00:00"/>
    <s v="insert / foyer fermé"/>
    <n v="1994"/>
    <x v="2"/>
    <x v="1"/>
    <s v="CHEMINEE GODIN"/>
    <s v="SUPERCHAUFF 6"/>
    <n v="24"/>
    <n v="13.2"/>
    <n v="76"/>
    <n v="0.09"/>
    <s v="FV7"/>
    <m/>
    <n v="4271"/>
    <m/>
    <m/>
    <m/>
    <n v="1025"/>
    <n v="5296"/>
    <n v="291.28000000000003"/>
    <n v="5587.28"/>
    <n v="5633"/>
    <s v="non"/>
    <m/>
    <m/>
    <s v="ADEME 2021"/>
    <s v="NC"/>
  </r>
  <r>
    <x v="2"/>
    <n v="7"/>
    <x v="3"/>
    <x v="2"/>
    <s v="EBL"/>
    <s v="VRB0191"/>
    <n v="1000"/>
    <d v="2021-06-09T00:00:00"/>
    <d v="2021-06-10T00:00:00"/>
    <s v="11/06/2021 (envoi courrier)"/>
    <s v="Manque page 2 TF (ok)"/>
    <d v="2021-07-16T00:00:00"/>
    <d v="2021-07-16T00:00:00"/>
    <d v="2021-07-19T00:00:00"/>
    <m/>
    <d v="2021-11-18T00:00:00"/>
    <d v="2021-09-30T00:00:00"/>
    <s v="-"/>
    <d v="2021-11-25T00:00:00"/>
    <d v="2021-11-25T00:00:00"/>
    <d v="2021-12-09T00:00:00"/>
    <m/>
    <m/>
    <m/>
    <s v="HERITIER"/>
    <s v="Roger"/>
    <n v="2"/>
    <n v="27520"/>
    <n v="261"/>
    <s v="Chemin de Neyroud"/>
    <n v="38500"/>
    <x v="4"/>
    <s v="-"/>
    <s v="-"/>
    <s v="PO"/>
    <m/>
    <m/>
    <s v="-"/>
    <s v="-"/>
    <s v="-"/>
    <s v="-"/>
    <x v="0"/>
    <x v="0"/>
    <s v="CARRE François"/>
    <s v="f.carre@carre-f.com"/>
    <s v="04 76 37 03 50"/>
    <s v="-"/>
    <s v="oui  "/>
    <d v="2021-11-17T00:00:00"/>
    <s v="poêle"/>
    <n v="1990"/>
    <x v="0"/>
    <x v="1"/>
    <s v="PALAZZETTI"/>
    <s v="ECOFIRE AURORA 9 US"/>
    <n v="8"/>
    <n v="9"/>
    <n v="90.5"/>
    <n v="3.0000000000000001E-3"/>
    <s v="FV7"/>
    <m/>
    <n v="3243"/>
    <m/>
    <m/>
    <m/>
    <n v="1486"/>
    <n v="4729"/>
    <n v="260.09500000000003"/>
    <n v="4989.0950000000003"/>
    <n v="4989.1000000000004"/>
    <s v="oui"/>
    <m/>
    <m/>
    <s v="ADEME 2021"/>
    <s v="NC"/>
  </r>
  <r>
    <x v="2"/>
    <n v="6"/>
    <x v="3"/>
    <x v="1"/>
    <s v="EBL"/>
    <s v="VRB0192"/>
    <n v="600"/>
    <d v="2021-06-10T00:00:00"/>
    <d v="2021-06-10T00:00:00"/>
    <d v="2021-06-11T00:00:00"/>
    <s v="Manque page 2 TF (ok)"/>
    <d v="2021-06-15T00:00:00"/>
    <d v="2021-06-15T00:00:00"/>
    <d v="2021-06-21T00:00:00"/>
    <m/>
    <d v="2021-10-20T00:00:00"/>
    <d v="2021-09-07T00:00:00"/>
    <s v="-"/>
    <d v="2021-10-22T00:00:00"/>
    <d v="2021-10-22T00:00:00"/>
    <d v="2021-10-26T00:00:00"/>
    <m/>
    <m/>
    <m/>
    <s v="CIVET"/>
    <s v="Christian"/>
    <n v="1"/>
    <n v="49015"/>
    <n v="100"/>
    <s v="Lot Bellevue"/>
    <n v="38140"/>
    <x v="8"/>
    <n v="630998340"/>
    <s v="civet.christian@free.fr"/>
    <s v="PO"/>
    <m/>
    <m/>
    <s v="-"/>
    <s v="-"/>
    <s v="-"/>
    <s v="-"/>
    <x v="10"/>
    <x v="1"/>
    <s v="GILLET Pascal"/>
    <s v="bois-soleil.chauffage@orange.fr"/>
    <n v="476323235"/>
    <s v="-"/>
    <s v="oui"/>
    <d v="2021-08-21T00:00:00"/>
    <s v="insert / foyer fermé"/>
    <n v="1992"/>
    <x v="2"/>
    <x v="1"/>
    <s v="ATRA"/>
    <s v="ATRAFLAM 16/9ème 800"/>
    <n v="14"/>
    <n v="10"/>
    <n v="79"/>
    <n v="0.1"/>
    <s v="FV7"/>
    <m/>
    <n v="6215"/>
    <m/>
    <m/>
    <m/>
    <n v="2633"/>
    <n v="8848"/>
    <n v="486.64"/>
    <n v="9334.64"/>
    <n v="8969.15"/>
    <s v="oui"/>
    <m/>
    <m/>
    <s v="ADEME 2021"/>
    <s v="NC"/>
  </r>
  <r>
    <x v="2"/>
    <n v="6"/>
    <x v="3"/>
    <x v="2"/>
    <s v="EBL"/>
    <s v="VRB0193"/>
    <n v="1000"/>
    <d v="2021-06-11T00:00:00"/>
    <d v="2021-06-11T00:00:00"/>
    <d v="2021-06-11T00:00:00"/>
    <s v="Manque Questionnaire (ok)"/>
    <d v="2021-06-15T00:00:00"/>
    <d v="2021-06-15T00:00:00"/>
    <d v="2021-06-21T00:00:00"/>
    <m/>
    <d v="2021-10-07T00:00:00"/>
    <d v="2021-09-30T00:00:00"/>
    <s v="-"/>
    <d v="2021-10-12T00:00:00"/>
    <d v="2021-10-12T00:00:00"/>
    <d v="2021-10-12T00:00:00"/>
    <m/>
    <m/>
    <m/>
    <s v="GARREL"/>
    <s v="René"/>
    <n v="1"/>
    <n v="15181"/>
    <n v="180"/>
    <s v="Chemin du Barreau"/>
    <n v="38960"/>
    <x v="11"/>
    <n v="681910102"/>
    <s v="jmi.jullian@orange.fr"/>
    <s v="PO"/>
    <m/>
    <m/>
    <s v="-"/>
    <s v="-"/>
    <s v="-"/>
    <s v="-"/>
    <x v="10"/>
    <x v="1"/>
    <s v="GILLET Pascal"/>
    <s v="bois-soleil.chauffage@orange.fr"/>
    <n v="476323235"/>
    <s v="-"/>
    <s v="oui"/>
    <d v="2021-08-21T00:00:00"/>
    <s v="poêle"/>
    <n v="2000"/>
    <x v="2"/>
    <x v="1"/>
    <s v="JOTUL"/>
    <s v="C24"/>
    <n v="4"/>
    <n v="7"/>
    <n v="78"/>
    <n v="0.06"/>
    <s v="FV7"/>
    <m/>
    <n v="3010"/>
    <m/>
    <m/>
    <m/>
    <n v="1900"/>
    <n v="4910"/>
    <n v="270.05"/>
    <n v="5180.05"/>
    <n v="5180.05"/>
    <s v="oui"/>
    <m/>
    <m/>
    <s v="ADEME 2021"/>
    <s v="NC"/>
  </r>
  <r>
    <x v="2"/>
    <n v="6"/>
    <x v="3"/>
    <x v="2"/>
    <s v="EBL"/>
    <s v="VRB0194"/>
    <n v="1000"/>
    <d v="2021-06-14T00:00:00"/>
    <d v="2021-06-14T00:00:00"/>
    <s v="-"/>
    <s v="-"/>
    <d v="2021-06-15T00:00:00"/>
    <d v="2021-06-15T00:00:00"/>
    <d v="2021-06-21T00:00:00"/>
    <m/>
    <d v="2021-09-09T00:00:00"/>
    <d v="2021-09-01T00:00:00"/>
    <s v="-"/>
    <d v="2021-09-16T00:00:00"/>
    <d v="2021-09-16T00:00:00"/>
    <d v="2021-09-30T00:00:00"/>
    <m/>
    <m/>
    <m/>
    <s v="DE MOLINER"/>
    <s v="Guy"/>
    <n v="1"/>
    <n v="16393"/>
    <n v="505"/>
    <s v="Route de Monnair"/>
    <n v="38210"/>
    <x v="3"/>
    <n v="652673182"/>
    <s v="guy.lwiz@gmail.com"/>
    <s v="PO"/>
    <m/>
    <m/>
    <s v="-"/>
    <s v="-"/>
    <s v="-"/>
    <s v="-"/>
    <x v="33"/>
    <x v="26"/>
    <s v="GUILLAUD SAUMUR"/>
    <s v="latredauphinois@gmail.com"/>
    <n v="676354364"/>
    <s v="-"/>
    <s v="oui"/>
    <d v="2021-10-26T00:00:00"/>
    <s v="insert / foyer fermé"/>
    <n v="1998"/>
    <x v="0"/>
    <x v="0"/>
    <s v="RAVELLI"/>
    <s v="S90"/>
    <n v="13"/>
    <n v="7.8"/>
    <n v="90.4"/>
    <n v="1.2999999999999999E-2"/>
    <s v="FV7"/>
    <m/>
    <n v="3183.65"/>
    <m/>
    <m/>
    <m/>
    <n v="500"/>
    <n v="3683.65"/>
    <n v="202.60075000000001"/>
    <n v="3886.2507500000002"/>
    <n v="3929.48"/>
    <s v="oui"/>
    <m/>
    <m/>
    <s v="ADEME 2021"/>
    <s v="NC"/>
  </r>
  <r>
    <x v="2"/>
    <n v="6"/>
    <x v="3"/>
    <x v="1"/>
    <s v="EBL"/>
    <s v="VRB0195"/>
    <n v="600"/>
    <d v="2021-06-14T00:00:00"/>
    <d v="2021-06-15T00:00:00"/>
    <d v="2021-06-15T00:00:00"/>
    <s v="Manque adresse RIB (ok)"/>
    <d v="2021-06-21T00:00:00"/>
    <d v="2021-06-21T00:00:00"/>
    <d v="2021-06-24T00:00:00"/>
    <m/>
    <d v="2021-11-26T00:00:00"/>
    <d v="2021-08-09T00:00:00"/>
    <s v="-"/>
    <d v="2021-12-09T00:00:00"/>
    <d v="2021-12-09T00:00:00"/>
    <d v="2021-12-10T00:00:00"/>
    <m/>
    <m/>
    <m/>
    <s v="LEMERCIER&amp;GAFFE"/>
    <s v="Claudie&amp;Joël"/>
    <n v="3"/>
    <n v="65542"/>
    <n v="232"/>
    <s v="Impasse des Verchères"/>
    <n v="38500"/>
    <x v="18"/>
    <n v="637554314"/>
    <s v="jogag2003@yahoo.fr"/>
    <s v="PO"/>
    <m/>
    <m/>
    <s v="-"/>
    <s v="-"/>
    <s v="-"/>
    <s v="-"/>
    <x v="10"/>
    <x v="1"/>
    <s v="GILLET Pascal"/>
    <s v="bois-soleil.chauffage@orange.fr"/>
    <n v="476323235"/>
    <s v="-"/>
    <s v="oui"/>
    <d v="2021-08-21T00:00:00"/>
    <s v="insert / foyer fermé"/>
    <n v="1999"/>
    <x v="0"/>
    <x v="1"/>
    <s v="JOTUL"/>
    <s v="F360 ADVANCE"/>
    <n v="4"/>
    <n v="6.8"/>
    <n v="78"/>
    <n v="0.06"/>
    <s v="FV7"/>
    <m/>
    <n v="3877"/>
    <m/>
    <m/>
    <m/>
    <n v="630"/>
    <n v="4507"/>
    <n v="247.88499999999999"/>
    <n v="4754.8850000000002"/>
    <n v="5293.96"/>
    <s v="non"/>
    <m/>
    <m/>
    <s v="ADEME 2021"/>
    <s v="NC"/>
  </r>
  <r>
    <x v="2"/>
    <n v="6"/>
    <x v="3"/>
    <x v="2"/>
    <s v="EBL"/>
    <s v="VRB0196"/>
    <n v="1000"/>
    <d v="2021-06-15T00:00:00"/>
    <d v="2021-06-15T00:00:00"/>
    <s v="-"/>
    <s v="-"/>
    <d v="2021-06-15T00:00:00"/>
    <d v="2021-06-15T00:00:00"/>
    <d v="2021-06-21T00:00:00"/>
    <m/>
    <d v="2021-11-26T00:00:00"/>
    <d v="2021-11-07T00:00:00"/>
    <s v="-"/>
    <d v="2021-12-09T00:00:00"/>
    <d v="2021-12-09T00:00:00"/>
    <d v="2021-12-10T00:00:00"/>
    <m/>
    <m/>
    <m/>
    <s v="ALLEGRET"/>
    <s v="Guy"/>
    <n v="1"/>
    <n v="2183"/>
    <n v="536"/>
    <s v="Route des Vials"/>
    <n v="38960"/>
    <x v="11"/>
    <n v="678622049"/>
    <s v="allegret.guy.mpr@gmail.com"/>
    <s v="PO"/>
    <m/>
    <m/>
    <s v="-"/>
    <s v="-"/>
    <s v="-"/>
    <s v="-"/>
    <x v="0"/>
    <x v="0"/>
    <s v="CARRE François"/>
    <s v="f.carre@carre-f.com"/>
    <s v="04 76 37 03 50"/>
    <s v="-"/>
    <s v="oui  "/>
    <d v="2021-11-17T00:00:00"/>
    <s v="cuisinière"/>
    <n v="2000"/>
    <x v="0"/>
    <x v="1"/>
    <s v="PALAZZETTI"/>
    <s v="NICOLE"/>
    <n v="30"/>
    <n v="7.9"/>
    <n v="80"/>
    <n v="7.0000000000000007E-2"/>
    <s v="FV7"/>
    <m/>
    <n v="6858.5"/>
    <m/>
    <m/>
    <m/>
    <n v="590"/>
    <n v="7448.5"/>
    <n v="409.66750000000002"/>
    <n v="7858.1674999999996"/>
    <n v="7858.17"/>
    <s v="oui"/>
    <m/>
    <m/>
    <s v="ADEME 2021"/>
    <s v="NC"/>
  </r>
  <r>
    <x v="2"/>
    <n v="6"/>
    <x v="3"/>
    <x v="1"/>
    <s v="EBL"/>
    <s v="VRB0197"/>
    <n v="600"/>
    <d v="2021-06-18T00:00:00"/>
    <d v="2021-06-18T00:00:00"/>
    <s v="-"/>
    <s v="-"/>
    <d v="2021-06-21T00:00:00"/>
    <d v="2021-06-21T00:00:00"/>
    <d v="2021-06-24T00:00:00"/>
    <m/>
    <d v="2021-10-13T00:00:00"/>
    <d v="2021-08-31T00:00:00"/>
    <s v="-"/>
    <d v="2021-10-22T00:00:00"/>
    <d v="2021-10-22T00:00:00"/>
    <d v="2021-10-26T00:00:00"/>
    <m/>
    <m/>
    <m/>
    <s v="LYONNE"/>
    <s v="Paul"/>
    <n v="1"/>
    <n v="19093"/>
    <n v="892"/>
    <s v="Route du Gros Bois"/>
    <n v="38500"/>
    <x v="4"/>
    <n v="476658024"/>
    <s v="-"/>
    <s v="PO"/>
    <m/>
    <m/>
    <s v="-"/>
    <s v="-"/>
    <s v="-"/>
    <s v="-"/>
    <x v="27"/>
    <x v="20"/>
    <s v="GABORIT Sabin"/>
    <s v="adv@atre-loisirs.fr"/>
    <n v="476441060"/>
    <s v="-"/>
    <s v="oui"/>
    <d v="2021-07-21T00:00:00"/>
    <s v="cuisinière"/>
    <n v="1996"/>
    <x v="0"/>
    <x v="1"/>
    <s v="JOTUL"/>
    <s v="F166"/>
    <n v="20"/>
    <n v="5"/>
    <n v="83"/>
    <n v="0.06"/>
    <s v="FV7"/>
    <m/>
    <n v="3010"/>
    <m/>
    <m/>
    <m/>
    <n v="980"/>
    <n v="3990"/>
    <n v="219.45"/>
    <n v="4209.45"/>
    <n v="3540"/>
    <s v="non"/>
    <m/>
    <m/>
    <s v="ADEME 2021"/>
    <s v="NC"/>
  </r>
  <r>
    <x v="2"/>
    <n v="6"/>
    <x v="3"/>
    <x v="1"/>
    <s v="EBL"/>
    <s v="VRB0198"/>
    <n v="600"/>
    <d v="2021-06-22T00:00:00"/>
    <d v="2021-06-24T00:00:00"/>
    <d v="2021-06-25T00:00:00"/>
    <s v="Manque questionnaire"/>
    <d v="2021-06-29T00:00:00"/>
    <d v="2021-06-29T00:00:00"/>
    <d v="2021-07-05T00:00:00"/>
    <m/>
    <d v="2021-01-12T00:00:00"/>
    <d v="2021-12-21T00:00:00"/>
    <s v="-"/>
    <d v="2022-01-19T00:00:00"/>
    <d v="2022-01-19T00:00:00"/>
    <d v="2022-01-20T00:00:00"/>
    <m/>
    <m/>
    <m/>
    <s v="REYNAUD"/>
    <s v="Jean"/>
    <n v="1"/>
    <n v="45754"/>
    <n v="865"/>
    <s v="Route du Guillermet"/>
    <n v="38850"/>
    <x v="24"/>
    <n v="687224600"/>
    <s v="jr.reynaud6@orange.fr"/>
    <s v="PO"/>
    <m/>
    <m/>
    <s v="-"/>
    <s v="-"/>
    <s v="-"/>
    <s v="-"/>
    <x v="0"/>
    <x v="0"/>
    <s v="CARRE François"/>
    <s v="f.carre@carre-f.com"/>
    <s v="04 76 37 03 50"/>
    <s v="-"/>
    <s v="oui  "/>
    <d v="2021-11-17T00:00:00"/>
    <s v="insert / foyer fermé"/>
    <n v="1982"/>
    <x v="2"/>
    <x v="1"/>
    <s v="LACUNZA"/>
    <s v="ADOUR 800"/>
    <n v="30"/>
    <n v="9.5"/>
    <n v="76"/>
    <n v="0.1"/>
    <s v="FV7"/>
    <m/>
    <n v="3232"/>
    <m/>
    <m/>
    <m/>
    <n v="921"/>
    <n v="4153"/>
    <n v="228.41499999999999"/>
    <n v="4381.415"/>
    <n v="4381.42"/>
    <s v="non"/>
    <m/>
    <m/>
    <s v="ADEME 2021"/>
    <s v="NC"/>
  </r>
  <r>
    <x v="2"/>
    <n v="6"/>
    <x v="3"/>
    <x v="1"/>
    <s v="EBL"/>
    <s v="VRB0199"/>
    <n v="600"/>
    <d v="2021-06-23T00:00:00"/>
    <d v="2021-06-24T00:00:00"/>
    <s v="-"/>
    <s v="-"/>
    <d v="2021-06-25T00:00:00"/>
    <d v="2021-06-25T00:00:00"/>
    <d v="2021-07-02T00:00:00"/>
    <m/>
    <d v="2021-11-30T00:00:00"/>
    <d v="2021-11-26T00:00:00"/>
    <s v="-"/>
    <d v="2021-12-09T00:00:00"/>
    <d v="2021-12-09T00:00:00"/>
    <d v="2021-12-10T00:00:00"/>
    <m/>
    <m/>
    <m/>
    <s v="GANAVAT"/>
    <s v="Jean-Noël"/>
    <n v="1"/>
    <n v="23359"/>
    <n v="15"/>
    <s v="Route des Maures"/>
    <n v="38850"/>
    <x v="9"/>
    <n v="750813489"/>
    <s v="jeannoelganavat@hotmail.com"/>
    <s v="PO"/>
    <m/>
    <m/>
    <s v="-"/>
    <s v="-"/>
    <s v="-"/>
    <s v="-"/>
    <x v="7"/>
    <x v="1"/>
    <s v="PIERRE Emmanuel"/>
    <s v="voiron@techni-nature.com"/>
    <n v="951096343"/>
    <s v="-"/>
    <s v="oui"/>
    <d v="2021-08-25T00:00:00"/>
    <s v="insert / foyer fermé"/>
    <n v="1992"/>
    <x v="0"/>
    <x v="0"/>
    <s v="INOVALP"/>
    <s v="HOBEN H7"/>
    <n v="20"/>
    <n v="8.3000000000000007"/>
    <n v="87"/>
    <n v="1.7999999999999999E-2"/>
    <s v="registre"/>
    <m/>
    <n v="5694.2800000000007"/>
    <m/>
    <m/>
    <m/>
    <n v="630"/>
    <n v="6324.2800000000007"/>
    <n v="347.83540000000005"/>
    <n v="6672.1154000000006"/>
    <n v="6400.01"/>
    <s v="oui"/>
    <m/>
    <m/>
    <s v="ADEME 2021"/>
    <s v="NC"/>
  </r>
  <r>
    <x v="2"/>
    <n v="6"/>
    <x v="3"/>
    <x v="2"/>
    <s v="EBL"/>
    <s v="VRB0200"/>
    <n v="1000"/>
    <d v="2021-06-25T00:00:00"/>
    <d v="2021-06-28T00:00:00"/>
    <d v="2021-06-29T00:00:00"/>
    <s v="Manque Adresse RIB (ok)"/>
    <d v="2021-06-29T00:00:00"/>
    <d v="2021-06-29T00:00:00"/>
    <d v="2021-07-05T00:00:00"/>
    <m/>
    <d v="2021-09-23T00:00:00"/>
    <d v="2021-09-14T00:00:00"/>
    <s v="Manque attestation fin de travaux (ok)"/>
    <d v="2021-10-07T00:00:00"/>
    <d v="2021-10-07T00:00:00"/>
    <d v="2021-12-09T00:00:00"/>
    <m/>
    <m/>
    <m/>
    <s v="DOS ANJOS"/>
    <s v="Mickael"/>
    <n v="3"/>
    <n v="20677"/>
    <n v="68"/>
    <s v="Impasse de la Pontelière"/>
    <n v="38850"/>
    <x v="5"/>
    <n v="647190156"/>
    <s v="dosanjoscorreia01@gmail.com"/>
    <s v="PO"/>
    <m/>
    <m/>
    <s v="-"/>
    <s v="-"/>
    <s v="-"/>
    <s v="-"/>
    <x v="14"/>
    <x v="1"/>
    <s v="SIMON Frédéric"/>
    <s v="contact@ecvoiron.fr"/>
    <n v="476069938"/>
    <s v="-"/>
    <s v="oui"/>
    <d v="2021-09-18T00:00:00"/>
    <s v="poêle"/>
    <n v="2000"/>
    <x v="0"/>
    <x v="0"/>
    <s v="PALAZZETTI"/>
    <s v="LIA 8KW"/>
    <n v="133"/>
    <n v="8.1999999999999993"/>
    <n v="87.7"/>
    <n v="2E-3"/>
    <s v="FV7"/>
    <m/>
    <n v="2620"/>
    <m/>
    <m/>
    <m/>
    <n v="650"/>
    <n v="3270"/>
    <n v="179.85"/>
    <n v="3449.85"/>
    <n v="3449.85"/>
    <s v="oui"/>
    <m/>
    <m/>
    <s v="ADEME 2021"/>
    <s v="NC"/>
  </r>
  <r>
    <x v="2"/>
    <n v="7"/>
    <x v="3"/>
    <x v="1"/>
    <s v="EBL"/>
    <s v="VRB0201"/>
    <n v="600"/>
    <d v="2021-06-28T00:00:00"/>
    <d v="2021-06-29T00:00:00"/>
    <d v="2021-06-29T00:00:00"/>
    <s v="Manque Lettre (ok)"/>
    <d v="2021-07-06T00:00:00"/>
    <d v="2021-07-06T00:00:00"/>
    <d v="2021-07-12T00:00:00"/>
    <m/>
    <d v="2021-09-30T00:00:00"/>
    <d v="2021-09-21T00:00:00"/>
    <s v="-"/>
    <d v="2021-10-07T00:00:00"/>
    <d v="2021-10-07T00:00:00"/>
    <d v="2021-10-12T00:00:00"/>
    <m/>
    <m/>
    <m/>
    <s v="LEVEQUE"/>
    <s v="Patrick"/>
    <n v="2"/>
    <n v="52008"/>
    <n v="1285"/>
    <s v="Route de Charavine"/>
    <n v="38850"/>
    <x v="9"/>
    <n v="682558368"/>
    <s v="chouchou.leveque@gmail.com"/>
    <s v="PO"/>
    <m/>
    <m/>
    <s v="-"/>
    <s v="-"/>
    <s v="-"/>
    <s v="-"/>
    <x v="16"/>
    <x v="10"/>
    <s v="ALO"/>
    <s v="cheminees.jay@orange.fr"/>
    <n v="476500550"/>
    <s v="-"/>
    <s v="oui"/>
    <d v="2022-06-28T00:00:00"/>
    <s v="poêle"/>
    <n v="1985"/>
    <x v="0"/>
    <x v="1"/>
    <s v="TURBO FONTE"/>
    <s v="JAZZ 7kW"/>
    <n v="32"/>
    <n v="7"/>
    <n v="77.8"/>
    <n v="0.08"/>
    <s v="FV7"/>
    <m/>
    <n v="2077.42"/>
    <m/>
    <m/>
    <m/>
    <n v="550"/>
    <n v="2627.42"/>
    <n v="144.50810000000001"/>
    <n v="2771.9281000000001"/>
    <n v="2771.93"/>
    <s v="oui"/>
    <m/>
    <m/>
    <s v="ADEME 2021"/>
    <s v="NC"/>
  </r>
  <r>
    <x v="2"/>
    <n v="7"/>
    <x v="4"/>
    <x v="0"/>
    <s v="EBL"/>
    <s v="VRB0202"/>
    <n v="600"/>
    <d v="2021-06-28T00:00:00"/>
    <d v="2021-06-29T00:00:00"/>
    <d v="2021-06-29T00:00:00"/>
    <s v="Manque Questionnaire+photo plan large (ok)"/>
    <d v="2021-07-16T00:00:00"/>
    <d v="2021-07-16T00:00:00"/>
    <d v="2021-07-19T00:00:00"/>
    <m/>
    <d v="2021-09-28T00:00:00"/>
    <d v="2021-05-03T00:00:00"/>
    <s v="-"/>
    <s v="-"/>
    <s v="-"/>
    <s v="-"/>
    <m/>
    <d v="2021-09-30T00:00:00"/>
    <s v="Les travaux ont été réalisé avant la demande de subvention"/>
    <s v="HUMBERT"/>
    <s v="Gérard"/>
    <n v="2"/>
    <n v="28327"/>
    <n v="19"/>
    <s v="Route de Verchères"/>
    <n v="38620"/>
    <x v="16"/>
    <n v="476323674"/>
    <s v="-"/>
    <s v="PO"/>
    <m/>
    <m/>
    <s v="-"/>
    <s v="-"/>
    <s v="-"/>
    <s v="-"/>
    <x v="13"/>
    <x v="1"/>
    <s v="CHARREL Stephane"/>
    <s v="contact@fer-et-feu.fr"/>
    <n v="476059444"/>
    <s v="-"/>
    <s v="oui"/>
    <d v="2021-08-16T00:00:00"/>
    <s v="poêle"/>
    <n v="2000"/>
    <x v="0"/>
    <x v="0"/>
    <s v="RIKA"/>
    <s v="COMO"/>
    <n v="8.5"/>
    <n v="9"/>
    <n v="91.1"/>
    <n v="0.02"/>
    <s v="registre"/>
    <m/>
    <n v="4970"/>
    <m/>
    <m/>
    <m/>
    <n v="300"/>
    <n v="5270"/>
    <n v="289.85000000000002"/>
    <n v="5559.85"/>
    <n v="4225.95"/>
    <s v="non"/>
    <m/>
    <m/>
    <n v="0"/>
    <s v="NC"/>
  </r>
  <r>
    <x v="2"/>
    <n v="6"/>
    <x v="3"/>
    <x v="1"/>
    <s v="EBL"/>
    <s v="VRB0203"/>
    <n v="600"/>
    <d v="2021-06-28T00:00:00"/>
    <d v="2021-06-29T00:00:00"/>
    <s v="-"/>
    <s v="-"/>
    <d v="2021-06-29T00:00:00"/>
    <d v="2021-06-29T00:00:00"/>
    <d v="2021-07-05T00:00:00"/>
    <m/>
    <d v="2021-12-29T00:00:00"/>
    <d v="2021-12-10T00:00:00"/>
    <s v="-"/>
    <d v="2022-02-23T00:00:00"/>
    <d v="2022-02-23T00:00:00"/>
    <d v="2022-02-24T00:00:00"/>
    <m/>
    <m/>
    <m/>
    <s v="SCHWERDEL"/>
    <s v="Yoan "/>
    <n v="2"/>
    <n v="32696"/>
    <n v="243"/>
    <s v="Rue du Herisson"/>
    <n v="38140"/>
    <x v="6"/>
    <n v="684282070"/>
    <s v="yoanschwerdel@gmail.com"/>
    <s v="PO"/>
    <m/>
    <m/>
    <s v="-"/>
    <s v="-"/>
    <s v="-"/>
    <s v="-"/>
    <x v="8"/>
    <x v="7"/>
    <s v="MOREY Thomas"/>
    <s v="thomas.morey@wattethome.com"/>
    <n v="476065876"/>
    <s v="-"/>
    <s v="oui"/>
    <d v="2021-07-21T00:00:00"/>
    <s v="insert / foyer fermé"/>
    <n v="2002"/>
    <x v="0"/>
    <x v="0"/>
    <s v="PALAZZETTI"/>
    <s v="LINDA 9 US"/>
    <n v="15"/>
    <n v="9"/>
    <n v="92.4"/>
    <n v="2.2399999999999998E-3"/>
    <s v="FV7"/>
    <m/>
    <n v="3765"/>
    <m/>
    <m/>
    <m/>
    <n v="400"/>
    <n v="4165"/>
    <n v="229.07499999999999"/>
    <n v="4394.0749999999998"/>
    <n v="4394.08"/>
    <s v="oui"/>
    <m/>
    <m/>
    <s v="ADEME 2021"/>
    <s v="NC"/>
  </r>
  <r>
    <x v="2"/>
    <n v="7"/>
    <x v="3"/>
    <x v="1"/>
    <s v="EBL"/>
    <s v="VRB0204"/>
    <n v="600"/>
    <d v="2021-06-30T00:00:00"/>
    <d v="2021-07-01T00:00:00"/>
    <s v="-"/>
    <s v="-"/>
    <d v="2021-07-06T00:00:00"/>
    <d v="2021-07-06T00:00:00"/>
    <d v="2021-07-12T00:00:00"/>
    <m/>
    <d v="2021-08-24T00:00:00"/>
    <d v="2021-07-22T00:00:00"/>
    <s v="-"/>
    <d v="2021-08-30T00:00:00"/>
    <d v="2021-08-30T00:00:00"/>
    <d v="2021-09-16T00:00:00"/>
    <m/>
    <m/>
    <m/>
    <s v="THEVENET"/>
    <s v="Bernard"/>
    <n v="3"/>
    <n v="49976"/>
    <n v="910"/>
    <s v="Route de Saint Sulpice"/>
    <n v="38620"/>
    <x v="31"/>
    <n v="781242782"/>
    <s v="thevenet.boyet@orange.fr"/>
    <s v="PO"/>
    <m/>
    <m/>
    <s v="-"/>
    <s v="-"/>
    <s v="-"/>
    <s v="-"/>
    <x v="0"/>
    <x v="0"/>
    <s v="CARRE François"/>
    <s v="f.carre@carre-f.com"/>
    <s v="04 76 37 03 50"/>
    <s v="-"/>
    <s v="oui  "/>
    <d v="2021-11-17T00:00:00"/>
    <s v="insert / foyer fermé"/>
    <n v="2001"/>
    <x v="0"/>
    <x v="0"/>
    <s v="PALAZZETTI"/>
    <s v="ECOFIRE BIANCA LUX 12 PRO 3"/>
    <n v="11"/>
    <n v="12"/>
    <n v="88.5"/>
    <n v="7.0000000000000001E-3"/>
    <s v="FV7"/>
    <m/>
    <n v="5708"/>
    <m/>
    <m/>
    <m/>
    <n v="1485"/>
    <n v="7193"/>
    <n v="395.61500000000001"/>
    <n v="7588.6149999999998"/>
    <n v="7588.62"/>
    <s v="oui"/>
    <m/>
    <m/>
    <s v="ADEME 2021"/>
    <s v="NC"/>
  </r>
  <r>
    <x v="2"/>
    <n v="7"/>
    <x v="3"/>
    <x v="2"/>
    <s v="EBL"/>
    <s v="VRB0205"/>
    <n v="1000"/>
    <d v="2021-06-30T00:00:00"/>
    <d v="2021-07-01T00:00:00"/>
    <s v="-"/>
    <s v="-"/>
    <d v="2021-07-06T00:00:00"/>
    <d v="2021-07-06T00:00:00"/>
    <d v="2021-07-12T00:00:00"/>
    <m/>
    <d v="2021-11-24T00:00:00"/>
    <d v="2021-10-30T00:00:00"/>
    <s v="-"/>
    <d v="2021-11-25T00:00:00"/>
    <d v="2021-11-25T00:00:00"/>
    <d v="2021-12-09T00:00:00"/>
    <m/>
    <m/>
    <m/>
    <s v="GALLIN"/>
    <s v="Ludovic"/>
    <n v="4"/>
    <n v="28822"/>
    <n v="1179"/>
    <s v="Chemin du Chasselard"/>
    <n v="38620"/>
    <x v="16"/>
    <n v="476910050"/>
    <s v="ludorel@orange.fr"/>
    <s v="PO"/>
    <m/>
    <m/>
    <s v="-"/>
    <s v="-"/>
    <s v="-"/>
    <s v="-"/>
    <x v="0"/>
    <x v="0"/>
    <s v="CARRE François"/>
    <s v="f.carre@carre-f.com"/>
    <s v="04 76 37 03 50"/>
    <s v="-"/>
    <s v="oui  "/>
    <d v="2021-11-17T00:00:00"/>
    <s v="poêle"/>
    <n v="1980"/>
    <x v="0"/>
    <x v="1"/>
    <s v="LACUNZA"/>
    <s v="Vulcano 7T"/>
    <n v="31"/>
    <n v="9"/>
    <n v="75"/>
    <n v="0.1"/>
    <s v="FV7"/>
    <m/>
    <n v="6018"/>
    <m/>
    <m/>
    <m/>
    <n v="790"/>
    <n v="6808"/>
    <n v="374.44"/>
    <n v="7182.44"/>
    <n v="7182.44"/>
    <s v="oui"/>
    <m/>
    <m/>
    <s v="ADEME 2021"/>
    <s v="NC"/>
  </r>
  <r>
    <x v="2"/>
    <n v="7"/>
    <x v="3"/>
    <x v="1"/>
    <s v="EBL"/>
    <s v="VRB0206"/>
    <n v="600"/>
    <d v="2021-07-01T00:00:00"/>
    <d v="2021-07-01T00:00:00"/>
    <s v="-"/>
    <s v="-"/>
    <d v="2021-07-06T00:00:00"/>
    <d v="2021-07-06T00:00:00"/>
    <d v="2021-07-12T00:00:00"/>
    <m/>
    <d v="2021-08-04T00:00:00"/>
    <d v="2021-07-28T00:00:00"/>
    <s v="Tampon facture (ok)"/>
    <d v="2021-08-30T00:00:00"/>
    <d v="2021-08-30T00:00:00"/>
    <d v="2021-09-16T00:00:00"/>
    <m/>
    <m/>
    <m/>
    <s v="NEVADO"/>
    <s v="Xavier"/>
    <n v="2"/>
    <n v="45018"/>
    <n v="46"/>
    <s v="Route de Voreppe"/>
    <n v="38340"/>
    <x v="23"/>
    <n v="664927741"/>
    <s v="xa.nevado@live.fr"/>
    <s v="PO"/>
    <m/>
    <m/>
    <s v="-"/>
    <s v="-"/>
    <s v="-"/>
    <s v="-"/>
    <x v="11"/>
    <x v="2"/>
    <s v="GRATIER Pascal"/>
    <s v="grenoble@hase-boutique.fr"/>
    <n v="476452433"/>
    <s v="-"/>
    <s v="oui"/>
    <d v="2022-01-28T00:00:00"/>
    <s v="foyer ouvert"/>
    <n v="1990"/>
    <x v="0"/>
    <x v="1"/>
    <s v="HASE"/>
    <s v="SILA PLUS"/>
    <n v="16"/>
    <n v="6.4"/>
    <n v="81"/>
    <n v="0.08"/>
    <s v="FV7"/>
    <m/>
    <n v="5023.6099999999997"/>
    <m/>
    <m/>
    <m/>
    <n v="485"/>
    <n v="5508.61"/>
    <n v="302.97354999999999"/>
    <n v="5811.5835499999994"/>
    <n v="5411.74"/>
    <s v="non"/>
    <m/>
    <m/>
    <s v="ADEME 2021"/>
    <s v="NC"/>
  </r>
  <r>
    <x v="2"/>
    <n v="7"/>
    <x v="3"/>
    <x v="1"/>
    <s v="EBL"/>
    <s v="VRB0207"/>
    <n v="600"/>
    <d v="2021-07-02T00:00:00"/>
    <d v="2021-07-06T00:00:00"/>
    <s v="-"/>
    <s v="-"/>
    <d v="2021-07-06T00:00:00"/>
    <d v="2021-07-06T00:00:00"/>
    <d v="2021-07-12T00:00:00"/>
    <m/>
    <d v="2022-03-03T00:00:00"/>
    <d v="2021-12-17T00:00:00"/>
    <s v="-"/>
    <d v="2022-03-10T00:00:00"/>
    <d v="2022-03-10T00:00:00"/>
    <d v="2022-03-10T00:00:00"/>
    <m/>
    <m/>
    <m/>
    <s v="LESQUER"/>
    <s v="Yves"/>
    <n v="2"/>
    <n v="46202"/>
    <n v="233"/>
    <s v="Rue de l'Isère"/>
    <n v="38500"/>
    <x v="4"/>
    <n v="476550038"/>
    <s v="yves.lesquer@wanadoo.fr"/>
    <s v="PO"/>
    <m/>
    <m/>
    <s v="-"/>
    <s v="-"/>
    <s v="-"/>
    <s v="-"/>
    <x v="1"/>
    <x v="1"/>
    <s v="LIBER Jean-Christophe"/>
    <s v="jlc.services@orange.fr"/>
    <s v="04 76 07 14 61"/>
    <s v="-"/>
    <s v="oui"/>
    <d v="2021-11-03T00:00:00"/>
    <s v="foyer ouvert"/>
    <n v="1990"/>
    <x v="0"/>
    <x v="1"/>
    <s v="ORANIER"/>
    <s v="ROTA"/>
    <n v="30"/>
    <n v="5"/>
    <n v="80.2"/>
    <n v="7.0000000000000007E-2"/>
    <s v="FV7"/>
    <m/>
    <n v="3022.21"/>
    <m/>
    <m/>
    <m/>
    <n v="1000"/>
    <n v="4022.21"/>
    <n v="221.22155000000001"/>
    <n v="4243.4315500000002"/>
    <n v="4243.43"/>
    <s v="oui"/>
    <m/>
    <m/>
    <s v="ADEME 2021"/>
    <s v="NC"/>
  </r>
  <r>
    <x v="2"/>
    <n v="7"/>
    <x v="3"/>
    <x v="2"/>
    <s v="EBL"/>
    <s v="VRB0208"/>
    <n v="1000"/>
    <d v="2021-07-02T00:00:00"/>
    <d v="2021-07-06T00:00:00"/>
    <s v="-"/>
    <s v="-"/>
    <d v="2021-07-06T00:00:00"/>
    <d v="2021-07-06T00:00:00"/>
    <d v="2021-07-12T00:00:00"/>
    <m/>
    <d v="2021-12-07T00:00:00"/>
    <d v="2021-11-30T00:00:00"/>
    <s v="-"/>
    <d v="2021-12-09T00:00:00"/>
    <d v="2021-12-09T00:00:00"/>
    <d v="2021-12-10T00:00:00"/>
    <m/>
    <m/>
    <m/>
    <s v="MARCHICA"/>
    <s v="Daniel"/>
    <n v="2"/>
    <n v="22974"/>
    <n v="107"/>
    <s v="Rue de la Magnanerie"/>
    <n v="38500"/>
    <x v="4"/>
    <n v="660402119"/>
    <s v="itu38190@hotmail.fr"/>
    <s v="PO"/>
    <m/>
    <m/>
    <s v="-"/>
    <s v="-"/>
    <s v="-"/>
    <s v="-"/>
    <x v="1"/>
    <x v="1"/>
    <s v="LIBER Jean-Christophe"/>
    <s v="jlc.services@orange.fr"/>
    <s v="04 76 07 14 61"/>
    <s v="-"/>
    <s v="oui"/>
    <d v="2021-11-03T00:00:00"/>
    <s v="poêle"/>
    <n v="1995"/>
    <x v="0"/>
    <x v="0"/>
    <s v="MCZ"/>
    <s v="CLUB 2.0"/>
    <n v="12"/>
    <n v="12"/>
    <n v="91"/>
    <n v="0.02"/>
    <s v="FV7"/>
    <m/>
    <n v="4400.8999999999996"/>
    <m/>
    <m/>
    <m/>
    <n v="480"/>
    <n v="4880.8999999999996"/>
    <n v="268.4495"/>
    <n v="5149.3494999999994"/>
    <n v="5243.35"/>
    <s v="non"/>
    <m/>
    <m/>
    <s v="ADEME 2021"/>
    <s v="NC"/>
  </r>
  <r>
    <x v="2"/>
    <n v="7"/>
    <x v="3"/>
    <x v="2"/>
    <s v="EBL"/>
    <s v="VRB0209"/>
    <n v="1000"/>
    <d v="2021-07-02T00:00:00"/>
    <d v="2021-07-06T00:00:00"/>
    <d v="2021-07-06T00:00:00"/>
    <s v="Manque Avis imposition+Justif de domicile+adresse rib+photo appareil (ok)"/>
    <d v="2021-07-16T00:00:00"/>
    <d v="2021-07-16T00:00:00"/>
    <d v="2021-07-19T00:00:00"/>
    <m/>
    <d v="2021-11-12T00:00:00"/>
    <d v="2021-10-20T00:00:00"/>
    <s v="-"/>
    <d v="2021-11-25T00:00:00"/>
    <d v="2021-11-25T00:00:00"/>
    <d v="2021-12-09T00:00:00"/>
    <m/>
    <m/>
    <m/>
    <s v="AGULLO"/>
    <s v="Jordan"/>
    <n v="2"/>
    <n v="23999"/>
    <n v="21"/>
    <s v="Rue de Beauvillage"/>
    <n v="38340"/>
    <x v="17"/>
    <n v="626421219"/>
    <s v="jordan.agullo63@gmail.com"/>
    <s v="PO"/>
    <m/>
    <m/>
    <s v="-"/>
    <s v="-"/>
    <s v="-"/>
    <s v="-"/>
    <x v="38"/>
    <x v="29"/>
    <s v="TIBERIO Marcel"/>
    <s v="tmgranule@gmail.com"/>
    <n v="652624373"/>
    <s v="-"/>
    <s v="oui"/>
    <d v="2021-09-07T00:00:00"/>
    <s v="foyer ouvert"/>
    <n v="1986"/>
    <x v="0"/>
    <x v="0"/>
    <s v="KLOVER"/>
    <s v="Soft 80"/>
    <n v="14.8"/>
    <n v="7.4"/>
    <n v="92.5"/>
    <n v="1.2E-2"/>
    <s v="registre"/>
    <m/>
    <n v="4072.3"/>
    <m/>
    <m/>
    <m/>
    <n v="590"/>
    <n v="4662.3"/>
    <n v="256.42650000000003"/>
    <n v="4918.7265000000007"/>
    <n v="4876.53"/>
    <s v="oui"/>
    <m/>
    <m/>
    <s v="ADEME 2021"/>
    <s v="NC"/>
  </r>
  <r>
    <x v="2"/>
    <n v="7"/>
    <x v="3"/>
    <x v="1"/>
    <s v="EBL"/>
    <s v="VRB0210"/>
    <n v="600"/>
    <d v="2021-07-03T00:00:00"/>
    <d v="2021-07-06T00:00:00"/>
    <s v="-"/>
    <s v="-"/>
    <d v="2021-07-06T00:00:00"/>
    <d v="2021-07-06T00:00:00"/>
    <d v="2021-07-12T00:00:00"/>
    <m/>
    <d v="2021-10-25T00:00:00"/>
    <d v="2021-10-20T00:00:00"/>
    <s v="-"/>
    <d v="2021-10-28T00:00:00"/>
    <d v="2021-10-28T00:00:00"/>
    <d v="2021-10-29T00:00:00"/>
    <m/>
    <m/>
    <m/>
    <s v="DEVORAZ-CABANON"/>
    <s v="Philippe"/>
    <n v="4"/>
    <n v="49436"/>
    <n v="1746"/>
    <s v="Route de la Montagne"/>
    <n v="38960"/>
    <x v="11"/>
    <n v="612913298"/>
    <s v="cabanes.lamontagne@gmail.com"/>
    <s v="PO"/>
    <m/>
    <m/>
    <s v="-"/>
    <s v="-"/>
    <s v="-"/>
    <s v="-"/>
    <x v="14"/>
    <x v="1"/>
    <s v="SIMON Frédéric"/>
    <s v="contact@ecvoiron.fr"/>
    <n v="476069938"/>
    <s v="-"/>
    <s v="oui"/>
    <d v="2021-09-18T00:00:00"/>
    <s v="poêle"/>
    <n v="1998"/>
    <x v="0"/>
    <x v="1"/>
    <s v="ROMOTOP"/>
    <s v="OVALIS T"/>
    <n v="40"/>
    <n v="5.9"/>
    <n v="83.6"/>
    <n v="7.0000000000000007E-2"/>
    <s v="FV7"/>
    <m/>
    <n v="4317.76"/>
    <m/>
    <m/>
    <m/>
    <n v="1220"/>
    <n v="5537.76"/>
    <n v="304.57679999999999"/>
    <n v="5842.3368"/>
    <n v="5842.34"/>
    <s v="non"/>
    <m/>
    <m/>
    <s v="ADEME 2021"/>
    <s v="NC"/>
  </r>
  <r>
    <x v="2"/>
    <n v="7"/>
    <x v="3"/>
    <x v="1"/>
    <s v="EBL"/>
    <s v="VRB0211"/>
    <n v="600"/>
    <d v="2021-07-04T00:00:00"/>
    <d v="2021-07-06T00:00:00"/>
    <s v="-"/>
    <s v="-"/>
    <d v="2021-07-06T00:00:00"/>
    <d v="2021-07-06T00:00:00"/>
    <d v="2021-07-12T00:00:00"/>
    <m/>
    <d v="2021-09-03T00:00:00"/>
    <d v="2021-08-31T00:00:00"/>
    <s v="-"/>
    <d v="2021-09-16T00:00:00"/>
    <d v="2021-09-16T00:00:00"/>
    <d v="2021-09-30T00:00:00"/>
    <m/>
    <m/>
    <m/>
    <s v="BONANS&amp;JIMENEZ"/>
    <s v="Ornella&amp;Guillaume"/>
    <n v="2"/>
    <n v="37694"/>
    <n v="46"/>
    <s v="Lotissement Les Amaryllis"/>
    <n v="38620"/>
    <x v="31"/>
    <n v="609367269"/>
    <s v="bonansornella@hotmail.fr"/>
    <s v="PO"/>
    <m/>
    <m/>
    <s v="-"/>
    <s v="-"/>
    <s v="-"/>
    <s v="-"/>
    <x v="2"/>
    <x v="2"/>
    <s v="DIDIER Jean-Christophe"/>
    <s v="jcduo@orange.fr"/>
    <n v="608287337"/>
    <s v="-"/>
    <s v="oui"/>
    <d v="2022-08-09T00:00:00"/>
    <s v="insert / foyer fermé"/>
    <n v="1999"/>
    <x v="0"/>
    <x v="1"/>
    <s v="MAX BLANK"/>
    <s v="RIO S"/>
    <n v="11"/>
    <n v="6.5"/>
    <n v="87.8"/>
    <n v="8.5000000000000006E-2"/>
    <s v="registre"/>
    <m/>
    <n v="4063"/>
    <m/>
    <m/>
    <m/>
    <n v="500"/>
    <n v="4563"/>
    <n v="250.965"/>
    <n v="4813.9650000000001"/>
    <n v="4200"/>
    <s v="oui"/>
    <m/>
    <m/>
    <s v="ADEME 2021"/>
    <s v="NC"/>
  </r>
  <r>
    <x v="2"/>
    <n v="7"/>
    <x v="3"/>
    <x v="1"/>
    <s v="EBL"/>
    <s v="VRB0212"/>
    <n v="600"/>
    <d v="2021-07-05T00:00:00"/>
    <d v="2021-07-06T00:00:00"/>
    <d v="2021-07-06T00:00:00"/>
    <s v="Manque Avis d'imposition (ne travaillais pas en France)"/>
    <d v="2021-07-16T00:00:00"/>
    <d v="2021-07-16T00:00:00"/>
    <d v="2021-07-19T00:00:00"/>
    <m/>
    <d v="2022-02-14T00:00:00"/>
    <d v="2021-11-21T00:00:00"/>
    <m/>
    <d v="2022-02-17T00:00:00"/>
    <d v="2022-02-17T00:00:00"/>
    <d v="2022-02-17T00:00:00"/>
    <m/>
    <m/>
    <m/>
    <s v="GIRARD&amp;PERSIN"/>
    <s v="Julie&amp;Kevin"/>
    <n v="2"/>
    <n v="78340"/>
    <n v="538"/>
    <s v="Chemin de Chubins"/>
    <n v="38730"/>
    <x v="5"/>
    <n v="624517363"/>
    <s v="jugirard71@hotmail.fr"/>
    <s v="PO"/>
    <m/>
    <m/>
    <s v="-"/>
    <s v="-"/>
    <s v="-"/>
    <s v="-"/>
    <x v="33"/>
    <x v="26"/>
    <s v="GUILLAUD SAUMUR"/>
    <s v="latredauphinois@gmail.com"/>
    <n v="676354364"/>
    <s v="-"/>
    <s v="oui"/>
    <d v="2021-10-26T00:00:00"/>
    <s v="insert / foyer fermé"/>
    <n v="1985"/>
    <x v="0"/>
    <x v="0"/>
    <s v="RAVELLI"/>
    <s v="Flexi 9 Steel"/>
    <n v="15"/>
    <n v="8.3000000000000007"/>
    <n v="90.6"/>
    <n v="4.0000000000000001E-3"/>
    <s v="FV7"/>
    <m/>
    <n v="5646.4799999999987"/>
    <m/>
    <m/>
    <m/>
    <n v="1160"/>
    <n v="6806.4799999999987"/>
    <n v="374.35639999999995"/>
    <n v="7180.8363999999983"/>
    <n v="7180.84"/>
    <s v="oui"/>
    <m/>
    <m/>
    <s v="ADEME 2021"/>
    <s v="NC"/>
  </r>
  <r>
    <x v="2"/>
    <n v="7"/>
    <x v="3"/>
    <x v="2"/>
    <s v="EBL"/>
    <s v="VRB0213"/>
    <n v="1000"/>
    <d v="2021-07-05T00:00:00"/>
    <d v="2021-07-06T00:00:00"/>
    <s v="-"/>
    <s v="-"/>
    <d v="2021-07-06T00:00:00"/>
    <d v="2021-07-06T00:00:00"/>
    <d v="2021-07-12T00:00:00"/>
    <m/>
    <d v="2021-09-10T00:00:00"/>
    <d v="2021-08-31T00:00:00"/>
    <s v="-"/>
    <d v="2021-09-16T00:00:00"/>
    <d v="2021-09-16T00:00:00"/>
    <d v="2021-09-30T00:00:00"/>
    <m/>
    <m/>
    <m/>
    <s v="BARROSO"/>
    <s v="Raphael"/>
    <n v="5"/>
    <n v="24643"/>
    <n v="51"/>
    <s v="Rouet du Boulangeat"/>
    <n v="38620"/>
    <x v="31"/>
    <n v="769841735"/>
    <s v="susana.castro@outlook.fr"/>
    <s v="PO"/>
    <m/>
    <m/>
    <s v="-"/>
    <s v="-"/>
    <s v="-"/>
    <s v="-"/>
    <x v="0"/>
    <x v="0"/>
    <s v="CARRE François"/>
    <s v="f.carre@carre-f.com"/>
    <s v="04 76 37 03 50"/>
    <s v="-"/>
    <s v="oui  "/>
    <d v="2021-11-17T00:00:00"/>
    <s v="poêle"/>
    <n v="2000"/>
    <x v="0"/>
    <x v="0"/>
    <s v="PALAZZETTI"/>
    <s v="ECOFIRE LINDA 12 PRO 3"/>
    <n v="15"/>
    <n v="12"/>
    <n v="89.6"/>
    <n v="1E-3"/>
    <s v="FV7"/>
    <m/>
    <n v="7580"/>
    <m/>
    <m/>
    <m/>
    <n v="690"/>
    <n v="8270"/>
    <n v="454.85"/>
    <n v="8724.85"/>
    <n v="8724.85"/>
    <s v="oui"/>
    <m/>
    <m/>
    <s v="ADEME 2021"/>
    <s v="NC"/>
  </r>
  <r>
    <x v="2"/>
    <n v="7"/>
    <x v="3"/>
    <x v="1"/>
    <s v="EBL"/>
    <s v="VRB0214"/>
    <n v="600"/>
    <d v="2021-07-07T00:00:00"/>
    <d v="2021-07-08T00:00:00"/>
    <s v="-"/>
    <s v="-"/>
    <d v="2021-07-16T00:00:00"/>
    <d v="2021-07-16T00:00:00"/>
    <d v="2021-08-27T00:00:00"/>
    <m/>
    <d v="2021-11-29T00:00:00"/>
    <d v="2021-10-31T00:00:00"/>
    <s v="-"/>
    <d v="2021-12-09T00:00:00"/>
    <d v="2021-12-09T00:00:00"/>
    <d v="2021-12-10T00:00:00"/>
    <m/>
    <m/>
    <m/>
    <s v="BOTTIER"/>
    <s v="Léa"/>
    <n v="3"/>
    <n v="76189"/>
    <n v="483"/>
    <s v="Route des Galbits"/>
    <n v="38850"/>
    <x v="7"/>
    <n v="676745972"/>
    <s v="lelia.bottier@gmail.com"/>
    <s v="PO"/>
    <m/>
    <m/>
    <s v="-"/>
    <s v="-"/>
    <s v="-"/>
    <s v="-"/>
    <x v="8"/>
    <x v="7"/>
    <s v="MOREY Thomas"/>
    <s v="thomas.morey@wattethome.com"/>
    <n v="476065876"/>
    <s v="-"/>
    <s v="oui"/>
    <d v="2022-07-28T00:00:00"/>
    <s v="poêle"/>
    <n v="2001"/>
    <x v="0"/>
    <x v="0"/>
    <s v="PALAZZETTI"/>
    <s v="BEATRICE"/>
    <n v="14"/>
    <n v="6.1"/>
    <n v="94.3"/>
    <n v="3.8E-3"/>
    <s v="FV7"/>
    <m/>
    <n v="4419.8"/>
    <m/>
    <m/>
    <m/>
    <n v="929.5"/>
    <n v="5349.3"/>
    <n v="294.2115"/>
    <n v="5643.5115000000005"/>
    <n v="5130.47"/>
    <s v="oui"/>
    <m/>
    <m/>
    <s v="ADEME 2021"/>
    <s v="NC"/>
  </r>
  <r>
    <x v="2"/>
    <n v="7"/>
    <x v="3"/>
    <x v="1"/>
    <s v="EBL"/>
    <s v="VRB0215"/>
    <n v="600"/>
    <d v="2021-07-09T00:00:00"/>
    <d v="2021-07-12T00:00:00"/>
    <s v="-"/>
    <s v="-"/>
    <d v="2021-07-16T00:00:00"/>
    <d v="2021-07-16T00:00:00"/>
    <d v="2021-07-19T00:00:00"/>
    <m/>
    <d v="2021-10-29T00:00:00"/>
    <d v="2021-09-30T00:00:00"/>
    <s v="-"/>
    <d v="2021-11-12T00:00:00"/>
    <d v="2021-11-12T00:00:00"/>
    <d v="2021-11-18T00:00:00"/>
    <m/>
    <m/>
    <m/>
    <s v="JACOLIN"/>
    <s v="Bruno"/>
    <n v="1"/>
    <n v="49348"/>
    <n v="200"/>
    <s v="Chemin des Chataigniers"/>
    <n v="38140"/>
    <x v="10"/>
    <n v="476653667"/>
    <s v="bruno.jacolin@orange.fr"/>
    <s v="PO"/>
    <m/>
    <m/>
    <s v="-"/>
    <s v="-"/>
    <s v="-"/>
    <s v="-"/>
    <x v="10"/>
    <x v="1"/>
    <s v="GILLET Pascal"/>
    <s v="bois-soleil.chauffage@orange.fr"/>
    <n v="476323235"/>
    <s v="-"/>
    <s v="oui"/>
    <d v="2022-08-21T00:00:00"/>
    <s v="poêle"/>
    <n v="1982"/>
    <x v="0"/>
    <x v="1"/>
    <s v="ILD"/>
    <s v="ILD 12 "/>
    <n v="12"/>
    <n v="9.1999999999999993"/>
    <n v="77"/>
    <n v="0.04"/>
    <s v="FV7"/>
    <m/>
    <n v="3327"/>
    <m/>
    <m/>
    <m/>
    <n v="762"/>
    <n v="4089"/>
    <n v="224.89500000000001"/>
    <n v="4313.8950000000004"/>
    <n v="4174.3100000000004"/>
    <s v="oui"/>
    <m/>
    <m/>
    <s v="ADEME 2021"/>
    <s v="NC"/>
  </r>
  <r>
    <x v="2"/>
    <n v="7"/>
    <x v="3"/>
    <x v="2"/>
    <s v="EBL"/>
    <s v="VRB0216"/>
    <n v="1000"/>
    <d v="2021-07-09T00:00:00"/>
    <d v="2021-07-12T00:00:00"/>
    <s v="-"/>
    <s v="-"/>
    <d v="2021-07-16T00:00:00"/>
    <d v="2021-07-16T00:00:00"/>
    <d v="2021-07-19T00:00:00"/>
    <m/>
    <d v="2021-10-29T00:00:00"/>
    <d v="2021-09-30T00:00:00"/>
    <s v="-"/>
    <d v="2021-11-12T00:00:00"/>
    <d v="2021-11-12T00:00:00"/>
    <d v="2021-11-18T00:00:00"/>
    <m/>
    <m/>
    <m/>
    <s v="GUILLAUD"/>
    <s v="Pierre"/>
    <n v="1"/>
    <n v="10133"/>
    <n v="28"/>
    <s v="Chemin des Charrières"/>
    <n v="38340"/>
    <x v="23"/>
    <n v="675749441"/>
    <s v="ppierre@questel.com"/>
    <s v="PO"/>
    <m/>
    <m/>
    <s v="-"/>
    <s v="-"/>
    <s v="-"/>
    <s v="-"/>
    <x v="0"/>
    <x v="0"/>
    <s v="CARRE François"/>
    <s v="f.carre@carre-f.com"/>
    <s v="04 76 37 03 50"/>
    <s v="-"/>
    <s v="oui  "/>
    <d v="2021-11-17T00:00:00"/>
    <s v="cuisinière"/>
    <n v="1995"/>
    <x v="0"/>
    <x v="0"/>
    <s v="PALAZZETTI"/>
    <s v="BELLA HYDRO 15KW"/>
    <n v="12"/>
    <n v="14.5"/>
    <n v="92"/>
    <n v="0.01"/>
    <s v="FV7"/>
    <m/>
    <n v="7791"/>
    <m/>
    <m/>
    <m/>
    <n v="2623"/>
    <n v="10414"/>
    <n v="572.77"/>
    <n v="10986.77"/>
    <n v="10986.377"/>
    <s v="oui"/>
    <m/>
    <m/>
    <s v="ADEME 2021"/>
    <s v="NC"/>
  </r>
  <r>
    <x v="2"/>
    <n v="7"/>
    <x v="3"/>
    <x v="1"/>
    <s v="EBL"/>
    <s v="VRB0217"/>
    <n v="600"/>
    <d v="2021-07-13T00:00:00"/>
    <d v="2021-07-13T00:00:00"/>
    <s v="-"/>
    <s v="-"/>
    <d v="2021-07-16T00:00:00"/>
    <d v="2021-07-16T00:00:00"/>
    <d v="2021-07-19T00:00:00"/>
    <m/>
    <d v="2021-09-01T00:00:00"/>
    <d v="2021-08-16T00:00:00"/>
    <s v="-"/>
    <d v="2021-09-03T00:00:00"/>
    <d v="2021-09-03T00:00:00"/>
    <d v="2021-09-30T00:00:00"/>
    <m/>
    <m/>
    <m/>
    <s v="BERNARD"/>
    <s v="Isabelle"/>
    <n v="2"/>
    <n v="54698"/>
    <n v="108"/>
    <s v="Chemin des Rayettes"/>
    <n v="38340"/>
    <x v="17"/>
    <n v="476506330"/>
    <s v="isabelle.bernard0385@orange.fr"/>
    <s v="PO"/>
    <m/>
    <m/>
    <s v="-"/>
    <s v="-"/>
    <s v="-"/>
    <s v="-"/>
    <x v="2"/>
    <x v="2"/>
    <s v="DIDIER Jean-Christophe"/>
    <s v="jcduo@orange.fr"/>
    <n v="608287337"/>
    <s v="-"/>
    <s v="oui"/>
    <d v="2021-08-09T00:00:00"/>
    <s v="poêle"/>
    <n v="2001"/>
    <x v="0"/>
    <x v="0"/>
    <s v="MORETTI"/>
    <s v="RELAX 6,5"/>
    <n v="22.8"/>
    <n v="6.5"/>
    <n v="93.1"/>
    <n v="8.0000000000000002E-3"/>
    <s v="FV7"/>
    <m/>
    <n v="4166"/>
    <m/>
    <m/>
    <m/>
    <n v="650"/>
    <n v="4816"/>
    <n v="264.88"/>
    <n v="5080.88"/>
    <n v="4500"/>
    <s v="non"/>
    <m/>
    <m/>
    <s v="ADEME 2021"/>
    <s v="NC"/>
  </r>
  <r>
    <x v="2"/>
    <n v="8"/>
    <x v="3"/>
    <x v="2"/>
    <s v="EBL"/>
    <s v="VRB0218"/>
    <n v="1000"/>
    <d v="2021-07-16T00:00:00"/>
    <d v="2021-07-16T00:00:00"/>
    <s v="-"/>
    <s v="-"/>
    <d v="2021-08-05T00:00:00"/>
    <d v="2021-08-05T00:00:00"/>
    <d v="2021-08-09T00:00:00"/>
    <m/>
    <d v="2021-12-03T00:00:00"/>
    <d v="2021-10-28T00:00:00"/>
    <s v="-"/>
    <d v="2021-12-09T00:00:00"/>
    <d v="2021-12-09T00:00:00"/>
    <d v="2021-12-10T00:00:00"/>
    <m/>
    <m/>
    <m/>
    <s v="LE THERIZIEN"/>
    <s v="Virginie"/>
    <n v="3"/>
    <n v="22964"/>
    <n v="50"/>
    <s v="Rue de Chantarot"/>
    <n v="38210"/>
    <x v="3"/>
    <n v="629904651"/>
    <s v="loicprimeur@orange.fr"/>
    <s v="PO"/>
    <m/>
    <m/>
    <s v="-"/>
    <s v="-"/>
    <s v="-"/>
    <s v="-"/>
    <x v="34"/>
    <x v="27"/>
    <s v="JACQUET"/>
    <s v="laglaceetlefeu38@gmail.com"/>
    <n v="476042368"/>
    <s v="-"/>
    <s v="oui"/>
    <d v="2021-11-24T00:00:00"/>
    <s v="insert / foyer fermé"/>
    <n v="1982"/>
    <x v="0"/>
    <x v="0"/>
    <s v="IZYFLAM"/>
    <s v="IZY Curve 90"/>
    <n v="14.9"/>
    <n v="9.1"/>
    <n v="91.4"/>
    <n v="6.0000000000000001E-3"/>
    <s v="registre"/>
    <m/>
    <n v="4320.8999999999996"/>
    <m/>
    <m/>
    <m/>
    <n v="1665.5"/>
    <n v="5986.4"/>
    <n v="329.25200000000001"/>
    <n v="6315.652"/>
    <n v="5999.88"/>
    <s v="oui"/>
    <m/>
    <m/>
    <s v="ADEME 2021"/>
    <s v="NC"/>
  </r>
  <r>
    <x v="2"/>
    <n v="8"/>
    <x v="3"/>
    <x v="1"/>
    <s v="EBL"/>
    <s v="VRB0219"/>
    <n v="600"/>
    <d v="2021-07-22T00:00:00"/>
    <d v="2021-07-22T00:00:00"/>
    <d v="2021-08-05T00:00:00"/>
    <s v="Manque adresse RIB (ok)"/>
    <d v="2021-08-10T00:00:00"/>
    <d v="2021-08-10T00:00:00"/>
    <d v="2021-08-18T00:00:00"/>
    <m/>
    <d v="2021-12-06T00:00:00"/>
    <d v="2021-11-18T00:00:00"/>
    <s v="-"/>
    <d v="2021-12-09T00:00:00"/>
    <d v="2021-12-09T00:00:00"/>
    <d v="2021-12-10T00:00:00"/>
    <m/>
    <m/>
    <m/>
    <s v="AINS"/>
    <s v="Lionel"/>
    <n v="5"/>
    <n v="48449"/>
    <n v="467"/>
    <s v="Route de Saint-Quentin"/>
    <n v="38430"/>
    <x v="2"/>
    <s v="04 76 35 49 72"/>
    <s v="lains@gmx.net"/>
    <s v="PO"/>
    <m/>
    <m/>
    <s v="-"/>
    <s v="-"/>
    <s v="-"/>
    <s v="-"/>
    <x v="16"/>
    <x v="10"/>
    <s v="ALO"/>
    <s v="cheminees.jay@orange.fr"/>
    <n v="476500550"/>
    <s v="-"/>
    <s v="oui"/>
    <d v="2022-06-28T00:00:00"/>
    <s v="insert / foyer fermé"/>
    <n v="1996"/>
    <x v="2"/>
    <x v="1"/>
    <s v="TURBO FONTE"/>
    <s v="ELISEO 700 EFFICIENS"/>
    <n v="30"/>
    <n v="13"/>
    <n v="84"/>
    <n v="0.04"/>
    <s v="FV7"/>
    <m/>
    <n v="2737.5699999999997"/>
    <m/>
    <m/>
    <m/>
    <n v="500"/>
    <n v="3237.5699999999997"/>
    <n v="178.06634999999997"/>
    <n v="3415.6363499999998"/>
    <n v="3415.64"/>
    <s v="non"/>
    <m/>
    <m/>
    <s v="ADEME 2021"/>
    <s v="NC"/>
  </r>
  <r>
    <x v="2"/>
    <n v="8"/>
    <x v="3"/>
    <x v="2"/>
    <s v="EBL"/>
    <s v="VRB0220"/>
    <n v="1000"/>
    <d v="2021-07-22T00:00:00"/>
    <d v="2021-07-28T00:00:00"/>
    <d v="2021-08-05T00:00:00"/>
    <s v="Photo plan large + AI2021 (ok)"/>
    <d v="2021-08-10T00:00:00"/>
    <d v="2021-08-10T00:00:00"/>
    <d v="2021-08-18T00:00:00"/>
    <m/>
    <d v="2022-01-11T00:00:00"/>
    <d v="2021-11-04T00:00:00"/>
    <s v="-"/>
    <d v="2022-01-19T00:00:00"/>
    <d v="2022-01-19T00:00:00"/>
    <d v="2022-01-20T00:00:00"/>
    <m/>
    <m/>
    <m/>
    <s v="BECHARD"/>
    <s v="Audrey"/>
    <n v="2"/>
    <n v="16263"/>
    <n v="168"/>
    <s v="Avenue  Gaston Bonnardel"/>
    <n v="38430"/>
    <x v="28"/>
    <s v="06 75 75 26 49"/>
    <s v="lyschanelle@gmail.com"/>
    <s v="PO"/>
    <m/>
    <m/>
    <s v="-"/>
    <s v="-"/>
    <s v="-"/>
    <s v="-"/>
    <x v="7"/>
    <x v="1"/>
    <s v="PIERRE Emmanuel"/>
    <s v="voiron@techni-nature.com"/>
    <n v="951096343"/>
    <s v="-"/>
    <s v="oui"/>
    <d v="2021-08-25T00:00:00"/>
    <s v="insert / foyer fermé"/>
    <n v="1996"/>
    <x v="0"/>
    <x v="0"/>
    <s v="PIAZZETTA"/>
    <s v="P230 SH"/>
    <n v="14"/>
    <n v="11"/>
    <n v="98"/>
    <n v="7.0000000000000001E-3"/>
    <s v="FV7"/>
    <m/>
    <n v="7733.75"/>
    <m/>
    <m/>
    <m/>
    <n v="1610"/>
    <n v="9343.75"/>
    <n v="513.90625"/>
    <n v="9857.65625"/>
    <n v="9500"/>
    <s v="non"/>
    <m/>
    <m/>
    <s v="ADEME 2021"/>
    <s v="NC"/>
  </r>
  <r>
    <x v="2"/>
    <n v="8"/>
    <x v="3"/>
    <x v="2"/>
    <s v="EBL"/>
    <s v="VRB0221"/>
    <n v="1000"/>
    <d v="2021-07-23T00:00:00"/>
    <d v="2021-07-28T00:00:00"/>
    <s v="-"/>
    <s v="-"/>
    <d v="2021-08-05T00:00:00"/>
    <d v="2021-08-05T00:00:00"/>
    <d v="2021-08-09T00:00:00"/>
    <m/>
    <d v="2022-01-20T00:00:00"/>
    <d v="2021-12-13T00:00:00"/>
    <s v="-"/>
    <d v="2022-02-02T00:00:00"/>
    <d v="2022-02-03T00:00:00"/>
    <d v="2022-02-08T00:00:00"/>
    <m/>
    <m/>
    <m/>
    <s v="NOIRET"/>
    <s v="François-Xavier"/>
    <n v="3"/>
    <n v="27838"/>
    <n v="20"/>
    <s v="Route du Village"/>
    <n v="38490"/>
    <x v="33"/>
    <s v="06 38 84 34 52"/>
    <s v="fanf-noiret@wanadoo.fr"/>
    <s v="PO"/>
    <m/>
    <m/>
    <s v="-"/>
    <s v="-"/>
    <s v="-"/>
    <s v="-"/>
    <x v="9"/>
    <x v="3"/>
    <s v="DURANTON Patrick"/>
    <s v="patrickduranton@passionflamme.fr"/>
    <n v="474432868"/>
    <s v="-"/>
    <s v="oui"/>
    <d v="2021-11-14T00:00:00"/>
    <s v="insert / foyer fermé"/>
    <n v="1990"/>
    <x v="0"/>
    <x v="0"/>
    <s v="NOBIS"/>
    <s v="A11 V ROUND"/>
    <n v="15"/>
    <n v="10.199999999999999"/>
    <n v="91.5"/>
    <n v="1.1999999999999999E-3"/>
    <s v="FV7"/>
    <m/>
    <n v="5302.41"/>
    <m/>
    <m/>
    <m/>
    <n v="1000"/>
    <n v="6302.41"/>
    <n v="346.63254999999998"/>
    <n v="6649.0425500000001"/>
    <n v="6649.04"/>
    <s v="oui"/>
    <m/>
    <m/>
    <s v="ADEME 2021"/>
    <s v="NC"/>
  </r>
  <r>
    <x v="2"/>
    <n v="8"/>
    <x v="3"/>
    <x v="2"/>
    <s v="EBL"/>
    <s v="VRB0222"/>
    <n v="1000"/>
    <d v="2021-07-23T00:00:00"/>
    <d v="2021-07-28T00:00:00"/>
    <s v="-"/>
    <s v="-"/>
    <d v="2021-08-05T00:00:00"/>
    <d v="2021-08-05T00:00:00"/>
    <d v="2021-08-09T00:00:00"/>
    <m/>
    <d v="2022-05-23T00:00:00"/>
    <d v="2021-12-31T00:00:00"/>
    <s v="-"/>
    <d v="2022-07-26T00:00:00"/>
    <d v="2022-07-26T00:00:00"/>
    <d v="2022-07-27T00:00:00"/>
    <m/>
    <m/>
    <m/>
    <s v="MONIN PICARD"/>
    <s v="Eliane"/>
    <n v="1"/>
    <n v="7467"/>
    <n v="55"/>
    <s v="Montée de la Rebatière"/>
    <n v="38620"/>
    <x v="0"/>
    <s v="06 78 53 89 90"/>
    <s v="sergecharreton@orange.fr"/>
    <s v="PO"/>
    <m/>
    <m/>
    <s v="-"/>
    <s v="-"/>
    <s v="-"/>
    <s v="-"/>
    <x v="0"/>
    <x v="0"/>
    <s v="CARRE François"/>
    <s v="f.carre@carre-f.com"/>
    <s v="04 76 37 03 50"/>
    <s v="-"/>
    <s v="oui  "/>
    <d v="2021-11-17T00:00:00"/>
    <s v="cuisinière"/>
    <n v="1991"/>
    <x v="3"/>
    <x v="0"/>
    <s v="OKOFEN"/>
    <s v="EASYPELL 12"/>
    <n v="10"/>
    <n v="12"/>
    <n v="92.6"/>
    <n v="1.6999999999999999E-3"/>
    <s v="FV7"/>
    <m/>
    <n v="13369"/>
    <m/>
    <m/>
    <m/>
    <n v="2718"/>
    <n v="16087"/>
    <n v="884.78499999999997"/>
    <n v="16971.785"/>
    <n v="16971.78"/>
    <s v="oui"/>
    <m/>
    <m/>
    <s v="ADEME 2021"/>
    <s v="NC"/>
  </r>
  <r>
    <x v="2"/>
    <n v="8"/>
    <x v="3"/>
    <x v="1"/>
    <s v="EBL"/>
    <s v="VRB0223"/>
    <n v="600"/>
    <d v="2021-07-23T00:00:00"/>
    <d v="2021-07-28T00:00:00"/>
    <d v="2021-08-05T00:00:00"/>
    <s v="Manque adresse RIB (ok)"/>
    <d v="2021-08-10T00:00:00"/>
    <d v="2021-08-10T00:00:00"/>
    <d v="2021-08-18T00:00:00"/>
    <m/>
    <d v="2021-10-13T00:00:00"/>
    <d v="2021-08-30T00:00:00"/>
    <s v="-"/>
    <d v="2021-10-22T00:00:00"/>
    <d v="2021-10-22T00:00:00"/>
    <d v="2021-10-26T00:00:00"/>
    <m/>
    <m/>
    <m/>
    <s v="BAUDOIN"/>
    <s v="Brice"/>
    <n v="4"/>
    <n v="54818"/>
    <n v="312"/>
    <s v="Route du Petit Criel"/>
    <n v="38430"/>
    <x v="2"/>
    <s v="06 88 67 80 93"/>
    <s v="brice.baudoin@hotmail.fr"/>
    <s v="PO"/>
    <m/>
    <m/>
    <s v="-"/>
    <s v="-"/>
    <s v="-"/>
    <s v="-"/>
    <x v="2"/>
    <x v="2"/>
    <s v="DIDIER Jean-Christophe"/>
    <s v="jcduo@orange.fr"/>
    <n v="608287337"/>
    <s v="-"/>
    <s v="oui"/>
    <d v="2021-08-09T00:00:00"/>
    <s v="insert / foyer fermé"/>
    <n v="1996"/>
    <x v="0"/>
    <x v="1"/>
    <s v="MAX BLANK"/>
    <s v="RIO S"/>
    <n v="30.5"/>
    <n v="6.5"/>
    <n v="87.8"/>
    <n v="8.5000000000000006E-2"/>
    <s v="registre"/>
    <m/>
    <n v="4140"/>
    <m/>
    <m/>
    <m/>
    <n v="650"/>
    <n v="4790"/>
    <n v="263.45"/>
    <n v="5053.45"/>
    <n v="4790"/>
    <s v="oui"/>
    <m/>
    <m/>
    <s v="ADEME 2021"/>
    <s v="NC"/>
  </r>
  <r>
    <x v="2"/>
    <n v="8"/>
    <x v="3"/>
    <x v="2"/>
    <s v="EBL"/>
    <s v="VRB0224"/>
    <n v="1000"/>
    <d v="2021-07-27T00:00:00"/>
    <d v="2021-07-28T00:00:00"/>
    <d v="2021-08-05T00:00:00"/>
    <s v="Manque adresse RIB (ok)"/>
    <d v="2021-08-18T00:00:00"/>
    <d v="2021-08-18T00:00:00"/>
    <d v="2021-08-20T00:00:00"/>
    <m/>
    <d v="2021-12-15T00:00:00"/>
    <d v="2021-12-07T00:00:00"/>
    <s v="Manque attestation fin de travaux+mention acquitée"/>
    <d v="2022-01-19T00:00:00"/>
    <d v="2022-01-19T00:00:00"/>
    <d v="2022-01-20T00:00:00"/>
    <m/>
    <m/>
    <m/>
    <s v="HERVE"/>
    <s v="Tom"/>
    <n v="1"/>
    <n v="18984"/>
    <n v="44"/>
    <s v="Route du Grand Ratz"/>
    <n v="38500"/>
    <x v="4"/>
    <s v="07 63 32 97 50"/>
    <s v="mot.herve@laposte.net"/>
    <s v="PO"/>
    <m/>
    <m/>
    <s v="-"/>
    <s v="-"/>
    <s v="-"/>
    <s v="-"/>
    <x v="33"/>
    <x v="26"/>
    <s v="GUILLAUD SAUMUR"/>
    <s v="latredauphinois@gmail.com"/>
    <n v="676354364"/>
    <s v="-"/>
    <s v="oui"/>
    <d v="2022-10-26T00:00:00"/>
    <s v="insert / foyer fermé"/>
    <n v="1990"/>
    <x v="0"/>
    <x v="1"/>
    <s v="STUV"/>
    <s v="30 CIN"/>
    <n v="38"/>
    <n v="6"/>
    <n v="81"/>
    <n v="0.05"/>
    <s v="registre"/>
    <m/>
    <n v="5558.42"/>
    <m/>
    <m/>
    <m/>
    <n v="635"/>
    <n v="6193.42"/>
    <n v="340.63810000000001"/>
    <n v="6534.0581000000002"/>
    <n v="6193.42"/>
    <s v="non"/>
    <m/>
    <m/>
    <s v="ADEME 2021"/>
    <s v="NC"/>
  </r>
  <r>
    <x v="2"/>
    <n v="8"/>
    <x v="3"/>
    <x v="2"/>
    <s v="EBL"/>
    <s v="VRB0225"/>
    <n v="1000"/>
    <d v="2021-07-29T00:00:00"/>
    <d v="2021-07-30T00:00:00"/>
    <s v="-"/>
    <s v="-"/>
    <d v="2021-08-05T00:00:00"/>
    <d v="2021-08-05T00:00:00"/>
    <d v="2021-08-09T00:00:00"/>
    <m/>
    <d v="2022-09-17T00:00:00"/>
    <d v="2022-08-24T00:00:00"/>
    <s v="Photo"/>
    <d v="2022-11-08T00:00:00"/>
    <d v="2022-11-08T00:00:00"/>
    <d v="2022-11-14T00:00:00"/>
    <m/>
    <m/>
    <m/>
    <s v="BOSSENEC FERRERI"/>
    <s v="Florence"/>
    <n v="1"/>
    <n v="10324"/>
    <n v="43"/>
    <s v="Rue du Maleyssard"/>
    <n v="38140"/>
    <x v="8"/>
    <s v="06 72 37 96 93"/>
    <s v="fe.cara.boss@gmail.com"/>
    <s v="PO"/>
    <m/>
    <m/>
    <s v="-"/>
    <s v="-"/>
    <s v="-"/>
    <s v="-"/>
    <x v="8"/>
    <x v="7"/>
    <s v="MOREY Thomas"/>
    <s v="thomas.morey@wattethome.com"/>
    <n v="476065876"/>
    <s v="-"/>
    <s v="oui"/>
    <d v="2021-07-21T00:00:00"/>
    <s v="poêle"/>
    <n v="1950"/>
    <x v="0"/>
    <x v="0"/>
    <s v="PALAZZETTI"/>
    <s v="CECILE 6KW"/>
    <n v="8"/>
    <n v="6"/>
    <n v="94"/>
    <n v="8.9999999999999993E-3"/>
    <s v="FV7"/>
    <m/>
    <n v="4934.6000000000004"/>
    <m/>
    <m/>
    <m/>
    <n v="880"/>
    <n v="5814.6"/>
    <n v="319.803"/>
    <n v="6134.4030000000002"/>
    <n v="5988.18"/>
    <s v="oui"/>
    <m/>
    <m/>
    <s v="ADEME 2021"/>
    <s v="NC"/>
  </r>
  <r>
    <x v="2"/>
    <n v="8"/>
    <x v="3"/>
    <x v="1"/>
    <s v="EBL"/>
    <s v="VRB0226"/>
    <n v="600"/>
    <d v="2021-07-30T00:00:00"/>
    <d v="2021-08-02T00:00:00"/>
    <s v="-"/>
    <s v="-"/>
    <d v="2021-08-05T00:00:00"/>
    <d v="2021-08-05T00:00:00"/>
    <d v="2021-08-09T00:00:00"/>
    <m/>
    <d v="2021-11-09T00:00:00"/>
    <d v="2021-10-25T00:00:00"/>
    <s v="-"/>
    <d v="2021-11-12T00:00:00"/>
    <d v="2021-11-12T00:00:00"/>
    <d v="2021-11-18T00:00:00"/>
    <m/>
    <m/>
    <m/>
    <s v="DONNIER MARECHAL"/>
    <s v="Hubert"/>
    <n v="2"/>
    <n v="36298"/>
    <n v="219"/>
    <s v="Rue du champ de la cour - 4 lot les Vergers de la Biesse"/>
    <n v="38430"/>
    <x v="28"/>
    <s v="06 83 00 42 14"/>
    <s v="hubert.donnier@free.fr"/>
    <s v="PO"/>
    <m/>
    <m/>
    <s v="-"/>
    <s v="-"/>
    <s v="-"/>
    <s v="-"/>
    <x v="37"/>
    <x v="25"/>
    <s v="CATTARINA Kevin"/>
    <s v="kevincd@hotmail.fr"/>
    <n v="662398956"/>
    <s v="-"/>
    <s v="oui"/>
    <d v="2022-04-07T00:00:00"/>
    <s v="poêle"/>
    <n v="1999"/>
    <x v="0"/>
    <x v="1"/>
    <s v="TURBO FONTE"/>
    <s v="SOLVEIG OPTIMA"/>
    <n v="40"/>
    <n v="6"/>
    <n v="83.6"/>
    <n v="7.0000000000000007E-2"/>
    <s v="FV7"/>
    <m/>
    <n v="4052.9900000000002"/>
    <m/>
    <m/>
    <m/>
    <n v="521.32000000000005"/>
    <n v="4574.3100000000004"/>
    <n v="251.58705000000003"/>
    <n v="4825.8970500000005"/>
    <n v="4667.6499999999996"/>
    <s v="non"/>
    <m/>
    <m/>
    <s v="ADEME 2021"/>
    <s v="NC"/>
  </r>
  <r>
    <x v="2"/>
    <n v="9"/>
    <x v="3"/>
    <x v="2"/>
    <s v="EBL"/>
    <s v="VRB0227"/>
    <n v="1000"/>
    <d v="2021-08-04T00:00:00"/>
    <d v="2021-08-05T00:00:00"/>
    <d v="2021-08-05T00:00:00"/>
    <s v="Manque photo (ok)"/>
    <d v="2021-09-23T00:00:00"/>
    <d v="2021-09-23T00:00:00"/>
    <d v="2021-09-23T00:00:00"/>
    <m/>
    <d v="2022-03-24T00:00:00"/>
    <d v="2022-02-03T00:00:00"/>
    <m/>
    <d v="2022-04-07T00:00:00"/>
    <d v="2022-04-07T00:00:00"/>
    <d v="2022-04-11T00:00:00"/>
    <m/>
    <m/>
    <m/>
    <s v="DALMAS"/>
    <s v="Jean-Noël"/>
    <n v="2"/>
    <n v="25702"/>
    <n v="1"/>
    <s v="Allée de Savoie"/>
    <n v="38430"/>
    <x v="2"/>
    <n v="476353174"/>
    <s v="-"/>
    <s v="PO"/>
    <m/>
    <m/>
    <s v="-"/>
    <s v="-"/>
    <s v="-"/>
    <s v="-"/>
    <x v="14"/>
    <x v="1"/>
    <s v="SIMON Frédéric"/>
    <s v="contact@ecvoiron.fr"/>
    <n v="476069938"/>
    <s v="-"/>
    <s v="oui"/>
    <d v="2021-09-18T00:00:00"/>
    <s v="insert / foyer fermé"/>
    <n v="1990"/>
    <x v="0"/>
    <x v="1"/>
    <s v="ROMOTOP"/>
    <s v="OVALIS G Accum"/>
    <n v="40"/>
    <n v="6"/>
    <n v="83"/>
    <n v="7.0000000000000007E-2"/>
    <s v="FV7"/>
    <m/>
    <n v="4134"/>
    <m/>
    <m/>
    <m/>
    <n v="1440"/>
    <n v="5574"/>
    <n v="306.57"/>
    <n v="5880.57"/>
    <n v="5880.58"/>
    <s v="non"/>
    <m/>
    <m/>
    <s v="ADEME 2021"/>
    <s v="NC"/>
  </r>
  <r>
    <x v="2"/>
    <n v="8"/>
    <x v="3"/>
    <x v="1"/>
    <s v="EBL"/>
    <s v="VRB0228"/>
    <n v="600"/>
    <d v="2021-08-10T00:00:00"/>
    <d v="2021-08-12T00:00:00"/>
    <d v="2021-08-12T00:00:00"/>
    <s v="Manque AI complet + Adresse RIB (ok le 18/8/21)"/>
    <d v="2021-08-18T00:00:00"/>
    <d v="2021-08-18T00:00:00"/>
    <d v="2021-08-20T00:00:00"/>
    <m/>
    <d v="2021-10-25T00:00:00"/>
    <d v="2021-09-14T00:00:00"/>
    <s v="-"/>
    <d v="2021-10-28T00:00:00"/>
    <d v="2021-10-28T00:00:00"/>
    <d v="2021-10-29T00:00:00"/>
    <m/>
    <m/>
    <m/>
    <s v="BROTEL"/>
    <s v="Mireille"/>
    <n v="1"/>
    <n v="37749"/>
    <n v="78"/>
    <s v="Chemin du Mollard"/>
    <n v="38500"/>
    <x v="1"/>
    <n v="608715106"/>
    <s v="mireille.brotel@orange.fr"/>
    <s v="PO"/>
    <m/>
    <m/>
    <s v="-"/>
    <s v="-"/>
    <s v="-"/>
    <s v="-"/>
    <x v="35"/>
    <x v="3"/>
    <s v="CARUANA Anthony"/>
    <s v="contact.echirolles@alp-confort.fr"/>
    <n v="438920220"/>
    <s v="-"/>
    <s v="oui"/>
    <d v="2022-04-17T00:00:00"/>
    <s v="poêle"/>
    <s v="&lt;2002"/>
    <x v="0"/>
    <x v="0"/>
    <s v="JOTUL"/>
    <s v="PF921S"/>
    <n v="16"/>
    <n v="9.1"/>
    <n v="91.8"/>
    <n v="4.0000000000000001E-3"/>
    <s v="FV7"/>
    <m/>
    <n v="5452"/>
    <m/>
    <m/>
    <m/>
    <n v="988.67"/>
    <n v="6440.67"/>
    <n v="354.23685"/>
    <n v="6794.9068500000003"/>
    <n v="5750"/>
    <s v="non"/>
    <m/>
    <m/>
    <s v="ADEME 2021"/>
    <s v="NC"/>
  </r>
  <r>
    <x v="2"/>
    <n v="8"/>
    <x v="3"/>
    <x v="1"/>
    <s v="EBL"/>
    <s v="VRB0229"/>
    <n v="600"/>
    <d v="2021-08-10T00:00:00"/>
    <d v="2021-08-12T00:00:00"/>
    <s v="-"/>
    <s v="-"/>
    <d v="2021-08-16T00:00:00"/>
    <d v="2021-08-16T00:00:00"/>
    <d v="2021-08-20T00:00:00"/>
    <m/>
    <d v="2021-11-16T00:00:00"/>
    <d v="2021-11-10T00:00:00"/>
    <s v="-"/>
    <d v="2021-11-25T00:00:00"/>
    <d v="2021-11-25T00:00:00"/>
    <d v="2021-12-09T00:00:00"/>
    <m/>
    <m/>
    <m/>
    <s v="MOULIN"/>
    <s v="Arnaud"/>
    <n v="3"/>
    <n v="42336"/>
    <n v="26"/>
    <s v="Rue Victor Hugo"/>
    <n v="38430"/>
    <x v="2"/>
    <n v="677401574"/>
    <s v="a.moulin@net-c.fr"/>
    <s v="PO"/>
    <m/>
    <m/>
    <s v="-"/>
    <s v="-"/>
    <s v="-"/>
    <s v="-"/>
    <x v="6"/>
    <x v="6"/>
    <s v="FAURE Jacques"/>
    <s v="jacques.faure24@wanadoo.fr"/>
    <n v="476355605"/>
    <s v="-"/>
    <s v="oui"/>
    <d v="2021-10-26T00:00:00"/>
    <s v="insert / foyer fermé"/>
    <n v="1996"/>
    <x v="2"/>
    <x v="1"/>
    <s v="FONTE FLAMME"/>
    <s v="VISION 700-8K"/>
    <n v="26"/>
    <n v="8"/>
    <n v="81"/>
    <n v="7.0000000000000007E-2"/>
    <s v="FV7"/>
    <m/>
    <n v="3597.36"/>
    <m/>
    <m/>
    <m/>
    <n v="1758.38"/>
    <n v="5355.74"/>
    <n v="294.56569999999999"/>
    <n v="5650.3056999999999"/>
    <n v="5650.31"/>
    <s v="oui"/>
    <m/>
    <m/>
    <s v="ADEME 2021"/>
    <s v="NC"/>
  </r>
  <r>
    <x v="2"/>
    <n v="8"/>
    <x v="3"/>
    <x v="1"/>
    <s v="EBL"/>
    <s v="VRB0230"/>
    <n v="600"/>
    <d v="2021-08-19T00:00:00"/>
    <d v="2021-08-20T00:00:00"/>
    <s v="-"/>
    <s v="-"/>
    <d v="2021-08-20T00:00:00"/>
    <d v="2021-08-20T00:00:00"/>
    <d v="2021-08-27T00:00:00"/>
    <m/>
    <d v="2021-11-02T00:00:00"/>
    <d v="2021-10-21T00:00:00"/>
    <s v="-"/>
    <d v="2021-11-12T00:00:00"/>
    <d v="2021-11-12T00:00:00"/>
    <d v="2021-11-18T00:00:00"/>
    <m/>
    <m/>
    <m/>
    <s v="VIRELAUDE"/>
    <s v="Gérard"/>
    <n v="2"/>
    <n v="42470"/>
    <n v="412"/>
    <s v="Route du Château"/>
    <n v="38140"/>
    <x v="10"/>
    <n v="476064302"/>
    <s v="virelaudebinder@orange.fr"/>
    <s v="PO"/>
    <m/>
    <m/>
    <s v="-"/>
    <s v="-"/>
    <s v="-"/>
    <s v="-"/>
    <x v="1"/>
    <x v="1"/>
    <s v="LIBER Jean-Christophe"/>
    <s v="jlc.services@orange.fr"/>
    <s v="04 76 07 14 61"/>
    <s v="-"/>
    <s v="oui"/>
    <d v="2021-11-03T00:00:00"/>
    <s v="insert / foyer fermé"/>
    <n v="1999"/>
    <x v="2"/>
    <x v="0"/>
    <s v="MCZ"/>
    <s v="VIVO 80 PELLET "/>
    <n v="19"/>
    <n v="11.4"/>
    <n v="92"/>
    <n v="0.01"/>
    <s v="FV7"/>
    <m/>
    <n v="6781"/>
    <m/>
    <m/>
    <m/>
    <n v="490"/>
    <n v="7271"/>
    <n v="399.90500000000003"/>
    <n v="7670.9049999999997"/>
    <n v="7655.08"/>
    <s v="oui"/>
    <m/>
    <m/>
    <s v="ADEME 2021"/>
    <s v="NC"/>
  </r>
  <r>
    <x v="2"/>
    <n v="10"/>
    <x v="3"/>
    <x v="1"/>
    <s v="EBL"/>
    <s v="VRB0231"/>
    <n v="600"/>
    <d v="2021-08-30T00:00:00"/>
    <d v="2021-08-30T00:00:00"/>
    <d v="2021-09-03T00:00:00"/>
    <s v="Appareil non FV7 (demande équivalence 09/09 liste FV ok)"/>
    <d v="2021-10-07T00:00:00"/>
    <d v="2021-10-07T00:00:00"/>
    <d v="2021-10-25T00:00:00"/>
    <m/>
    <d v="2022-01-28T00:00:00"/>
    <d v="2022-01-12T00:00:00"/>
    <s v="-"/>
    <d v="2022-02-14T00:00:00"/>
    <d v="2022-02-14T00:00:00"/>
    <d v="2022-02-15T00:00:00"/>
    <m/>
    <m/>
    <m/>
    <s v="ARNAUD"/>
    <s v="Edouard"/>
    <n v="2"/>
    <n v="41071"/>
    <n v="3625"/>
    <s v="Route de Bilieu, Lieu dit le Travers"/>
    <n v="38620"/>
    <x v="16"/>
    <n v="619179198"/>
    <s v="edou66@sfr.fr"/>
    <s v="PO"/>
    <m/>
    <m/>
    <s v="-"/>
    <s v="-"/>
    <s v="-"/>
    <s v="-"/>
    <x v="39"/>
    <x v="30"/>
    <s v="BARGEL Jonathan"/>
    <s v="contact@philippeisere.fr"/>
    <n v="476663386"/>
    <s v="-"/>
    <s v="oui"/>
    <d v="2022-06-19T00:00:00"/>
    <s v="insert / foyer fermé"/>
    <n v="1991"/>
    <x v="0"/>
    <x v="1"/>
    <s v="CHEMINEE PHILIPPE"/>
    <s v="MARENNES"/>
    <n v="37.6"/>
    <n v="8.5"/>
    <n v="75.400000000000006"/>
    <n v="0.08"/>
    <s v="FV7"/>
    <m/>
    <n v="4126.5000000000009"/>
    <m/>
    <m/>
    <m/>
    <n v="850"/>
    <n v="4976.5000000000009"/>
    <n v="273.70750000000004"/>
    <n v="5250.2075000000013"/>
    <n v="5213.74"/>
    <s v="non"/>
    <m/>
    <m/>
    <s v="ADEME 2021"/>
    <s v="NC"/>
  </r>
  <r>
    <x v="0"/>
    <e v="#VALUE!"/>
    <x v="4"/>
    <x v="0"/>
    <s v="EBL"/>
    <s v="VRB0232"/>
    <s v="-"/>
    <d v="2021-09-01T00:00:00"/>
    <d v="2021-09-02T00:00:00"/>
    <s v="-"/>
    <s v="-"/>
    <s v="-"/>
    <s v="-"/>
    <s v="-"/>
    <m/>
    <s v="-"/>
    <s v="-"/>
    <s v="-"/>
    <s v="-"/>
    <s v="-"/>
    <s v="-"/>
    <m/>
    <d v="2021-09-03T00:00:00"/>
    <s v="N'a pas d'appareil de chauffage à bois"/>
    <s v="MALARTRE"/>
    <s v="Caroline"/>
    <n v="6"/>
    <n v="74035"/>
    <n v="240"/>
    <s v="Rue de la Grande Roche"/>
    <n v="38340"/>
    <x v="17"/>
    <n v="664234269"/>
    <s v="caro270308@gmail.com"/>
    <s v="PO"/>
    <m/>
    <m/>
    <s v="-"/>
    <s v="-"/>
    <s v="-"/>
    <s v="-"/>
    <x v="14"/>
    <x v="1"/>
    <s v="SIMON Frédéric"/>
    <s v="contact@ecvoiron.fr"/>
    <n v="476069938"/>
    <s v="-"/>
    <s v="oui"/>
    <d v="2021-09-18T00:00:00"/>
    <s v="poêle"/>
    <s v="?"/>
    <x v="0"/>
    <x v="0"/>
    <s v="KLOVER"/>
    <s v="SOFT 80 (S8K)"/>
    <n v="14.8"/>
    <n v="7.4"/>
    <n v="92.5"/>
    <n v="1.2E-2"/>
    <s v="registre"/>
    <m/>
    <n v="4029.41"/>
    <m/>
    <m/>
    <m/>
    <n v="840"/>
    <n v="4869.41"/>
    <n v="267.81754999999998"/>
    <n v="5137.2275499999996"/>
    <n v="5137.2299999999996"/>
    <s v="non"/>
    <m/>
    <m/>
    <n v="0"/>
    <s v="NC"/>
  </r>
  <r>
    <x v="2"/>
    <n v="9"/>
    <x v="3"/>
    <x v="1"/>
    <s v="EBL"/>
    <s v="VRB0233"/>
    <n v="600"/>
    <d v="2021-09-01T00:00:00"/>
    <d v="2021-09-02T00:00:00"/>
    <s v="-"/>
    <s v="-"/>
    <d v="2021-09-03T00:00:00"/>
    <d v="2021-09-03T00:00:00"/>
    <d v="2021-09-30T00:00:00"/>
    <m/>
    <d v="2022-03-31T00:00:00"/>
    <d v="2022-03-23T00:00:00"/>
    <m/>
    <d v="2022-04-07T00:00:00"/>
    <d v="2022-04-07T00:00:00"/>
    <d v="2022-04-11T00:00:00"/>
    <m/>
    <m/>
    <m/>
    <s v="FOURNIER"/>
    <s v="Jean-Philippe"/>
    <n v="2"/>
    <n v="36283"/>
    <n v="20"/>
    <s v="Chemin des Maraichers"/>
    <n v="38500"/>
    <x v="30"/>
    <n v="476658159"/>
    <s v="admjfou@gmail.com"/>
    <s v="PO"/>
    <m/>
    <m/>
    <s v="-"/>
    <s v="-"/>
    <s v="-"/>
    <s v="-"/>
    <x v="1"/>
    <x v="1"/>
    <s v="LIBER Jean-Christophe"/>
    <s v="jlc.services@orange.fr"/>
    <s v="04 76 07 14 61"/>
    <s v="-"/>
    <s v="oui"/>
    <d v="2021-11-03T00:00:00"/>
    <s v="cuisinière"/>
    <n v="1980"/>
    <x v="1"/>
    <x v="1"/>
    <s v="MORVAN"/>
    <s v="COOK'R"/>
    <n v="13"/>
    <n v="5.2"/>
    <n v="87"/>
    <n v="0.08"/>
    <s v="FV7"/>
    <m/>
    <n v="4647"/>
    <m/>
    <m/>
    <m/>
    <n v="803"/>
    <n v="5450"/>
    <n v="299.75"/>
    <n v="5749.75"/>
    <n v="5749.75"/>
    <s v="oui"/>
    <m/>
    <m/>
    <s v="ADEME 2021"/>
    <s v="NC"/>
  </r>
  <r>
    <x v="2"/>
    <n v="9"/>
    <x v="3"/>
    <x v="1"/>
    <s v="EBL"/>
    <s v="VRB0234"/>
    <n v="600"/>
    <d v="2021-09-02T00:00:00"/>
    <d v="2021-09-02T00:00:00"/>
    <s v="-"/>
    <s v="-"/>
    <d v="2021-09-03T00:00:00"/>
    <d v="2021-09-03T00:00:00"/>
    <d v="2021-09-30T00:00:00"/>
    <m/>
    <d v="2021-12-02T00:00:00"/>
    <d v="2021-11-16T00:00:00"/>
    <s v="Manque attesation fin de travaux (ok)"/>
    <d v="2021-12-23T00:00:00"/>
    <d v="2021-12-23T00:00:00"/>
    <d v="2021-12-23T00:00:00"/>
    <m/>
    <m/>
    <m/>
    <s v="REVOL"/>
    <s v="Gérard"/>
    <n v="3"/>
    <n v="52188"/>
    <n v="2321"/>
    <s v="Route de Virieu"/>
    <n v="38730"/>
    <x v="5"/>
    <n v="628200012"/>
    <s v="grevol.famille@wanadoo.fr"/>
    <s v="PO"/>
    <m/>
    <m/>
    <s v="-"/>
    <s v="-"/>
    <s v="-"/>
    <s v="-"/>
    <x v="9"/>
    <x v="3"/>
    <s v="DURANTON Patrick"/>
    <s v="patrickduranton@passionflamme.fr"/>
    <n v="474432868"/>
    <s v="-"/>
    <s v="oui"/>
    <d v="2021-11-14T00:00:00"/>
    <s v="insert / foyer fermé"/>
    <n v="1987"/>
    <x v="0"/>
    <x v="0"/>
    <s v="NOBIS"/>
    <s v="A10 C LIGHT 2020"/>
    <n v="14"/>
    <n v="9.1"/>
    <n v="90.2"/>
    <n v="2E-3"/>
    <s v="FV7"/>
    <m/>
    <n v="5673.3200000000006"/>
    <m/>
    <m/>
    <m/>
    <n v="1200"/>
    <n v="6873.3200000000006"/>
    <n v="378.03260000000006"/>
    <n v="7251.3526000000011"/>
    <n v="7251.35"/>
    <s v="oui"/>
    <m/>
    <m/>
    <s v="ADEME 2021"/>
    <s v="NC"/>
  </r>
  <r>
    <x v="2"/>
    <n v="9"/>
    <x v="3"/>
    <x v="1"/>
    <s v="EBL"/>
    <s v="VRB0235"/>
    <n v="600"/>
    <d v="2021-09-03T00:00:00"/>
    <d v="2021-09-06T00:00:00"/>
    <d v="2021-09-09T00:00:00"/>
    <s v="Manque Adresse RIB (ok)"/>
    <d v="2021-09-16T00:00:00"/>
    <d v="2021-09-16T00:00:00"/>
    <d v="2021-09-30T00:00:00"/>
    <m/>
    <d v="2021-11-30T00:00:00"/>
    <d v="2021-10-31T00:00:00"/>
    <s v="-"/>
    <d v="2021-12-09T00:00:00"/>
    <d v="2021-12-09T00:00:00"/>
    <d v="2021-12-10T00:00:00"/>
    <m/>
    <m/>
    <m/>
    <s v="BOULEN"/>
    <s v="Maxime"/>
    <n v="4"/>
    <n v="46807"/>
    <n v="550"/>
    <s v="Voie des Michauds"/>
    <n v="38620"/>
    <x v="31"/>
    <n v="601213744"/>
    <s v="maximeboulen@hotmail.fr"/>
    <s v="PO"/>
    <m/>
    <m/>
    <s v="-"/>
    <s v="-"/>
    <s v="-"/>
    <s v="-"/>
    <x v="0"/>
    <x v="0"/>
    <s v="CARRE François"/>
    <s v="f.carre@carre-f.com"/>
    <s v="04 76 37 03 50"/>
    <s v="-"/>
    <s v="oui  "/>
    <d v="2021-11-17T00:00:00"/>
    <s v="insert / foyer fermé"/>
    <n v="1992"/>
    <x v="0"/>
    <x v="1"/>
    <s v="ROMOTOP"/>
    <s v="STROMBOLI N"/>
    <n v="17"/>
    <n v="9"/>
    <n v="79.5"/>
    <n v="0.12"/>
    <s v="FV7"/>
    <m/>
    <n v="3932.4"/>
    <m/>
    <m/>
    <m/>
    <n v="800"/>
    <n v="4732.3999999999996"/>
    <n v="260.28199999999998"/>
    <n v="4992.6819999999998"/>
    <n v="4992.68"/>
    <s v="oui"/>
    <m/>
    <m/>
    <s v="ADEME 2021"/>
    <s v="NC"/>
  </r>
  <r>
    <x v="2"/>
    <n v="9"/>
    <x v="3"/>
    <x v="1"/>
    <s v="EBL"/>
    <s v="VRB0236"/>
    <n v="600"/>
    <d v="2021-09-06T00:00:00"/>
    <d v="2021-09-09T00:00:00"/>
    <s v="-"/>
    <s v="-"/>
    <d v="2021-09-16T00:00:00"/>
    <d v="2021-09-16T00:00:00"/>
    <d v="2021-09-30T00:00:00"/>
    <m/>
    <d v="2022-02-21T00:00:00"/>
    <d v="2022-02-03T00:00:00"/>
    <m/>
    <d v="2022-02-24T00:00:00"/>
    <d v="2022-02-24T00:00:00"/>
    <d v="2022-02-25T00:00:00"/>
    <m/>
    <m/>
    <m/>
    <s v="PRADEILHE"/>
    <s v="Patrick"/>
    <n v="4"/>
    <n v="54957"/>
    <n v="9"/>
    <s v="Rue de Parmini"/>
    <n v="38210"/>
    <x v="15"/>
    <n v="630582724"/>
    <s v="patrickpuce@outlook.fr"/>
    <s v="PO"/>
    <m/>
    <m/>
    <s v="-"/>
    <s v="-"/>
    <s v="-"/>
    <s v="-"/>
    <x v="1"/>
    <x v="1"/>
    <s v="LIBER Jean-Christophe"/>
    <s v="jlc.services@orange.fr"/>
    <s v="04 76 07 14 61"/>
    <s v="-"/>
    <s v="oui"/>
    <d v="2021-11-03T00:00:00"/>
    <s v="poêle"/>
    <n v="1999"/>
    <x v="0"/>
    <x v="0"/>
    <s v="MCZ"/>
    <s v="KLIN CONFORT AIR 8M1"/>
    <n v="17"/>
    <n v="8.1"/>
    <n v="90.9"/>
    <n v="2E-3"/>
    <s v="FV7"/>
    <m/>
    <n v="4107"/>
    <m/>
    <m/>
    <m/>
    <n v="470"/>
    <n v="4577"/>
    <n v="251.73500000000001"/>
    <n v="4828.7349999999997"/>
    <n v="4828.74"/>
    <s v="oui"/>
    <m/>
    <m/>
    <s v="ADEME 2021"/>
    <s v="NC"/>
  </r>
  <r>
    <x v="2"/>
    <n v="9"/>
    <x v="4"/>
    <x v="0"/>
    <s v="EBL"/>
    <s v="VRB0237"/>
    <n v="1000"/>
    <d v="2021-09-07T00:00:00"/>
    <d v="2021-09-09T00:00:00"/>
    <s v="-"/>
    <s v="-"/>
    <d v="2021-09-16T00:00:00"/>
    <d v="2021-09-16T00:00:00"/>
    <d v="2021-09-30T00:00:00"/>
    <m/>
    <m/>
    <m/>
    <s v="relance facture fait le 28/09/2022"/>
    <m/>
    <m/>
    <m/>
    <m/>
    <d v="2023-01-04T00:00:00"/>
    <s v="dossier caduque (pas de mail envoyé)"/>
    <s v="DEZEMPTE"/>
    <s v="Marie-Josette"/>
    <n v="2"/>
    <n v="17226"/>
    <n v="15"/>
    <s v="Chemin des Marais"/>
    <n v="38500"/>
    <x v="1"/>
    <n v="659212286"/>
    <s v="chriscastel016@gmail.com"/>
    <s v="PO"/>
    <m/>
    <m/>
    <s v="-"/>
    <s v="-"/>
    <s v="-"/>
    <s v="-"/>
    <x v="40"/>
    <x v="31"/>
    <s v="MANGIONE"/>
    <s v="cheminees-svcd@orange.fr"/>
    <n v="476725701"/>
    <s v="-"/>
    <s v="oui"/>
    <d v="2022-02-01T00:00:00"/>
    <s v="cuisinière"/>
    <n v="1989"/>
    <x v="0"/>
    <x v="1"/>
    <s v="INVICTA"/>
    <s v="CAROLO"/>
    <n v="30"/>
    <n v="8"/>
    <n v="77"/>
    <n v="0.1"/>
    <s v="FV7"/>
    <m/>
    <n v="2070"/>
    <m/>
    <m/>
    <m/>
    <n v="1300"/>
    <n v="3370"/>
    <n v="185.35"/>
    <n v="3555.35"/>
    <n v="3555.35"/>
    <s v="oui"/>
    <m/>
    <m/>
    <n v="0"/>
    <s v="NC"/>
  </r>
  <r>
    <x v="2"/>
    <n v="9"/>
    <x v="4"/>
    <x v="0"/>
    <s v="EBL"/>
    <s v="VRB0238"/>
    <n v="1000"/>
    <d v="2021-09-08T00:00:00"/>
    <d v="2021-09-09T00:00:00"/>
    <s v="-"/>
    <s v="-"/>
    <d v="2021-09-16T00:00:00"/>
    <d v="2021-09-16T00:00:00"/>
    <d v="2021-09-30T00:00:00"/>
    <m/>
    <m/>
    <m/>
    <s v="relance facture fait le 28/09/2022"/>
    <m/>
    <m/>
    <m/>
    <m/>
    <d v="2023-01-04T00:00:00"/>
    <s v="dossier caduque (pas de mail envoyé)"/>
    <s v="COMBALOT"/>
    <s v="Anais"/>
    <n v="2"/>
    <n v="19670"/>
    <n v="95"/>
    <s v="Rue Cure et Bennes"/>
    <n v="38850"/>
    <x v="24"/>
    <n v="671356041"/>
    <s v="anais.combalot@yahoo.fr"/>
    <s v="PO"/>
    <m/>
    <m/>
    <s v="-"/>
    <s v="-"/>
    <s v="-"/>
    <s v="-"/>
    <x v="15"/>
    <x v="9"/>
    <s v="MICHEL Patrick"/>
    <s v="enerlogis@orange.fr"/>
    <n v="479750979"/>
    <s v="-"/>
    <s v="oui"/>
    <d v="2022-08-25T00:00:00"/>
    <s v="foyer ouvert"/>
    <s v="&gt;1990"/>
    <x v="0"/>
    <x v="0"/>
    <s v="MCZ"/>
    <s v="RAY CONFORT AIR"/>
    <n v="11"/>
    <n v="7.8"/>
    <n v="90.2"/>
    <n v="6.0000000000000001E-3"/>
    <s v="FV7"/>
    <m/>
    <n v="5125"/>
    <m/>
    <m/>
    <m/>
    <n v="760"/>
    <n v="5885"/>
    <n v="323.67500000000001"/>
    <n v="6208.6750000000002"/>
    <n v="6208.07"/>
    <s v="oui"/>
    <m/>
    <m/>
    <n v="0"/>
    <s v="NC"/>
  </r>
  <r>
    <x v="2"/>
    <n v="9"/>
    <x v="3"/>
    <x v="1"/>
    <s v="EBL"/>
    <s v="VRB0239"/>
    <n v="600"/>
    <d v="2021-09-10T00:00:00"/>
    <d v="2021-09-13T00:00:00"/>
    <s v="-"/>
    <s v="-"/>
    <d v="2021-09-16T00:00:00"/>
    <d v="2021-09-16T00:00:00"/>
    <d v="2021-09-30T00:00:00"/>
    <m/>
    <d v="2022-10-04T00:00:00"/>
    <d v="2022-07-01T00:00:00"/>
    <s v="pas d’adresse mail / appel effectué le 28/09/2022 / Facture acquittée, appel fait 08.11"/>
    <s v="-"/>
    <d v="2022-11-09T00:00:00"/>
    <d v="2022-11-14T00:00:00"/>
    <m/>
    <m/>
    <m/>
    <s v="ODDOS"/>
    <s v="Patrice"/>
    <n v="1"/>
    <n v="23163"/>
    <n v="72"/>
    <s v="Chemin des Barlières"/>
    <n v="38960"/>
    <x v="11"/>
    <n v="684068570"/>
    <s v="-"/>
    <s v="PO"/>
    <m/>
    <m/>
    <s v="-"/>
    <s v="-"/>
    <s v="-"/>
    <s v="-"/>
    <x v="1"/>
    <x v="1"/>
    <s v="LIBER Jean-Christophe"/>
    <s v="jlc.services@orange.fr"/>
    <s v="04 76 07 14 61"/>
    <s v="-"/>
    <s v="oui"/>
    <d v="2021-11-03T00:00:00"/>
    <s v="insert / foyer fermé"/>
    <n v="1990"/>
    <x v="0"/>
    <x v="1"/>
    <s v="FONTE FLAMME"/>
    <s v="MAGMA"/>
    <n v="14"/>
    <n v="7.8"/>
    <n v="81"/>
    <n v="0.08"/>
    <s v="FV7"/>
    <m/>
    <n v="2754.73"/>
    <m/>
    <m/>
    <m/>
    <n v="180"/>
    <n v="2934.73"/>
    <n v="161.41015000000002"/>
    <n v="3096.1401500000002"/>
    <n v="2573.5500000000002"/>
    <s v="oui"/>
    <m/>
    <m/>
    <s v="ADEME 2021"/>
    <s v="NC"/>
  </r>
  <r>
    <x v="2"/>
    <n v="9"/>
    <x v="3"/>
    <x v="2"/>
    <s v="EBL"/>
    <s v="VRB0240"/>
    <n v="1000"/>
    <d v="2021-09-10T00:00:00"/>
    <d v="2021-09-13T00:00:00"/>
    <s v="-"/>
    <s v="-"/>
    <d v="2021-09-16T00:00:00"/>
    <d v="2021-09-16T00:00:00"/>
    <d v="2021-09-30T00:00:00"/>
    <m/>
    <d v="2022-02-09T00:00:00"/>
    <d v="2022-02-02T00:00:00"/>
    <s v="-"/>
    <d v="2022-02-14T00:00:00"/>
    <d v="2022-02-14T00:00:00"/>
    <d v="2022-02-15T00:00:00"/>
    <m/>
    <m/>
    <m/>
    <s v="BOYER"/>
    <s v="Franck"/>
    <n v="4"/>
    <n v="36623"/>
    <n v="2"/>
    <s v="Chemin de Bouloun"/>
    <n v="38210"/>
    <x v="15"/>
    <n v="784515996"/>
    <s v="franck1138@gmail.com"/>
    <s v="PO"/>
    <m/>
    <m/>
    <s v="-"/>
    <s v="-"/>
    <s v="-"/>
    <s v="-"/>
    <x v="17"/>
    <x v="7"/>
    <s v="GLENAT"/>
    <s v="sarl.glenat@wanadoo.fr"/>
    <n v="611953404"/>
    <s v="-"/>
    <s v="oui"/>
    <d v="2022-06-22T00:00:00"/>
    <s v="poêle"/>
    <n v="1970"/>
    <x v="3"/>
    <x v="0"/>
    <s v="HARGASSNER"/>
    <s v="NANO PK12"/>
    <n v="17"/>
    <n v="12"/>
    <n v="95"/>
    <n v="3.1199999999999999E-3"/>
    <s v="FV7"/>
    <m/>
    <n v="17562"/>
    <m/>
    <m/>
    <m/>
    <n v="6650"/>
    <n v="24212"/>
    <n v="1331.66"/>
    <n v="25543.66"/>
    <n v="22330.13"/>
    <s v="oui"/>
    <m/>
    <m/>
    <s v="ADEME 2021"/>
    <s v="NC"/>
  </r>
  <r>
    <x v="2"/>
    <n v="9"/>
    <x v="3"/>
    <x v="1"/>
    <s v="EBL"/>
    <s v="VRB0241"/>
    <n v="600"/>
    <d v="2021-09-10T00:00:00"/>
    <d v="2021-09-13T00:00:00"/>
    <s v="-"/>
    <s v="-"/>
    <d v="2021-09-16T00:00:00"/>
    <d v="2021-09-16T00:00:00"/>
    <d v="2021-09-30T00:00:00"/>
    <m/>
    <d v="2022-01-14T00:00:00"/>
    <d v="2021-11-30T00:00:00"/>
    <s v="-"/>
    <d v="2022-01-19T00:00:00"/>
    <d v="2022-01-19T00:00:00"/>
    <d v="2022-01-20T00:00:00"/>
    <m/>
    <m/>
    <m/>
    <s v="BASSON"/>
    <s v="Richard"/>
    <n v="4"/>
    <n v="43399"/>
    <n v="192"/>
    <s v="Route du Tissage"/>
    <n v="38850"/>
    <x v="9"/>
    <n v="670560598"/>
    <s v="cathy.basson@gmail.com"/>
    <s v="PO"/>
    <m/>
    <m/>
    <s v="-"/>
    <s v="-"/>
    <s v="-"/>
    <s v="-"/>
    <x v="0"/>
    <x v="0"/>
    <s v="CARRE François"/>
    <s v="f.carre@carre-f.com"/>
    <s v="04 76 37 03 50"/>
    <s v="-"/>
    <s v="oui  "/>
    <d v="2021-11-17T00:00:00"/>
    <s v="cuisinière"/>
    <n v="2000"/>
    <x v="0"/>
    <x v="0"/>
    <s v="PALAZZETTI"/>
    <s v="ECOFIRE Marianne"/>
    <n v="16"/>
    <n v="9.1"/>
    <n v="91.8"/>
    <n v="3.7599999999999999E-3"/>
    <s v="FV7"/>
    <m/>
    <n v="5664"/>
    <m/>
    <m/>
    <m/>
    <n v="790"/>
    <n v="6454"/>
    <n v="354.97"/>
    <n v="6808.97"/>
    <n v="6808.97"/>
    <s v="oui"/>
    <m/>
    <m/>
    <s v="ADEME 2021"/>
    <s v="NC"/>
  </r>
  <r>
    <x v="2"/>
    <n v="9"/>
    <x v="3"/>
    <x v="2"/>
    <s v="EBL"/>
    <s v="VRB0242"/>
    <n v="1000"/>
    <d v="2021-09-12T00:00:00"/>
    <d v="2021-09-13T00:00:00"/>
    <s v="-"/>
    <s v="-"/>
    <d v="2021-09-16T00:00:00"/>
    <d v="2021-09-16T00:00:00"/>
    <d v="2021-09-30T00:00:00"/>
    <m/>
    <d v="2022-02-15T00:00:00"/>
    <d v="2021-12-16T00:00:00"/>
    <s v="-"/>
    <d v="2022-02-17T00:00:00"/>
    <d v="2022-02-17T00:00:00"/>
    <d v="2022-02-17T00:00:00"/>
    <m/>
    <m/>
    <m/>
    <s v="BLANC-MATHIEU"/>
    <s v="Romain"/>
    <n v="4"/>
    <n v="32738"/>
    <n v="31"/>
    <s v="Petit Chemin de la Cote"/>
    <n v="38500"/>
    <x v="18"/>
    <n v="672862660"/>
    <s v="romain.blancmathieu@gmail.com"/>
    <s v="PO"/>
    <m/>
    <m/>
    <s v="-"/>
    <s v="-"/>
    <s v="-"/>
    <s v="-"/>
    <x v="1"/>
    <x v="1"/>
    <s v="LIBER Jean-Christophe"/>
    <s v="jlc.services@orange.fr"/>
    <s v="04 76 07 14 61"/>
    <s v="-"/>
    <s v="oui"/>
    <d v="2021-11-03T00:00:00"/>
    <s v="poêle"/>
    <n v="1990"/>
    <x v="0"/>
    <x v="0"/>
    <s v="MCZ"/>
    <s v="EGO AIR UP"/>
    <n v="17"/>
    <n v="8.1"/>
    <n v="90.9"/>
    <n v="2E-3"/>
    <s v="FV7"/>
    <m/>
    <n v="5676.46"/>
    <m/>
    <m/>
    <m/>
    <n v="515"/>
    <n v="6191.46"/>
    <n v="340.53030000000001"/>
    <n v="6531.9903000000004"/>
    <n v="6531.99"/>
    <s v="oui"/>
    <m/>
    <m/>
    <s v="ADEME 2021"/>
    <s v="NC"/>
  </r>
  <r>
    <x v="2"/>
    <n v="9"/>
    <x v="3"/>
    <x v="1"/>
    <s v="EBL"/>
    <s v="VRB0243"/>
    <n v="600"/>
    <d v="2021-09-10T00:00:00"/>
    <d v="2021-09-13T00:00:00"/>
    <s v="-"/>
    <s v="-"/>
    <d v="2021-09-16T00:00:00"/>
    <d v="2021-09-16T00:00:00"/>
    <d v="2021-09-30T00:00:00"/>
    <m/>
    <d v="2022-01-14T00:00:00"/>
    <d v="2021-11-30T00:00:00"/>
    <s v="-"/>
    <d v="2022-01-19T00:00:00"/>
    <d v="2022-01-19T00:00:00"/>
    <d v="2022-01-20T00:00:00"/>
    <m/>
    <m/>
    <m/>
    <s v="FILHOL"/>
    <s v="Jean-François"/>
    <n v="1"/>
    <n v="31169"/>
    <n v="312"/>
    <s v="Route de la Garangère"/>
    <n v="38850"/>
    <x v="7"/>
    <n v="675717274"/>
    <s v="filhol.mpr@gmail.com"/>
    <s v="PO"/>
    <m/>
    <m/>
    <s v="-"/>
    <s v="-"/>
    <s v="-"/>
    <s v="-"/>
    <x v="0"/>
    <x v="0"/>
    <s v="CARRE François"/>
    <s v="f.carre@carre-f.com"/>
    <s v="04 76 37 03 50"/>
    <s v="-"/>
    <s v="oui  "/>
    <d v="2021-11-17T00:00:00"/>
    <s v="insert / foyer fermé"/>
    <n v="1999"/>
    <x v="0"/>
    <x v="1"/>
    <s v="ROMOTOP"/>
    <s v="OVALIS T"/>
    <n v="40"/>
    <n v="5.9"/>
    <n v="83.6"/>
    <n v="7.0000000000000007E-2"/>
    <s v="FV7"/>
    <m/>
    <n v="4467.2"/>
    <m/>
    <m/>
    <m/>
    <n v="1120"/>
    <n v="5587.2"/>
    <n v="307.29599999999999"/>
    <n v="5894.4960000000001"/>
    <n v="5894.5"/>
    <s v="oui"/>
    <m/>
    <m/>
    <s v="ADEME 2021"/>
    <s v="NC"/>
  </r>
  <r>
    <x v="2"/>
    <n v="9"/>
    <x v="3"/>
    <x v="1"/>
    <s v="EBL"/>
    <s v="VRB0244"/>
    <n v="600"/>
    <d v="2021-09-13T00:00:00"/>
    <d v="2021-09-13T00:00:00"/>
    <s v="-"/>
    <s v="-"/>
    <d v="2021-09-16T00:00:00"/>
    <d v="2021-09-16T00:00:00"/>
    <d v="2021-09-30T00:00:00"/>
    <m/>
    <d v="2021-12-02T00:00:00"/>
    <d v="2021-10-22T00:00:00"/>
    <s v="-"/>
    <d v="2021-12-09T00:00:00"/>
    <d v="2021-12-09T00:00:00"/>
    <d v="2021-12-10T00:00:00"/>
    <m/>
    <m/>
    <m/>
    <s v="MARRANT"/>
    <s v="Yves&amp;Muriam"/>
    <n v="2"/>
    <n v="43933"/>
    <n v="163"/>
    <s v="Route de la Tour 2 Lot de la Charmette"/>
    <n v="38960"/>
    <x v="22"/>
    <n v="665626339"/>
    <s v="myriam.marrant@wanadoo.fr"/>
    <s v="PO"/>
    <m/>
    <m/>
    <s v="-"/>
    <s v="-"/>
    <s v="-"/>
    <s v="-"/>
    <x v="41"/>
    <x v="32"/>
    <s v="BARD Jérémy"/>
    <s v="bardramonage@orange.fr"/>
    <n v="474204758"/>
    <s v="-"/>
    <s v="oui"/>
    <d v="2022-05-22T00:00:00"/>
    <s v="insert / foyer fermé"/>
    <n v="1996"/>
    <x v="0"/>
    <x v="0"/>
    <s v="INTERSTOVES"/>
    <s v="ROMA"/>
    <n v="18"/>
    <n v="10.4"/>
    <n v="91.8"/>
    <n v="0.01"/>
    <s v="FV7"/>
    <m/>
    <n v="5902.59"/>
    <m/>
    <m/>
    <m/>
    <n v="730"/>
    <n v="6632.59"/>
    <n v="364.79245000000003"/>
    <n v="6997.3824500000001"/>
    <n v="6997.38"/>
    <s v="oui"/>
    <m/>
    <m/>
    <s v="ADEME 2021"/>
    <s v="NC"/>
  </r>
  <r>
    <x v="2"/>
    <n v="9"/>
    <x v="3"/>
    <x v="1"/>
    <s v="EBL"/>
    <s v="VRB0245"/>
    <n v="600"/>
    <d v="2021-09-14T00:00:00"/>
    <d v="2021-09-16T00:00:00"/>
    <d v="2021-09-16T00:00:00"/>
    <s v="Manque adresse RIB (ok)"/>
    <d v="2021-09-23T00:00:00"/>
    <d v="2021-09-23T00:00:00"/>
    <d v="2021-09-23T00:00:00"/>
    <m/>
    <d v="2021-11-16T00:00:00"/>
    <d v="2021-10-16T00:00:00"/>
    <s v="-"/>
    <d v="2021-11-25T00:00:00"/>
    <d v="2021-11-25T00:00:00"/>
    <d v="2021-12-09T00:00:00"/>
    <m/>
    <m/>
    <m/>
    <s v="RODIGHIERO"/>
    <s v="Céline"/>
    <n v="3"/>
    <n v="52570"/>
    <n v="106"/>
    <s v="Chemin du Bouvier"/>
    <n v="38500"/>
    <x v="18"/>
    <n v="625765385"/>
    <s v="celine.rodighiero@gmail.com"/>
    <s v="PO"/>
    <m/>
    <m/>
    <s v="-"/>
    <s v="-"/>
    <s v="-"/>
    <s v="-"/>
    <x v="5"/>
    <x v="5"/>
    <s v="HAMAIN Jérémie"/>
    <s v="godin-grenoble@orange.fr"/>
    <n v="438021901"/>
    <s v="-"/>
    <s v="oui"/>
    <d v="2022-03-21T00:00:00"/>
    <s v="insert / foyer fermé"/>
    <n v="1984"/>
    <x v="0"/>
    <x v="0"/>
    <s v="GODIN"/>
    <s v="CHRONOS"/>
    <n v="18"/>
    <n v="9.1"/>
    <n v="93"/>
    <n v="2.12E-2"/>
    <s v="FV7"/>
    <m/>
    <n v="5014"/>
    <m/>
    <m/>
    <m/>
    <n v="891"/>
    <n v="5905"/>
    <n v="324.77499999999998"/>
    <n v="6229.7749999999996"/>
    <n v="5653"/>
    <s v="oui"/>
    <m/>
    <m/>
    <s v="ADEME 2021"/>
    <s v="NC"/>
  </r>
  <r>
    <x v="2"/>
    <n v="9"/>
    <x v="3"/>
    <x v="2"/>
    <s v="EBL"/>
    <s v="VRB0246"/>
    <n v="1000"/>
    <d v="2021-09-14T00:00:00"/>
    <d v="2021-09-16T00:00:00"/>
    <d v="2021-09-16T00:00:00"/>
    <s v="Manque adresse RIB + AI 2021 (ok)"/>
    <d v="2021-09-30T00:00:00"/>
    <d v="2021-09-30T00:00:00"/>
    <d v="2021-10-25T00:00:00"/>
    <m/>
    <d v="2021-11-18T00:00:00"/>
    <d v="2021-10-29T00:00:00"/>
    <s v="-"/>
    <d v="2021-11-25T00:00:00"/>
    <d v="2021-11-25T00:00:00"/>
    <d v="2021-12-09T00:00:00"/>
    <m/>
    <m/>
    <m/>
    <s v="TEIXEIRA DESOUSA"/>
    <s v="Maria"/>
    <n v="2"/>
    <n v="16835"/>
    <n v="231"/>
    <s v="Rue de la République"/>
    <n v="38140"/>
    <x v="6"/>
    <n v="670906846"/>
    <s v="karine.millet7@gmail.com"/>
    <s v="PO"/>
    <m/>
    <m/>
    <s v="-"/>
    <s v="-"/>
    <s v="-"/>
    <s v="-"/>
    <x v="6"/>
    <x v="6"/>
    <s v="FAURE Jacques"/>
    <s v="jacques.faure24@wanadoo.fr"/>
    <n v="476355605"/>
    <s v="-"/>
    <s v="oui"/>
    <d v="2021-10-26T00:00:00"/>
    <s v="insert / foyer fermé"/>
    <s v="&lt;2002"/>
    <x v="0"/>
    <x v="1"/>
    <s v="DICK GEURTS par FONTE FLAMME"/>
    <s v="VIDAR Triple"/>
    <n v="18"/>
    <n v="10.6"/>
    <n v="88"/>
    <n v="6.5000000000000002E-2"/>
    <s v="FV7"/>
    <m/>
    <n v="3201.64"/>
    <m/>
    <m/>
    <m/>
    <n v="1172.94"/>
    <n v="4374.58"/>
    <n v="240.6019"/>
    <n v="4615.1818999999996"/>
    <n v="4615.18"/>
    <s v="oui"/>
    <m/>
    <m/>
    <s v="ADEME 2021"/>
    <s v="NC"/>
  </r>
  <r>
    <x v="2"/>
    <n v="10"/>
    <x v="3"/>
    <x v="1"/>
    <s v="EBL"/>
    <s v="VRB0247"/>
    <n v="600"/>
    <d v="2021-09-17T00:00:00"/>
    <d v="2021-09-20T00:00:00"/>
    <d v="2021-09-23T00:00:00"/>
    <s v="Manque RIB+Justif domicile (ok)"/>
    <d v="2021-10-07T00:00:00"/>
    <d v="2021-10-07T00:00:00"/>
    <d v="2021-10-25T00:00:00"/>
    <m/>
    <d v="2021-12-05T00:00:00"/>
    <d v="2021-11-16T00:00:00"/>
    <s v="Manque facture Acquittée (ok)"/>
    <d v="2021-12-10T00:00:00"/>
    <d v="2021-12-10T00:00:00"/>
    <d v="2021-12-10T00:00:00"/>
    <m/>
    <m/>
    <m/>
    <s v="ZIELINSKI"/>
    <s v="Julie"/>
    <n v="3"/>
    <n v="38287"/>
    <n v="4"/>
    <s v="Lotissement les Horizons 2"/>
    <n v="38210"/>
    <x v="15"/>
    <n v="669380214"/>
    <s v="julie.zielinski301317@gmail.com"/>
    <s v="PO"/>
    <m/>
    <m/>
    <s v="-"/>
    <s v="-"/>
    <s v="-"/>
    <s v="-"/>
    <x v="31"/>
    <x v="24"/>
    <s v="BRUNO Pascal"/>
    <s v="pascal.brn@gmail.com"/>
    <n v="618630529"/>
    <s v="-"/>
    <s v="oui"/>
    <d v="2021-11-14T00:00:00"/>
    <s v="poêle"/>
    <n v="1975"/>
    <x v="0"/>
    <x v="0"/>
    <s v="PALAZZETTI"/>
    <s v="NINA V2"/>
    <n v="8"/>
    <n v="8.1999999999999993"/>
    <n v="87.7"/>
    <n v="2.8E-3"/>
    <s v="FV7"/>
    <m/>
    <n v="4075"/>
    <m/>
    <m/>
    <m/>
    <n v="700"/>
    <n v="4775"/>
    <n v="262.625"/>
    <n v="5037.625"/>
    <n v="5037.63"/>
    <s v="oui"/>
    <m/>
    <m/>
    <s v="ADEME 2021"/>
    <s v="NC"/>
  </r>
  <r>
    <x v="2"/>
    <n v="9"/>
    <x v="3"/>
    <x v="2"/>
    <s v="EBL"/>
    <s v="VRB0248"/>
    <n v="1000"/>
    <d v="2021-09-20T00:00:00"/>
    <d v="2021-09-20T00:00:00"/>
    <s v="-"/>
    <s v="-"/>
    <d v="2021-09-23T00:00:00"/>
    <d v="2021-09-23T00:00:00"/>
    <d v="2021-09-23T00:00:00"/>
    <m/>
    <d v="2022-01-14T00:00:00"/>
    <d v="2021-11-22T00:00:00"/>
    <s v="-"/>
    <d v="2022-01-19T00:00:00"/>
    <d v="2022-01-19T00:00:00"/>
    <d v="2022-01-20T00:00:00"/>
    <m/>
    <m/>
    <m/>
    <s v="DUPRE"/>
    <s v="Claire"/>
    <n v="4"/>
    <n v="33988"/>
    <n v="29"/>
    <s v="Chemin des Combes"/>
    <n v="38500"/>
    <x v="30"/>
    <n v="770395251"/>
    <s v="dupre.claire@yahoo.fr"/>
    <s v="PO"/>
    <m/>
    <m/>
    <s v="-"/>
    <s v="-"/>
    <s v="-"/>
    <s v="-"/>
    <x v="14"/>
    <x v="1"/>
    <s v="SIMON Frédéric"/>
    <s v="contact@ecvoiron.fr"/>
    <n v="476069938"/>
    <s v="-"/>
    <s v="oui"/>
    <d v="2022-09-18T00:00:00"/>
    <s v="insert / foyer fermé"/>
    <n v="1985"/>
    <x v="0"/>
    <x v="0"/>
    <s v="PALAZZETTI"/>
    <s v="BEATRICE 9"/>
    <n v="16"/>
    <n v="9.1"/>
    <n v="91.8"/>
    <n v="8.9999999999999993E-3"/>
    <s v="FV7"/>
    <m/>
    <n v="5647"/>
    <m/>
    <m/>
    <m/>
    <n v="980"/>
    <n v="6627"/>
    <n v="364.48500000000001"/>
    <n v="6991.4849999999997"/>
    <n v="8120.34"/>
    <s v="oui"/>
    <m/>
    <m/>
    <s v="ADEME 2021"/>
    <s v="NC"/>
  </r>
  <r>
    <x v="2"/>
    <n v="9"/>
    <x v="3"/>
    <x v="1"/>
    <s v="EBL"/>
    <s v="VRB0249"/>
    <n v="600"/>
    <d v="2021-09-20T00:00:00"/>
    <d v="2021-09-20T00:00:00"/>
    <s v="-"/>
    <s v="-"/>
    <d v="2021-09-23T00:00:00"/>
    <d v="2021-09-23T00:00:00"/>
    <d v="2021-09-23T00:00:00"/>
    <m/>
    <d v="2021-12-03T00:00:00"/>
    <d v="2021-11-23T00:00:00"/>
    <s v="-"/>
    <d v="2021-12-09T00:00:00"/>
    <d v="2021-12-09T00:00:00"/>
    <d v="2021-12-10T00:00:00"/>
    <m/>
    <m/>
    <m/>
    <s v="SORANZO"/>
    <s v="Roger"/>
    <n v="2"/>
    <n v="41283"/>
    <n v="10"/>
    <s v="Clos de la Magnanerie"/>
    <n v="38430"/>
    <x v="2"/>
    <n v="626200164"/>
    <s v="marie.soranzo@orange.fr"/>
    <s v="PO"/>
    <m/>
    <m/>
    <s v="-"/>
    <s v="-"/>
    <s v="-"/>
    <s v="-"/>
    <x v="6"/>
    <x v="6"/>
    <s v="FAURE Jacques"/>
    <s v="jacques.faure24@wanadoo.fr"/>
    <n v="476355605"/>
    <s v="-"/>
    <s v="oui"/>
    <d v="2021-10-26T00:00:00"/>
    <s v="insert / foyer fermé"/>
    <n v="1994"/>
    <x v="2"/>
    <x v="1"/>
    <s v="FONTE FLAMME"/>
    <s v="VISION 775 10K"/>
    <n v="23"/>
    <n v="10"/>
    <n v="78"/>
    <n v="7.0000000000000007E-2"/>
    <s v="FV7"/>
    <m/>
    <n v="3837.04"/>
    <m/>
    <m/>
    <m/>
    <n v="1332.94"/>
    <n v="5169.9799999999996"/>
    <n v="284.34889999999996"/>
    <n v="5454.3288999999995"/>
    <n v="5454.42"/>
    <s v="oui"/>
    <m/>
    <m/>
    <s v="ADEME 2021"/>
    <s v="NC"/>
  </r>
  <r>
    <x v="2"/>
    <n v="10"/>
    <x v="3"/>
    <x v="2"/>
    <s v="EBL"/>
    <s v="VRB0250"/>
    <n v="1000"/>
    <d v="2021-09-16T00:00:00"/>
    <d v="2021-09-20T00:00:00"/>
    <d v="2021-09-23T00:00:00"/>
    <s v="Manque AI du conjoint (ok ce n'est pas un conjoint et ils n'habites pas à ladresse)"/>
    <d v="2021-10-07T00:00:00"/>
    <d v="2021-10-07T00:00:00"/>
    <d v="2021-10-25T00:00:00"/>
    <m/>
    <d v="2021-12-15T00:00:00"/>
    <d v="2021-12-01T00:00:00"/>
    <s v="-"/>
    <d v="2021-12-16T00:00:00"/>
    <d v="2021-12-16T00:00:00"/>
    <d v="2021-12-17T00:00:00"/>
    <m/>
    <m/>
    <m/>
    <s v="CARBILLET"/>
    <s v="Laure"/>
    <n v="2"/>
    <n v="23777"/>
    <n v="656"/>
    <s v="Route de Poliénas"/>
    <n v="38210"/>
    <x v="15"/>
    <n v="652323031"/>
    <s v="laurecarbillet@gmail.com"/>
    <s v="PO"/>
    <m/>
    <m/>
    <s v="-"/>
    <s v="-"/>
    <s v="-"/>
    <s v="-"/>
    <x v="12"/>
    <x v="8"/>
    <s v="AILLOUD Jérôme"/>
    <s v="sarlpab@orange.fr"/>
    <n v="437064566"/>
    <s v="-"/>
    <s v="oui"/>
    <d v="2022-03-13T00:00:00"/>
    <s v="foyer ouvert"/>
    <s v="&lt;2002"/>
    <x v="0"/>
    <x v="1"/>
    <s v="SUPRA"/>
    <s v="CHLOE"/>
    <n v="25"/>
    <n v="6"/>
    <n v="80.3"/>
    <n v="7.0000000000000007E-2"/>
    <s v="FV7"/>
    <m/>
    <n v="2402.6499999999996"/>
    <m/>
    <m/>
    <m/>
    <n v="1093.75"/>
    <n v="3496.3999999999996"/>
    <n v="192.30199999999999"/>
    <n v="3688.7019999999998"/>
    <n v="3496.4"/>
    <s v="non"/>
    <m/>
    <m/>
    <s v="ADEME 2021"/>
    <s v="NC"/>
  </r>
  <r>
    <x v="2"/>
    <n v="9"/>
    <x v="3"/>
    <x v="1"/>
    <s v="EBL"/>
    <s v="VRB0251"/>
    <n v="600"/>
    <d v="2021-09-20T00:00:00"/>
    <d v="2021-09-21T00:00:00"/>
    <d v="2021-09-23T00:00:00"/>
    <s v="Manque AI du couple+Adresse RIB (ok)"/>
    <d v="2021-09-30T00:00:00"/>
    <d v="2021-09-30T00:00:00"/>
    <d v="2021-10-25T00:00:00"/>
    <m/>
    <d v="2022-03-14T00:00:00"/>
    <d v="2022-11-18T00:00:00"/>
    <s v="Manque photo nouvelle installation. Ok le 30/3/22"/>
    <d v="2022-04-14T00:00:00"/>
    <d v="2022-04-14T00:00:00"/>
    <d v="2022-04-15T00:00:00"/>
    <m/>
    <m/>
    <m/>
    <s v="BOCQUET"/>
    <s v="Robin"/>
    <n v="2"/>
    <n v="39940"/>
    <n v="285"/>
    <s v="Chemin des Mas de Clermont"/>
    <n v="38500"/>
    <x v="13"/>
    <n v="685196718"/>
    <s v="luciebarbaras23@gmail.com"/>
    <s v="PO"/>
    <m/>
    <m/>
    <s v="-"/>
    <s v="-"/>
    <s v="-"/>
    <s v="-"/>
    <x v="14"/>
    <x v="1"/>
    <s v="SIMON Frédéric"/>
    <s v="contact@ecvoiron.fr"/>
    <n v="476069938"/>
    <s v="-"/>
    <s v="oui"/>
    <d v="2022-09-18T00:00:00"/>
    <s v="poêle"/>
    <n v="1975"/>
    <x v="0"/>
    <x v="0"/>
    <s v="KLOVER"/>
    <s v="SOFT 100"/>
    <n v="14.7"/>
    <n v="9.6"/>
    <n v="92.5"/>
    <n v="8.0000000000000002E-3"/>
    <s v="FV7"/>
    <m/>
    <n v="5057"/>
    <m/>
    <m/>
    <m/>
    <n v="1030"/>
    <n v="6087"/>
    <n v="334.78500000000003"/>
    <n v="6421.7849999999999"/>
    <n v="6369.04"/>
    <s v="oui"/>
    <m/>
    <m/>
    <s v="ADEME 2021"/>
    <s v="NC"/>
  </r>
  <r>
    <x v="2"/>
    <n v="9"/>
    <x v="3"/>
    <x v="2"/>
    <s v="EBL"/>
    <s v="VRB0252"/>
    <n v="1000"/>
    <d v="2021-09-22T00:00:00"/>
    <d v="2021-09-24T00:00:00"/>
    <s v="-"/>
    <s v="-"/>
    <d v="2021-09-30T00:00:00"/>
    <d v="2021-09-30T00:00:00"/>
    <d v="2021-10-25T00:00:00"/>
    <m/>
    <d v="2022-01-11T00:00:00"/>
    <d v="2021-12-02T00:00:00"/>
    <s v="-"/>
    <d v="2022-01-19T00:00:00"/>
    <d v="2022-01-19T00:00:00"/>
    <d v="2022-01-20T00:00:00"/>
    <m/>
    <m/>
    <m/>
    <s v="MARCHAND"/>
    <s v="Jean-Claude"/>
    <n v="2"/>
    <n v="19261"/>
    <n v="231"/>
    <s v="Rue du Janin"/>
    <n v="38850"/>
    <x v="24"/>
    <n v="632943494"/>
    <s v="jcmarchand38@hotmail.fr"/>
    <s v="PO"/>
    <m/>
    <m/>
    <s v="-"/>
    <s v="-"/>
    <s v="-"/>
    <s v="-"/>
    <x v="7"/>
    <x v="1"/>
    <s v="PIERRE Emmanuel"/>
    <s v="voiron@techni-nature.com"/>
    <n v="951096343"/>
    <s v="-"/>
    <s v="oui"/>
    <d v="2022-08-25T00:00:00"/>
    <s v="poêle"/>
    <n v="2001"/>
    <x v="0"/>
    <x v="0"/>
    <s v="INOVALP"/>
    <s v="HOBEN H7"/>
    <n v="20"/>
    <n v="8.3000000000000007"/>
    <n v="87"/>
    <n v="1.7999999999999999E-2"/>
    <s v="registre"/>
    <m/>
    <n v="6340.85"/>
    <m/>
    <m/>
    <m/>
    <n v="630"/>
    <n v="6970.85"/>
    <n v="383.39675"/>
    <n v="7354.2467500000002"/>
    <n v="7000"/>
    <s v="non"/>
    <m/>
    <m/>
    <s v="ADEME 2021"/>
    <s v="NC"/>
  </r>
  <r>
    <x v="2"/>
    <n v="10"/>
    <x v="3"/>
    <x v="2"/>
    <s v="EBL"/>
    <s v="VRB0253"/>
    <n v="1000"/>
    <d v="2021-09-24T00:00:00"/>
    <d v="2021-09-24T00:00:00"/>
    <d v="2021-09-30T00:00:00"/>
    <s v="Manque photo (ok)"/>
    <d v="2021-10-07T00:00:00"/>
    <d v="2021-10-07T00:00:00"/>
    <d v="2021-10-25T00:00:00"/>
    <m/>
    <d v="2022-02-10T00:00:00"/>
    <d v="2021-12-16T00:00:00"/>
    <s v="Facture acquittée (ok)"/>
    <d v="2022-04-11T00:00:00"/>
    <d v="2022-04-11T00:00:00"/>
    <d v="2022-04-11T00:00:00"/>
    <m/>
    <m/>
    <m/>
    <s v="PIOZ"/>
    <s v="Céline"/>
    <n v="5"/>
    <n v="32534"/>
    <n v="40"/>
    <s v="Chemin de l'Ancienne Ecole"/>
    <n v="38620"/>
    <x v="29"/>
    <n v="684074376"/>
    <s v="piozceline@free.fr"/>
    <s v="PO"/>
    <m/>
    <m/>
    <s v="-"/>
    <s v="-"/>
    <s v="-"/>
    <s v="-"/>
    <x v="34"/>
    <x v="27"/>
    <s v="JACQUET"/>
    <s v="laglaceetlefeu38@gmail.com"/>
    <n v="476042368"/>
    <s v="-"/>
    <s v="oui"/>
    <d v="2021-11-24T00:00:00"/>
    <s v="poêle"/>
    <n v="2002"/>
    <x v="0"/>
    <x v="1"/>
    <s v="SUPRA"/>
    <s v="ARTHUR"/>
    <n v="40"/>
    <n v="7"/>
    <n v="78"/>
    <n v="0.12"/>
    <s v="FV7"/>
    <m/>
    <n v="2007.3000000000002"/>
    <m/>
    <m/>
    <m/>
    <n v="900"/>
    <n v="2907.3"/>
    <n v="159.9015"/>
    <n v="3067.2015000000001"/>
    <n v="3067.21045"/>
    <s v="oui"/>
    <m/>
    <m/>
    <s v="ADEME 2021"/>
    <s v="NC"/>
  </r>
  <r>
    <x v="2"/>
    <n v="10"/>
    <x v="3"/>
    <x v="1"/>
    <s v="EBL"/>
    <s v="VRB0254"/>
    <n v="600"/>
    <d v="2021-09-24T00:00:00"/>
    <d v="2021-09-28T00:00:00"/>
    <d v="2021-09-30T00:00:00"/>
    <s v="Manque dernière page TF"/>
    <d v="2021-10-22T00:00:00"/>
    <d v="2021-10-22T00:00:00"/>
    <d v="2021-10-26T00:00:00"/>
    <m/>
    <d v="2021-11-25T00:00:00"/>
    <d v="2021-11-30T00:00:00"/>
    <s v="Attestation de destruction ancien appareil (ok le 16/3)"/>
    <d v="2022-03-30T00:00:00"/>
    <d v="2022-03-30T00:00:00"/>
    <d v="2022-04-01T00:00:00"/>
    <m/>
    <m/>
    <m/>
    <s v="BARBIEUX"/>
    <s v="Roger"/>
    <n v="2"/>
    <n v="30147"/>
    <n v="845"/>
    <s v="Route du Village"/>
    <n v="38490"/>
    <x v="33"/>
    <n v="476982722"/>
    <s v="rogerbarbieux38490@gmail.com"/>
    <s v="PO"/>
    <m/>
    <m/>
    <s v="-"/>
    <s v="-"/>
    <s v="-"/>
    <s v="-"/>
    <x v="39"/>
    <x v="30"/>
    <s v="BARGEL Jonathan"/>
    <s v="contact@philippeisere.fr"/>
    <n v="476663386"/>
    <s v="-"/>
    <s v="oui"/>
    <d v="2022-06-19T00:00:00"/>
    <s v="insert / foyer fermé"/>
    <n v="1992"/>
    <x v="2"/>
    <x v="1"/>
    <s v="CHEMINEE PHILIPPE"/>
    <s v="ANTHEM 65"/>
    <n v="34"/>
    <n v="7.8"/>
    <n v="76.5"/>
    <n v="0.1"/>
    <s v="FV7"/>
    <m/>
    <n v="3481.0200000000004"/>
    <m/>
    <m/>
    <m/>
    <n v="500"/>
    <n v="3981.0200000000004"/>
    <n v="218.95610000000002"/>
    <n v="4199.9761000000008"/>
    <n v="4199.9799999999996"/>
    <s v="non"/>
    <m/>
    <m/>
    <s v="ADEME 2021"/>
    <s v="NC"/>
  </r>
  <r>
    <x v="2"/>
    <n v="9"/>
    <x v="3"/>
    <x v="1"/>
    <s v="EBL"/>
    <s v="VRB0255"/>
    <n v="600"/>
    <d v="2021-09-24T00:00:00"/>
    <d v="2021-09-28T00:00:00"/>
    <s v="-"/>
    <s v="-"/>
    <d v="2021-09-30T00:00:00"/>
    <d v="2021-09-30T00:00:00"/>
    <d v="2021-10-25T00:00:00"/>
    <m/>
    <d v="2022-06-27T00:00:00"/>
    <d v="2022-03-25T00:00:00"/>
    <s v="-"/>
    <d v="2022-07-27T00:00:00"/>
    <d v="2022-07-27T00:00:00"/>
    <d v="2022-07-28T00:00:00"/>
    <m/>
    <m/>
    <m/>
    <s v="SMITH"/>
    <s v="David"/>
    <n v="2"/>
    <n v="82920"/>
    <n v="1312"/>
    <s v="Chemin de la Sonnière"/>
    <n v="38850"/>
    <x v="5"/>
    <n v="679130007"/>
    <s v="david.smith0609@orange.fr"/>
    <s v="PO"/>
    <m/>
    <m/>
    <s v="-"/>
    <s v="-"/>
    <s v="-"/>
    <s v="-"/>
    <x v="10"/>
    <x v="1"/>
    <s v="GILLET Pascal"/>
    <s v="bois-soleil.chauffage@orange.fr"/>
    <n v="476323235"/>
    <s v="-"/>
    <s v="oui"/>
    <d v="2022-08-21T00:00:00"/>
    <s v="foyer ouvert"/>
    <n v="1995"/>
    <x v="0"/>
    <x v="1"/>
    <s v="JOTUL"/>
    <s v="F400 ECO"/>
    <n v="6"/>
    <n v="7"/>
    <n v="83"/>
    <n v="5.8000000000000003E-2"/>
    <s v="FV7"/>
    <m/>
    <n v="5456.7399999999989"/>
    <m/>
    <m/>
    <m/>
    <n v="1820.73"/>
    <n v="7277.4699999999993"/>
    <n v="400.26084999999995"/>
    <n v="7677.730849999999"/>
    <n v="6394.3099999999995"/>
    <s v="non"/>
    <m/>
    <m/>
    <s v="ADEME 2021"/>
    <s v="NC"/>
  </r>
  <r>
    <x v="2"/>
    <n v="10"/>
    <x v="3"/>
    <x v="1"/>
    <s v="EBL"/>
    <s v="VRB0256"/>
    <n v="600"/>
    <d v="2021-09-26T00:00:00"/>
    <d v="2021-09-28T00:00:00"/>
    <d v="2021-09-30T00:00:00"/>
    <s v="Manque photo (ok)"/>
    <d v="2021-10-22T00:00:00"/>
    <d v="2021-10-22T00:00:00"/>
    <d v="2021-10-26T00:00:00"/>
    <m/>
    <d v="2021-10-26T00:00:00"/>
    <d v="2021-10-23T00:00:00"/>
    <s v="-"/>
    <d v="2021-10-28T00:00:00"/>
    <d v="2021-10-28T00:00:00"/>
    <d v="2021-10-29T00:00:00"/>
    <m/>
    <m/>
    <m/>
    <s v="BAJUS"/>
    <s v="Christophe"/>
    <n v="2"/>
    <n v="30549"/>
    <n v="104"/>
    <s v="Chemin du Gay"/>
    <n v="38430"/>
    <x v="28"/>
    <n v="769961513"/>
    <s v="bajuschristophe@gmail.com"/>
    <s v="PO"/>
    <m/>
    <m/>
    <s v="-"/>
    <s v="-"/>
    <s v="-"/>
    <s v="-"/>
    <x v="34"/>
    <x v="27"/>
    <s v="JACQUET"/>
    <s v="laglaceetlefeu38@gmail.com"/>
    <n v="476042368"/>
    <s v="-"/>
    <s v="oui"/>
    <d v="2021-11-24T00:00:00"/>
    <s v="foyer ouvert"/>
    <s v="&lt;2002"/>
    <x v="0"/>
    <x v="0"/>
    <s v="IZYFLAM"/>
    <s v="IZYTALL 80"/>
    <n v="17"/>
    <n v="7.22"/>
    <n v="89.24"/>
    <n v="1.9E-2"/>
    <s v="registre"/>
    <m/>
    <n v="2983.81"/>
    <m/>
    <m/>
    <m/>
    <n v="940"/>
    <n v="3923.81"/>
    <n v="215.80955"/>
    <n v="4139.6195500000003"/>
    <n v="3923.81"/>
    <s v="non"/>
    <m/>
    <m/>
    <s v="ADEME 2021"/>
    <s v="NC"/>
  </r>
  <r>
    <x v="2"/>
    <n v="10"/>
    <x v="3"/>
    <x v="2"/>
    <s v="EBL"/>
    <s v="VRB0257"/>
    <n v="1000"/>
    <d v="2021-09-28T00:00:00"/>
    <d v="2021-09-28T00:00:00"/>
    <d v="2021-09-30T00:00:00"/>
    <s v="Manque dernière page TF"/>
    <d v="2021-10-22T00:00:00"/>
    <d v="2021-10-22T00:00:00"/>
    <d v="2021-10-26T00:00:00"/>
    <m/>
    <d v="2022-02-23T00:00:00"/>
    <d v="2022-01-06T00:00:00"/>
    <m/>
    <d v="2022-02-24T00:00:00"/>
    <d v="2022-02-24T00:00:00"/>
    <d v="2022-02-25T00:00:00"/>
    <m/>
    <m/>
    <m/>
    <s v="MONTEILLET"/>
    <s v="Patrick"/>
    <n v="1"/>
    <n v="16280"/>
    <n v="97"/>
    <s v="Montée de Mattray"/>
    <n v="38500"/>
    <x v="18"/>
    <n v="476658426"/>
    <s v="patrickmonteillet38500@gmail.com"/>
    <s v="PO"/>
    <m/>
    <m/>
    <s v="-"/>
    <s v="-"/>
    <s v="-"/>
    <s v="-"/>
    <x v="39"/>
    <x v="30"/>
    <s v="BARGEL Jonathan"/>
    <s v="contact@philippeisere.fr"/>
    <n v="476663386"/>
    <s v="-"/>
    <s v="oui"/>
    <d v="2022-06-19T00:00:00"/>
    <s v="insert / foyer fermé"/>
    <n v="1990"/>
    <x v="0"/>
    <x v="0"/>
    <s v="CHEMINEE PHILIPPE"/>
    <s v="CEDRUS"/>
    <n v="16"/>
    <n v="9"/>
    <n v="93"/>
    <n v="2.1000000000000001E-2"/>
    <s v="FV7"/>
    <m/>
    <n v="5409.3099999999995"/>
    <m/>
    <m/>
    <m/>
    <n v="800"/>
    <n v="6209.3099999999995"/>
    <n v="341.51204999999999"/>
    <n v="6550.8220499999998"/>
    <n v="5968"/>
    <s v="non"/>
    <m/>
    <m/>
    <s v="ADEME 2021"/>
    <s v="NC"/>
  </r>
  <r>
    <x v="2"/>
    <n v="9"/>
    <x v="3"/>
    <x v="1"/>
    <s v="EBL"/>
    <s v="VRB0258"/>
    <n v="600"/>
    <d v="2021-09-28T00:00:00"/>
    <d v="2021-09-28T00:00:00"/>
    <s v="-"/>
    <s v="-"/>
    <d v="2021-09-30T00:00:00"/>
    <d v="2021-09-30T00:00:00"/>
    <d v="2021-10-25T00:00:00"/>
    <m/>
    <d v="2021-12-20T00:00:00"/>
    <d v="2021-11-17T00:00:00"/>
    <s v="-"/>
    <d v="2021-12-23T00:00:00"/>
    <d v="2021-12-23T00:00:00"/>
    <d v="2021-12-23T00:00:00"/>
    <m/>
    <m/>
    <m/>
    <s v="USSEGLIO"/>
    <s v="Lucette"/>
    <n v="1"/>
    <n v="20315"/>
    <n v="581"/>
    <s v="Chemin  des Charbonnières"/>
    <n v="38430"/>
    <x v="28"/>
    <n v="476550131"/>
    <s v="-"/>
    <s v="PO"/>
    <m/>
    <m/>
    <s v="-"/>
    <s v="-"/>
    <s v="-"/>
    <s v="-"/>
    <x v="6"/>
    <x v="6"/>
    <s v="FAURE Jacques"/>
    <s v="jacques.faure24@wanadoo.fr"/>
    <n v="476355605"/>
    <s v="-"/>
    <s v="oui"/>
    <d v="2021-10-26T00:00:00"/>
    <s v="foyer ouvert"/>
    <n v="1977"/>
    <x v="2"/>
    <x v="1"/>
    <s v="FONTE FLAMME"/>
    <s v="VISION 700-8K"/>
    <n v="26"/>
    <n v="8"/>
    <n v="81"/>
    <n v="7.0000000000000007E-2"/>
    <s v="FV7"/>
    <m/>
    <n v="3340.91"/>
    <m/>
    <m/>
    <m/>
    <n v="1650.28"/>
    <n v="4991.1899999999996"/>
    <n v="274.51544999999999"/>
    <n v="5265.7054499999995"/>
    <n v="5265.71"/>
    <s v="non"/>
    <m/>
    <m/>
    <s v="ADEME 2021"/>
    <s v="NC"/>
  </r>
  <r>
    <x v="2"/>
    <n v="9"/>
    <x v="3"/>
    <x v="1"/>
    <s v="EBL"/>
    <s v="VRB0259"/>
    <n v="600"/>
    <d v="2021-09-28T00:00:00"/>
    <d v="2021-09-28T00:00:00"/>
    <s v="-"/>
    <s v="-"/>
    <d v="2021-09-30T00:00:00"/>
    <d v="2021-09-30T00:00:00"/>
    <d v="2021-10-25T00:00:00"/>
    <m/>
    <d v="2021-11-25T00:00:00"/>
    <d v="2021-10-31T00:00:00"/>
    <s v="-"/>
    <d v="2021-12-09T00:00:00"/>
    <d v="2021-12-09T00:00:00"/>
    <d v="2021-12-10T00:00:00"/>
    <m/>
    <m/>
    <m/>
    <s v="CASCARO"/>
    <s v="Emmanuel"/>
    <n v="2"/>
    <n v="91645"/>
    <n v="2371"/>
    <s v="La Grande Route"/>
    <n v="38620"/>
    <x v="14"/>
    <n v="607033341"/>
    <s v="contact@kcf-alter.fr"/>
    <s v="PO"/>
    <m/>
    <m/>
    <s v="-"/>
    <s v="-"/>
    <s v="-"/>
    <s v="-"/>
    <x v="0"/>
    <x v="0"/>
    <s v="CARRE François"/>
    <s v="f.carre@carre-f.com"/>
    <s v="04 76 37 03 50"/>
    <s v="-"/>
    <s v="oui  "/>
    <d v="2021-11-17T00:00:00"/>
    <s v="poêle"/>
    <n v="1980"/>
    <x v="0"/>
    <x v="0"/>
    <s v="PALAZZETTI"/>
    <s v="ECOFIRE AURORA 9 US"/>
    <n v="8"/>
    <n v="9"/>
    <n v="90.5"/>
    <n v="3.0000000000000001E-3"/>
    <s v="FV7"/>
    <m/>
    <n v="3729"/>
    <m/>
    <m/>
    <m/>
    <n v="790"/>
    <n v="4519"/>
    <n v="248.54499999999999"/>
    <n v="4767.5450000000001"/>
    <n v="4767.54"/>
    <s v="oui"/>
    <m/>
    <m/>
    <s v="ADEME 2021"/>
    <s v="NC"/>
  </r>
  <r>
    <x v="2"/>
    <n v="10"/>
    <x v="3"/>
    <x v="1"/>
    <s v="EBL"/>
    <s v="VRB0260"/>
    <n v="600"/>
    <d v="2021-09-29T00:00:00"/>
    <d v="2021-09-30T00:00:00"/>
    <d v="2021-09-30T00:00:00"/>
    <s v="Manque adresse RIB + photo plan large (ok)"/>
    <d v="2021-10-07T00:00:00"/>
    <d v="2021-10-07T00:00:00"/>
    <d v="2021-10-25T00:00:00"/>
    <m/>
    <d v="2022-01-21T00:00:00"/>
    <d v="2022-01-11T00:00:00"/>
    <s v="-"/>
    <d v="2022-02-14T00:00:00"/>
    <d v="2022-02-14T00:00:00"/>
    <d v="2022-02-15T00:00:00"/>
    <m/>
    <m/>
    <m/>
    <s v="CATTIL"/>
    <s v="Geoffrey"/>
    <n v="2"/>
    <n v="52943"/>
    <n v="88"/>
    <s v="Rue du Janin"/>
    <n v="38850"/>
    <x v="24"/>
    <n v="624067839"/>
    <s v="geoffrey.cattil@hotmail.fr"/>
    <s v="PO"/>
    <m/>
    <m/>
    <s v="-"/>
    <s v="-"/>
    <s v="-"/>
    <s v="-"/>
    <x v="16"/>
    <x v="10"/>
    <s v="ALO"/>
    <s v="cheminees.jay@orange.fr"/>
    <n v="476500550"/>
    <s v="-"/>
    <s v="oui"/>
    <d v="2022-06-28T00:00:00"/>
    <s v="insert / foyer fermé"/>
    <s v="&lt;2002"/>
    <x v="0"/>
    <x v="0"/>
    <s v="TURBO FONTE"/>
    <s v="TAL"/>
    <n v="12"/>
    <n v="12"/>
    <n v="88.5"/>
    <n v="7.0000000000000001E-3"/>
    <s v="FV7"/>
    <m/>
    <n v="5364.5800000000008"/>
    <m/>
    <m/>
    <m/>
    <n v="900"/>
    <n v="6264.5800000000008"/>
    <n v="344.55190000000005"/>
    <n v="6609.1319000000012"/>
    <n v="6562.29"/>
    <s v="oui"/>
    <m/>
    <m/>
    <s v="ADEME 2021"/>
    <s v="NC"/>
  </r>
  <r>
    <x v="2"/>
    <n v="10"/>
    <x v="3"/>
    <x v="1"/>
    <s v="EBL"/>
    <s v="VRB0261"/>
    <n v="600"/>
    <d v="2021-09-29T00:00:00"/>
    <d v="2021-09-30T00:00:00"/>
    <d v="2021-09-30T00:00:00"/>
    <s v="Manque nom installateur (ok)"/>
    <d v="2021-10-07T00:00:00"/>
    <d v="2021-10-07T00:00:00"/>
    <d v="2021-10-25T00:00:00"/>
    <m/>
    <d v="2021-11-30T00:00:00"/>
    <d v="2021-10-27T00:00:00"/>
    <s v="-"/>
    <d v="2021-12-09T00:00:00"/>
    <d v="2021-12-09T00:00:00"/>
    <d v="2021-12-10T00:00:00"/>
    <m/>
    <m/>
    <m/>
    <s v="MATHIEU"/>
    <s v="Emilie "/>
    <n v="2"/>
    <n v="39586"/>
    <n v="20"/>
    <s v="Rue du 8 Mai 1945"/>
    <n v="38210"/>
    <x v="15"/>
    <n v="680158431"/>
    <s v="ae.demathieu@gmail.com"/>
    <s v="PO"/>
    <m/>
    <m/>
    <s v="-"/>
    <s v="-"/>
    <s v="-"/>
    <s v="-"/>
    <x v="12"/>
    <x v="8"/>
    <s v="AILLOUD Jérôme"/>
    <s v="sarlpab@orange.fr"/>
    <n v="437064566"/>
    <s v="-"/>
    <s v="oui"/>
    <d v="2022-03-13T00:00:00"/>
    <s v="insert / foyer fermé"/>
    <n v="1980"/>
    <x v="0"/>
    <x v="1"/>
    <s v="SUPRA"/>
    <s v="ALBAN"/>
    <n v="40"/>
    <n v="7"/>
    <n v="78"/>
    <n v="0.12"/>
    <s v="FV7"/>
    <m/>
    <n v="1205.7"/>
    <m/>
    <m/>
    <m/>
    <n v="799.01"/>
    <n v="2004.71"/>
    <n v="110.25905"/>
    <n v="2114.9690500000002"/>
    <n v="1880.93"/>
    <s v="non"/>
    <m/>
    <m/>
    <s v="ADEME 2021"/>
    <s v="NC"/>
  </r>
  <r>
    <x v="2"/>
    <n v="10"/>
    <x v="3"/>
    <x v="1"/>
    <s v="EBL"/>
    <s v="VRB0262"/>
    <n v="600"/>
    <d v="2021-09-30T00:00:00"/>
    <d v="2021-10-04T00:00:00"/>
    <s v="-"/>
    <s v="-"/>
    <d v="2021-10-07T00:00:00"/>
    <d v="2021-10-07T00:00:00"/>
    <d v="2021-10-25T00:00:00"/>
    <m/>
    <d v="2021-12-03T00:00:00"/>
    <d v="2021-10-27T00:00:00"/>
    <s v="-"/>
    <d v="2021-12-09T00:00:00"/>
    <d v="2021-12-09T00:00:00"/>
    <d v="2021-12-10T00:00:00"/>
    <m/>
    <m/>
    <m/>
    <s v="BOZONNIER"/>
    <s v="Anne&amp;Franck"/>
    <n v="4"/>
    <n v="52925"/>
    <n v="250"/>
    <s v="Chemin du Collomb"/>
    <n v="38730"/>
    <x v="5"/>
    <n v="688336899"/>
    <s v="anne.bozonnier@orange.fr"/>
    <s v="PO"/>
    <m/>
    <m/>
    <s v="-"/>
    <s v="-"/>
    <s v="-"/>
    <s v="-"/>
    <x v="2"/>
    <x v="2"/>
    <s v="DIDIER Jean-Christophe"/>
    <s v="jcduo@orange.fr"/>
    <n v="608287337"/>
    <s v="-"/>
    <s v="oui"/>
    <d v="2022-08-09T00:00:00"/>
    <s v="poêle"/>
    <s v="&lt;2002"/>
    <x v="0"/>
    <x v="0"/>
    <s v="MORETTI"/>
    <s v="GLOBE GLASS RELAX 6,5"/>
    <n v="22.8"/>
    <n v="6.5"/>
    <n v="93.1"/>
    <n v="8.0000000000000002E-3"/>
    <s v="registre"/>
    <m/>
    <n v="3707"/>
    <m/>
    <m/>
    <m/>
    <n v="400"/>
    <n v="4107"/>
    <n v="225.88499999999999"/>
    <n v="4332.8850000000002"/>
    <n v="4000"/>
    <s v="oui"/>
    <m/>
    <m/>
    <s v="ADEME 2021"/>
    <s v="NC"/>
  </r>
  <r>
    <x v="2"/>
    <n v="10"/>
    <x v="4"/>
    <x v="0"/>
    <s v="EBL"/>
    <s v="VRB0263"/>
    <n v="1000"/>
    <d v="2021-10-04T00:00:00"/>
    <d v="2021-10-05T00:00:00"/>
    <d v="2021-10-07T00:00:00"/>
    <s v="Manque photo (ok)"/>
    <d v="2021-10-12T00:00:00"/>
    <d v="2021-10-12T00:00:00"/>
    <d v="2021-10-29T00:00:00"/>
    <m/>
    <m/>
    <m/>
    <s v="relance facture fait le 28/09/2022"/>
    <m/>
    <m/>
    <m/>
    <m/>
    <d v="2023-01-04T00:00:00"/>
    <s v="dossier caduque (pas de mail envoyé)"/>
    <s v="VANZETTO"/>
    <s v="Danielle"/>
    <n v="1"/>
    <n v="15652"/>
    <n v="105"/>
    <s v="Chemin des Chubins"/>
    <n v="38730"/>
    <x v="5"/>
    <n v="786104222"/>
    <s v="vanzetto.danielle@gmail.com"/>
    <s v="PO"/>
    <m/>
    <m/>
    <s v="-"/>
    <s v="-"/>
    <s v="-"/>
    <s v="-"/>
    <x v="12"/>
    <x v="8"/>
    <s v="AILLOUD Jérôme"/>
    <s v="sarlpab@orange.fr"/>
    <n v="437064566"/>
    <s v="-"/>
    <s v="oui"/>
    <d v="2022-03-13T00:00:00"/>
    <s v="poêle"/>
    <n v="2000"/>
    <x v="0"/>
    <x v="1"/>
    <s v="INVICTA"/>
    <s v="FiFTY sur PIED"/>
    <n v="31"/>
    <n v="10"/>
    <n v="76"/>
    <n v="0.08"/>
    <s v="FV7"/>
    <m/>
    <n v="3485.8100000000004"/>
    <m/>
    <m/>
    <m/>
    <n v="1083.1300000000001"/>
    <n v="4568.9400000000005"/>
    <n v="251.29170000000002"/>
    <n v="4820.2317000000003"/>
    <n v="4568.9399999999996"/>
    <s v="oui"/>
    <m/>
    <m/>
    <n v="0"/>
    <s v="NC"/>
  </r>
  <r>
    <x v="2"/>
    <n v="10"/>
    <x v="3"/>
    <x v="2"/>
    <s v="EBL"/>
    <s v="VRB0264"/>
    <n v="1000"/>
    <d v="2021-10-07T00:00:00"/>
    <d v="2021-10-07T00:00:00"/>
    <s v="-"/>
    <s v="-"/>
    <d v="2021-10-12T00:00:00"/>
    <d v="2021-10-12T00:00:00"/>
    <d v="2021-11-03T00:00:00"/>
    <m/>
    <d v="2021-12-22T00:00:00"/>
    <d v="2021-12-11T00:00:00"/>
    <s v="-"/>
    <d v="2021-12-23T00:00:00"/>
    <d v="2021-12-23T00:00:00"/>
    <d v="2021-12-23T00:00:00"/>
    <m/>
    <m/>
    <m/>
    <s v="BOLUSSET"/>
    <s v="Celine"/>
    <n v="3"/>
    <n v="31145"/>
    <n v="635"/>
    <s v="Route du Sabot"/>
    <n v="38210"/>
    <x v="3"/>
    <n v="635228677"/>
    <s v="celine@yaelle.com"/>
    <s v="PO"/>
    <m/>
    <m/>
    <s v="-"/>
    <s v="-"/>
    <s v="-"/>
    <s v="-"/>
    <x v="6"/>
    <x v="6"/>
    <s v="FAURE Jacques"/>
    <s v="jacques.faure24@wanadoo.fr"/>
    <n v="476355605"/>
    <s v="-"/>
    <s v="oui"/>
    <d v="2021-10-26T00:00:00"/>
    <s v="insert / foyer fermé"/>
    <s v="&lt;1990"/>
    <x v="2"/>
    <x v="1"/>
    <s v="FONTE FLAMME"/>
    <s v="VISION 775-10K"/>
    <n v="23"/>
    <n v="10"/>
    <n v="78"/>
    <n v="7.0000000000000007E-2"/>
    <s v="FV7"/>
    <m/>
    <n v="4861"/>
    <m/>
    <m/>
    <m/>
    <n v="1680.38"/>
    <n v="6541.38"/>
    <n v="359.77590000000004"/>
    <n v="6901.1558999999997"/>
    <n v="6901.16"/>
    <s v="non"/>
    <m/>
    <m/>
    <s v="ADEME 2021"/>
    <s v="NC"/>
  </r>
  <r>
    <x v="2"/>
    <n v="10"/>
    <x v="3"/>
    <x v="1"/>
    <s v="EBL"/>
    <s v="VRB0265"/>
    <n v="600"/>
    <d v="2021-10-07T00:00:00"/>
    <d v="2021-10-07T00:00:00"/>
    <s v="-"/>
    <s v="-"/>
    <d v="2021-10-12T00:00:00"/>
    <d v="2021-10-12T00:00:00"/>
    <d v="2021-11-03T00:00:00"/>
    <m/>
    <d v="2021-12-21T00:00:00"/>
    <d v="2021-12-02T00:00:00"/>
    <s v="-"/>
    <d v="2021-12-23T00:00:00"/>
    <d v="2021-12-23T00:00:00"/>
    <d v="2021-12-23T00:00:00"/>
    <m/>
    <m/>
    <m/>
    <s v="BLEUREAU"/>
    <s v="Aline"/>
    <n v="2"/>
    <n v="35390"/>
    <n v="11"/>
    <s v="Chemin le Neme"/>
    <n v="38210"/>
    <x v="15"/>
    <n v="683089108"/>
    <s v="a.bleureau@gmail.com"/>
    <s v="PO"/>
    <m/>
    <m/>
    <s v="-"/>
    <s v="-"/>
    <s v="-"/>
    <s v="-"/>
    <x v="7"/>
    <x v="1"/>
    <s v="PIERRE Emmanuel"/>
    <s v="voiron@techni-nature.com"/>
    <n v="951096343"/>
    <s v="-"/>
    <s v="oui"/>
    <d v="2022-08-25T00:00:00"/>
    <s v="insert / foyer fermé"/>
    <n v="1993"/>
    <x v="0"/>
    <x v="0"/>
    <s v="INOVALP"/>
    <s v="HOBEN H7"/>
    <n v="20"/>
    <n v="8.3000000000000007"/>
    <n v="87"/>
    <n v="1.7999999999999999E-2"/>
    <s v="registre"/>
    <m/>
    <n v="6421.35"/>
    <m/>
    <m/>
    <m/>
    <n v="630"/>
    <n v="7051.35"/>
    <n v="387.82425000000001"/>
    <n v="7439.17425"/>
    <n v="7100"/>
    <s v="oui"/>
    <m/>
    <m/>
    <s v="ADEME 2021"/>
    <s v="NC"/>
  </r>
  <r>
    <x v="3"/>
    <n v="1"/>
    <x v="4"/>
    <x v="0"/>
    <s v="EBL"/>
    <s v="VRB0266"/>
    <s v="1000?"/>
    <d v="2021-10-08T00:00:00"/>
    <d v="2021-10-08T00:00:00"/>
    <d v="2021-10-12T00:00:00"/>
    <s v="Manque AI 2021 + Adresse RIB"/>
    <m/>
    <m/>
    <m/>
    <m/>
    <m/>
    <m/>
    <m/>
    <m/>
    <m/>
    <m/>
    <m/>
    <d v="2023-01-04T00:00:00"/>
    <s v="Dossier incomplet depuis plus de 6 mois"/>
    <s v="PABIOU&amp;CROZE"/>
    <s v="Laurie&amp;Colin"/>
    <n v="2"/>
    <n v="27034"/>
    <n v="284"/>
    <s v="Route des Soyeux"/>
    <n v="38620"/>
    <x v="0"/>
    <n v="789564956"/>
    <s v="laurie.38@live.fr"/>
    <s v="PO"/>
    <m/>
    <m/>
    <s v="-"/>
    <s v="-"/>
    <s v="-"/>
    <s v="-"/>
    <x v="5"/>
    <x v="5"/>
    <s v="HAMAIN Jérémie"/>
    <s v="godin-grenoble@orange.fr"/>
    <n v="438021901"/>
    <s v="-"/>
    <s v="oui"/>
    <d v="2022-03-21T00:00:00"/>
    <s v="insert / foyer fermé"/>
    <n v="1980"/>
    <x v="0"/>
    <x v="1"/>
    <s v="GODIN"/>
    <s v="BRIMONT"/>
    <n v="20"/>
    <n v="8.5"/>
    <n v="75"/>
    <n v="0.02"/>
    <s v="FV7"/>
    <m/>
    <n v="6828"/>
    <m/>
    <m/>
    <m/>
    <n v="1182"/>
    <n v="8010"/>
    <n v="440.55"/>
    <n v="8450.5499999999993"/>
    <n v="7135"/>
    <s v="oui"/>
    <m/>
    <m/>
    <n v="0"/>
    <s v="NC"/>
  </r>
  <r>
    <x v="2"/>
    <n v="10"/>
    <x v="3"/>
    <x v="1"/>
    <s v="EBL"/>
    <s v="VRB0267"/>
    <n v="600"/>
    <d v="2021-10-12T00:00:00"/>
    <d v="2021-10-12T00:00:00"/>
    <s v="-"/>
    <s v="-"/>
    <d v="2021-10-12T00:00:00"/>
    <d v="2021-10-12T00:00:00"/>
    <d v="2021-11-03T00:00:00"/>
    <m/>
    <d v="2022-02-09T00:00:00"/>
    <d v="2022-01-10T00:00:00"/>
    <s v="-"/>
    <d v="2022-02-14T00:00:00"/>
    <d v="2022-02-14T00:00:00"/>
    <d v="2022-02-15T00:00:00"/>
    <m/>
    <m/>
    <m/>
    <s v="LAUPIN-VILLEMUS"/>
    <s v="Guillaume&amp;Julie"/>
    <n v="4"/>
    <n v="39493"/>
    <n v="476"/>
    <s v="Rue de Buisson Rond"/>
    <n v="38730"/>
    <x v="19"/>
    <n v="645600893"/>
    <s v="guillaume.laupin@gmail.com"/>
    <s v="PO"/>
    <m/>
    <m/>
    <s v="-"/>
    <s v="-"/>
    <s v="-"/>
    <s v="-"/>
    <x v="39"/>
    <x v="30"/>
    <s v="BARGEL Jonathan"/>
    <s v="contact@philippeisere.fr"/>
    <n v="476663386"/>
    <s v="-"/>
    <s v="oui"/>
    <d v="2022-06-19T00:00:00"/>
    <s v="insert / foyer fermé"/>
    <n v="1989"/>
    <x v="2"/>
    <x v="1"/>
    <s v="CHEMINEE PHILIPPE"/>
    <s v="600-6"/>
    <n v="24"/>
    <n v="13.2"/>
    <n v="75.900000000000006"/>
    <n v="0.09"/>
    <s v="FV7"/>
    <m/>
    <n v="4280.41"/>
    <m/>
    <m/>
    <m/>
    <n v="600"/>
    <n v="4880.41"/>
    <n v="268.42255"/>
    <n v="5148.8325500000001"/>
    <n v="4500"/>
    <s v="oui"/>
    <m/>
    <m/>
    <s v="ADEME 2021"/>
    <s v="NC"/>
  </r>
  <r>
    <x v="2"/>
    <n v="10"/>
    <x v="4"/>
    <x v="0"/>
    <s v="EBL"/>
    <s v="VRB0268"/>
    <n v="1000"/>
    <d v="2021-10-13T00:00:00"/>
    <d v="2021-10-14T00:00:00"/>
    <s v="-"/>
    <s v="-"/>
    <d v="2021-10-22T00:00:00"/>
    <d v="2021-10-22T00:00:00"/>
    <d v="2021-10-26T00:00:00"/>
    <m/>
    <m/>
    <m/>
    <s v="relance facture fait le 28/09/2022"/>
    <m/>
    <m/>
    <m/>
    <m/>
    <d v="2023-01-04T00:00:00"/>
    <s v="dossier caduque (pas de mail envoyé)"/>
    <s v="MONANGE"/>
    <s v="Virginie"/>
    <n v="3"/>
    <n v="27726"/>
    <n v="355"/>
    <s v="Montée de la Madone"/>
    <n v="38730"/>
    <x v="5"/>
    <n v="651304664"/>
    <s v="virmona@hotmail.fr"/>
    <s v="PO"/>
    <m/>
    <m/>
    <s v="-"/>
    <s v="-"/>
    <s v="-"/>
    <s v="-"/>
    <x v="9"/>
    <x v="3"/>
    <s v="DURANTON Patrick"/>
    <s v="patrickduranton@passionflamme.fr"/>
    <n v="474432868"/>
    <s v="-"/>
    <s v="oui"/>
    <d v="2021-11-14T00:00:00"/>
    <s v="foyer ouvert"/>
    <n v="1968"/>
    <x v="0"/>
    <x v="1"/>
    <s v="DOVRE"/>
    <s v="BOW WB"/>
    <n v="36"/>
    <n v="9"/>
    <n v="79"/>
    <n v="0.09"/>
    <s v="FV7"/>
    <m/>
    <n v="3480.9400000000005"/>
    <m/>
    <m/>
    <m/>
    <n v="1255"/>
    <n v="4735.9400000000005"/>
    <n v="260.47670000000005"/>
    <n v="4996.4167000000007"/>
    <n v="4996.42"/>
    <s v="oui"/>
    <m/>
    <m/>
    <n v="0"/>
    <s v="NC"/>
  </r>
  <r>
    <x v="2"/>
    <n v="10"/>
    <x v="3"/>
    <x v="1"/>
    <s v="EBL"/>
    <s v="VRB0269"/>
    <n v="600"/>
    <d v="2021-10-13T00:00:00"/>
    <d v="2021-10-14T00:00:00"/>
    <s v="-"/>
    <s v="-"/>
    <d v="2021-10-22T00:00:00"/>
    <d v="2021-10-22T00:00:00"/>
    <d v="2021-10-26T00:00:00"/>
    <m/>
    <d v="2021-12-06T00:00:00"/>
    <d v="2021-11-30T00:00:00"/>
    <s v="-"/>
    <d v="2021-12-09T00:00:00"/>
    <d v="2021-12-09T00:00:00"/>
    <d v="2021-12-10T00:00:00"/>
    <m/>
    <m/>
    <m/>
    <s v="BERTHE"/>
    <s v="Jean-Claude"/>
    <n v="2"/>
    <n v="53016"/>
    <n v="37"/>
    <s v="Allée du Tissarand"/>
    <n v="38340"/>
    <x v="17"/>
    <n v="607066765"/>
    <s v="j.berthe41@free.fr"/>
    <s v="PO"/>
    <m/>
    <m/>
    <s v="-"/>
    <s v="-"/>
    <s v="-"/>
    <s v="-"/>
    <x v="5"/>
    <x v="5"/>
    <s v="HAMAIN Jérémie"/>
    <s v="godin-grenoble@orange.fr"/>
    <n v="438021901"/>
    <s v="-"/>
    <s v="oui"/>
    <d v="2022-03-21T00:00:00"/>
    <s v="foyer ouvert"/>
    <s v="&lt;1990"/>
    <x v="2"/>
    <x v="1"/>
    <s v="GODIN"/>
    <s v="SUPERCHAUFF 6"/>
    <n v="24"/>
    <n v="13.2"/>
    <n v="76"/>
    <n v="0.09"/>
    <s v="FV7"/>
    <m/>
    <n v="5072"/>
    <m/>
    <m/>
    <m/>
    <n v="1200"/>
    <n v="6272"/>
    <n v="344.96"/>
    <n v="6616.96"/>
    <n v="6200"/>
    <s v="oui"/>
    <m/>
    <m/>
    <s v="ADEME 2021"/>
    <s v="NC"/>
  </r>
  <r>
    <x v="2"/>
    <n v="10"/>
    <x v="3"/>
    <x v="1"/>
    <s v="EBL"/>
    <s v="VRB0270"/>
    <n v="600"/>
    <d v="2021-10-13T00:00:00"/>
    <d v="2021-10-14T00:00:00"/>
    <s v="-"/>
    <s v="-"/>
    <d v="2021-10-22T00:00:00"/>
    <d v="2021-10-22T00:00:00"/>
    <d v="2021-10-26T00:00:00"/>
    <m/>
    <d v="2022-07-01T00:00:00"/>
    <d v="2022-05-20T00:00:00"/>
    <s v="-"/>
    <d v="2022-07-27T00:00:00"/>
    <d v="2022-07-27T00:00:00"/>
    <d v="2022-07-28T00:00:00"/>
    <m/>
    <m/>
    <m/>
    <s v="FUMAGALLI"/>
    <s v="Alice"/>
    <n v="4"/>
    <n v="46366"/>
    <n v="52"/>
    <s v="Rue de la Caserne"/>
    <n v="38850"/>
    <x v="5"/>
    <n v="679803954"/>
    <s v="alice.fumagalli38@gmail.com"/>
    <s v="PO"/>
    <m/>
    <m/>
    <s v="-"/>
    <s v="-"/>
    <s v="-"/>
    <s v="-"/>
    <x v="1"/>
    <x v="1"/>
    <s v="LIBER Jean-Christophe"/>
    <s v="jlc.services@orange.fr"/>
    <s v="04 76 07 14 61"/>
    <s v="-"/>
    <s v="oui"/>
    <d v="2021-11-03T00:00:00"/>
    <s v="foyer ouvert"/>
    <s v="&lt;2002"/>
    <x v="0"/>
    <x v="1"/>
    <s v="DICK GEURTS par FONTE FLAMME"/>
    <s v="IVAR 8"/>
    <n v="34"/>
    <n v="7.3"/>
    <n v="76.599999999999994"/>
    <n v="0.04"/>
    <s v="FV7"/>
    <m/>
    <n v="3277.7799999999997"/>
    <m/>
    <m/>
    <m/>
    <n v="420"/>
    <n v="3697.7799999999997"/>
    <n v="203.37789999999998"/>
    <n v="3901.1578999999997"/>
    <n v="3901.16"/>
    <s v="oui"/>
    <m/>
    <m/>
    <s v="ADEME 2021"/>
    <s v="NC"/>
  </r>
  <r>
    <x v="4"/>
    <n v="2"/>
    <x v="3"/>
    <x v="1"/>
    <s v="EBL"/>
    <s v="VRB0271"/>
    <n v="600"/>
    <d v="2021-10-15T00:00:00"/>
    <d v="2021-10-15T00:00:00"/>
    <d v="2021-10-22T00:00:00"/>
    <s v="Manque adresse RIB+photo en plan large (la photo ok, pas le rib). Ok le 24/01/22"/>
    <d v="2022-02-09T00:00:00"/>
    <d v="2022-02-09T00:00:00"/>
    <d v="2022-02-14T00:00:00"/>
    <m/>
    <d v="2022-06-01T00:00:00"/>
    <d v="2022-04-06T00:00:00"/>
    <s v="-"/>
    <d v="2022-07-26T00:00:00"/>
    <d v="2022-07-26T00:00:00"/>
    <d v="2022-07-27T00:00:00"/>
    <m/>
    <m/>
    <m/>
    <s v="ROBAT"/>
    <s v="Jean-Christophe"/>
    <n v="2"/>
    <n v="64838"/>
    <n v="410"/>
    <s v="Route de Cerveloup"/>
    <n v="38210"/>
    <x v="3"/>
    <n v="612232834"/>
    <s v="celine.robat@gmail.com"/>
    <s v="PO"/>
    <m/>
    <m/>
    <s v="-"/>
    <s v="-"/>
    <s v="-"/>
    <s v="-"/>
    <x v="16"/>
    <x v="10"/>
    <s v="ALO"/>
    <s v="cheminees.jay@orange.fr"/>
    <n v="476500550"/>
    <s v="-"/>
    <s v="oui"/>
    <d v="2022-06-28T00:00:00"/>
    <s v="foyer ouvert"/>
    <s v="&lt;1990"/>
    <x v="2"/>
    <x v="1"/>
    <s v="TURBO FONTE"/>
    <s v="ELISEO 700 EFFICIENS I"/>
    <n v="30"/>
    <n v="13"/>
    <n v="84"/>
    <n v="0.04"/>
    <s v="FV7"/>
    <m/>
    <n v="5252.0899999999992"/>
    <m/>
    <m/>
    <m/>
    <n v="1900"/>
    <n v="7152.0899999999992"/>
    <n v="393.36494999999996"/>
    <n v="7545.4549499999994"/>
    <n v="7096.73"/>
    <s v="non"/>
    <m/>
    <m/>
    <s v="ADEME 2022"/>
    <s v="Facturation AGEDEN 2022"/>
  </r>
  <r>
    <x v="2"/>
    <n v="10"/>
    <x v="3"/>
    <x v="1"/>
    <s v="EBL"/>
    <s v="VRB0272"/>
    <n v="600"/>
    <d v="2021-10-15T00:00:00"/>
    <d v="2021-10-18T00:00:00"/>
    <s v="-"/>
    <s v="-"/>
    <d v="2021-10-22T00:00:00"/>
    <d v="2021-10-22T00:00:00"/>
    <d v="2021-10-26T00:00:00"/>
    <m/>
    <d v="2022-02-02T00:00:00"/>
    <d v="2022-01-07T00:00:00"/>
    <s v="-"/>
    <d v="2022-02-14T00:00:00"/>
    <d v="2022-02-14T00:00:00"/>
    <d v="2022-02-15T00:00:00"/>
    <m/>
    <m/>
    <m/>
    <s v="PERRIN-CAILLE"/>
    <s v="Gilles"/>
    <n v="2"/>
    <n v="34973"/>
    <n v="308"/>
    <s v="Chemin du Mollard"/>
    <n v="38620"/>
    <x v="34"/>
    <n v="630602447"/>
    <s v="gilles.perrin-caille@orange.fr"/>
    <s v="PO"/>
    <m/>
    <m/>
    <s v="-"/>
    <s v="-"/>
    <s v="-"/>
    <s v="-"/>
    <x v="9"/>
    <x v="3"/>
    <s v="DURANTON Patrick"/>
    <s v="patrickduranton@passionflamme.fr"/>
    <n v="474432868"/>
    <s v="-"/>
    <s v="oui"/>
    <d v="2021-11-14T00:00:00"/>
    <s v="poêle"/>
    <n v="1975"/>
    <x v="0"/>
    <x v="1"/>
    <s v="DOVRE"/>
    <s v="BOW WB"/>
    <n v="36"/>
    <n v="9"/>
    <n v="79"/>
    <n v="0.09"/>
    <s v="FV7"/>
    <m/>
    <n v="3472.1400000000003"/>
    <m/>
    <m/>
    <m/>
    <n v="750"/>
    <n v="4222.1400000000003"/>
    <n v="232.21770000000001"/>
    <n v="4454.3577000000005"/>
    <n v="4454.3599999999997"/>
    <s v="oui"/>
    <m/>
    <m/>
    <s v="ADEME 2021"/>
    <s v="NC"/>
  </r>
  <r>
    <x v="2"/>
    <n v="10"/>
    <x v="3"/>
    <x v="1"/>
    <s v="EBL"/>
    <s v="VRB0273"/>
    <n v="600"/>
    <d v="2021-10-15T00:00:00"/>
    <d v="2021-10-18T00:00:00"/>
    <d v="2021-10-22T00:00:00"/>
    <s v="Manque adresse RIB (ok)"/>
    <d v="2021-10-28T00:00:00"/>
    <d v="2021-10-28T00:00:00"/>
    <d v="2021-11-03T00:00:00"/>
    <m/>
    <d v="2022-01-21T00:00:00"/>
    <d v="2022-01-13T00:00:00"/>
    <s v="-"/>
    <d v="2022-02-14T00:00:00"/>
    <d v="2022-02-14T00:00:00"/>
    <d v="2022-02-15T00:00:00"/>
    <m/>
    <m/>
    <m/>
    <s v="SNAIDERO"/>
    <s v="Edouard"/>
    <n v="2"/>
    <n v="49200"/>
    <n v="20"/>
    <s v="Chemin du Ronjon"/>
    <n v="38960"/>
    <x v="22"/>
    <n v="682518916"/>
    <s v="snaidero.edouard@orange.fr"/>
    <s v="PO"/>
    <m/>
    <m/>
    <s v="-"/>
    <s v="-"/>
    <s v="-"/>
    <s v="-"/>
    <x v="14"/>
    <x v="1"/>
    <s v="SIMON Frédéric"/>
    <s v="contact@ecvoiron.fr"/>
    <n v="476069938"/>
    <s v="-"/>
    <s v="oui"/>
    <d v="2022-09-18T00:00:00"/>
    <s v="foyer ouvert"/>
    <n v="1980"/>
    <x v="0"/>
    <x v="1"/>
    <s v="ROMOTOP"/>
    <s v="LAREDO F"/>
    <n v="35"/>
    <n v="5.9"/>
    <n v="80.2"/>
    <n v="0.09"/>
    <s v="FV7"/>
    <m/>
    <n v="6039"/>
    <m/>
    <m/>
    <m/>
    <n v="750"/>
    <n v="6789"/>
    <n v="373.39499999999998"/>
    <n v="7162.3950000000004"/>
    <n v="7162.45"/>
    <s v="non"/>
    <m/>
    <m/>
    <s v="ADEME 2021"/>
    <s v="NC"/>
  </r>
  <r>
    <x v="2"/>
    <n v="10"/>
    <x v="3"/>
    <x v="1"/>
    <s v="EBL"/>
    <s v="VRB0274"/>
    <n v="600"/>
    <d v="2021-10-20T00:00:00"/>
    <d v="2021-10-21T00:00:00"/>
    <s v="-"/>
    <s v="-"/>
    <d v="2021-10-22T00:00:00"/>
    <d v="2021-10-22T00:00:00"/>
    <d v="2021-10-26T00:00:00"/>
    <m/>
    <d v="2022-11-28T00:00:00"/>
    <d v="2022-11-24T00:00:00"/>
    <s v="relance facture fait le 28/09/2022/ eu au tél 12/10 attend la réponse de son installateur /"/>
    <d v="2022-12-20T00:00:00"/>
    <d v="2022-12-20T00:00:00"/>
    <d v="2023-01-06T00:00:00"/>
    <m/>
    <m/>
    <m/>
    <s v="LECQ"/>
    <s v="Sebastien"/>
    <n v="2"/>
    <n v="48212"/>
    <n v="60"/>
    <s v="Impasse des Glycines"/>
    <n v="38850"/>
    <x v="9"/>
    <n v="673852872"/>
    <s v="sebbea38850@gmail.com"/>
    <s v="PO"/>
    <m/>
    <m/>
    <s v="-"/>
    <s v="-"/>
    <s v="-"/>
    <s v="-"/>
    <x v="42"/>
    <x v="1"/>
    <s v="CHARAT Jean-Pierre"/>
    <s v="contactprojet@orange.fr"/>
    <n v="685231565"/>
    <s v="-"/>
    <s v="oui"/>
    <d v="2022-03-21T00:00:00"/>
    <s v="poêle"/>
    <s v="&lt;2002"/>
    <x v="0"/>
    <x v="1"/>
    <s v="GODIN"/>
    <s v="BECOUR"/>
    <n v="31"/>
    <n v="10"/>
    <n v="78.099999999999994"/>
    <n v="0.08"/>
    <s v="FV7"/>
    <m/>
    <n v="3597"/>
    <m/>
    <m/>
    <m/>
    <n v="450"/>
    <n v="4047"/>
    <n v="222.58500000000001"/>
    <n v="4269.585"/>
    <n v="4000.56"/>
    <s v="oui"/>
    <m/>
    <m/>
    <s v="ADEME 2021"/>
    <s v="NC"/>
  </r>
  <r>
    <x v="2"/>
    <n v="10"/>
    <x v="3"/>
    <x v="1"/>
    <s v="EBL"/>
    <s v="VRB0275"/>
    <n v="600"/>
    <d v="2021-10-20T00:00:00"/>
    <d v="2021-10-21T00:00:00"/>
    <s v="-"/>
    <s v="-"/>
    <d v="2021-10-22T00:00:00"/>
    <d v="2021-10-22T00:00:00"/>
    <d v="2021-10-26T00:00:00"/>
    <m/>
    <d v="2022-01-21T00:00:00"/>
    <d v="2022-01-19T00:00:00"/>
    <s v="-"/>
    <d v="2022-02-02T00:00:00"/>
    <d v="2022-02-03T00:00:00"/>
    <d v="2022-02-08T00:00:00"/>
    <m/>
    <m/>
    <m/>
    <s v="HUGUES"/>
    <s v="Lionel"/>
    <n v="2"/>
    <n v="54687"/>
    <n v="654"/>
    <s v="Rue des Martyrs"/>
    <n v="38340"/>
    <x v="17"/>
    <n v="687029751"/>
    <s v="liosan.hugues@free.fr"/>
    <s v="PO"/>
    <m/>
    <m/>
    <s v="-"/>
    <s v="-"/>
    <s v="-"/>
    <s v="-"/>
    <x v="11"/>
    <x v="2"/>
    <s v="GRATIER Pascal"/>
    <s v="grenoble@hase-boutique.fr"/>
    <n v="476452433"/>
    <s v="-"/>
    <s v="oui"/>
    <d v="2022-02-28T00:00:00"/>
    <s v="cuisinière"/>
    <s v="&lt;1990"/>
    <x v="1"/>
    <x v="1"/>
    <s v="THERMOROSSI"/>
    <s v="POP8"/>
    <n v="14.4"/>
    <n v="8.25"/>
    <n v="92"/>
    <n v="4.0000000000000001E-3"/>
    <s v="registre"/>
    <m/>
    <n v="5419.45"/>
    <m/>
    <m/>
    <m/>
    <n v="885"/>
    <n v="6304.45"/>
    <n v="346.74475000000001"/>
    <n v="6651.1947499999997"/>
    <n v="6651.19"/>
    <s v="non"/>
    <m/>
    <m/>
    <s v="ADEME 2021"/>
    <s v="NC"/>
  </r>
  <r>
    <x v="2"/>
    <n v="10"/>
    <x v="3"/>
    <x v="1"/>
    <s v="EBL"/>
    <s v="VRB0276"/>
    <n v="600"/>
    <d v="2021-10-20T00:00:00"/>
    <d v="2021-10-21T00:00:00"/>
    <d v="2021-10-22T00:00:00"/>
    <s v="Manque adresse RIB + devis (ok)"/>
    <d v="2021-10-28T00:00:00"/>
    <d v="2021-10-28T00:00:00"/>
    <d v="2021-11-03T00:00:00"/>
    <m/>
    <d v="2022-03-31T00:00:00"/>
    <d v="2022-02-28T00:00:00"/>
    <m/>
    <d v="2022-04-07T00:00:00"/>
    <d v="2022-04-07T00:00:00"/>
    <d v="2022-04-11T00:00:00"/>
    <m/>
    <m/>
    <m/>
    <s v="BLOT"/>
    <s v="David"/>
    <n v="4"/>
    <n v="59347"/>
    <n v="48"/>
    <s v="Route de Bilieu"/>
    <n v="38620"/>
    <x v="16"/>
    <n v="675544208"/>
    <s v="tmidblot@gmail.com"/>
    <s v="PO"/>
    <m/>
    <m/>
    <s v="-"/>
    <s v="-"/>
    <s v="-"/>
    <s v="-"/>
    <x v="39"/>
    <x v="30"/>
    <s v="BARGEL Jonathan"/>
    <s v="contact@philippeisere.fr"/>
    <n v="476663386"/>
    <s v="-"/>
    <s v="oui"/>
    <d v="2022-06-19T00:00:00"/>
    <s v="poêle"/>
    <n v="2000"/>
    <x v="2"/>
    <x v="1"/>
    <s v="CHEMINEE PHILIPPE"/>
    <s v="877 2V 2"/>
    <n v="10"/>
    <n v="15.5"/>
    <n v="77.400000000000006"/>
    <n v="7.0000000000000007E-2"/>
    <s v="FV7"/>
    <m/>
    <n v="6359"/>
    <m/>
    <m/>
    <m/>
    <n v="650"/>
    <n v="7009"/>
    <n v="385.495"/>
    <n v="7394.4949999999999"/>
    <n v="5223"/>
    <s v="oui"/>
    <m/>
    <m/>
    <s v="ADEME 2021"/>
    <s v="NC"/>
  </r>
  <r>
    <x v="2"/>
    <n v="10"/>
    <x v="3"/>
    <x v="2"/>
    <s v="EBL"/>
    <s v="VRB0277"/>
    <n v="1000"/>
    <d v="2021-10-20T00:00:00"/>
    <d v="2021-10-21T00:00:00"/>
    <s v="-"/>
    <s v="-"/>
    <d v="2021-10-22T00:00:00"/>
    <d v="2021-10-22T00:00:00"/>
    <d v="2021-10-26T00:00:00"/>
    <m/>
    <d v="2022-02-10T00:00:00"/>
    <d v="2021-12-03T00:00:00"/>
    <s v="-"/>
    <d v="2022-02-14T00:00:00"/>
    <d v="2022-02-14T00:00:00"/>
    <d v="2022-02-15T00:00:00"/>
    <m/>
    <m/>
    <m/>
    <s v="VANGHELUWE"/>
    <s v="Kathy"/>
    <n v="1"/>
    <n v="9686"/>
    <n v="34"/>
    <s v="Route de Montferrat"/>
    <n v="38620"/>
    <x v="34"/>
    <n v="625146515"/>
    <s v="kathyvangheluwe.kv@gmail.com"/>
    <s v="PO"/>
    <m/>
    <m/>
    <s v="-"/>
    <s v="-"/>
    <s v="-"/>
    <s v="-"/>
    <x v="39"/>
    <x v="30"/>
    <s v="BARGEL Jonathan"/>
    <s v="contact@philippeisere.fr"/>
    <n v="476663386"/>
    <s v="-"/>
    <s v="oui"/>
    <d v="2022-06-19T00:00:00"/>
    <s v="poêle"/>
    <n v="1999"/>
    <x v="0"/>
    <x v="1"/>
    <s v="CHEMINEE PHILIPPE"/>
    <s v="CLISSON"/>
    <n v="29"/>
    <n v="8"/>
    <n v="77"/>
    <n v="0.05"/>
    <s v="FV7"/>
    <m/>
    <n v="3254.9800000000005"/>
    <m/>
    <m/>
    <m/>
    <n v="600"/>
    <n v="3854.9800000000005"/>
    <n v="212.02390000000003"/>
    <n v="4067.0039000000006"/>
    <n v="4067"/>
    <s v="oui"/>
    <m/>
    <m/>
    <s v="ADEME 2021"/>
    <s v="NC"/>
  </r>
  <r>
    <x v="2"/>
    <n v="11"/>
    <x v="3"/>
    <x v="1"/>
    <s v="EBL"/>
    <s v="VRB0278"/>
    <n v="600"/>
    <d v="2021-10-22T00:00:00"/>
    <d v="2021-10-25T00:00:00"/>
    <d v="2021-10-28T00:00:00"/>
    <s v="Manque dernière page TF+appareil non FV7"/>
    <d v="2021-11-12T00:00:00"/>
    <d v="2021-11-12T00:00:00"/>
    <d v="2021-11-19T00:00:00"/>
    <m/>
    <d v="2022-01-13T00:00:00"/>
    <d v="2021-11-30T00:00:00"/>
    <s v="-"/>
    <d v="2022-01-19T00:00:00"/>
    <d v="2022-01-19T00:00:00"/>
    <d v="2022-01-20T00:00:00"/>
    <m/>
    <m/>
    <m/>
    <s v="TROUTOT"/>
    <s v="Philippe"/>
    <n v="2"/>
    <n v="65816"/>
    <n v="670"/>
    <s v="Chemin de Malossane"/>
    <n v="38340"/>
    <x v="17"/>
    <n v="624874689"/>
    <s v="pht69004@gmail.com"/>
    <s v="PO"/>
    <m/>
    <m/>
    <s v="-"/>
    <s v="-"/>
    <s v="-"/>
    <s v="-"/>
    <x v="2"/>
    <x v="2"/>
    <s v="DIDIER Jean-Christophe"/>
    <s v="jcduo@orange.fr"/>
    <n v="608287337"/>
    <s v="-"/>
    <s v="oui"/>
    <d v="2021-08-09T00:00:00"/>
    <s v="insert / foyer fermé"/>
    <s v="&lt;2002"/>
    <x v="0"/>
    <x v="1"/>
    <s v="MAX BLANK"/>
    <s v="KE2-S2"/>
    <n v="30.5"/>
    <n v="6.5"/>
    <n v="83.3"/>
    <n v="8.5000000000000006E-2"/>
    <s v="registre"/>
    <m/>
    <n v="4326"/>
    <m/>
    <m/>
    <m/>
    <n v="650"/>
    <n v="4976"/>
    <n v="273.68"/>
    <n v="5249.68"/>
    <n v="6000"/>
    <s v="non"/>
    <m/>
    <m/>
    <s v="ADEME 2021"/>
    <s v="NC"/>
  </r>
  <r>
    <x v="2"/>
    <n v="10"/>
    <x v="3"/>
    <x v="1"/>
    <s v="EBL"/>
    <s v="VRB0279"/>
    <n v="600"/>
    <d v="2021-10-25T00:00:00"/>
    <d v="2021-10-26T00:00:00"/>
    <s v="-"/>
    <s v="-"/>
    <d v="2021-10-28T00:00:00"/>
    <d v="2021-10-28T00:00:00"/>
    <d v="2022-02-14T00:00:00"/>
    <m/>
    <d v="2022-05-02T00:00:00"/>
    <d v="2022-04-19T00:00:00"/>
    <m/>
    <d v="2022-05-04T00:00:00"/>
    <d v="2022-05-04T00:00:00"/>
    <d v="2022-05-06T00:00:00"/>
    <m/>
    <m/>
    <m/>
    <s v="LANCON"/>
    <s v="Jean-Paul"/>
    <n v="2"/>
    <n v="30719"/>
    <n v="203"/>
    <s v="Chemin du Mas Clermont"/>
    <n v="38500"/>
    <x v="13"/>
    <n v="679536208"/>
    <s v="lancon.christiane@orange.fr"/>
    <s v="PO"/>
    <m/>
    <m/>
    <s v="-"/>
    <s v="-"/>
    <s v="-"/>
    <s v="-"/>
    <x v="9"/>
    <x v="3"/>
    <s v="DURANTON Patrick"/>
    <s v="patrickduranton@passionflamme.fr"/>
    <n v="474432868"/>
    <s v="-"/>
    <s v="oui"/>
    <d v="2021-11-14T00:00:00"/>
    <s v="insert / foyer fermé"/>
    <s v="&lt;1990"/>
    <x v="0"/>
    <x v="0"/>
    <s v="NOBIS"/>
    <s v="A11 V ZENITH"/>
    <n v="15"/>
    <n v="10.199999999999999"/>
    <n v="91.5"/>
    <n v="1.1999999999999999E-3"/>
    <s v="FV7"/>
    <m/>
    <n v="4372.28"/>
    <m/>
    <m/>
    <m/>
    <n v="675"/>
    <n v="5047.28"/>
    <n v="277.60039999999998"/>
    <n v="5324.8804"/>
    <n v="5324.88"/>
    <s v="oui"/>
    <m/>
    <m/>
    <s v="ADEME 2022"/>
    <s v="Facturation AGEDEN 2022"/>
  </r>
  <r>
    <x v="2"/>
    <n v="10"/>
    <x v="3"/>
    <x v="1"/>
    <s v="EBL"/>
    <s v="VRB0280"/>
    <n v="600"/>
    <d v="2021-10-27T00:00:00"/>
    <d v="2021-10-28T00:00:00"/>
    <s v="-"/>
    <s v="-"/>
    <d v="2021-10-28T00:00:00"/>
    <d v="2021-10-28T00:00:00"/>
    <d v="2021-11-03T00:00:00"/>
    <m/>
    <d v="2021-12-23T00:00:00"/>
    <d v="2021-12-15T00:00:00"/>
    <s v="-"/>
    <d v="2022-01-19T00:00:00"/>
    <d v="2022-01-19T00:00:00"/>
    <d v="2022-01-20T00:00:00"/>
    <m/>
    <m/>
    <m/>
    <s v="DESCHENAUD"/>
    <s v="Clémentine"/>
    <n v="5"/>
    <n v="49889"/>
    <n v="76"/>
    <s v="Chemin des Barlières"/>
    <n v="38960"/>
    <x v="11"/>
    <n v="681610195"/>
    <s v="clem_burdin@yahoo.fr"/>
    <s v="PO"/>
    <m/>
    <m/>
    <s v="-"/>
    <s v="-"/>
    <s v="-"/>
    <s v="-"/>
    <x v="6"/>
    <x v="6"/>
    <s v="FAURE Jacques"/>
    <s v="jacques.faure24@wanadoo.fr"/>
    <n v="476355605"/>
    <s v="-"/>
    <s v="oui"/>
    <d v="2021-10-26T00:00:00"/>
    <s v="insert / foyer fermé"/>
    <n v="1998"/>
    <x v="0"/>
    <x v="1"/>
    <s v="FONTE FLAMME"/>
    <s v="ILAM"/>
    <n v="22"/>
    <n v="7"/>
    <n v="80"/>
    <n v="0.08"/>
    <s v="FV7"/>
    <m/>
    <n v="4192.1600000000008"/>
    <m/>
    <m/>
    <m/>
    <n v="974.09"/>
    <n v="5166.2500000000009"/>
    <n v="284.14375000000007"/>
    <n v="5450.3937500000011"/>
    <n v="5450.39"/>
    <s v="oui"/>
    <m/>
    <m/>
    <s v="ADEME 2021"/>
    <s v="NC"/>
  </r>
  <r>
    <x v="2"/>
    <n v="11"/>
    <x v="3"/>
    <x v="1"/>
    <s v="EBL"/>
    <s v="VRB0281"/>
    <n v="600"/>
    <d v="2021-10-29T00:00:00"/>
    <d v="2021-10-29T00:00:00"/>
    <s v="-"/>
    <s v="-"/>
    <d v="2021-11-12T00:00:00"/>
    <d v="2021-11-12T00:00:00"/>
    <d v="2021-11-19T00:00:00"/>
    <m/>
    <d v="2022-09-12T00:00:00"/>
    <d v="2022-08-24T00:00:00"/>
    <s v="-"/>
    <d v="2022-09-29T00:00:00"/>
    <d v="2022-09-29T00:00:00"/>
    <d v="2022-09-29T00:00:00"/>
    <m/>
    <m/>
    <m/>
    <s v="MONIN PICARD"/>
    <s v="Louis"/>
    <n v="2"/>
    <n v="38396"/>
    <n v="629"/>
    <s v="Route de la Freydière"/>
    <n v="38620"/>
    <x v="0"/>
    <n v="672833178"/>
    <s v="mnn-pcrd@wanadoo.fr"/>
    <s v="PO"/>
    <m/>
    <m/>
    <s v="-"/>
    <s v="-"/>
    <s v="-"/>
    <s v="-"/>
    <x v="0"/>
    <x v="0"/>
    <s v="CARRE François"/>
    <s v="f.carre@carre-f.com"/>
    <s v="04 76 37 03 50"/>
    <s v="-"/>
    <s v="oui  "/>
    <d v="2021-11-17T00:00:00"/>
    <s v="poêle"/>
    <n v="1995"/>
    <x v="0"/>
    <x v="0"/>
    <s v="PALAZZETTI"/>
    <s v="AURORA US"/>
    <n v="11"/>
    <n v="12"/>
    <n v="88.5"/>
    <n v="7.0000000000000001E-3"/>
    <s v="FV7"/>
    <m/>
    <n v="4263"/>
    <m/>
    <m/>
    <m/>
    <n v="1485"/>
    <n v="5748"/>
    <n v="316.14"/>
    <n v="6064.14"/>
    <n v="6064.14"/>
    <s v="oui"/>
    <m/>
    <m/>
    <s v="ADEME 2021"/>
    <s v="NC"/>
  </r>
  <r>
    <x v="2"/>
    <n v="11"/>
    <x v="3"/>
    <x v="1"/>
    <s v="EBL"/>
    <s v="VRB0282"/>
    <n v="600"/>
    <d v="2021-10-30T00:00:00"/>
    <d v="2021-11-08T00:00:00"/>
    <s v="-"/>
    <s v="-"/>
    <d v="2021-11-12T00:00:00"/>
    <d v="2021-11-12T00:00:00"/>
    <d v="2021-11-19T00:00:00"/>
    <m/>
    <d v="2022-01-24T00:00:00"/>
    <d v="2022-01-20T00:00:00"/>
    <s v="-"/>
    <d v="2022-02-02T00:00:00"/>
    <d v="2022-02-03T00:00:00"/>
    <d v="2022-02-08T00:00:00"/>
    <m/>
    <m/>
    <m/>
    <s v="ARSAC"/>
    <s v="Delphine"/>
    <n v="4"/>
    <n v="55290"/>
    <n v="65"/>
    <s v="Rue du Stade"/>
    <n v="38500"/>
    <x v="18"/>
    <n v="604095149"/>
    <s v="courriel.commercial@sfr.fr"/>
    <s v="PO"/>
    <m/>
    <m/>
    <s v="-"/>
    <s v="-"/>
    <s v="-"/>
    <s v="-"/>
    <x v="16"/>
    <x v="10"/>
    <s v="ALO"/>
    <s v="cheminees.jay@orange.fr"/>
    <n v="476500550"/>
    <s v="-"/>
    <s v="oui"/>
    <d v="2022-06-28T00:00:00"/>
    <s v="poêle"/>
    <n v="2001"/>
    <x v="0"/>
    <x v="1"/>
    <s v="TURBO FONTE"/>
    <s v="JAZZ CV 7"/>
    <n v="32"/>
    <n v="7"/>
    <n v="77.8"/>
    <n v="0.08"/>
    <s v="FV7"/>
    <m/>
    <n v="4066.1099999999997"/>
    <m/>
    <m/>
    <m/>
    <n v="650"/>
    <n v="4716.1099999999997"/>
    <n v="259.38605000000001"/>
    <n v="4975.4960499999997"/>
    <n v="4975.5"/>
    <s v="non"/>
    <m/>
    <m/>
    <s v="ADEME 2021"/>
    <s v="NC"/>
  </r>
  <r>
    <x v="2"/>
    <n v="11"/>
    <x v="3"/>
    <x v="2"/>
    <s v="EBL"/>
    <s v="VRB0283"/>
    <n v="1000"/>
    <d v="2021-11-02T00:00:00"/>
    <d v="2021-11-08T00:00:00"/>
    <s v="-"/>
    <s v="-"/>
    <d v="2021-11-12T00:00:00"/>
    <d v="2021-11-12T00:00:00"/>
    <d v="2021-11-19T00:00:00"/>
    <m/>
    <d v="2022-05-19T00:00:00"/>
    <d v="2021-12-31T00:00:00"/>
    <s v="-"/>
    <d v="2022-07-26T00:00:00"/>
    <d v="2022-07-26T00:00:00"/>
    <d v="2022-07-27T00:00:00"/>
    <m/>
    <m/>
    <m/>
    <s v="PAHON"/>
    <s v="Patrick"/>
    <n v="2"/>
    <n v="21498"/>
    <n v="1710"/>
    <s v="Route d'Oyeu"/>
    <n v="38850"/>
    <x v="24"/>
    <n v="644835495"/>
    <s v="patrick.pahon@orange.fr"/>
    <s v="PO"/>
    <m/>
    <m/>
    <s v="-"/>
    <s v="-"/>
    <s v="-"/>
    <s v="-"/>
    <x v="0"/>
    <x v="0"/>
    <s v="CARRE François"/>
    <s v="f.carre@carre-f.com"/>
    <s v="04 76 37 03 50"/>
    <s v="-"/>
    <s v="oui  "/>
    <d v="2021-11-17T00:00:00"/>
    <s v="poêle"/>
    <n v="1998"/>
    <x v="0"/>
    <x v="0"/>
    <s v="PALAZZETTI"/>
    <s v="LIA 8KW"/>
    <n v="8"/>
    <n v="8.1999999999999993"/>
    <n v="87.7"/>
    <n v="2E-3"/>
    <s v="FV7"/>
    <m/>
    <n v="2756"/>
    <m/>
    <m/>
    <m/>
    <n v="1385"/>
    <n v="4141"/>
    <n v="227.755"/>
    <n v="4368.7550000000001"/>
    <n v="4368.76"/>
    <s v="oui"/>
    <m/>
    <m/>
    <s v="ADEME 2021"/>
    <s v="NC"/>
  </r>
  <r>
    <x v="2"/>
    <n v="11"/>
    <x v="3"/>
    <x v="1"/>
    <s v="EBL"/>
    <s v="VRB0284"/>
    <n v="600"/>
    <d v="2021-11-02T00:00:00"/>
    <d v="2021-11-08T00:00:00"/>
    <s v="-"/>
    <s v="en attente du nouveau devis. Ok le 28/2"/>
    <d v="2021-11-12T00:00:00"/>
    <d v="2021-11-12T00:00:00"/>
    <d v="2021-11-19T00:00:00"/>
    <m/>
    <d v="2022-07-08T00:00:00"/>
    <d v="2022-06-20T00:00:00"/>
    <s v="Facture acquittée + Photo + attestation de destruction"/>
    <d v="2022-08-22T00:00:00"/>
    <d v="2022-08-22T00:00:00"/>
    <d v="2022-08-23T00:00:00"/>
    <m/>
    <m/>
    <m/>
    <s v="DI PRIMA"/>
    <s v="Joseph"/>
    <n v="2"/>
    <n v="44283"/>
    <n v="13"/>
    <s v="Lotissement de La Bousse"/>
    <n v="38210"/>
    <x v="15"/>
    <n v="672616469"/>
    <s v="jojodiega@yahoo.fr"/>
    <s v="PO"/>
    <m/>
    <m/>
    <s v="-"/>
    <s v="-"/>
    <s v="-"/>
    <s v="-"/>
    <x v="34"/>
    <x v="27"/>
    <s v="JACQUET"/>
    <s v="laglaceetlefeu38@gmail.com"/>
    <n v="476042368"/>
    <s v="-"/>
    <s v="oui"/>
    <d v="2022-05-27T00:00:00"/>
    <s v="insert / foyer fermé"/>
    <n v="1981"/>
    <x v="0"/>
    <x v="0"/>
    <s v="AMG"/>
    <s v="98SUPREME10C"/>
    <n v="27"/>
    <n v="9.5"/>
    <n v="92.5"/>
    <n v="7.0000000000000001E-3"/>
    <s v="FV7"/>
    <m/>
    <n v="2844.41"/>
    <m/>
    <m/>
    <m/>
    <n v="959.03"/>
    <n v="3803.4399999999996"/>
    <n v="209.18919999999997"/>
    <n v="4012.6291999999994"/>
    <n v="4012.63"/>
    <s v="oui"/>
    <m/>
    <m/>
    <s v="ADEME 2021"/>
    <s v="NC"/>
  </r>
  <r>
    <x v="2"/>
    <n v="11"/>
    <x v="4"/>
    <x v="0"/>
    <s v="EBL"/>
    <s v="VRB0285"/>
    <n v="600"/>
    <d v="2021-11-03T00:00:00"/>
    <d v="2021-11-08T00:00:00"/>
    <s v="-"/>
    <s v="-"/>
    <d v="2021-11-12T00:00:00"/>
    <d v="2021-11-12T00:00:00"/>
    <d v="2021-11-19T00:00:00"/>
    <m/>
    <d v="2022-04-27T00:00:00"/>
    <d v="2021-10-25T00:00:00"/>
    <m/>
    <m/>
    <m/>
    <m/>
    <m/>
    <d v="2022-04-28T00:00:00"/>
    <s v="Travaux déjà réalisés"/>
    <s v="BIZOLLON"/>
    <s v="Pierre"/>
    <n v="2"/>
    <n v="40563"/>
    <n v="120"/>
    <s v="Route du Petit Bois"/>
    <n v="38140"/>
    <x v="26"/>
    <n v="676216116"/>
    <s v="pierre.bizollon@gmail.com"/>
    <s v="PO"/>
    <m/>
    <m/>
    <s v="-"/>
    <s v="-"/>
    <s v="-"/>
    <s v="-"/>
    <x v="1"/>
    <x v="1"/>
    <s v="LIBER Jean-Christophe"/>
    <s v="jlc.services@orange.fr"/>
    <s v="04 76 07 14 61"/>
    <s v="-"/>
    <s v="oui"/>
    <d v="2022-11-03T00:00:00"/>
    <s v="insert / foyer fermé"/>
    <n v="1990"/>
    <x v="0"/>
    <x v="1"/>
    <s v="DICK GEURTS par FONTE FLAMME"/>
    <s v="VIDAR TRIPLE"/>
    <n v="18"/>
    <n v="10.6"/>
    <n v="88"/>
    <n v="0.06"/>
    <s v="FV7"/>
    <m/>
    <n v="3729.62"/>
    <m/>
    <m/>
    <m/>
    <n v="930"/>
    <n v="4659.62"/>
    <n v="256.27909999999997"/>
    <n v="4915.8990999999996"/>
    <n v="4390.51"/>
    <s v="oui"/>
    <m/>
    <m/>
    <n v="0"/>
    <s v="NC"/>
  </r>
  <r>
    <x v="2"/>
    <n v="11"/>
    <x v="3"/>
    <x v="1"/>
    <s v="EBL"/>
    <s v="VRB0286"/>
    <n v="600"/>
    <d v="2021-11-04T00:00:00"/>
    <d v="2021-11-08T00:00:00"/>
    <d v="2021-11-12T00:00:00"/>
    <s v="Manque adresse RIB (ok)"/>
    <d v="2021-11-25T00:00:00"/>
    <d v="2021-11-25T00:00:00"/>
    <d v="2021-12-09T00:00:00"/>
    <m/>
    <m/>
    <m/>
    <s v="augmentation du délai pour faire les travaux à 2ans"/>
    <m/>
    <m/>
    <m/>
    <m/>
    <m/>
    <m/>
    <s v="HUGONNARD-ROCHE"/>
    <s v="Damien"/>
    <n v="3"/>
    <n v="43494"/>
    <n v="500"/>
    <s v="Route du Mollard"/>
    <n v="38850"/>
    <x v="5"/>
    <n v="626880404"/>
    <s v="carole-1205@hotmail.fr"/>
    <s v="PO"/>
    <m/>
    <m/>
    <s v="-"/>
    <s v="-"/>
    <s v="-"/>
    <s v="-"/>
    <x v="35"/>
    <x v="3"/>
    <s v="CARUANA Anthony"/>
    <s v="contact.echirolles@alp-confort.fr"/>
    <n v="438920220"/>
    <s v="-"/>
    <s v="oui"/>
    <d v="2022-04-17T00:00:00"/>
    <s v="cuisinière"/>
    <s v="&lt;1990"/>
    <x v="2"/>
    <x v="1"/>
    <s v="JOTUL"/>
    <s v="I620"/>
    <n v="5"/>
    <n v="9"/>
    <n v="77"/>
    <n v="7.0000000000000007E-2"/>
    <s v="FV7"/>
    <m/>
    <n v="7836.22"/>
    <m/>
    <m/>
    <m/>
    <n v="2004"/>
    <n v="9840.2200000000012"/>
    <n v="541.21210000000008"/>
    <n v="10381.432100000002"/>
    <n v="9300"/>
    <s v="oui"/>
    <m/>
    <m/>
    <s v="ADEME 2021"/>
    <s v="NC"/>
  </r>
  <r>
    <x v="2"/>
    <n v="11"/>
    <x v="3"/>
    <x v="2"/>
    <s v="EBL"/>
    <s v="VRB0287"/>
    <n v="1000"/>
    <d v="2021-11-04T00:00:00"/>
    <d v="2021-11-08T00:00:00"/>
    <s v="-"/>
    <s v="-"/>
    <d v="2021-11-12T00:00:00"/>
    <d v="2021-11-12T00:00:00"/>
    <d v="2021-11-19T00:00:00"/>
    <m/>
    <d v="2022-01-21T00:00:00"/>
    <d v="2021-12-23T00:00:00"/>
    <s v="-"/>
    <d v="2022-02-14T00:00:00"/>
    <d v="2022-02-14T00:00:00"/>
    <d v="2022-02-15T00:00:00"/>
    <m/>
    <m/>
    <m/>
    <s v="BERINGUER"/>
    <s v="Charles"/>
    <n v="2"/>
    <n v="27680"/>
    <n v="398"/>
    <s v="Route des Marais"/>
    <n v="38730"/>
    <x v="5"/>
    <n v="684887148"/>
    <s v="beringuerc38730@gmail.com"/>
    <s v="PO"/>
    <m/>
    <m/>
    <s v="-"/>
    <s v="-"/>
    <s v="-"/>
    <s v="-"/>
    <x v="15"/>
    <x v="9"/>
    <s v="MICHEL Patrick"/>
    <s v="enerlogis@orange.fr"/>
    <n v="479750979"/>
    <s v="-"/>
    <s v="oui"/>
    <d v="2022-08-25T00:00:00"/>
    <s v="insert / foyer fermé"/>
    <n v="1977"/>
    <x v="0"/>
    <x v="0"/>
    <s v="BRISACH"/>
    <s v="LUGANO"/>
    <n v="18"/>
    <n v="10"/>
    <n v="90.4"/>
    <n v="3.0000000000000001E-3"/>
    <s v="FV7"/>
    <m/>
    <n v="4027"/>
    <m/>
    <m/>
    <m/>
    <n v="1005"/>
    <n v="5032"/>
    <n v="276.76"/>
    <n v="5308.76"/>
    <n v="5310.5224499999995"/>
    <s v="oui"/>
    <m/>
    <m/>
    <s v="ADEME 2021"/>
    <s v="NC"/>
  </r>
  <r>
    <x v="2"/>
    <n v="11"/>
    <x v="3"/>
    <x v="2"/>
    <s v="EBL"/>
    <s v="VRB0288"/>
    <n v="1000"/>
    <d v="2021-11-04T00:00:00"/>
    <d v="2021-11-08T00:00:00"/>
    <s v="-"/>
    <s v="-"/>
    <d v="2021-11-12T00:00:00"/>
    <d v="2021-11-12T00:00:00"/>
    <d v="2021-11-19T00:00:00"/>
    <m/>
    <d v="2022-01-12T00:00:00"/>
    <d v="2021-12-31T00:00:00"/>
    <s v="-"/>
    <d v="2022-01-19T00:00:00"/>
    <d v="2022-01-19T00:00:00"/>
    <d v="2022-01-20T00:00:00"/>
    <m/>
    <m/>
    <m/>
    <s v="GONON"/>
    <s v="Elise"/>
    <n v="2"/>
    <n v="16275"/>
    <n v="269"/>
    <s v="Rue de Buisson Rond"/>
    <n v="38730"/>
    <x v="5"/>
    <n v="699619352"/>
    <s v="roux.s.o@orange.fr"/>
    <s v="PO"/>
    <m/>
    <m/>
    <s v="-"/>
    <s v="-"/>
    <s v="-"/>
    <s v="-"/>
    <x v="0"/>
    <x v="0"/>
    <s v="CARRE François"/>
    <s v="f.carre@carre-f.com"/>
    <s v="04 76 37 03 50"/>
    <s v="-"/>
    <s v="oui  "/>
    <d v="2021-11-17T00:00:00"/>
    <s v="insert / foyer fermé"/>
    <n v="1975"/>
    <x v="0"/>
    <x v="0"/>
    <s v="PALAZZETTI"/>
    <s v="MIRIAM 12"/>
    <n v="11"/>
    <n v="12"/>
    <n v="88.5"/>
    <n v="0.01"/>
    <s v="FV7"/>
    <m/>
    <n v="5026"/>
    <m/>
    <m/>
    <m/>
    <n v="2175"/>
    <n v="7201"/>
    <n v="396.05500000000001"/>
    <n v="7597.0550000000003"/>
    <n v="7597.06"/>
    <s v="oui"/>
    <m/>
    <m/>
    <s v="ADEME 2021"/>
    <s v="NC"/>
  </r>
  <r>
    <x v="2"/>
    <n v="11"/>
    <x v="3"/>
    <x v="1"/>
    <s v="EBL"/>
    <s v="VRB0289"/>
    <n v="600"/>
    <d v="2021-11-05T00:00:00"/>
    <d v="2021-11-08T00:00:00"/>
    <s v="-"/>
    <s v="-"/>
    <d v="2021-11-12T00:00:00"/>
    <d v="2021-11-12T00:00:00"/>
    <d v="2021-11-19T00:00:00"/>
    <m/>
    <d v="2022-08-08T00:00:00"/>
    <d v="2022-06-02T00:00:00"/>
    <s v="-"/>
    <d v="2022-08-22T00:00:00"/>
    <d v="2022-08-22T00:00:00"/>
    <d v="2022-08-23T00:00:00"/>
    <m/>
    <m/>
    <m/>
    <s v="KIOULOU"/>
    <s v="Didier"/>
    <n v="2"/>
    <n v="38186"/>
    <n v="53"/>
    <s v="Chemin des Chardons"/>
    <n v="38430"/>
    <x v="28"/>
    <n v="673438602"/>
    <s v="didier.kioulou@free.fr"/>
    <s v="PO"/>
    <m/>
    <m/>
    <s v="-"/>
    <s v="-"/>
    <s v="-"/>
    <s v="-"/>
    <x v="35"/>
    <x v="3"/>
    <s v="CARUANA Anthony"/>
    <s v="contact.echirolles@alp-confort.fr"/>
    <n v="438920220"/>
    <s v="-"/>
    <s v="oui"/>
    <d v="2022-04-17T00:00:00"/>
    <s v="insert / foyer fermé"/>
    <n v="1994"/>
    <x v="0"/>
    <x v="0"/>
    <s v="CMG"/>
    <s v="ATLANTIS ED"/>
    <n v="29"/>
    <n v="14"/>
    <n v="88"/>
    <n v="0.01"/>
    <s v="FV7"/>
    <m/>
    <n v="6805.51"/>
    <m/>
    <m/>
    <m/>
    <n v="1293"/>
    <n v="8098.51"/>
    <n v="445.41804999999999"/>
    <n v="8543.9280500000004"/>
    <n v="7830"/>
    <s v="oui"/>
    <m/>
    <m/>
    <s v="ADEME 2021"/>
    <s v="NC"/>
  </r>
  <r>
    <x v="2"/>
    <n v="11"/>
    <x v="3"/>
    <x v="1"/>
    <s v="EBL"/>
    <s v="VRB0290"/>
    <n v="600"/>
    <d v="2021-11-05T00:00:00"/>
    <d v="2021-11-08T00:00:00"/>
    <s v="-"/>
    <s v="-"/>
    <d v="2021-11-12T00:00:00"/>
    <d v="2021-11-12T00:00:00"/>
    <d v="2021-11-19T00:00:00"/>
    <m/>
    <d v="2022-01-21T00:00:00"/>
    <d v="2022-01-13T00:00:00"/>
    <s v="-"/>
    <d v="2022-02-14T00:00:00"/>
    <d v="2022-02-14T00:00:00"/>
    <d v="2022-02-15T00:00:00"/>
    <m/>
    <m/>
    <m/>
    <s v="DAMIEUX-VERDEAU"/>
    <s v="Maryvonne"/>
    <n v="1"/>
    <n v="25748"/>
    <n v="265"/>
    <s v="Chemin des Eymins"/>
    <n v="38430"/>
    <x v="28"/>
    <n v="687135294"/>
    <s v="mgdamieux@gmail.com"/>
    <s v="PO"/>
    <m/>
    <m/>
    <s v="-"/>
    <s v="-"/>
    <s v="-"/>
    <s v="-"/>
    <x v="6"/>
    <x v="6"/>
    <s v="FAURE Jacques"/>
    <s v="jacques.faure24@wanadoo.fr"/>
    <n v="476355605"/>
    <s v="-"/>
    <s v="oui"/>
    <d v="2022-10-26T00:00:00"/>
    <s v="foyer ouvert"/>
    <n v="1980"/>
    <x v="0"/>
    <x v="1"/>
    <s v="FONTE FLAMME"/>
    <s v="SORO"/>
    <n v="22"/>
    <n v="6.4"/>
    <n v="78"/>
    <n v="0.1"/>
    <s v="FV7"/>
    <m/>
    <n v="3326.77"/>
    <m/>
    <m/>
    <m/>
    <n v="942.69"/>
    <n v="4269.46"/>
    <n v="234.8203"/>
    <n v="4504.2803000000004"/>
    <n v="4504.28"/>
    <s v="oui"/>
    <m/>
    <m/>
    <s v="ADEME 2021"/>
    <s v="NC"/>
  </r>
  <r>
    <x v="2"/>
    <n v="11"/>
    <x v="3"/>
    <x v="1"/>
    <s v="EBL"/>
    <s v="VRB0291"/>
    <n v="600"/>
    <d v="2021-11-07T00:00:00"/>
    <d v="2021-11-08T00:00:00"/>
    <s v="-"/>
    <s v="-"/>
    <d v="2021-11-12T00:00:00"/>
    <d v="2021-11-12T00:00:00"/>
    <d v="2021-11-19T00:00:00"/>
    <m/>
    <m/>
    <m/>
    <m/>
    <m/>
    <m/>
    <m/>
    <m/>
    <m/>
    <m/>
    <s v="RAMBERT"/>
    <s v="Nicolas"/>
    <n v="4"/>
    <n v="54761"/>
    <n v="6"/>
    <s v="Rue Alfred Musset"/>
    <n v="38430"/>
    <x v="2"/>
    <n v="785890868"/>
    <s v="nicolas.rambert@gmail.com"/>
    <s v="PO"/>
    <m/>
    <m/>
    <s v="-"/>
    <s v="-"/>
    <s v="-"/>
    <s v="-"/>
    <x v="1"/>
    <x v="1"/>
    <s v="LIBER Jean-Christophe"/>
    <s v="jlc.services@orange.fr"/>
    <s v="04 76 07 14 61"/>
    <s v="-"/>
    <s v="oui"/>
    <d v="2022-11-03T00:00:00"/>
    <s v="insert / foyer fermé"/>
    <s v="&lt;1996"/>
    <x v="0"/>
    <x v="1"/>
    <s v="ORANIER"/>
    <s v="ARENA W+"/>
    <n v="36"/>
    <n v="7"/>
    <n v="80"/>
    <n v="9.8000000000000004E-2"/>
    <s v="FV7"/>
    <m/>
    <n v="4625.8500000000004"/>
    <m/>
    <m/>
    <m/>
    <n v="480"/>
    <n v="5105.8500000000004"/>
    <n v="280.82175000000001"/>
    <n v="5386.6717500000004"/>
    <n v="5386.68"/>
    <s v="oui"/>
    <m/>
    <m/>
    <s v="ADEME 2021"/>
    <s v="NC"/>
  </r>
  <r>
    <x v="2"/>
    <n v="11"/>
    <x v="3"/>
    <x v="2"/>
    <s v="EBL"/>
    <s v="VRB0292"/>
    <n v="1000"/>
    <d v="2021-11-08T00:00:00"/>
    <d v="2021-11-09T00:00:00"/>
    <s v="-"/>
    <s v="-"/>
    <d v="2021-11-12T00:00:00"/>
    <d v="2021-11-12T00:00:00"/>
    <d v="2021-11-19T00:00:00"/>
    <m/>
    <d v="2022-05-25T00:00:00"/>
    <d v="2022-02-23T00:00:00"/>
    <s v="Attestation de destruction"/>
    <d v="2022-09-12T00:00:00"/>
    <d v="2022-09-12T00:00:00"/>
    <d v="2022-09-20T00:00:00"/>
    <m/>
    <m/>
    <m/>
    <s v="PHILIPPE-JANON"/>
    <s v="Marie-Madeleine"/>
    <n v="2"/>
    <n v="16652"/>
    <n v="19"/>
    <s v="Chemin des Vignes"/>
    <n v="38500"/>
    <x v="13"/>
    <n v="680930643"/>
    <s v="mmpj@sfr.fr"/>
    <s v="PO"/>
    <m/>
    <m/>
    <s v="-"/>
    <s v="-"/>
    <s v="-"/>
    <s v="-"/>
    <x v="11"/>
    <x v="2"/>
    <s v="GRATIER Pascal"/>
    <s v="grenoble@hase-boutique.fr"/>
    <n v="476452433"/>
    <s v="-"/>
    <s v="oui"/>
    <d v="2022-01-28T00:00:00"/>
    <s v="poêle"/>
    <n v="2001"/>
    <x v="0"/>
    <x v="0"/>
    <s v="HASE"/>
    <s v="Canada Toronto"/>
    <n v="25"/>
    <n v="8"/>
    <n v="91"/>
    <n v="5.0000000000000001E-3"/>
    <s v="registre"/>
    <m/>
    <n v="4871.4499999999989"/>
    <m/>
    <m/>
    <m/>
    <n v="1435"/>
    <n v="6306.4499999999989"/>
    <n v="346.85474999999997"/>
    <n v="6653.3047499999993"/>
    <n v="6653.34"/>
    <s v="oui"/>
    <m/>
    <m/>
    <s v="ADEME 2021"/>
    <s v="NC"/>
  </r>
  <r>
    <x v="2"/>
    <n v="11"/>
    <x v="3"/>
    <x v="1"/>
    <s v="EBL"/>
    <s v="VRB0293"/>
    <n v="600"/>
    <d v="2021-11-08T00:00:00"/>
    <d v="2021-11-09T00:00:00"/>
    <s v="-"/>
    <s v="-"/>
    <d v="2021-11-12T00:00:00"/>
    <d v="2021-11-12T00:00:00"/>
    <d v="2021-11-19T00:00:00"/>
    <m/>
    <d v="2022-03-03T00:00:00"/>
    <d v="2022-03-01T00:00:00"/>
    <s v="Manque attestation remplacement foyer ouvert. Ok le 3/3"/>
    <d v="2022-03-03T00:00:00"/>
    <d v="2022-03-03T00:00:00"/>
    <d v="2022-03-03T00:00:00"/>
    <m/>
    <m/>
    <m/>
    <s v="VALLET"/>
    <s v="Yannick"/>
    <n v="2"/>
    <n v="47317"/>
    <n v="414"/>
    <s v="Rue Bayard"/>
    <n v="38140"/>
    <x v="6"/>
    <n v="661299457"/>
    <s v="yanval38@gmail.com"/>
    <s v="PO"/>
    <m/>
    <m/>
    <s v="-"/>
    <s v="-"/>
    <s v="-"/>
    <s v="-"/>
    <x v="14"/>
    <x v="1"/>
    <s v="SIMON Frédéric"/>
    <s v="contact@ecvoiron.fr"/>
    <n v="476069938"/>
    <s v="-"/>
    <s v="oui"/>
    <d v="2022-09-18T00:00:00"/>
    <s v="foyer ouvert"/>
    <s v="&gt;2002"/>
    <x v="0"/>
    <x v="1"/>
    <s v="CHARNWOOD"/>
    <s v="BAYBX"/>
    <n v="12"/>
    <n v="5"/>
    <n v="81"/>
    <n v="0.1"/>
    <s v="FV7"/>
    <m/>
    <n v="4129"/>
    <m/>
    <m/>
    <m/>
    <n v="670"/>
    <n v="4799"/>
    <n v="263.94499999999999"/>
    <n v="5062.9449999999997"/>
    <n v="5062.95"/>
    <s v="oui"/>
    <m/>
    <m/>
    <s v="ADEME 2021"/>
    <s v="NC"/>
  </r>
  <r>
    <x v="2"/>
    <n v="12"/>
    <x v="3"/>
    <x v="1"/>
    <s v="EBL"/>
    <s v="VRB0294"/>
    <n v="600"/>
    <d v="2021-11-09T00:00:00"/>
    <d v="2021-11-09T00:00:00"/>
    <d v="2021-11-12T00:00:00"/>
    <s v="Manque adresse RIB"/>
    <d v="2021-12-16T00:00:00"/>
    <d v="2021-12-16T00:00:00"/>
    <d v="2021-12-17T00:00:00"/>
    <m/>
    <d v="2022-03-17T00:00:00"/>
    <d v="2022-01-27T00:00:00"/>
    <m/>
    <d v="2022-03-30T00:00:00"/>
    <d v="2022-03-30T00:00:00"/>
    <d v="2022-04-01T00:00:00"/>
    <m/>
    <m/>
    <m/>
    <s v="PHILIPP"/>
    <s v="Raymond "/>
    <n v="2"/>
    <n v="31527"/>
    <n v="374"/>
    <s v="Route de Veurey"/>
    <n v="38340"/>
    <x v="17"/>
    <n v="643006337"/>
    <s v="philippraymond999@gmail.com"/>
    <s v="PO"/>
    <m/>
    <m/>
    <s v="-"/>
    <s v="-"/>
    <s v="-"/>
    <s v="-"/>
    <x v="15"/>
    <x v="9"/>
    <s v="MICHEL Patrick"/>
    <s v="enerlogis@orange.fr"/>
    <n v="479750979"/>
    <s v="-"/>
    <s v="oui"/>
    <d v="2022-08-25T00:00:00"/>
    <s v="insert / foyer fermé"/>
    <n v="1984"/>
    <x v="0"/>
    <x v="0"/>
    <s v="MCZ"/>
    <s v="GIO AIR S1"/>
    <n v="16"/>
    <n v="8"/>
    <n v="90.4"/>
    <n v="3.0000000000000001E-3"/>
    <s v="FV7"/>
    <m/>
    <n v="3346"/>
    <m/>
    <m/>
    <m/>
    <n v="761.67"/>
    <n v="4107.67"/>
    <n v="225.92185000000001"/>
    <n v="4333.5918499999998"/>
    <n v="4333.59"/>
    <s v="oui"/>
    <m/>
    <m/>
    <s v="ADEME 2021"/>
    <s v="NC"/>
  </r>
  <r>
    <x v="2"/>
    <n v="12"/>
    <x v="3"/>
    <x v="1"/>
    <s v="EBL"/>
    <s v="VRB0295"/>
    <n v="600"/>
    <d v="2021-11-12T00:00:00"/>
    <d v="2021-11-15T00:00:00"/>
    <d v="2021-11-25T00:00:00"/>
    <s v="Manque adresse RIB (ok)"/>
    <d v="2021-12-09T00:00:00"/>
    <d v="2021-12-09T00:00:00"/>
    <d v="2021-12-10T00:00:00"/>
    <m/>
    <d v="2022-09-12T00:00:00"/>
    <d v="2022-07-21T00:00:00"/>
    <s v="-"/>
    <d v="2022-09-29T00:00:00"/>
    <d v="2022-09-29T00:00:00"/>
    <d v="2022-09-29T00:00:00"/>
    <m/>
    <m/>
    <m/>
    <s v="BOUZIGON"/>
    <s v="Jérome"/>
    <n v="4"/>
    <n v="44568"/>
    <n v="153"/>
    <s v="Rue de la Bouvardière"/>
    <n v="38340"/>
    <x v="17"/>
    <n v="681598978"/>
    <s v="jerome.bouzigon@laposte.net"/>
    <s v="PO"/>
    <m/>
    <m/>
    <s v="-"/>
    <s v="-"/>
    <s v="-"/>
    <s v="-"/>
    <x v="5"/>
    <x v="5"/>
    <s v="HAMAIN Jérémie"/>
    <s v="godin-grenoble@orange.fr"/>
    <n v="438021901"/>
    <s v="-"/>
    <s v="oui"/>
    <d v="2022-03-21T00:00:00"/>
    <s v="foyer ouvert"/>
    <n v="1990"/>
    <x v="0"/>
    <x v="1"/>
    <s v="GODIN"/>
    <s v="SILINDA"/>
    <n v="28"/>
    <n v="7"/>
    <n v="76"/>
    <n v="0.12"/>
    <s v="FV7"/>
    <m/>
    <n v="3212"/>
    <m/>
    <m/>
    <m/>
    <n v="891"/>
    <n v="4103"/>
    <n v="225.66499999999999"/>
    <n v="4328.665"/>
    <n v="4100"/>
    <s v="non"/>
    <m/>
    <m/>
    <s v="ADEME 2021"/>
    <s v="NC"/>
  </r>
  <r>
    <x v="4"/>
    <n v="4"/>
    <x v="3"/>
    <x v="2"/>
    <s v="EBL"/>
    <s v="VRB0296"/>
    <n v="1000"/>
    <d v="2021-11-12T00:00:00"/>
    <d v="2021-11-15T00:00:00"/>
    <d v="2021-11-25T00:00:00"/>
    <s v="Installateur non signataire"/>
    <d v="2022-04-11T00:00:00"/>
    <d v="2022-04-11T00:00:00"/>
    <d v="2022-04-13T00:00:00"/>
    <m/>
    <d v="2022-07-18T00:00:00"/>
    <d v="2022-06-07T00:00:00"/>
    <s v="Facture acquittée"/>
    <d v="2022-09-26T00:00:00"/>
    <d v="2022-09-26T00:00:00"/>
    <d v="2022-09-26T00:00:00"/>
    <m/>
    <m/>
    <m/>
    <s v="HOPPENOT"/>
    <s v="Beranger"/>
    <n v="4"/>
    <n v="28951"/>
    <n v="24"/>
    <s v="Rue Seraphin Martin"/>
    <n v="38430"/>
    <x v="2"/>
    <n v="678141651"/>
    <s v="berangerhoppenot@gmail.com"/>
    <s v="PO"/>
    <m/>
    <m/>
    <s v="-"/>
    <s v="-"/>
    <s v="-"/>
    <s v="-"/>
    <x v="34"/>
    <x v="27"/>
    <s v="JACQUET"/>
    <s v="laglaceetlefeu38@gmail.com"/>
    <n v="476042368"/>
    <s v="-"/>
    <s v="oui"/>
    <d v="2022-05-27T00:00:00"/>
    <s v="foyer ouvert"/>
    <n v="1960"/>
    <x v="0"/>
    <x v="0"/>
    <s v="PVG"/>
    <s v="LINDARA60 S-LINE"/>
    <n v="22"/>
    <n v="6.5"/>
    <n v="95.4"/>
    <n v="8.2400000000000008E-3"/>
    <s v="FV7"/>
    <m/>
    <n v="3015.0299999999993"/>
    <m/>
    <m/>
    <m/>
    <n v="1031.8599999999999"/>
    <n v="4046.8899999999994"/>
    <n v="222.57894999999996"/>
    <n v="4269.4689499999995"/>
    <n v="4047.42"/>
    <s v="non"/>
    <m/>
    <m/>
    <s v="ADEME 2022"/>
    <s v="Facturation AGEDEN 2022"/>
  </r>
  <r>
    <x v="2"/>
    <n v="12"/>
    <x v="3"/>
    <x v="1"/>
    <s v="EBL"/>
    <s v="VRB0297"/>
    <n v="600"/>
    <d v="2021-11-15T00:00:00"/>
    <d v="2021-11-15T00:00:00"/>
    <d v="2021-11-25T00:00:00"/>
    <s v="Manque adresse RIB (ok)"/>
    <d v="2021-12-09T00:00:00"/>
    <d v="2021-12-09T00:00:00"/>
    <d v="2021-12-10T00:00:00"/>
    <m/>
    <d v="2022-11-07T00:00:00"/>
    <d v="2022-09-30T00:00:00"/>
    <s v="-"/>
    <d v="2022-11-09T00:00:00"/>
    <d v="2022-11-09T00:00:00"/>
    <d v="2022-11-14T00:00:00"/>
    <m/>
    <m/>
    <m/>
    <s v="MEYER"/>
    <s v="Nicolas"/>
    <n v="4"/>
    <n v="59185"/>
    <n v="1578"/>
    <s v="Chemin de la Sonnière"/>
    <n v="38850"/>
    <x v="5"/>
    <n v="622423638"/>
    <s v="nicolas.meyer7@gmail.com"/>
    <s v="PO"/>
    <m/>
    <m/>
    <s v="-"/>
    <s v="-"/>
    <s v="-"/>
    <s v="-"/>
    <x v="14"/>
    <x v="1"/>
    <s v="SIMON Frédéric"/>
    <s v="contact@ecvoiron.fr"/>
    <n v="476069938"/>
    <s v="-"/>
    <s v="oui"/>
    <d v="2022-09-18T00:00:00"/>
    <s v="foyer ouvert"/>
    <n v="1968"/>
    <x v="0"/>
    <x v="1"/>
    <s v="ROMOTOP"/>
    <s v="BURGOS"/>
    <n v="28"/>
    <n v="7.5"/>
    <n v="82.7"/>
    <n v="0.05"/>
    <s v="FV7"/>
    <m/>
    <n v="4119"/>
    <m/>
    <m/>
    <m/>
    <n v="1140"/>
    <n v="5259"/>
    <n v="289.245"/>
    <n v="5548.2449999999999"/>
    <n v="7558.03"/>
    <s v="oui"/>
    <m/>
    <m/>
    <s v="ADEME 2021"/>
    <s v="NC"/>
  </r>
  <r>
    <x v="4"/>
    <n v="2"/>
    <x v="3"/>
    <x v="1"/>
    <s v="EBL"/>
    <s v="VRB0298"/>
    <n v="600"/>
    <d v="2021-11-15T00:00:00"/>
    <d v="2021-11-19T00:00:00"/>
    <d v="2021-11-25T00:00:00"/>
    <s v="Manque adresse RIB. Ok le 24/01/22"/>
    <d v="2022-02-09T00:00:00"/>
    <d v="2022-02-09T00:00:00"/>
    <d v="2022-02-14T00:00:00"/>
    <m/>
    <d v="2022-07-08T00:00:00"/>
    <d v="2022-04-25T00:00:00"/>
    <s v="-"/>
    <d v="2022-07-27T00:00:00"/>
    <d v="2022-07-27T00:00:00"/>
    <d v="2022-07-28T00:00:00"/>
    <m/>
    <m/>
    <m/>
    <s v="MATHIEU"/>
    <s v="Jacques"/>
    <n v="2"/>
    <n v="40717"/>
    <n v="3"/>
    <s v="Rue des Hauts Prés"/>
    <n v="38500"/>
    <x v="1"/>
    <n v="641122760"/>
    <s v="mathieu.jacq@orange.fr"/>
    <s v="PO"/>
    <m/>
    <m/>
    <s v="-"/>
    <s v="-"/>
    <s v="-"/>
    <s v="-"/>
    <x v="1"/>
    <x v="1"/>
    <s v="LIBER Jean-Christophe"/>
    <s v="jlc.services@orange.fr"/>
    <s v="04 76 07 14 61"/>
    <s v="-"/>
    <s v="oui"/>
    <d v="2022-11-03T00:00:00"/>
    <s v="foyer ouvert"/>
    <n v="1985"/>
    <x v="0"/>
    <x v="0"/>
    <s v="MCZ "/>
    <s v="CLUB COMFORT AIR"/>
    <n v="14"/>
    <n v="11.9"/>
    <n v="90.8"/>
    <n v="0.01"/>
    <s v="FV7"/>
    <m/>
    <n v="5056"/>
    <m/>
    <m/>
    <m/>
    <n v="1015"/>
    <n v="6071"/>
    <n v="333.90500000000003"/>
    <n v="6404.9049999999997"/>
    <n v="6404.91"/>
    <s v="oui"/>
    <m/>
    <m/>
    <s v="ADEME 2022"/>
    <s v="Facturation AGEDEN 2022"/>
  </r>
  <r>
    <x v="2"/>
    <n v="11"/>
    <x v="3"/>
    <x v="1"/>
    <s v="EBL"/>
    <s v="VRB0299"/>
    <n v="600"/>
    <d v="2021-11-15T00:00:00"/>
    <d v="2021-11-19T00:00:00"/>
    <s v="-"/>
    <s v="-"/>
    <d v="2021-11-25T00:00:00"/>
    <d v="2021-11-25T00:00:00"/>
    <d v="2021-12-09T00:00:00"/>
    <m/>
    <d v="2022-05-31T00:00:00"/>
    <d v="2022-02-03T00:00:00"/>
    <s v="-"/>
    <d v="2022-07-26T00:00:00"/>
    <d v="2022-07-26T00:00:00"/>
    <d v="2022-07-27T00:00:00"/>
    <m/>
    <m/>
    <m/>
    <s v="MARTIRE"/>
    <s v="Emeric"/>
    <n v="3"/>
    <n v="76480"/>
    <n v="412"/>
    <s v="Route des Allès"/>
    <n v="38730"/>
    <x v="5"/>
    <n v="648695056"/>
    <s v="emeric.martire@orange.fr"/>
    <s v="PO"/>
    <m/>
    <m/>
    <s v="-"/>
    <s v="-"/>
    <s v="-"/>
    <s v="-"/>
    <x v="3"/>
    <x v="3"/>
    <s v="TROUBA"/>
    <s v="flammeiseroise38300@orange.fr"/>
    <n v="474937373"/>
    <s v="-"/>
    <s v="oui"/>
    <d v="2022-08-01T00:00:00"/>
    <s v="insert / foyer fermé"/>
    <n v="1990"/>
    <x v="0"/>
    <x v="0"/>
    <s v="JOLLY MEC"/>
    <s v="BOTERO 8 KW"/>
    <n v="14.3"/>
    <n v="8.1999999999999993"/>
    <n v="91.1"/>
    <n v="1.0999999999999999E-2"/>
    <s v="registre"/>
    <m/>
    <n v="4150"/>
    <m/>
    <m/>
    <m/>
    <n v="730"/>
    <n v="4880"/>
    <n v="268.39999999999998"/>
    <n v="5148.3999999999996"/>
    <n v="5148.3999999999996"/>
    <s v="oui"/>
    <m/>
    <m/>
    <s v="ADEME 2021"/>
    <s v="NC"/>
  </r>
  <r>
    <x v="2"/>
    <n v="12"/>
    <x v="3"/>
    <x v="2"/>
    <s v="EBL"/>
    <s v="VRB0300"/>
    <n v="1000"/>
    <d v="2021-11-16T00:00:00"/>
    <d v="2021-11-19T00:00:00"/>
    <d v="2021-11-25T00:00:00"/>
    <s v="Manque TF + Photo (ok)"/>
    <d v="2021-12-09T00:00:00"/>
    <d v="2021-12-09T00:00:00"/>
    <d v="2021-12-10T00:00:00"/>
    <m/>
    <d v="2022-04-15T00:00:00"/>
    <d v="2022-02-24T00:00:00"/>
    <s v="Manque attestation fin de travaux"/>
    <d v="2022-07-26T00:00:00"/>
    <d v="2022-07-26T00:00:00"/>
    <d v="2022-07-27T00:00:00"/>
    <m/>
    <m/>
    <m/>
    <s v="BRAILLON"/>
    <s v="Alain"/>
    <n v="1"/>
    <n v="10896"/>
    <n v="46"/>
    <s v="Rue de la Fontaine"/>
    <n v="38500"/>
    <x v="18"/>
    <n v="476053307"/>
    <s v="braillon.pierre@orange.fr"/>
    <s v="PO"/>
    <m/>
    <m/>
    <s v="-"/>
    <s v="-"/>
    <s v="-"/>
    <s v="-"/>
    <x v="13"/>
    <x v="1"/>
    <s v="CHARREL Stephane"/>
    <s v="contact@fer-et-feu.fr"/>
    <n v="476059444"/>
    <s v="-"/>
    <s v="oui"/>
    <d v="2022-08-16T00:00:00"/>
    <s v="poêle"/>
    <n v="1990"/>
    <x v="0"/>
    <x v="1"/>
    <s v="RIKA"/>
    <s v="Back"/>
    <n v="24.5"/>
    <n v="8"/>
    <n v="83.9"/>
    <n v="5.3999999999999999E-2"/>
    <s v="registre"/>
    <m/>
    <n v="5787"/>
    <m/>
    <m/>
    <m/>
    <n v="979"/>
    <n v="6766"/>
    <n v="372.13"/>
    <n v="7138.13"/>
    <n v="7138.13"/>
    <s v="non"/>
    <m/>
    <m/>
    <s v="ADEME 2021"/>
    <s v="NC"/>
  </r>
  <r>
    <x v="2"/>
    <n v="12"/>
    <x v="3"/>
    <x v="1"/>
    <s v="EBL"/>
    <s v="VRB0301"/>
    <n v="600"/>
    <d v="2021-11-19T00:00:00"/>
    <d v="2021-11-19T00:00:00"/>
    <d v="2021-11-25T00:00:00"/>
    <s v="Manque RIB (ok)"/>
    <d v="2021-12-09T00:00:00"/>
    <d v="2021-12-09T00:00:00"/>
    <d v="2021-12-16T00:00:00"/>
    <m/>
    <d v="2022-02-28T00:00:00"/>
    <d v="2022-02-22T00:00:00"/>
    <m/>
    <d v="2022-03-02T00:00:00"/>
    <d v="2022-03-02T00:00:00"/>
    <d v="2022-03-03T00:00:00"/>
    <m/>
    <m/>
    <m/>
    <s v="COTTE"/>
    <s v="Patrice"/>
    <n v="1"/>
    <n v="26038"/>
    <n v="38"/>
    <s v="Le Mont"/>
    <n v="38620"/>
    <x v="32"/>
    <n v="672157557"/>
    <s v="patrice.cotte@ville-moirans.fr"/>
    <s v="PO"/>
    <m/>
    <m/>
    <s v="-"/>
    <s v="-"/>
    <s v="-"/>
    <s v="-"/>
    <x v="6"/>
    <x v="6"/>
    <s v="FAURE Jacques"/>
    <s v="jacques.faure24@wanadoo.fr"/>
    <n v="476355605"/>
    <s v="-"/>
    <s v="oui"/>
    <d v="2022-10-26T00:00:00"/>
    <s v="cuisinière"/>
    <n v="2000"/>
    <x v="0"/>
    <x v="1"/>
    <s v="NOVALINE par FONTE FLAMME"/>
    <s v="Bellano"/>
    <n v="30"/>
    <n v="7.9"/>
    <n v="80"/>
    <n v="6.6000000000000003E-2"/>
    <s v="FV7"/>
    <m/>
    <n v="3938.96"/>
    <m/>
    <m/>
    <m/>
    <n v="775"/>
    <n v="4713.96"/>
    <n v="259.26780000000002"/>
    <n v="4973.2277999999997"/>
    <n v="4973.1099999999997"/>
    <s v="oui"/>
    <m/>
    <m/>
    <s v="ADEME 2021"/>
    <s v="NC"/>
  </r>
  <r>
    <x v="2"/>
    <n v="12"/>
    <x v="3"/>
    <x v="1"/>
    <s v="EBL"/>
    <s v="VRB0302"/>
    <n v="600"/>
    <d v="2021-11-23T00:00:00"/>
    <d v="2021-11-25T00:00:00"/>
    <d v="2021-11-25T00:00:00"/>
    <s v=" Manque Adresse RIB (ok)"/>
    <d v="2021-12-09T00:00:00"/>
    <d v="2021-12-09T00:00:00"/>
    <d v="2021-12-10T00:00:00"/>
    <m/>
    <d v="2022-05-13T00:00:00"/>
    <d v="2022-01-28T00:00:00"/>
    <s v="-"/>
    <d v="2022-07-27T00:00:00"/>
    <d v="2022-07-27T00:00:00"/>
    <d v="2022-07-28T00:00:00"/>
    <m/>
    <m/>
    <m/>
    <s v="FONTAINE"/>
    <s v="Sebastien"/>
    <n v="4"/>
    <n v="121339"/>
    <n v="694"/>
    <s v="Route de la Côte des Filles"/>
    <n v="38432"/>
    <x v="2"/>
    <n v="782068422"/>
    <s v="sfontaine70@outlook.com"/>
    <s v="PO"/>
    <m/>
    <m/>
    <s v="-"/>
    <s v="-"/>
    <s v="-"/>
    <s v="-"/>
    <x v="10"/>
    <x v="1"/>
    <s v="GILLET Pascal"/>
    <s v="bois-soleil.chauffage@orange.fr"/>
    <n v="476323235"/>
    <s v="-"/>
    <s v="oui"/>
    <d v="2022-08-16T00:00:00"/>
    <s v="foyer ouvert"/>
    <n v="1996"/>
    <x v="0"/>
    <x v="1"/>
    <s v="SCAN"/>
    <s v="SCAN 1003"/>
    <n v="29"/>
    <n v="8.3000000000000007"/>
    <n v="81"/>
    <n v="0.09"/>
    <s v="FV7"/>
    <m/>
    <n v="4584"/>
    <m/>
    <m/>
    <m/>
    <n v="550"/>
    <n v="5134"/>
    <n v="282.37"/>
    <n v="5416.37"/>
    <n v="7962.85"/>
    <s v="non"/>
    <m/>
    <m/>
    <s v="ADEME 2021"/>
    <s v="NC"/>
  </r>
  <r>
    <x v="3"/>
    <n v="1"/>
    <x v="4"/>
    <x v="0"/>
    <s v="DC"/>
    <s v="VRB0303"/>
    <s v="600?"/>
    <d v="2021-11-26T00:00:00"/>
    <d v="2021-11-30T00:00:00"/>
    <d v="2021-11-30T00:00:00"/>
    <s v="manque photo"/>
    <m/>
    <m/>
    <m/>
    <m/>
    <m/>
    <m/>
    <m/>
    <m/>
    <m/>
    <m/>
    <m/>
    <d v="2023-01-04T00:00:00"/>
    <s v="Dossier incomplet depuis plus de 6 mois"/>
    <s v="ROMAIN"/>
    <s v="Jean-Michel"/>
    <n v="2"/>
    <n v="31543"/>
    <n v="40"/>
    <s v="route des Gallandières"/>
    <n v="38210"/>
    <x v="3"/>
    <n v="681082502"/>
    <s v="romainjmi@orange.fr"/>
    <s v="PO"/>
    <m/>
    <m/>
    <s v="-"/>
    <s v="-"/>
    <s v="-"/>
    <s v="-"/>
    <x v="8"/>
    <x v="7"/>
    <s v="MOREY Thomas"/>
    <s v="thomas.morey@wattethome.com"/>
    <n v="476065876"/>
    <s v="-"/>
    <s v="oui"/>
    <d v="2022-07-28T00:00:00"/>
    <s v="poêle"/>
    <n v="2000"/>
    <x v="0"/>
    <x v="0"/>
    <s v="PALAZZETTI"/>
    <s v="ECOFIRE ANNA 12 PRO 3"/>
    <n v="11"/>
    <n v="12"/>
    <n v="88.5"/>
    <n v="0.01"/>
    <s v="FV7"/>
    <m/>
    <n v="5139.18"/>
    <m/>
    <m/>
    <m/>
    <n v="800"/>
    <n v="5939.18"/>
    <n v="326.6549"/>
    <n v="6265.8348999999998"/>
    <m/>
    <s v="non"/>
    <m/>
    <m/>
    <n v="0"/>
    <s v="NC"/>
  </r>
  <r>
    <x v="2"/>
    <n v="12"/>
    <x v="3"/>
    <x v="1"/>
    <s v="YC"/>
    <s v="VRB0304"/>
    <n v="600"/>
    <d v="2021-11-29T00:00:00"/>
    <d v="2021-11-30T00:00:00"/>
    <s v="-"/>
    <s v="-"/>
    <d v="2021-12-03T00:00:00"/>
    <d v="2021-12-03T00:00:00"/>
    <d v="2021-12-09T00:00:00"/>
    <m/>
    <m/>
    <m/>
    <d v="2022-02-07T00:00:00"/>
    <m/>
    <d v="2022-02-07T00:00:00"/>
    <d v="2022-02-07T00:00:00"/>
    <m/>
    <m/>
    <m/>
    <s v="CHABALIER"/>
    <s v="Patrick"/>
    <n v="2"/>
    <n v="33698"/>
    <n v="112"/>
    <s v="Rue du Gorgeat"/>
    <n v="38500"/>
    <x v="4"/>
    <n v="679778950"/>
    <s v="patrick.chabalier@free.fr"/>
    <s v="PO"/>
    <m/>
    <m/>
    <s v="-"/>
    <s v="-"/>
    <s v="-"/>
    <s v="-"/>
    <x v="14"/>
    <x v="1"/>
    <s v="SIMON Frédéric"/>
    <s v="contact@ecvoiron.fr"/>
    <n v="476069938"/>
    <m/>
    <s v="oui"/>
    <d v="2022-09-18T00:00:00"/>
    <s v="insert / foyer fermé"/>
    <n v="1980"/>
    <x v="0"/>
    <x v="0"/>
    <s v="KLOVER"/>
    <s v="SOFT 80"/>
    <n v="15"/>
    <n v="7.4"/>
    <n v="92.5"/>
    <n v="1.2E-2"/>
    <s v="registre"/>
    <m/>
    <n v="3989.01"/>
    <m/>
    <m/>
    <m/>
    <n v="750.33"/>
    <n v="4739.34"/>
    <n v="260.66370000000001"/>
    <n v="5000.0037000000002"/>
    <n v="5000"/>
    <s v="oui"/>
    <m/>
    <m/>
    <s v="ADEME 2021"/>
    <s v="NC"/>
  </r>
  <r>
    <x v="2"/>
    <n v="12"/>
    <x v="3"/>
    <x v="1"/>
    <s v="YC"/>
    <s v="VRB0305"/>
    <n v="600"/>
    <d v="2021-11-29T00:00:00"/>
    <d v="2021-11-30T00:00:00"/>
    <d v="2021-12-03T00:00:00"/>
    <s v="-"/>
    <d v="2021-12-13T00:00:00"/>
    <d v="2021-12-13T00:00:00"/>
    <d v="2021-12-14T00:00:00"/>
    <m/>
    <d v="2022-05-16T00:00:00"/>
    <d v="2022-03-21T00:00:00"/>
    <s v="-"/>
    <d v="2022-07-26T00:00:00"/>
    <d v="2022-07-26T00:00:00"/>
    <d v="2022-07-27T00:00:00"/>
    <m/>
    <m/>
    <m/>
    <s v="VINCENT"/>
    <s v="Charles"/>
    <n v="2"/>
    <n v="57333"/>
    <n v="774"/>
    <s v="Lieu Dit le Gay"/>
    <n v="38430"/>
    <x v="28"/>
    <n v="476550654"/>
    <s v="champ-paris@orange.fr"/>
    <s v="PO"/>
    <m/>
    <m/>
    <s v="-"/>
    <s v="-"/>
    <s v="-"/>
    <s v="-"/>
    <x v="14"/>
    <x v="1"/>
    <s v="SIMON Frédéric"/>
    <s v="contact@ecvoiron.fr"/>
    <n v="476069938"/>
    <m/>
    <s v="oui"/>
    <d v="2022-09-18T00:00:00"/>
    <s v="foyer ouvert"/>
    <n v="1973"/>
    <x v="0"/>
    <x v="0"/>
    <s v="NOBIS"/>
    <s v="A 10 V plus Zénith"/>
    <n v="14"/>
    <n v="9.1"/>
    <n v="90.2"/>
    <n v="4.0000000000000001E-3"/>
    <s v="FV7"/>
    <m/>
    <n v="4610"/>
    <m/>
    <m/>
    <m/>
    <n v="840"/>
    <n v="5450"/>
    <n v="299.75"/>
    <n v="5749.75"/>
    <n v="5749.76"/>
    <s v="non"/>
    <m/>
    <m/>
    <s v="ADEME 2021"/>
    <s v="NC"/>
  </r>
  <r>
    <x v="2"/>
    <n v="12"/>
    <x v="3"/>
    <x v="1"/>
    <s v="YC"/>
    <s v="VRB0306"/>
    <n v="600"/>
    <d v="2021-11-30T00:00:00"/>
    <d v="2021-11-30T00:00:00"/>
    <d v="2021-12-03T00:00:00"/>
    <s v="-"/>
    <d v="2021-12-13T00:00:00"/>
    <d v="2021-12-13T00:00:00"/>
    <d v="2021-12-14T00:00:00"/>
    <m/>
    <d v="2022-03-16T00:00:00"/>
    <d v="2022-02-11T00:00:00"/>
    <m/>
    <d v="2022-03-30T00:00:00"/>
    <d v="2022-03-30T00:00:00"/>
    <d v="2022-04-01T00:00:00"/>
    <m/>
    <m/>
    <m/>
    <s v="DUPIN"/>
    <s v="Serge"/>
    <n v="2"/>
    <n v="49440"/>
    <n v="94"/>
    <s v="Chemin de la Vernatelle Les eymins"/>
    <n v="38430"/>
    <x v="28"/>
    <n v="476353909"/>
    <s v="dupin.serge@orange.fr"/>
    <s v="PO"/>
    <m/>
    <m/>
    <s v="-"/>
    <s v="-"/>
    <s v="-"/>
    <s v="-"/>
    <x v="26"/>
    <x v="19"/>
    <s v="ZELUS Jean-Pierre"/>
    <s v="voglans@poelesgranules.fr"/>
    <n v="479524432"/>
    <s v="FARVELLI Renato"/>
    <s v="oui"/>
    <d v="2022-06-30T00:00:00"/>
    <s v="cuisinière"/>
    <n v="1995"/>
    <x v="0"/>
    <x v="1"/>
    <s v="DENIA"/>
    <s v="Ellyps Wall Ecodesign"/>
    <n v="30"/>
    <n v="7"/>
    <n v="77"/>
    <n v="0.1"/>
    <s v="FV7"/>
    <m/>
    <n v="4809"/>
    <m/>
    <m/>
    <m/>
    <n v="660"/>
    <n v="5469"/>
    <n v="300.79500000000002"/>
    <n v="5769.7950000000001"/>
    <n v="4980"/>
    <s v="non"/>
    <m/>
    <m/>
    <s v="ADEME 2021"/>
    <s v="NC"/>
  </r>
  <r>
    <x v="2"/>
    <n v="12"/>
    <x v="3"/>
    <x v="1"/>
    <s v="YC"/>
    <s v="VRB0307"/>
    <n v="600"/>
    <d v="2021-12-02T00:00:00"/>
    <d v="2021-12-03T00:00:00"/>
    <d v="2021-12-03T00:00:00"/>
    <s v="-"/>
    <d v="2021-12-13T00:00:00"/>
    <d v="2021-12-13T00:00:00"/>
    <d v="2021-12-14T00:00:00"/>
    <m/>
    <d v="2022-05-05T00:00:00"/>
    <d v="2022-01-31T00:00:00"/>
    <s v="-"/>
    <d v="2022-07-26T00:00:00"/>
    <d v="2022-07-26T00:00:00"/>
    <d v="2022-07-27T00:00:00"/>
    <m/>
    <m/>
    <m/>
    <s v="BURDET"/>
    <s v="Erik"/>
    <n v="2"/>
    <n v="82081"/>
    <n v="3113"/>
    <s v="Chemin des Grands Champs Les massons"/>
    <n v="38210"/>
    <x v="15"/>
    <n v="678446231"/>
    <s v="erik.burdet@gmail.com"/>
    <s v="PO"/>
    <m/>
    <m/>
    <s v="-"/>
    <s v="-"/>
    <s v="-"/>
    <s v="-"/>
    <x v="43"/>
    <x v="33"/>
    <s v="ROUBINET"/>
    <s v="chaleurbois38@orange.fr"/>
    <n v="476389584"/>
    <m/>
    <s v="oui"/>
    <d v="2022-11-02T00:00:00"/>
    <s v="insert / foyer fermé"/>
    <n v="1989"/>
    <x v="0"/>
    <x v="1"/>
    <s v="CONTURA"/>
    <s v="600 style C610G"/>
    <n v="11"/>
    <n v="6"/>
    <n v="86"/>
    <n v="0.08"/>
    <s v="FV7"/>
    <m/>
    <n v="5465.5199999999995"/>
    <m/>
    <m/>
    <m/>
    <n v="1184"/>
    <n v="6649.5199999999995"/>
    <n v="365.72359999999998"/>
    <n v="7015.2435999999998"/>
    <n v="7015.24"/>
    <s v="NC"/>
    <m/>
    <m/>
    <s v="ADEME 2021"/>
    <s v="NC"/>
  </r>
  <r>
    <x v="2"/>
    <n v="12"/>
    <x v="3"/>
    <x v="2"/>
    <s v="YC"/>
    <s v="VRB0308"/>
    <n v="1000"/>
    <d v="2021-12-02T00:00:00"/>
    <d v="2021-12-03T00:00:00"/>
    <d v="2021-12-03T00:00:00"/>
    <s v="-"/>
    <d v="2021-12-13T00:00:00"/>
    <d v="2021-12-13T00:00:00"/>
    <d v="2021-12-14T00:00:00"/>
    <m/>
    <d v="2022-01-14T00:00:00"/>
    <d v="2021-12-23T00:00:00"/>
    <s v="-"/>
    <d v="2022-01-19T00:00:00"/>
    <d v="2022-01-19T00:00:00"/>
    <d v="2022-01-20T00:00:00"/>
    <m/>
    <m/>
    <m/>
    <s v="MEUNIER CARUS"/>
    <s v="Guillaume"/>
    <n v="4"/>
    <n v="29180"/>
    <n v="540"/>
    <s v="Aux Dames de Champbouquet"/>
    <n v="38620"/>
    <x v="34"/>
    <n v="669902309"/>
    <s v="amelie.bouffar@gmail.com"/>
    <s v="PO"/>
    <m/>
    <m/>
    <s v="-"/>
    <s v="-"/>
    <s v="-"/>
    <s v="-"/>
    <x v="44"/>
    <x v="34"/>
    <s v="MORETTO"/>
    <s v="contact@cpc38.com"/>
    <n v="476063661"/>
    <m/>
    <s v="non"/>
    <d v="2022-06-03T00:00:00"/>
    <s v="poêle"/>
    <n v="1997"/>
    <x v="0"/>
    <x v="1"/>
    <s v="GODIN"/>
    <s v="Grand Bois a clapet"/>
    <n v="28"/>
    <n v="10.5"/>
    <n v="75.599999999999994"/>
    <n v="0.12"/>
    <s v="FV7"/>
    <m/>
    <n v="3725.46"/>
    <m/>
    <m/>
    <m/>
    <n v="1206"/>
    <n v="4931.46"/>
    <n v="271.2303"/>
    <n v="5202.6903000000002"/>
    <n v="5202.6899999999996"/>
    <s v="non"/>
    <m/>
    <m/>
    <s v="ADEME 2021"/>
    <s v="NC"/>
  </r>
  <r>
    <x v="0"/>
    <e v="#VALUE!"/>
    <x v="4"/>
    <x v="0"/>
    <s v="EBL"/>
    <s v="VRB0309"/>
    <s v="-"/>
    <d v="2021-12-06T00:00:00"/>
    <d v="2021-12-07T00:00:00"/>
    <s v="-"/>
    <s v="-"/>
    <s v="-"/>
    <s v="-"/>
    <s v="-"/>
    <m/>
    <s v="-"/>
    <s v="-"/>
    <s v="-"/>
    <s v="-"/>
    <s v="-"/>
    <s v="-"/>
    <m/>
    <d v="2021-12-09T00:00:00"/>
    <s v="Travaux déjà réalisé"/>
    <s v="CAMPANA"/>
    <s v="Yoann"/>
    <n v="4"/>
    <n v="43422"/>
    <n v="74"/>
    <s v="Route du Bourg"/>
    <n v="38850"/>
    <x v="7"/>
    <n v="677814880"/>
    <s v="lesapinvdl@orange.fr"/>
    <s v="PO"/>
    <m/>
    <m/>
    <s v="-"/>
    <s v="-"/>
    <s v="-"/>
    <s v="-"/>
    <x v="38"/>
    <x v="29"/>
    <s v="TIBERIO Marcel"/>
    <s v="tmgranule@gmail.com"/>
    <n v="652624373"/>
    <s v="-"/>
    <s v="oui"/>
    <d v="2022-09-07T00:00:00"/>
    <s v="foyer ouvert"/>
    <n v="1980"/>
    <x v="0"/>
    <x v="0"/>
    <s v="INOVALP"/>
    <s v="HOBEN H9"/>
    <n v="20"/>
    <n v="9.3000000000000007"/>
    <n v="89"/>
    <n v="1.7999999999999999E-2"/>
    <s v="FV7"/>
    <m/>
    <n v="6008.45"/>
    <m/>
    <m/>
    <m/>
    <n v="550"/>
    <n v="6558.45"/>
    <n v="360.71474999999998"/>
    <n v="6919.1647499999999"/>
    <n v="6919.16"/>
    <s v="oui"/>
    <m/>
    <m/>
    <n v="0"/>
    <s v="NC"/>
  </r>
  <r>
    <x v="2"/>
    <n v="12"/>
    <x v="3"/>
    <x v="1"/>
    <s v="EBL"/>
    <s v="VRB0310"/>
    <n v="600"/>
    <d v="2021-12-05T00:00:00"/>
    <d v="2021-12-07T00:00:00"/>
    <d v="2021-12-09T00:00:00"/>
    <s v="Manque adresse RIB (ok)"/>
    <d v="2021-12-09T00:00:00"/>
    <d v="2021-12-09T00:00:00"/>
    <d v="2021-12-10T00:00:00"/>
    <m/>
    <d v="2022-10-18T00:00:00"/>
    <d v="2022-10-13T00:00:00"/>
    <s v="-"/>
    <d v="2022-11-09T00:00:00"/>
    <d v="2022-11-09T00:00:00"/>
    <d v="2022-11-14T00:00:00"/>
    <m/>
    <m/>
    <m/>
    <s v="MURACCHINI"/>
    <s v="Raphael"/>
    <n v="3"/>
    <n v="53868"/>
    <n v="2787"/>
    <s v="Chemin de la Plaine de Tullins"/>
    <n v="38210"/>
    <x v="15"/>
    <n v="680434572"/>
    <s v="raphael.muracchini@wanadoo.fr"/>
    <s v="PO"/>
    <m/>
    <m/>
    <s v="-"/>
    <s v="-"/>
    <s v="-"/>
    <s v="-"/>
    <x v="9"/>
    <x v="3"/>
    <s v="DURANTON Patrick"/>
    <s v="patrickduranton@passionflamme.fr"/>
    <n v="474432868"/>
    <s v="-"/>
    <s v="oui"/>
    <d v="2021-11-14T00:00:00"/>
    <s v="insert / foyer fermé"/>
    <n v="1985"/>
    <x v="0"/>
    <x v="1"/>
    <s v="AUSTROFLAMM"/>
    <s v="MO Duo"/>
    <n v="18"/>
    <n v="9.4"/>
    <n v="90"/>
    <n v="8.0000000000000002E-3"/>
    <s v="FV7"/>
    <m/>
    <n v="7949.17"/>
    <m/>
    <m/>
    <m/>
    <n v="800"/>
    <n v="8749.17"/>
    <n v="481.20435000000003"/>
    <n v="9230.37435"/>
    <n v="9276.77"/>
    <s v="oui"/>
    <m/>
    <m/>
    <s v="ADEME 2021"/>
    <s v="NC"/>
  </r>
  <r>
    <x v="3"/>
    <n v="1"/>
    <x v="4"/>
    <x v="0"/>
    <s v="EBL"/>
    <s v="VRB0311"/>
    <s v="1000?"/>
    <d v="2021-12-05T00:00:00"/>
    <d v="2021-12-07T00:00:00"/>
    <d v="2021-12-09T00:00:00"/>
    <s v="Manque adresse RIB + Adresse devis"/>
    <m/>
    <m/>
    <m/>
    <m/>
    <m/>
    <m/>
    <m/>
    <m/>
    <m/>
    <m/>
    <m/>
    <d v="2023-01-04T00:00:00"/>
    <s v="Dossier incomplet depuis plus de 6 mois"/>
    <s v="SEGUIERD'AGOULT"/>
    <s v="Jacques"/>
    <n v="1"/>
    <n v="16797"/>
    <n v="896"/>
    <s v="Route de Veurey"/>
    <n v="38340"/>
    <x v="17"/>
    <n v="476474243"/>
    <s v="odile.seguier@yahoo.fr"/>
    <s v="PO"/>
    <m/>
    <m/>
    <s v="-"/>
    <s v="-"/>
    <s v="-"/>
    <s v="-"/>
    <x v="11"/>
    <x v="2"/>
    <s v="GRATIER Pascal"/>
    <s v="grenoble@hase-boutique.fr"/>
    <n v="476452433"/>
    <s v="-"/>
    <s v="oui"/>
    <d v="2022-02-28T00:00:00"/>
    <s v="foyer ouvert"/>
    <n v="1880"/>
    <x v="2"/>
    <x v="1"/>
    <s v="CAMINA&amp;SCHMID"/>
    <s v="NEO-Line 6554"/>
    <n v="38"/>
    <n v="6.9"/>
    <n v="80.2"/>
    <n v="9.8000000000000004E-2"/>
    <s v="FV7"/>
    <m/>
    <n v="6430.92"/>
    <m/>
    <m/>
    <m/>
    <n v="1500.9"/>
    <n v="7931.82"/>
    <n v="436.25009999999997"/>
    <n v="8368.070099999999"/>
    <n v="8368.07"/>
    <s v="oui"/>
    <m/>
    <m/>
    <n v="0"/>
    <s v="NC"/>
  </r>
  <r>
    <x v="2"/>
    <n v="12"/>
    <x v="3"/>
    <x v="2"/>
    <s v="EBL"/>
    <s v="VRB0312"/>
    <n v="1000"/>
    <d v="2021-12-08T00:00:00"/>
    <d v="2021-12-09T00:00:00"/>
    <d v="2021-12-09T00:00:00"/>
    <s v="Manque adresse RIB (ok)"/>
    <d v="2021-12-10T00:00:00"/>
    <d v="2021-12-10T00:00:00"/>
    <d v="2021-12-10T00:00:00"/>
    <m/>
    <d v="2022-03-21T00:00:00"/>
    <d v="2022-02-28T00:00:00"/>
    <m/>
    <d v="2022-03-30T00:00:00"/>
    <d v="2022-03-30T00:00:00"/>
    <d v="2022-04-01T00:00:00"/>
    <m/>
    <m/>
    <m/>
    <s v="DECAMPS"/>
    <s v="Delphine"/>
    <n v="4"/>
    <n v="28566"/>
    <n v="236"/>
    <s v="Allée des Gentianes"/>
    <n v="38340"/>
    <x v="17"/>
    <n v="676064433"/>
    <s v="decampsdelphine@hotmail.com"/>
    <s v="PO"/>
    <m/>
    <m/>
    <s v="-"/>
    <s v="-"/>
    <s v="-"/>
    <s v="-"/>
    <x v="10"/>
    <x v="1"/>
    <s v="GILLET Pascal"/>
    <s v="bois-soleil.chauffage@orange.fr"/>
    <n v="476323235"/>
    <s v="-"/>
    <s v="oui"/>
    <d v="2022-08-16T00:00:00"/>
    <s v="foyer ouvert"/>
    <n v="1976"/>
    <x v="0"/>
    <x v="1"/>
    <s v="ILD"/>
    <s v="ILD 13"/>
    <n v="12"/>
    <n v="9.1999999999999993"/>
    <n v="77"/>
    <n v="0.04"/>
    <s v="FV7"/>
    <m/>
    <n v="2764.11"/>
    <m/>
    <m/>
    <m/>
    <n v="2785.95"/>
    <n v="5550.0599999999995"/>
    <n v="305.25329999999997"/>
    <n v="5855.3132999999998"/>
    <n v="5400.25"/>
    <s v="oui"/>
    <m/>
    <m/>
    <s v="ADEME 2021"/>
    <s v="NC"/>
  </r>
  <r>
    <x v="0"/>
    <e v="#VALUE!"/>
    <x v="4"/>
    <x v="0"/>
    <s v="YC"/>
    <s v="VRB0313"/>
    <s v="-"/>
    <d v="2021-12-09T00:00:00"/>
    <d v="2021-12-10T00:00:00"/>
    <d v="2021-12-13T00:00:00"/>
    <s v="-"/>
    <s v="-"/>
    <s v="-"/>
    <s v="-"/>
    <m/>
    <s v="-"/>
    <s v="-"/>
    <s v="-"/>
    <s v="-"/>
    <s v="-"/>
    <s v="-"/>
    <m/>
    <d v="2021-12-20T00:00:00"/>
    <s v="Travaux déjà réalisé"/>
    <s v="TIVOLLIER"/>
    <s v="Mickael"/>
    <n v="2"/>
    <n v="21558"/>
    <n v="651"/>
    <s v="Chemin de Bavonne"/>
    <n v="38850"/>
    <x v="7"/>
    <n v="689237486"/>
    <s v="mickael.tivollier@orange.fr"/>
    <m/>
    <m/>
    <m/>
    <m/>
    <m/>
    <m/>
    <m/>
    <x v="5"/>
    <x v="5"/>
    <s v="MOCELLIN"/>
    <s v="godin-grenoble@orange.fr"/>
    <s v="04 38 02 19 01"/>
    <s v="-"/>
    <s v="oui"/>
    <d v="2022-03-21T00:00:00"/>
    <s v="insert / foyer fermé"/>
    <n v="1990"/>
    <x v="0"/>
    <x v="1"/>
    <s v="GODIN"/>
    <s v="Tavera"/>
    <n v="29"/>
    <n v="7.5"/>
    <n v="75"/>
    <n v="7.4999999999999997E-2"/>
    <s v="FV7"/>
    <m/>
    <n v="6454"/>
    <m/>
    <m/>
    <m/>
    <n v="600"/>
    <n v="7054"/>
    <n v="387.97"/>
    <n v="7441.97"/>
    <m/>
    <s v="non"/>
    <m/>
    <m/>
    <n v="0"/>
    <s v="NC"/>
  </r>
  <r>
    <x v="2"/>
    <n v="12"/>
    <x v="3"/>
    <x v="2"/>
    <s v="YC"/>
    <s v="VRB0314"/>
    <n v="1000"/>
    <d v="2021-12-07T00:00:00"/>
    <d v="2021-12-10T00:00:00"/>
    <m/>
    <m/>
    <d v="2021-12-13T00:00:00"/>
    <d v="2021-12-13T00:00:00"/>
    <d v="2021-12-14T00:00:00"/>
    <m/>
    <d v="2022-05-31T00:00:00"/>
    <d v="2022-04-28T00:00:00"/>
    <s v="-"/>
    <d v="2022-07-26T00:00:00"/>
    <d v="2022-07-26T00:00:00"/>
    <d v="2022-07-27T00:00:00"/>
    <m/>
    <m/>
    <m/>
    <s v="VIDAL"/>
    <s v="Laurent"/>
    <n v="4"/>
    <n v="32849"/>
    <n v="509"/>
    <s v="Route du Bourg"/>
    <n v="38500"/>
    <x v="18"/>
    <n v="674175760"/>
    <s v="vidallaur@orange.fr"/>
    <s v="PO"/>
    <m/>
    <m/>
    <m/>
    <m/>
    <m/>
    <m/>
    <x v="7"/>
    <x v="35"/>
    <s v="PIERRE"/>
    <s v="voiron@techni-nature.com"/>
    <s v="09 51 09 63 43"/>
    <m/>
    <s v="oui"/>
    <d v="2022-08-25T00:00:00"/>
    <s v="insert / foyer fermé"/>
    <n v="1975"/>
    <x v="0"/>
    <x v="1"/>
    <s v="HWAM / WIKING"/>
    <s v="MIRO 2"/>
    <n v="18"/>
    <n v="4.9000000000000004"/>
    <n v="78"/>
    <n v="0.09"/>
    <s v="FV7"/>
    <m/>
    <n v="3010.8"/>
    <m/>
    <m/>
    <m/>
    <n v="630"/>
    <n v="3640.8"/>
    <n v="200.244"/>
    <n v="3841.0440000000003"/>
    <n v="3841.04"/>
    <s v="oui"/>
    <m/>
    <m/>
    <s v="ADEME 2021"/>
    <s v="NC"/>
  </r>
  <r>
    <x v="2"/>
    <n v="12"/>
    <x v="3"/>
    <x v="1"/>
    <s v="YC"/>
    <s v="VRB0315"/>
    <n v="600"/>
    <d v="2021-12-07T00:00:00"/>
    <d v="2021-12-10T00:00:00"/>
    <m/>
    <m/>
    <d v="2021-12-13T00:00:00"/>
    <d v="2021-12-13T00:00:00"/>
    <d v="2021-12-14T00:00:00"/>
    <m/>
    <d v="2022-07-25T00:00:00"/>
    <d v="2022-07-22T00:00:00"/>
    <d v="2022-08-25T00:00:00"/>
    <d v="2022-08-25T00:00:00"/>
    <d v="2022-08-25T00:00:00"/>
    <d v="2022-08-25T00:00:00"/>
    <m/>
    <m/>
    <m/>
    <s v="PELLET"/>
    <s v="Pascal"/>
    <n v="2"/>
    <n v="59852"/>
    <n v="139"/>
    <s v="Rue de Criel"/>
    <n v="38500"/>
    <x v="1"/>
    <n v="608474365"/>
    <s v="pascal.pellet38@orange.fr"/>
    <s v="PO"/>
    <m/>
    <m/>
    <m/>
    <m/>
    <m/>
    <m/>
    <x v="13"/>
    <x v="1"/>
    <s v="CHARREL"/>
    <s v="contact@fer-et-feu.fr"/>
    <s v="04 76 05 94 44"/>
    <m/>
    <s v="oui"/>
    <d v="2022-08-16T00:00:00"/>
    <s v="foyer ouvert"/>
    <n v="1982"/>
    <x v="0"/>
    <x v="0"/>
    <s v="RIKA DOMO"/>
    <s v="Multi Air 1"/>
    <n v="17.5"/>
    <n v="10"/>
    <n v="92.7"/>
    <n v="4.0000000000000001E-3"/>
    <s v="registre"/>
    <m/>
    <n v="7527"/>
    <m/>
    <m/>
    <m/>
    <n v="1939"/>
    <n v="9466"/>
    <n v="520.63"/>
    <n v="9986.6299999999992"/>
    <m/>
    <s v="non"/>
    <m/>
    <m/>
    <s v="ADEME 2021"/>
    <s v="NC"/>
  </r>
  <r>
    <x v="3"/>
    <n v="1"/>
    <x v="4"/>
    <x v="0"/>
    <s v="YC"/>
    <s v="VRB0316"/>
    <s v="600?"/>
    <d v="2021-12-07T00:00:00"/>
    <d v="2021-12-10T00:00:00"/>
    <d v="2021-12-13T00:00:00"/>
    <s v="Manque adresse RIB"/>
    <m/>
    <m/>
    <m/>
    <m/>
    <m/>
    <m/>
    <m/>
    <m/>
    <m/>
    <m/>
    <m/>
    <d v="2023-01-04T00:00:00"/>
    <s v="Dossier incomplet depuis plus de 6 mois"/>
    <s v="ZANIER"/>
    <s v="Gilles"/>
    <n v="3"/>
    <n v="53378"/>
    <n v="1"/>
    <s v="Rue du Murier"/>
    <n v="38430"/>
    <x v="2"/>
    <n v="476356998"/>
    <s v="gilles.zanier@free.fr"/>
    <s v="PO"/>
    <m/>
    <m/>
    <m/>
    <m/>
    <m/>
    <m/>
    <x v="6"/>
    <x v="6"/>
    <s v="FAURE"/>
    <s v="jacqu.cheminees@gmail.com"/>
    <s v="04 76 35 56 05"/>
    <m/>
    <s v="oui"/>
    <d v="2022-11-18T00:00:00"/>
    <s v="insert / foyer fermé"/>
    <n v="1991"/>
    <x v="0"/>
    <x v="1"/>
    <s v="DICK GEURTS par FONTE FLAMME"/>
    <s v="Vidar Wall"/>
    <n v="18"/>
    <n v="10.6"/>
    <n v="88"/>
    <n v="6.5000000000000002E-2"/>
    <s v="FV7"/>
    <m/>
    <n v="4018.93"/>
    <m/>
    <m/>
    <m/>
    <n v="675"/>
    <n v="4693.93"/>
    <n v="258.17"/>
    <n v="4952.1000000000004"/>
    <m/>
    <s v="non"/>
    <m/>
    <m/>
    <n v="0"/>
    <s v="NC"/>
  </r>
  <r>
    <x v="2"/>
    <n v="12"/>
    <x v="3"/>
    <x v="2"/>
    <s v="YC"/>
    <s v="VRB0317"/>
    <n v="1000"/>
    <d v="2021-12-09T00:00:00"/>
    <d v="2021-12-10T00:00:00"/>
    <d v="2021-12-20T00:00:00"/>
    <s v="-"/>
    <d v="2021-12-28T00:00:00"/>
    <d v="2021-12-28T00:00:00"/>
    <d v="2021-12-30T00:00:00"/>
    <m/>
    <d v="2022-09-15T00:00:00"/>
    <d v="2022-04-30T00:00:00"/>
    <s v="-"/>
    <d v="2022-09-29T00:00:00"/>
    <d v="2022-09-29T00:00:00"/>
    <d v="2022-09-29T00:00:00"/>
    <m/>
    <m/>
    <m/>
    <s v="BOUFFAR-ROUPE"/>
    <s v="Denis"/>
    <n v="1"/>
    <n v="10685"/>
    <n v="47"/>
    <s v="Rue de Charauze le Haut"/>
    <n v="38500"/>
    <x v="1"/>
    <n v="682001162"/>
    <s v="denisbouffar@gmail.com"/>
    <s v="PO"/>
    <m/>
    <m/>
    <m/>
    <m/>
    <m/>
    <m/>
    <x v="44"/>
    <x v="34"/>
    <s v="MORETTO"/>
    <s v="contact@cpc38.com"/>
    <s v="04 76 06 36 61"/>
    <m/>
    <s v="oui"/>
    <d v="2022-06-03T00:00:00"/>
    <s v="poêle"/>
    <n v="2000"/>
    <x v="0"/>
    <x v="1"/>
    <s v="GODIN"/>
    <s v="Grand Bois"/>
    <n v="28"/>
    <n v="10.5"/>
    <n v="75.599999999999994"/>
    <n v="0.12"/>
    <s v="FV7"/>
    <m/>
    <n v="3725.46"/>
    <m/>
    <m/>
    <m/>
    <n v="1206"/>
    <n v="4931.46"/>
    <n v="271.2303"/>
    <n v="5202.6903000000002"/>
    <n v="5202.6899999999996"/>
    <s v="non"/>
    <m/>
    <m/>
    <s v="ADEME 2021"/>
    <s v="NC"/>
  </r>
  <r>
    <x v="2"/>
    <n v="12"/>
    <x v="3"/>
    <x v="1"/>
    <s v="YC"/>
    <s v="VRB0318"/>
    <n v="600"/>
    <d v="2021-12-09T00:00:00"/>
    <d v="2021-12-10T00:00:00"/>
    <d v="2021-12-13T00:00:00"/>
    <m/>
    <d v="2021-12-21T00:00:00"/>
    <d v="2021-12-21T00:00:00"/>
    <d v="2021-12-23T00:00:00"/>
    <m/>
    <d v="2022-01-19T00:00:00"/>
    <d v="2022-01-14T00:00:00"/>
    <d v="2022-02-01T00:00:00"/>
    <d v="2022-02-14T00:00:00"/>
    <d v="2022-02-14T00:00:00"/>
    <d v="2022-02-15T00:00:00"/>
    <m/>
    <m/>
    <m/>
    <s v="MASSA"/>
    <s v="Jean-Louis"/>
    <n v="2"/>
    <n v="37262"/>
    <n v="125"/>
    <s v="Impasse du Bardonnet"/>
    <n v="38850"/>
    <x v="9"/>
    <n v="637948651"/>
    <s v="odile.b17@orange.fr"/>
    <s v="PO"/>
    <m/>
    <m/>
    <m/>
    <m/>
    <m/>
    <m/>
    <x v="45"/>
    <x v="36"/>
    <s v="VALVERDE Guillaume"/>
    <s v="hdegvalverde@gmail.com"/>
    <n v="620314146"/>
    <s v=" "/>
    <s v="oui"/>
    <d v="2022-01-17T00:00:00"/>
    <s v="foyer ouvert"/>
    <n v="1989"/>
    <x v="0"/>
    <x v="1"/>
    <s v="SUPRA"/>
    <s v="Arthur"/>
    <n v="40"/>
    <n v="7"/>
    <n v="78"/>
    <n v="0.12"/>
    <s v="FV7"/>
    <m/>
    <n v="2350"/>
    <m/>
    <m/>
    <m/>
    <n v="690"/>
    <n v="3040"/>
    <n v="167.2"/>
    <n v="3207.2"/>
    <n v="3207.2"/>
    <s v="oui"/>
    <m/>
    <m/>
    <s v="ADEME 2021"/>
    <s v="NC"/>
  </r>
  <r>
    <x v="4"/>
    <n v="1"/>
    <x v="3"/>
    <x v="2"/>
    <s v="EG"/>
    <s v="VRB0319"/>
    <n v="1000"/>
    <d v="2021-12-13T00:00:00"/>
    <d v="2021-12-16T00:00:00"/>
    <m/>
    <m/>
    <d v="2022-01-12T00:00:00"/>
    <d v="2022-01-13T00:00:00"/>
    <d v="2022-01-14T00:00:00"/>
    <m/>
    <d v="2022-02-22T00:00:00"/>
    <d v="2021-12-31T00:00:00"/>
    <m/>
    <d v="2022-02-24T00:00:00"/>
    <d v="2022-02-24T00:00:00"/>
    <d v="2022-02-25T00:00:00"/>
    <m/>
    <m/>
    <m/>
    <s v="GIUGIALE"/>
    <s v="Catherine"/>
    <n v="4"/>
    <n v="33581"/>
    <n v="878"/>
    <s v="Route de la Caillatière"/>
    <n v="38620"/>
    <x v="32"/>
    <n v="630311544"/>
    <s v="catherine.giugiale@gmail.com"/>
    <s v="PO"/>
    <m/>
    <m/>
    <m/>
    <m/>
    <m/>
    <m/>
    <x v="0"/>
    <x v="0"/>
    <s v="CARRE François"/>
    <s v="f.carre@carre-f.com"/>
    <s v="04 76 37 03 50"/>
    <s v="-"/>
    <s v="oui  "/>
    <d v="2022-09-17T00:00:00"/>
    <s v="poêle"/>
    <n v="1990"/>
    <x v="0"/>
    <x v="0"/>
    <s v="PALAZZETTI"/>
    <s v="ECOFIRE ANDRES"/>
    <n v="11"/>
    <n v="12"/>
    <n v="89"/>
    <n v="9.0399999999999994E-3"/>
    <s v="FV7"/>
    <m/>
    <n v="5838"/>
    <m/>
    <m/>
    <m/>
    <n v="790"/>
    <n v="6628"/>
    <n v="364.54"/>
    <n v="6992.54"/>
    <n v="6992.54"/>
    <s v="oui"/>
    <m/>
    <m/>
    <s v="ADEME 2022"/>
    <s v="Facturation AGEDEN 2022"/>
  </r>
  <r>
    <x v="4"/>
    <n v="3"/>
    <x v="3"/>
    <x v="1"/>
    <s v="EG"/>
    <s v="VRB0320"/>
    <n v="600"/>
    <d v="2021-12-15T00:00:00"/>
    <d v="2021-12-16T00:00:00"/>
    <d v="2022-01-12T00:00:00"/>
    <s v="appareil non labélisé"/>
    <d v="2022-03-10T00:00:00"/>
    <d v="2022-03-10T00:00:00"/>
    <d v="2022-03-15T00:00:00"/>
    <m/>
    <d v="2022-07-08T00:00:00"/>
    <d v="2022-06-03T00:00:00"/>
    <s v="-"/>
    <d v="2022-07-27T00:00:00"/>
    <d v="2022-07-27T00:00:00"/>
    <d v="2022-07-28T00:00:00"/>
    <m/>
    <m/>
    <m/>
    <s v="SAILLARD"/>
    <s v="Alain"/>
    <n v="2"/>
    <n v="96462"/>
    <n v="448"/>
    <s v="Avenue André Malraux"/>
    <n v="38460"/>
    <x v="17"/>
    <n v="637377161"/>
    <s v="alain.saillard@orange.fr"/>
    <s v="PO"/>
    <m/>
    <m/>
    <m/>
    <m/>
    <m/>
    <m/>
    <x v="11"/>
    <x v="2"/>
    <s v="GRATIER Pascal"/>
    <s v="grenoble@hase-boutique.fr"/>
    <n v="476452433"/>
    <s v="-"/>
    <s v="oui"/>
    <d v="2022-02-28T00:00:00"/>
    <s v="foyer ouvert"/>
    <n v="1986"/>
    <x v="0"/>
    <x v="0"/>
    <s v="THERMOROSSI"/>
    <s v="POPSTAR 10"/>
    <n v="13"/>
    <n v="9.6300000000000008"/>
    <n v="84.5"/>
    <n v="111"/>
    <s v="registre"/>
    <m/>
    <n v="4897.1699999999992"/>
    <m/>
    <m/>
    <m/>
    <n v="904"/>
    <n v="5801.1699999999992"/>
    <n v="319.06434999999993"/>
    <n v="6120.2343499999988"/>
    <n v="6119.2347499999996"/>
    <s v="oui"/>
    <m/>
    <m/>
    <s v="ADEME 2022"/>
    <s v="Facturation AGEDEN 2022"/>
  </r>
  <r>
    <x v="4"/>
    <n v="1"/>
    <x v="3"/>
    <x v="1"/>
    <s v="EG"/>
    <s v="VRB0321"/>
    <n v="600"/>
    <d v="2021-12-15T00:00:00"/>
    <d v="2021-12-16T00:00:00"/>
    <d v="2022-01-12T00:00:00"/>
    <s v="photo en plan large"/>
    <d v="2022-01-24T00:00:00"/>
    <d v="2022-01-24T00:00:00"/>
    <d v="2022-01-26T00:00:00"/>
    <m/>
    <d v="2022-09-28T00:00:00"/>
    <d v="2022-02-18T00:00:00"/>
    <s v="-"/>
    <d v="2022-11-08T00:00:00"/>
    <d v="2022-11-08T00:00:00"/>
    <d v="2022-11-14T00:00:00"/>
    <m/>
    <m/>
    <m/>
    <s v="FREYCHET"/>
    <s v="Guillaume&amp;Blandine"/>
    <n v="3"/>
    <n v="63000"/>
    <s v="43A"/>
    <s v="Rue du Pomarin"/>
    <n v="38500"/>
    <x v="4"/>
    <n v="670130367"/>
    <s v="blandine.freychet@gmail.com"/>
    <s v="PO"/>
    <m/>
    <m/>
    <m/>
    <m/>
    <m/>
    <m/>
    <x v="5"/>
    <x v="5"/>
    <s v="GEORGES Josselin"/>
    <s v="godin-grenoble@orange.fr"/>
    <s v="04 38 02 19 01"/>
    <s v="-"/>
    <s v="oui"/>
    <d v="2022-03-21T00:00:00"/>
    <s v="insert / foyer fermé"/>
    <n v="1980"/>
    <x v="0"/>
    <x v="1"/>
    <s v="CHEMINEES GODIN"/>
    <s v="BOISSET 8kW"/>
    <n v="29"/>
    <n v="7.5"/>
    <n v="75"/>
    <n v="7.5600000000000001E-2"/>
    <s v="FV7"/>
    <m/>
    <n v="9808"/>
    <m/>
    <m/>
    <m/>
    <n v="1241"/>
    <n v="11049"/>
    <n v="607.69500000000005"/>
    <n v="11656.695"/>
    <n v="11656"/>
    <s v="non"/>
    <m/>
    <m/>
    <s v="ADEME 2022"/>
    <s v="Facturation AGEDEN 2022"/>
  </r>
  <r>
    <x v="4"/>
    <n v="1"/>
    <x v="3"/>
    <x v="1"/>
    <s v="EG"/>
    <s v="VRB0322"/>
    <n v="600"/>
    <d v="2021-12-16T00:00:00"/>
    <d v="2021-12-16T00:00:00"/>
    <d v="2022-01-12T00:00:00"/>
    <s v="mail installateur pour confirmation matériel"/>
    <d v="2022-01-13T00:00:00"/>
    <d v="2022-01-13T00:00:00"/>
    <d v="2022-01-14T00:00:00"/>
    <m/>
    <d v="2022-12-06T00:00:00"/>
    <d v="2022-11-24T00:00:00"/>
    <s v="demande de versement"/>
    <d v="2023-01-06T00:00:00"/>
    <d v="2023-01-06T00:00:00"/>
    <m/>
    <m/>
    <m/>
    <m/>
    <s v="TROUILLETON"/>
    <s v="Luc "/>
    <n v="2"/>
    <n v="29582"/>
    <n v="2191"/>
    <s v="Route du Grand Bois"/>
    <n v="38620"/>
    <x v="0"/>
    <n v="674559419"/>
    <s v="trouilleton@free.fr"/>
    <s v="PO"/>
    <m/>
    <m/>
    <m/>
    <m/>
    <m/>
    <m/>
    <x v="9"/>
    <x v="37"/>
    <s v="DURANTON Patrick"/>
    <s v="contact@passionflamme.fr"/>
    <s v="04 12 04 25 25"/>
    <s v="-"/>
    <s v="oui"/>
    <d v="2022-05-06T00:00:00"/>
    <s v="insert / foyer fermé"/>
    <n v="1999"/>
    <x v="0"/>
    <x v="0"/>
    <s v="NOBIS"/>
    <s v="A10 C ROUND TOP"/>
    <n v="14"/>
    <n v="9.1"/>
    <n v="90.2"/>
    <s v="0.00248"/>
    <s v="FV7"/>
    <m/>
    <n v="4947.67"/>
    <m/>
    <m/>
    <m/>
    <n v="695"/>
    <n v="5642.67"/>
    <n v="310.34685000000002"/>
    <n v="5953.01685"/>
    <n v="5953.02"/>
    <s v="non"/>
    <m/>
    <m/>
    <s v="ADEME 2022"/>
    <s v="Facturation AGEDEN 2022"/>
  </r>
  <r>
    <x v="4"/>
    <n v="3"/>
    <x v="3"/>
    <x v="1"/>
    <s v="EG"/>
    <s v="VRB0323"/>
    <n v="600"/>
    <d v="2021-12-16T00:00:00"/>
    <d v="2021-12-16T00:00:00"/>
    <d v="2022-01-12T00:00:00"/>
    <s v="photo en plan large (ok) + RIB bonne adresse"/>
    <d v="2022-03-04T00:00:00"/>
    <d v="2022-03-04T00:00:00"/>
    <d v="2022-03-08T00:00:00"/>
    <m/>
    <d v="2022-05-16T00:00:00"/>
    <d v="2022-04-28T00:00:00"/>
    <s v="-"/>
    <d v="2022-07-27T00:00:00"/>
    <d v="2022-07-27T00:00:00"/>
    <d v="2022-07-28T00:00:00"/>
    <m/>
    <m/>
    <m/>
    <s v="PIN"/>
    <s v="Pascal"/>
    <n v="2"/>
    <n v="49422"/>
    <n v="100"/>
    <s v="Chemin du Referon"/>
    <n v="38340"/>
    <x v="17"/>
    <n v="673385187"/>
    <s v="pin-pascal@hotmail.fr"/>
    <s v="PO"/>
    <m/>
    <m/>
    <m/>
    <m/>
    <m/>
    <m/>
    <x v="35"/>
    <x v="3"/>
    <s v="CARUANA Anthony"/>
    <s v="contact.echirolles@alp-confort.fr"/>
    <n v="438920220"/>
    <s v="-"/>
    <s v="oui"/>
    <d v="2022-04-17T00:00:00"/>
    <s v="insert / foyer fermé"/>
    <n v="1993"/>
    <x v="0"/>
    <x v="1"/>
    <s v="JOTUL"/>
    <s v="F370 ADVANCE"/>
    <n v="4"/>
    <n v="6.8"/>
    <n v="78"/>
    <n v="5.8479999999999997E-2"/>
    <s v="FV7"/>
    <m/>
    <n v="6134.95"/>
    <m/>
    <m/>
    <m/>
    <n v="1093.67"/>
    <n v="7228.62"/>
    <n v="397.57409999999999"/>
    <n v="7626.1940999999997"/>
    <n v="7626.19"/>
    <s v="oui"/>
    <m/>
    <m/>
    <s v="ADEME 2022"/>
    <s v="Facturation AGEDEN 2022"/>
  </r>
  <r>
    <x v="4"/>
    <n v="1"/>
    <x v="3"/>
    <x v="1"/>
    <s v="YC"/>
    <s v="VRB0324"/>
    <n v="600"/>
    <d v="2021-12-21T00:00:00"/>
    <d v="2021-12-22T00:00:00"/>
    <d v="2021-12-28T00:00:00"/>
    <m/>
    <d v="2022-01-17T00:00:00"/>
    <d v="2022-01-17T00:00:00"/>
    <d v="2022-01-21T00:00:00"/>
    <m/>
    <d v="2022-04-26T00:00:00"/>
    <d v="2022-02-22T00:00:00"/>
    <m/>
    <d v="2022-04-28T00:00:00"/>
    <d v="2022-04-28T00:00:00"/>
    <d v="2022-04-28T00:00:00"/>
    <m/>
    <m/>
    <m/>
    <s v="FERRARO"/>
    <s v="Calogero"/>
    <n v="2"/>
    <n v="79397"/>
    <n v="19"/>
    <s v="Impasse des Cyprès"/>
    <n v="38500"/>
    <x v="13"/>
    <n v="682430060"/>
    <s v="ferraro.calogero@free.fr"/>
    <s v="PO"/>
    <m/>
    <m/>
    <m/>
    <m/>
    <m/>
    <m/>
    <x v="1"/>
    <x v="1"/>
    <s v="LIDEL"/>
    <s v="jlc.services@orange.fr"/>
    <s v="04 76 07 14 61"/>
    <s v=" "/>
    <s v="oui"/>
    <d v="2022-11-03T00:00:00"/>
    <s v="foyer ouvert"/>
    <n v="1980"/>
    <x v="0"/>
    <x v="1"/>
    <s v="DRU PAR FONTE FLAMME"/>
    <s v="Fonte flamme 78 CB"/>
    <n v="15"/>
    <n v="11"/>
    <n v="80"/>
    <n v="8.7999999999999995E-2"/>
    <s v="FV7"/>
    <m/>
    <n v="3375.44"/>
    <m/>
    <m/>
    <m/>
    <n v="460"/>
    <n v="3835.44"/>
    <n v="210.94919999999999"/>
    <n v="4046.3892000000001"/>
    <n v="4046.39"/>
    <s v="oui"/>
    <m/>
    <m/>
    <s v="ADEME 2022"/>
    <s v="Facturation AGEDEN 2022"/>
  </r>
  <r>
    <x v="2"/>
    <n v="12"/>
    <x v="3"/>
    <x v="1"/>
    <s v="YC"/>
    <s v="VRB0325"/>
    <n v="600"/>
    <d v="2021-12-21T00:00:00"/>
    <d v="2021-12-22T00:00:00"/>
    <d v="2021-12-28T00:00:00"/>
    <m/>
    <d v="2021-12-30T00:00:00"/>
    <d v="2021-12-30T00:00:00"/>
    <d v="2022-01-04T00:00:00"/>
    <m/>
    <d v="2022-03-17T00:00:00"/>
    <d v="2022-01-27T00:00:00"/>
    <m/>
    <d v="2022-03-30T00:00:00"/>
    <d v="2022-03-30T00:00:00"/>
    <d v="2022-04-01T00:00:00"/>
    <m/>
    <m/>
    <m/>
    <s v="TIRMAN"/>
    <s v="Dominique"/>
    <n v="1"/>
    <n v="32719"/>
    <n v="190"/>
    <s v="Passage de Chassigneu"/>
    <n v="38730"/>
    <x v="5"/>
    <n v="777055592"/>
    <s v="domitirman@yahoo.fr"/>
    <s v="PO"/>
    <m/>
    <m/>
    <m/>
    <m/>
    <m/>
    <m/>
    <x v="39"/>
    <x v="30"/>
    <s v="Bargel"/>
    <s v="jonathan.bargel@philippeisere.fr"/>
    <s v="06 79 53 46 45"/>
    <m/>
    <s v="oui"/>
    <d v="2022-06-19T00:00:00"/>
    <s v="insert / foyer fermé"/>
    <n v="1980"/>
    <x v="0"/>
    <x v="0"/>
    <s v="Cheminées Philippe Sevrey"/>
    <s v="Cheminées Philippe Sevrey"/>
    <n v="15"/>
    <n v="8"/>
    <n v="90.9"/>
    <n v="0.01"/>
    <s v="FV7"/>
    <m/>
    <n v="5544.96"/>
    <m/>
    <m/>
    <m/>
    <n v="785"/>
    <n v="6329.96"/>
    <n v="348.14780000000002"/>
    <n v="6678.1077999999998"/>
    <n v="6189"/>
    <s v="oui"/>
    <m/>
    <m/>
    <s v="ADEME 2021"/>
    <s v="NC"/>
  </r>
  <r>
    <x v="4"/>
    <n v="1"/>
    <x v="3"/>
    <x v="1"/>
    <s v="YC"/>
    <s v="VRB0326"/>
    <n v="600"/>
    <d v="2021-12-21T00:00:00"/>
    <d v="2021-12-22T00:00:00"/>
    <d v="2021-12-28T00:00:00"/>
    <s v="-"/>
    <d v="2022-01-05T00:00:00"/>
    <d v="2022-01-05T00:00:00"/>
    <d v="2022-01-11T00:00:00"/>
    <m/>
    <d v="2022-03-03T00:00:00"/>
    <d v="2022-01-31T00:00:00"/>
    <s v="-"/>
    <d v="2022-03-10T00:00:00"/>
    <d v="2022-03-10T00:00:00"/>
    <d v="2022-03-10T00:00:00"/>
    <m/>
    <m/>
    <m/>
    <s v="CHARRETON-BOLLOMION"/>
    <s v="Jean"/>
    <n v="2"/>
    <n v="30234"/>
    <n v="94"/>
    <s v="Route des Brosses"/>
    <n v="38620"/>
    <x v="31"/>
    <n v="617385935"/>
    <s v="cecileraoul.charreton@gmail.com"/>
    <s v="PO"/>
    <m/>
    <m/>
    <m/>
    <m/>
    <m/>
    <m/>
    <x v="0"/>
    <x v="0"/>
    <s v="Carre Francois"/>
    <s v="f.carre@carre-f.com"/>
    <s v="04 76 37 03 50"/>
    <m/>
    <s v="oui"/>
    <d v="2022-09-17T00:00:00"/>
    <s v="cuisinière"/>
    <n v="1994"/>
    <x v="0"/>
    <x v="0"/>
    <s v="PALAZZETTI"/>
    <s v="Ecofire Isabel 9 US"/>
    <n v="15"/>
    <n v="9"/>
    <n v="91"/>
    <n v="3.0000000000000001E-3"/>
    <s v="FV7"/>
    <m/>
    <n v="4181.5"/>
    <m/>
    <m/>
    <m/>
    <n v="790"/>
    <n v="4971.5"/>
    <n v="273.4325"/>
    <n v="5244.9324999999999"/>
    <n v="5244.93"/>
    <s v="oui"/>
    <m/>
    <m/>
    <s v="ADEME 2022"/>
    <s v="Facturation AGEDEN 2022"/>
  </r>
  <r>
    <x v="3"/>
    <n v="1"/>
    <x v="4"/>
    <x v="0"/>
    <s v="YC"/>
    <s v="VRB0327"/>
    <s v="-"/>
    <d v="2021-12-20T00:00:00"/>
    <d v="2021-12-30T00:00:00"/>
    <m/>
    <m/>
    <m/>
    <m/>
    <m/>
    <m/>
    <m/>
    <m/>
    <m/>
    <m/>
    <m/>
    <m/>
    <m/>
    <d v="2021-12-30T00:00:00"/>
    <s v="chgt poele a fioul"/>
    <s v="RAKOTO"/>
    <s v="Ymelda"/>
    <n v="2"/>
    <n v="19476"/>
    <n v="10"/>
    <s v="Rue des Battoirs"/>
    <n v="38210"/>
    <x v="15"/>
    <s v="06 01 77 11 28"/>
    <s v="R.ymelda@yahoo.fr"/>
    <s v="PO"/>
    <m/>
    <m/>
    <m/>
    <m/>
    <m/>
    <m/>
    <x v="46"/>
    <x v="38"/>
    <m/>
    <m/>
    <m/>
    <m/>
    <m/>
    <m/>
    <m/>
    <m/>
    <x v="4"/>
    <x v="2"/>
    <m/>
    <m/>
    <m/>
    <m/>
    <m/>
    <m/>
    <m/>
    <m/>
    <m/>
    <m/>
    <m/>
    <m/>
    <m/>
    <n v="0"/>
    <n v="0"/>
    <n v="0"/>
    <m/>
    <m/>
    <m/>
    <m/>
    <n v="0"/>
    <s v="NC"/>
  </r>
  <r>
    <x v="0"/>
    <e v="#VALUE!"/>
    <x v="4"/>
    <x v="0"/>
    <s v="YC"/>
    <s v="VRB0328"/>
    <s v="600?"/>
    <d v="2021-12-23T00:00:00"/>
    <d v="2021-12-30T00:00:00"/>
    <d v="2021-12-30T00:00:00"/>
    <s v="photo en fonctionnement"/>
    <s v="-"/>
    <s v="-"/>
    <s v="-"/>
    <m/>
    <s v="-"/>
    <s v="-"/>
    <s v="-"/>
    <s v="-"/>
    <s v="-"/>
    <s v="-"/>
    <m/>
    <d v="2022-04-11T00:00:00"/>
    <s v="foyer ouvert non fonctionnel"/>
    <s v="BERTAULT"/>
    <s v="Guillaume"/>
    <n v="4"/>
    <n v="56750"/>
    <n v="1"/>
    <s v="Rue de la Tour"/>
    <n v="38500"/>
    <x v="4"/>
    <s v="06 69 13 83 21"/>
    <s v="anaelle.pierre@gmail.com"/>
    <s v="PO"/>
    <m/>
    <m/>
    <m/>
    <m/>
    <m/>
    <m/>
    <x v="2"/>
    <x v="2"/>
    <s v="DIDIER"/>
    <s v="jcduo@orange.fr"/>
    <s v="04 38 02 90 38"/>
    <m/>
    <s v="oui"/>
    <d v="2022-08-09T00:00:00"/>
    <s v="foyer ouvert"/>
    <n v="1990"/>
    <x v="0"/>
    <x v="1"/>
    <s v="Contura"/>
    <s v="510 Style"/>
    <n v="26"/>
    <n v="6.2"/>
    <n v="79"/>
    <n v="0.08"/>
    <s v="FV7"/>
    <m/>
    <n v="5700.47"/>
    <m/>
    <m/>
    <m/>
    <n v="949.76"/>
    <n v="6650.2300000000005"/>
    <n v="365.76265000000001"/>
    <n v="7016"/>
    <m/>
    <s v="non"/>
    <m/>
    <m/>
    <n v="0"/>
    <s v="NC"/>
  </r>
  <r>
    <x v="2"/>
    <n v="12"/>
    <x v="3"/>
    <x v="1"/>
    <s v="YC"/>
    <s v="VRB0329"/>
    <n v="600"/>
    <d v="2021-12-30T00:00:00"/>
    <d v="2021-12-30T00:00:00"/>
    <m/>
    <m/>
    <d v="2021-12-30T00:00:00"/>
    <d v="2021-12-30T00:00:00"/>
    <d v="2022-01-04T00:00:00"/>
    <m/>
    <d v="2022-04-06T00:00:00"/>
    <m/>
    <s v="Manque ftre acquittée + date sur facture (ok le 16/4/22)"/>
    <d v="2022-04-26T00:00:00"/>
    <d v="2022-04-26T00:00:00"/>
    <d v="2022-04-26T00:00:00"/>
    <m/>
    <m/>
    <m/>
    <s v="CHEVRET"/>
    <s v="Hervé"/>
    <n v="3"/>
    <n v="43258"/>
    <n v="34"/>
    <s v="Chemin de la croix des rajans"/>
    <n v="38620"/>
    <x v="34"/>
    <s v="06 27 73 30 91"/>
    <s v="ets.chevret@orange.fr"/>
    <s v="PO"/>
    <m/>
    <m/>
    <m/>
    <m/>
    <m/>
    <m/>
    <x v="7"/>
    <x v="35"/>
    <s v="Pierre"/>
    <s v="voiron@techni-nature.com"/>
    <s v="09 51 09 63 43"/>
    <m/>
    <s v="oui"/>
    <d v="2022-08-25T00:00:00"/>
    <s v="insert / foyer fermé"/>
    <n v="2001"/>
    <x v="0"/>
    <x v="0"/>
    <s v="INOVALP"/>
    <s v="H6 Eclipse"/>
    <n v="20"/>
    <n v="7.9"/>
    <n v="89"/>
    <n v="1.7999999999999999E-2"/>
    <s v="FV7"/>
    <m/>
    <n v="8253"/>
    <m/>
    <m/>
    <m/>
    <n v="870"/>
    <n v="9123"/>
    <n v="501.76499999999999"/>
    <n v="9624.7649999999994"/>
    <n v="8965.39"/>
    <s v="non"/>
    <m/>
    <m/>
    <s v="ADEME 2021"/>
    <s v="NC"/>
  </r>
  <r>
    <x v="4"/>
    <n v="1"/>
    <x v="3"/>
    <x v="2"/>
    <s v="YC"/>
    <s v="VRB0330"/>
    <n v="1000"/>
    <d v="2021-12-30T00:00:00"/>
    <d v="2022-01-05T00:00:00"/>
    <d v="2021-12-30T00:00:00"/>
    <m/>
    <d v="2022-01-05T00:00:00"/>
    <d v="2022-01-05T00:00:00"/>
    <d v="2022-01-11T00:00:00"/>
    <m/>
    <d v="2022-04-11T00:00:00"/>
    <d v="2022-03-25T00:00:00"/>
    <m/>
    <d v="2022-04-14T00:00:00"/>
    <d v="2022-04-14T00:00:00"/>
    <d v="2022-04-15T00:00:00"/>
    <m/>
    <m/>
    <m/>
    <s v="LUESMA"/>
    <s v="Monique"/>
    <n v="1"/>
    <n v="3150"/>
    <n v="30"/>
    <s v="Les Horizons I Cressonniere"/>
    <n v="38210"/>
    <x v="15"/>
    <s v="06 79 17 72 76"/>
    <s v="jmluesma@orange.fr"/>
    <s v="PO"/>
    <m/>
    <m/>
    <m/>
    <m/>
    <m/>
    <m/>
    <x v="7"/>
    <x v="35"/>
    <s v="Pierre"/>
    <s v="voiron@techni-nature.com"/>
    <s v="09 51 09 63 43"/>
    <m/>
    <s v="oui"/>
    <d v="2022-08-25T00:00:00"/>
    <s v="insert / foyer fermé"/>
    <n v="1985"/>
    <x v="0"/>
    <x v="0"/>
    <s v="INOVALP"/>
    <s v="H7 classic droit"/>
    <n v="20"/>
    <n v="8.3000000000000007"/>
    <n v="89"/>
    <n v="1.7999999999999999E-2"/>
    <s v="FV7"/>
    <m/>
    <n v="6671.25"/>
    <m/>
    <m/>
    <m/>
    <n v="630"/>
    <n v="7301.25"/>
    <n v="401.56875000000002"/>
    <n v="7702.8187500000004"/>
    <n v="6700"/>
    <s v="oui"/>
    <m/>
    <m/>
    <s v="ADEME 2022"/>
    <s v="Facturation AGEDEN 2022"/>
  </r>
  <r>
    <x v="4"/>
    <n v="2"/>
    <x v="3"/>
    <x v="2"/>
    <s v="YC"/>
    <s v="VRB0331"/>
    <n v="1000"/>
    <d v="2022-01-03T00:00:00"/>
    <m/>
    <d v="2022-01-05T00:00:00"/>
    <s v="photo plan + large / Date sur les devis…. Ok l e31/01/22"/>
    <d v="2022-02-09T00:00:00"/>
    <d v="2022-02-09T00:00:00"/>
    <d v="2022-02-14T00:00:00"/>
    <m/>
    <d v="2022-03-04T00:00:00"/>
    <d v="2022-02-21T00:00:00"/>
    <s v="-"/>
    <d v="2022-03-10T00:00:00"/>
    <d v="2022-03-10T00:00:00"/>
    <d v="2022-03-10T00:00:00"/>
    <m/>
    <m/>
    <m/>
    <s v="THORIS"/>
    <s v="Muriel"/>
    <n v="1"/>
    <n v="16605"/>
    <n v="71"/>
    <s v="Chemin de l'étang Dauphin"/>
    <n v="38960"/>
    <x v="22"/>
    <s v="06 81 40 95 56"/>
    <s v="thoris.philippe@orange.fr"/>
    <s v="PO"/>
    <m/>
    <m/>
    <m/>
    <m/>
    <m/>
    <m/>
    <x v="7"/>
    <x v="35"/>
    <s v="Pierre"/>
    <s v="voiron@techni-nature.com"/>
    <s v="09 51 09 63 43"/>
    <m/>
    <s v="oui"/>
    <d v="2022-08-25T00:00:00"/>
    <s v="insert / foyer fermé"/>
    <n v="2001"/>
    <x v="0"/>
    <x v="0"/>
    <s v="PIAZZETTA"/>
    <s v="P158 / V19.1"/>
    <n v="15"/>
    <n v="8"/>
    <n v="87.1"/>
    <n v="4.7999999999999996E-3"/>
    <s v="FV7"/>
    <m/>
    <n v="5495.57"/>
    <m/>
    <m/>
    <m/>
    <n v="1070"/>
    <n v="6565.57"/>
    <n v="361.10634999999996"/>
    <n v="6926.6763499999997"/>
    <n v="6235.65"/>
    <s v="oui"/>
    <m/>
    <m/>
    <s v="ADEME 2022"/>
    <s v="Facturation AGEDEN 2022"/>
  </r>
  <r>
    <x v="4"/>
    <n v="1"/>
    <x v="3"/>
    <x v="1"/>
    <s v="YC"/>
    <s v="VRB0332"/>
    <n v="600"/>
    <d v="2022-01-04T00:00:00"/>
    <s v="-"/>
    <d v="2022-01-05T00:00:00"/>
    <s v="-"/>
    <d v="2022-01-17T00:00:00"/>
    <d v="2022-01-17T00:00:00"/>
    <d v="2022-01-21T00:00:00"/>
    <m/>
    <d v="2022-12-15T00:00:00"/>
    <d v="2022-12-12T00:00:00"/>
    <s v="-"/>
    <d v="2022-12-20T00:00:00"/>
    <d v="2022-12-20T00:00:00"/>
    <d v="2023-01-06T00:00:00"/>
    <m/>
    <m/>
    <m/>
    <s v="LIATARD"/>
    <s v="Stephane"/>
    <n v="2"/>
    <n v="36252"/>
    <n v="630"/>
    <s v="Allee du Charmay"/>
    <n v="38490"/>
    <x v="33"/>
    <s v="07 82 01 46 48"/>
    <s v="liatard38@gmail.com"/>
    <m/>
    <m/>
    <m/>
    <m/>
    <m/>
    <m/>
    <m/>
    <x v="15"/>
    <x v="9"/>
    <s v="Michel"/>
    <s v="enerlogis@orange.fr"/>
    <s v="04 79 75 09 79"/>
    <m/>
    <s v="oui"/>
    <d v="2022-08-25T00:00:00"/>
    <s v="insert / foyer fermé"/>
    <n v="1996"/>
    <x v="0"/>
    <x v="1"/>
    <s v="Oranier"/>
    <s v="Polar Neo W + "/>
    <n v="34"/>
    <n v="8"/>
    <n v="80.099999999999994"/>
    <n v="0.09"/>
    <s v="FV7"/>
    <m/>
    <n v="4551.13"/>
    <m/>
    <m/>
    <m/>
    <n v="760"/>
    <n v="5311.13"/>
    <n v="292.11214999999999"/>
    <n v="5603.24215"/>
    <n v="5603.24"/>
    <s v="NC"/>
    <m/>
    <m/>
    <s v="ADEME 2022"/>
    <s v="Facturation AGEDEN 2022"/>
  </r>
  <r>
    <x v="4"/>
    <n v="11"/>
    <x v="3"/>
    <x v="1"/>
    <s v="EG"/>
    <s v="VRB0333"/>
    <n v="600"/>
    <d v="2021-12-29T00:00:00"/>
    <d v="2022-01-11T00:00:00"/>
    <d v="2022-01-13T00:00:00"/>
    <s v="appareil non labélisé"/>
    <d v="2022-11-08T00:00:00"/>
    <d v="2022-11-08T00:00:00"/>
    <d v="2022-11-21T00:00:00"/>
    <m/>
    <d v="2022-12-20T00:00:00"/>
    <d v="2022-11-29T00:00:00"/>
    <s v="-"/>
    <d v="2022-12-30T00:00:00"/>
    <d v="2022-12-30T00:00:00"/>
    <d v="2023-01-06T00:00:00"/>
    <m/>
    <m/>
    <m/>
    <s v="GIRARD "/>
    <s v="Yvan et Annie"/>
    <n v="2"/>
    <n v="38975"/>
    <n v="488"/>
    <s v="Chemin de chubins "/>
    <n v="38730"/>
    <x v="35"/>
    <n v="609098895"/>
    <s v="girard.yvan@hotmail.fr"/>
    <s v="PO"/>
    <m/>
    <m/>
    <m/>
    <m/>
    <m/>
    <m/>
    <x v="12"/>
    <x v="8"/>
    <s v="AILLOUD Jérôme"/>
    <s v="sarlpab@orange.fr"/>
    <s v="04 37 06 45 66"/>
    <m/>
    <s v="oui"/>
    <d v="2023-03-13T00:00:00"/>
    <s v="insert / foyer fermé"/>
    <n v="1991"/>
    <x v="0"/>
    <x v="1"/>
    <s v="LA NORDICA"/>
    <s v="Gaia Forno"/>
    <n v="25"/>
    <n v="8"/>
    <n v="80.900000000000006"/>
    <n v="0.05"/>
    <s v="FV7"/>
    <m/>
    <n v="3667.8399999999997"/>
    <m/>
    <m/>
    <m/>
    <n v="815"/>
    <n v="4482.84"/>
    <n v="246.55620000000002"/>
    <n v="4729.3962000000001"/>
    <n v="4729.3999999999996"/>
    <s v="NC"/>
    <m/>
    <m/>
    <s v="ADEME 2022"/>
    <s v="Facturation AGEDEN 2022"/>
  </r>
  <r>
    <x v="3"/>
    <n v="1"/>
    <x v="4"/>
    <x v="0"/>
    <s v="EG"/>
    <s v="VRB0334"/>
    <s v="-"/>
    <d v="2021-12-28T00:00:00"/>
    <d v="2022-01-11T00:00:00"/>
    <d v="2022-01-13T00:00:00"/>
    <s v="RIB + Photo"/>
    <m/>
    <m/>
    <m/>
    <m/>
    <m/>
    <m/>
    <m/>
    <m/>
    <m/>
    <m/>
    <m/>
    <d v="2022-01-13T00:00:00"/>
    <s v="changement de radiateurs électriques"/>
    <s v="ISHAK"/>
    <s v="Bilel"/>
    <n v="5"/>
    <n v="26450"/>
    <n v="45"/>
    <s v="Impasse de la Pagere"/>
    <n v="38850"/>
    <x v="7"/>
    <n v="603483019"/>
    <s v="linda38180@gmail.com"/>
    <s v="PO"/>
    <m/>
    <m/>
    <m/>
    <m/>
    <m/>
    <m/>
    <x v="46"/>
    <x v="38"/>
    <m/>
    <m/>
    <m/>
    <m/>
    <m/>
    <m/>
    <m/>
    <m/>
    <x v="4"/>
    <x v="2"/>
    <m/>
    <m/>
    <m/>
    <m/>
    <m/>
    <m/>
    <m/>
    <m/>
    <m/>
    <m/>
    <m/>
    <m/>
    <m/>
    <n v="0"/>
    <n v="0"/>
    <n v="0"/>
    <m/>
    <m/>
    <m/>
    <m/>
    <n v="0"/>
    <s v="Refusé phase initiale"/>
  </r>
  <r>
    <x v="4"/>
    <n v="1"/>
    <x v="3"/>
    <x v="1"/>
    <s v="EG"/>
    <s v="VRB0335"/>
    <n v="600"/>
    <d v="2022-01-04T00:00:00"/>
    <d v="2022-01-11T00:00:00"/>
    <d v="2022-01-13T00:00:00"/>
    <s v="RIB"/>
    <d v="2022-01-24T00:00:00"/>
    <d v="2022-01-24T00:00:00"/>
    <d v="2022-01-26T00:00:00"/>
    <m/>
    <d v="2022-04-07T00:00:00"/>
    <d v="2022-04-04T00:00:00"/>
    <s v="-"/>
    <d v="2022-07-26T00:00:00"/>
    <d v="2022-07-26T00:00:00"/>
    <d v="2022-07-27T00:00:00"/>
    <m/>
    <m/>
    <m/>
    <s v="BAUDOIN"/>
    <s v="Henri"/>
    <n v="4"/>
    <n v="120285"/>
    <n v="7"/>
    <s v="rue Pre Joli"/>
    <n v="38500"/>
    <x v="1"/>
    <n v="674935643"/>
    <s v="baudoinhenri@yahoo.fr"/>
    <s v="PO"/>
    <m/>
    <m/>
    <m/>
    <m/>
    <m/>
    <m/>
    <x v="14"/>
    <x v="1"/>
    <s v="SIMON Frédéric"/>
    <s v="contact@ecvoiron.fr"/>
    <n v="476069938"/>
    <m/>
    <s v="oui"/>
    <d v="2022-09-18T00:00:00"/>
    <s v="foyer ouvert"/>
    <n v="1970"/>
    <x v="0"/>
    <x v="1"/>
    <s v="NORDPEIS"/>
    <s v="ME"/>
    <n v="40"/>
    <n v="5.3"/>
    <n v="75"/>
    <n v="0.1024"/>
    <s v="FV7"/>
    <m/>
    <n v="3999"/>
    <m/>
    <m/>
    <m/>
    <n v="270"/>
    <n v="4269"/>
    <n v="234.79499999999999"/>
    <n v="4503.7950000000001"/>
    <n v="4200"/>
    <s v="oui"/>
    <m/>
    <m/>
    <s v="ADEME 2022"/>
    <s v="Facturation AGEDEN 2022"/>
  </r>
  <r>
    <x v="4"/>
    <n v="2"/>
    <x v="3"/>
    <x v="1"/>
    <s v="EG"/>
    <s v="VRB0336"/>
    <n v="600"/>
    <d v="2022-01-07T00:00:00"/>
    <d v="2022-01-11T00:00:00"/>
    <d v="2022-01-13T00:00:00"/>
    <s v="Lettre sollicitation (ok) + Photo (ok le 24/1/22)"/>
    <d v="2022-02-09T00:00:00"/>
    <d v="2022-02-09T00:00:00"/>
    <d v="2022-01-14T00:00:00"/>
    <m/>
    <d v="2022-02-21T00:00:00"/>
    <d v="2022-02-17T00:00:00"/>
    <s v="Manque photo. Ok le 24/2/22"/>
    <d v="2022-03-02T00:00:00"/>
    <d v="2022-03-02T00:00:00"/>
    <d v="2022-03-03T00:00:00"/>
    <m/>
    <m/>
    <m/>
    <s v="TONNERIEUX"/>
    <s v="Helene"/>
    <n v="1"/>
    <n v="27820"/>
    <n v="147"/>
    <s v="Allee Paul Expertion"/>
    <n v="38140"/>
    <x v="6"/>
    <n v="632388276"/>
    <s v="helene-martinez@hotmail.fr"/>
    <s v="PO"/>
    <m/>
    <m/>
    <m/>
    <m/>
    <m/>
    <m/>
    <x v="33"/>
    <x v="26"/>
    <s v="GUILLAUD SAUMUR"/>
    <s v="latredauphinois@gmail.com"/>
    <n v="676354364"/>
    <s v="-"/>
    <s v="oui"/>
    <d v="2022-10-26T00:00:00"/>
    <s v="insert / foyer fermé"/>
    <s v="&lt;2002"/>
    <x v="0"/>
    <x v="0"/>
    <s v="KLOVER"/>
    <s v="Oblo"/>
    <n v="15"/>
    <n v="7.8"/>
    <n v="82"/>
    <m/>
    <s v="registre"/>
    <m/>
    <n v="4735.29"/>
    <m/>
    <m/>
    <m/>
    <n v="3411.46"/>
    <n v="8146.75"/>
    <n v="431.57"/>
    <n v="8578.32"/>
    <n v="8278.32"/>
    <s v="non"/>
    <m/>
    <m/>
    <s v="ADEME 2022"/>
    <s v="Facturation AGEDEN 2022"/>
  </r>
  <r>
    <x v="4"/>
    <n v="1"/>
    <x v="3"/>
    <x v="2"/>
    <s v="EG"/>
    <s v="VRB0337"/>
    <n v="1000"/>
    <d v="2022-01-06T00:00:00"/>
    <d v="2022-01-11T00:00:00"/>
    <m/>
    <m/>
    <d v="2022-01-13T00:00:00"/>
    <d v="2022-01-13T00:00:00"/>
    <d v="2022-01-14T00:00:00"/>
    <m/>
    <d v="2022-11-14T00:00:00"/>
    <d v="2022-09-22T00:00:00"/>
    <s v="-"/>
    <d v="2022-11-30T00:00:00"/>
    <d v="2022-11-30T00:00:00"/>
    <d v="2022-12-02T00:00:00"/>
    <m/>
    <m/>
    <m/>
    <s v="MICHALLET"/>
    <s v="Benoit"/>
    <n v="4"/>
    <n v="33455"/>
    <n v="1119"/>
    <s v="Chemin  de la Haute Veronnier"/>
    <n v="38620"/>
    <x v="16"/>
    <n v="607012457"/>
    <s v="benoit.michallet@gmail.com"/>
    <s v="PO"/>
    <m/>
    <m/>
    <m/>
    <m/>
    <m/>
    <m/>
    <x v="25"/>
    <x v="39"/>
    <s v="Bernard LASSALLE"/>
    <s v="aucoindufeu38@gmail.com"/>
    <s v="04 69 32 63 83"/>
    <m/>
    <s v="oui"/>
    <d v="2022-03-23T00:00:00"/>
    <s v="poêle"/>
    <n v="1980"/>
    <x v="0"/>
    <x v="0"/>
    <s v="RIKA"/>
    <s v="Paro Pellet"/>
    <n v="20"/>
    <n v="8"/>
    <n v="80.8"/>
    <s v="80 mg/Nm"/>
    <s v="registre"/>
    <m/>
    <n v="7721.74"/>
    <m/>
    <m/>
    <m/>
    <n v="480"/>
    <n v="8201.74"/>
    <n v="451.09569999999997"/>
    <n v="8652.8356999999996"/>
    <n v="8369.1883999999991"/>
    <s v="oui"/>
    <m/>
    <m/>
    <s v="ADEME 2022"/>
    <s v="Facturation AGEDEN 2022"/>
  </r>
  <r>
    <x v="4"/>
    <n v="1"/>
    <x v="3"/>
    <x v="2"/>
    <s v="EG"/>
    <s v="VRB0338"/>
    <n v="1000"/>
    <d v="2022-01-10T00:00:00"/>
    <d v="2022-01-11T00:00:00"/>
    <m/>
    <m/>
    <d v="2022-01-13T00:00:00"/>
    <d v="2022-01-13T00:00:00"/>
    <d v="2022-01-14T00:00:00"/>
    <m/>
    <d v="2022-05-16T00:00:00"/>
    <d v="2022-02-28T00:00:00"/>
    <s v="-"/>
    <d v="2022-07-26T00:00:00"/>
    <d v="2022-07-26T00:00:00"/>
    <d v="2022-07-27T00:00:00"/>
    <m/>
    <m/>
    <m/>
    <s v="DURAND"/>
    <s v="Yvane"/>
    <n v="2"/>
    <n v="12797"/>
    <n v="162"/>
    <s v="Impasse Plan et Ocarie"/>
    <n v="38850"/>
    <x v="9"/>
    <n v="612608342"/>
    <s v="y.durand@hotmail.fr"/>
    <s v="PO"/>
    <m/>
    <m/>
    <m/>
    <m/>
    <m/>
    <m/>
    <x v="0"/>
    <x v="0"/>
    <s v="Carre Francois"/>
    <s v="f.carre@carre-f.com"/>
    <s v="04 76 37 03 50"/>
    <m/>
    <s v="oui"/>
    <d v="2022-09-17T00:00:00"/>
    <s v="poêle"/>
    <n v="2000"/>
    <x v="0"/>
    <x v="0"/>
    <s v="PALAZZETTI"/>
    <s v="ECOFIRE BEATRICE 6"/>
    <n v="14"/>
    <n v="6.1"/>
    <n v="94.3"/>
    <n v="3.0400000000000002E-3"/>
    <s v="FV7"/>
    <m/>
    <n v="5273"/>
    <m/>
    <m/>
    <m/>
    <n v="790"/>
    <n v="6063"/>
    <n v="333.46499999999997"/>
    <n v="6396.4650000000001"/>
    <n v="6396.46"/>
    <s v="oui"/>
    <m/>
    <m/>
    <s v="ADEME 2022"/>
    <s v="Facturation AGEDEN 2022"/>
  </r>
  <r>
    <x v="4"/>
    <n v="1"/>
    <x v="3"/>
    <x v="2"/>
    <s v="EG"/>
    <s v="VRB0339"/>
    <n v="1000"/>
    <d v="2022-01-10T00:00:00"/>
    <d v="2022-01-11T00:00:00"/>
    <m/>
    <m/>
    <d v="2022-01-13T00:00:00"/>
    <d v="2022-01-13T00:00:00"/>
    <d v="2022-01-17T00:00:00"/>
    <m/>
    <d v="2022-05-16T00:00:00"/>
    <d v="2022-03-25T00:00:00"/>
    <s v="-"/>
    <d v="2022-07-26T00:00:00"/>
    <d v="2022-07-26T00:00:00"/>
    <d v="2022-07-27T00:00:00"/>
    <m/>
    <m/>
    <m/>
    <s v="DURAND"/>
    <s v="Yves"/>
    <n v="2"/>
    <n v="28413"/>
    <n v="72"/>
    <s v="Impasse Plan et Ocarie"/>
    <n v="38850"/>
    <x v="9"/>
    <n v="686174298"/>
    <s v="durand.yves38850@gmail.com"/>
    <s v="PO"/>
    <m/>
    <m/>
    <m/>
    <m/>
    <m/>
    <m/>
    <x v="0"/>
    <x v="0"/>
    <s v="Carre Francois"/>
    <s v="f.carre@carre-f.com"/>
    <s v="04 76 37 03 50"/>
    <m/>
    <s v="oui"/>
    <d v="2022-09-17T00:00:00"/>
    <s v="poêle"/>
    <n v="1998"/>
    <x v="0"/>
    <x v="0"/>
    <s v="PALAZZETTI"/>
    <s v="ECOFIRE BEATRICE 6"/>
    <n v="14"/>
    <n v="6.1"/>
    <n v="94.3"/>
    <n v="3.0400000000000002E-3"/>
    <s v="FV7"/>
    <m/>
    <n v="5273"/>
    <m/>
    <m/>
    <m/>
    <n v="790"/>
    <n v="6063"/>
    <n v="333.46499999999997"/>
    <n v="6396.4650000000001"/>
    <n v="6396.46"/>
    <s v="oui"/>
    <m/>
    <m/>
    <s v="ADEME 2022"/>
    <s v="Facturation AGEDEN 2022"/>
  </r>
  <r>
    <x v="3"/>
    <n v="1"/>
    <x v="4"/>
    <x v="0"/>
    <s v="EG"/>
    <s v="VRB0340"/>
    <m/>
    <d v="2022-01-10T00:00:00"/>
    <d v="2022-01-11T00:00:00"/>
    <d v="2022-01-13T00:00:00"/>
    <s v="RIB"/>
    <m/>
    <m/>
    <m/>
    <m/>
    <m/>
    <m/>
    <m/>
    <m/>
    <m/>
    <m/>
    <m/>
    <d v="2023-01-04T00:00:00"/>
    <s v="Dossier incomplet depuis plus de 6 mois"/>
    <s v="TARDY"/>
    <s v="Florent"/>
    <n v="2"/>
    <n v="32457"/>
    <n v="91"/>
    <s v="Fallanchere Lotissement du haut de salanchese"/>
    <n v="38620"/>
    <x v="31"/>
    <n v="609793383"/>
    <s v="tardy.florent38620@gmail.com"/>
    <s v="PO"/>
    <m/>
    <m/>
    <m/>
    <m/>
    <m/>
    <m/>
    <x v="46"/>
    <x v="38"/>
    <m/>
    <m/>
    <m/>
    <m/>
    <m/>
    <m/>
    <m/>
    <m/>
    <x v="4"/>
    <x v="2"/>
    <m/>
    <m/>
    <m/>
    <m/>
    <m/>
    <m/>
    <m/>
    <m/>
    <m/>
    <m/>
    <m/>
    <m/>
    <m/>
    <m/>
    <m/>
    <m/>
    <m/>
    <m/>
    <m/>
    <m/>
    <n v="0"/>
    <s v="Refusé phase initiale"/>
  </r>
  <r>
    <x v="4"/>
    <n v="2"/>
    <x v="3"/>
    <x v="2"/>
    <s v="EG"/>
    <s v="VRB0341"/>
    <n v="1000"/>
    <d v="2021-12-28T00:00:00"/>
    <d v="2022-01-17T00:00:00"/>
    <d v="2022-01-24T00:00:00"/>
    <s v="RIB + photo. Ok reçu le 26/1/22"/>
    <d v="2022-02-09T00:00:00"/>
    <d v="2022-02-09T00:00:00"/>
    <d v="2022-01-14T00:00:00"/>
    <m/>
    <d v="2022-05-30T00:00:00"/>
    <d v="2022-05-10T00:00:00"/>
    <s v="-"/>
    <d v="2022-07-26T00:00:00"/>
    <d v="2022-07-26T00:00:00"/>
    <d v="2022-07-27T00:00:00"/>
    <m/>
    <m/>
    <m/>
    <s v="LHUAIRE"/>
    <s v="Jean-Charles et Stéphanie"/>
    <n v="3"/>
    <n v="29404"/>
    <n v="149"/>
    <s v="route de Montclair- 6 lotissement le CHABLIS"/>
    <n v="38850"/>
    <x v="7"/>
    <n v="644200980"/>
    <s v="stephanie.lhuaire@gmail.com"/>
    <s v="PO"/>
    <m/>
    <m/>
    <m/>
    <m/>
    <m/>
    <m/>
    <x v="2"/>
    <x v="2"/>
    <s v="DIDIER Léo"/>
    <s v="jcduo@orange.fr"/>
    <s v="06 77 98 83 88"/>
    <m/>
    <s v="oui"/>
    <d v="2022-08-09T00:00:00"/>
    <s v="insert / foyer fermé"/>
    <n v="1981"/>
    <x v="0"/>
    <x v="0"/>
    <s v=" MORETTI FIRE"/>
    <s v="Relax 8"/>
    <n v="30"/>
    <n v="8"/>
    <n v="86.6"/>
    <m/>
    <s v="registre"/>
    <m/>
    <n v="4530"/>
    <m/>
    <m/>
    <m/>
    <n v="1030"/>
    <n v="4891"/>
    <n v="269"/>
    <n v="5160"/>
    <n v="5160"/>
    <s v="oui"/>
    <m/>
    <m/>
    <s v="ADEME 2022"/>
    <s v="Facturation AGEDEN 2022"/>
  </r>
  <r>
    <x v="4"/>
    <n v="3"/>
    <x v="3"/>
    <x v="1"/>
    <s v="SV"/>
    <s v="VRB0342"/>
    <n v="600"/>
    <d v="2022-01-19T00:00:00"/>
    <d v="2022-02-01T00:00:00"/>
    <m/>
    <s v="Pb d'adresse avec les Impots. Ok de la CAPV le 2/3/22"/>
    <d v="2022-03-03T00:00:00"/>
    <d v="2022-03-03T00:00:00"/>
    <d v="2022-03-08T00:00:00"/>
    <m/>
    <d v="2022-07-25T00:00:00"/>
    <d v="2022-06-03T00:00:00"/>
    <s v="-"/>
    <d v="2022-08-22T00:00:00"/>
    <d v="2022-08-22T00:00:00"/>
    <d v="2022-08-23T00:00:00"/>
    <m/>
    <m/>
    <m/>
    <s v="JOVER"/>
    <s v="Eliane"/>
    <n v="1"/>
    <n v="20794"/>
    <n v="737"/>
    <s v="Chemin diu Bois Bourget"/>
    <n v="38430"/>
    <x v="28"/>
    <n v="685945898"/>
    <s v="eliane.jover1@gmail.com"/>
    <m/>
    <m/>
    <m/>
    <m/>
    <m/>
    <m/>
    <m/>
    <x v="1"/>
    <x v="1"/>
    <s v="LIBER Jean-Christophe"/>
    <s v="jlc.services@orange.fr"/>
    <s v="04 76 07 14 61"/>
    <s v="-"/>
    <s v="oui"/>
    <d v="2022-11-03T00:00:00"/>
    <s v="poêle"/>
    <n v="1996"/>
    <x v="0"/>
    <x v="0"/>
    <s v="MCZ"/>
    <s v="Ego Confort Air 10 Up"/>
    <n v="18"/>
    <n v="10"/>
    <n v="90.4"/>
    <n v="3.0400000000000002E-3"/>
    <s v="FV7"/>
    <m/>
    <n v="4015"/>
    <m/>
    <m/>
    <m/>
    <n v="485"/>
    <n v="4500"/>
    <n v="2470.5"/>
    <n v="4747.5"/>
    <n v="4747.5"/>
    <s v="non"/>
    <m/>
    <m/>
    <s v="ADEME 2022"/>
    <s v="Facturation AGEDEN 2022"/>
  </r>
  <r>
    <x v="4"/>
    <n v="2"/>
    <x v="3"/>
    <x v="1"/>
    <s v="EG"/>
    <s v="VRB0343"/>
    <n v="600"/>
    <d v="2022-01-13T00:00:00"/>
    <d v="2022-01-17T00:00:00"/>
    <d v="2022-01-24T00:00:00"/>
    <s v="Manque 1 avis impot (3 habitants) OK"/>
    <d v="2022-02-14T00:00:00"/>
    <d v="2022-02-14T00:00:00"/>
    <d v="2022-02-22T00:00:00"/>
    <m/>
    <d v="2022-04-11T00:00:00"/>
    <d v="2022-03-17T00:00:00"/>
    <m/>
    <d v="2022-04-28T00:00:00"/>
    <d v="2022-04-28T00:00:00"/>
    <d v="2022-04-28T00:00:00"/>
    <m/>
    <m/>
    <m/>
    <s v="GIROUD"/>
    <s v=" Michel et Catherine"/>
    <n v="3"/>
    <n v="44091"/>
    <n v="2091"/>
    <s v=" Route de  Ri d'Olon"/>
    <n v="38430"/>
    <x v="2"/>
    <s v="04 76 35 53 58"/>
    <s v="catherine.giroud2311@gmail.com"/>
    <s v="PO"/>
    <m/>
    <m/>
    <m/>
    <m/>
    <m/>
    <m/>
    <x v="5"/>
    <x v="5"/>
    <s v="GEORGES Josselin"/>
    <s v="godin-grenoble@orange.fr"/>
    <s v="04 38 02 19 01"/>
    <s v="-"/>
    <s v="oui"/>
    <d v="2022-03-21T00:00:00"/>
    <s v="foyer ouvert"/>
    <n v="1975"/>
    <x v="2"/>
    <x v="1"/>
    <s v="CHEMINEES GODIN"/>
    <s v="DARNAY"/>
    <n v="34"/>
    <n v="8.8000000000000007"/>
    <n v="78.2"/>
    <n v="0.1"/>
    <s v="FV7"/>
    <m/>
    <n v="4707"/>
    <m/>
    <m/>
    <m/>
    <n v="891"/>
    <n v="5598"/>
    <n v="307.89"/>
    <n v="5905.8899999999994"/>
    <n v="6050"/>
    <m/>
    <m/>
    <m/>
    <s v="ADEME 2022"/>
    <s v="Facturation AGEDEN 2022"/>
  </r>
  <r>
    <x v="4"/>
    <n v="2"/>
    <x v="3"/>
    <x v="1"/>
    <s v="EG"/>
    <s v="VRB0344"/>
    <n v="600"/>
    <d v="2022-01-17T00:00:00"/>
    <d v="2022-01-17T00:00:00"/>
    <d v="2022-01-24T00:00:00"/>
    <s v="envoie mail installateur pour confirmation matériel"/>
    <d v="2022-02-23T00:00:00"/>
    <d v="2022-02-23T00:00:00"/>
    <d v="2022-02-25T00:00:00"/>
    <m/>
    <d v="2022-12-01T00:00:00"/>
    <d v="2022-11-22T00:00:00"/>
    <s v="-"/>
    <d v="2022-12-20T00:00:00"/>
    <d v="2022-12-20T00:00:00"/>
    <d v="2023-01-06T00:00:00"/>
    <m/>
    <m/>
    <m/>
    <s v="MAGAT"/>
    <s v="Michel"/>
    <n v="2"/>
    <n v="35985"/>
    <n v="120"/>
    <s v="Rue Marcel Pagnol"/>
    <n v="38430"/>
    <x v="2"/>
    <n v="661859497"/>
    <s v="michel.magat@orange.fr"/>
    <s v="PO"/>
    <m/>
    <m/>
    <m/>
    <m/>
    <m/>
    <m/>
    <x v="2"/>
    <x v="2"/>
    <s v="DIDIER Léo"/>
    <s v="jcduo@orange.fr"/>
    <s v="06 77 98 83 88"/>
    <m/>
    <s v="oui"/>
    <d v="2022-08-09T00:00:00"/>
    <s v="poêle"/>
    <n v="2001"/>
    <x v="0"/>
    <x v="0"/>
    <s v="MORETTI FIRE"/>
    <s v="Slot Glass A 10"/>
    <n v="15"/>
    <n v="10.4"/>
    <n v="79.8"/>
    <n v="145"/>
    <s v="registre"/>
    <m/>
    <n v="5065"/>
    <m/>
    <m/>
    <m/>
    <n v="617"/>
    <n v="5682"/>
    <n v="312.51"/>
    <n v="5994.51"/>
    <n v="5994.51"/>
    <s v="oui"/>
    <m/>
    <m/>
    <m/>
    <s v="Facturation AGEDEN 2022"/>
  </r>
  <r>
    <x v="4"/>
    <n v="1"/>
    <x v="3"/>
    <x v="2"/>
    <s v="EG"/>
    <s v="VRB0345"/>
    <n v="1000"/>
    <d v="2022-01-18T00:00:00"/>
    <d v="2022-01-18T00:00:00"/>
    <d v="2022-01-24T00:00:00"/>
    <s v="Photo en plan large"/>
    <d v="2022-01-24T00:00:00"/>
    <d v="2022-01-24T00:00:00"/>
    <d v="2022-01-26T00:00:00"/>
    <m/>
    <d v="2022-10-03T00:00:00"/>
    <d v="2022-09-09T00:00:00"/>
    <s v="-"/>
    <d v="2022-11-08T00:00:00"/>
    <d v="2022-11-08T00:00:00"/>
    <d v="2022-11-14T00:00:00"/>
    <m/>
    <m/>
    <m/>
    <s v="SALMON"/>
    <s v="Jonathan"/>
    <n v="3"/>
    <n v="27515"/>
    <n v="22"/>
    <s v="Allée du Four Banal"/>
    <n v="38430"/>
    <x v="2"/>
    <n v="678408031"/>
    <s v="josalmon38@yahoo.fr"/>
    <s v="PO"/>
    <m/>
    <m/>
    <m/>
    <m/>
    <m/>
    <m/>
    <x v="42"/>
    <x v="1"/>
    <s v="CHARAT Jean-Pierre"/>
    <s v="contactprojet@orange.fr"/>
    <s v="06 08 93 65 77"/>
    <m/>
    <s v="oui"/>
    <d v="2022-01-21T00:00:00"/>
    <s v="foyer ouvert"/>
    <n v="1972"/>
    <x v="0"/>
    <x v="0"/>
    <s v="CADEL"/>
    <s v="SHELL 3 UP"/>
    <n v="12"/>
    <n v="9.1"/>
    <n v="88.7"/>
    <n v="9.0399999999999994E-3"/>
    <s v="FV7"/>
    <m/>
    <n v="5080"/>
    <m/>
    <m/>
    <m/>
    <n v="1365.5"/>
    <n v="6445.5"/>
    <n v="354.5025"/>
    <n v="6800.0024999999996"/>
    <n v="6800"/>
    <s v="oui"/>
    <m/>
    <m/>
    <s v="ADEME 2022"/>
    <s v="Facturation AGEDEN 2022"/>
  </r>
  <r>
    <x v="4"/>
    <n v="2"/>
    <x v="3"/>
    <x v="1"/>
    <s v="SV"/>
    <s v="VRB0346"/>
    <n v="600"/>
    <d v="2022-01-21T00:00:00"/>
    <d v="2022-02-01T00:00:00"/>
    <d v="2022-02-02T00:00:00"/>
    <s v="Appareil n'apparait pas encore sur registre FV7*. Attendre la mise à jour. Ok vu le 24/02"/>
    <d v="2022-02-24T00:00:00"/>
    <d v="2022-02-24T00:00:00"/>
    <d v="2022-02-28T00:00:00"/>
    <m/>
    <d v="2022-05-23T00:00:00"/>
    <d v="2022-04-21T00:00:00"/>
    <s v="-"/>
    <d v="2022-07-26T00:00:00"/>
    <d v="2022-07-26T00:00:00"/>
    <d v="2022-07-27T00:00:00"/>
    <m/>
    <m/>
    <m/>
    <s v="DEVOISE"/>
    <s v="Guy"/>
    <n v="2"/>
    <n v="40192"/>
    <n v="1020"/>
    <s v="Route du Chatelard"/>
    <n v="38140"/>
    <x v="26"/>
    <n v="677989335"/>
    <s v="madev@hotmail.fr"/>
    <s v="PO"/>
    <m/>
    <m/>
    <m/>
    <m/>
    <m/>
    <m/>
    <x v="34"/>
    <x v="27"/>
    <s v="JACQUET"/>
    <s v="laglaceetlefeu38@gmail.com"/>
    <n v="476042368"/>
    <s v="-"/>
    <s v="oui"/>
    <d v="2022-05-27T00:00:00"/>
    <s v="poêle"/>
    <s v="&lt;2002"/>
    <x v="0"/>
    <x v="1"/>
    <s v="PANADERO"/>
    <s v="Baia Shoap Eco Design"/>
    <n v="30"/>
    <n v="8"/>
    <n v="78"/>
    <n v="0.1"/>
    <s v="FV7"/>
    <m/>
    <n v="1828.39"/>
    <m/>
    <m/>
    <m/>
    <n v="1039.5"/>
    <n v="2867.89"/>
    <n v="157.72999999999999"/>
    <n v="3025.62"/>
    <n v="3025.62"/>
    <s v="non"/>
    <m/>
    <m/>
    <s v="ADEME 2022"/>
    <s v="Facturation AGEDEN 2022"/>
  </r>
  <r>
    <x v="3"/>
    <n v="1"/>
    <x v="4"/>
    <x v="0"/>
    <s v="SV"/>
    <s v="VRB0347"/>
    <n v="600"/>
    <d v="2022-01-24T00:00:00"/>
    <d v="2022-02-01T00:00:00"/>
    <d v="2022-02-02T00:00:00"/>
    <s v="Manque photo+charte pas signée+certificat pas renouvelé"/>
    <m/>
    <m/>
    <m/>
    <m/>
    <m/>
    <m/>
    <m/>
    <m/>
    <m/>
    <m/>
    <m/>
    <d v="2022-02-09T00:00:00"/>
    <s v="Concerne remplacement de chauffage au gaz"/>
    <s v="CECCONI"/>
    <s v="Serge"/>
    <n v="2"/>
    <n v="65722"/>
    <n v="63"/>
    <s v="Rue de Montponcon"/>
    <n v="38500"/>
    <x v="1"/>
    <n v="681049053"/>
    <s v="sergececconi@me.com"/>
    <s v="PO"/>
    <m/>
    <m/>
    <m/>
    <m/>
    <m/>
    <m/>
    <x v="47"/>
    <x v="6"/>
    <m/>
    <s v="lscramoncin@ets-payre.fr"/>
    <s v="04 76 35 31 69"/>
    <m/>
    <m/>
    <m/>
    <m/>
    <s v="&lt;2002"/>
    <x v="0"/>
    <x v="1"/>
    <s v="INVICTA"/>
    <s v="Mesnil"/>
    <n v="24"/>
    <n v="8"/>
    <n v="77"/>
    <n v="0.09"/>
    <s v="FV7"/>
    <m/>
    <n v="2350"/>
    <m/>
    <m/>
    <m/>
    <n v="800"/>
    <n v="3150"/>
    <n v="173.25"/>
    <n v="3323.25"/>
    <m/>
    <s v="oui"/>
    <m/>
    <m/>
    <n v="0"/>
    <s v="Refusé phase initiale"/>
  </r>
  <r>
    <x v="4"/>
    <n v="3"/>
    <x v="3"/>
    <x v="1"/>
    <s v="SV"/>
    <s v="VRB0348"/>
    <n v="600"/>
    <d v="2022-01-25T00:00:00"/>
    <d v="2022-02-01T00:00:00"/>
    <d v="2022-02-02T00:00:00"/>
    <s v="Manque RIB avec adresse (ok le 17/03)"/>
    <d v="2022-03-30T00:00:00"/>
    <d v="2022-03-30T00:00:00"/>
    <d v="2022-04-04T00:00:00"/>
    <m/>
    <m/>
    <m/>
    <m/>
    <m/>
    <m/>
    <m/>
    <m/>
    <m/>
    <m/>
    <s v="BIZEL-QUILLAZ"/>
    <s v="Sébastien"/>
    <n v="4"/>
    <n v="48553"/>
    <n v="325"/>
    <s v="Rue de la caserne"/>
    <n v="38850"/>
    <x v="24"/>
    <n v="664699866"/>
    <s v="sebastienbizel@gmail.com"/>
    <s v="PO"/>
    <m/>
    <m/>
    <m/>
    <m/>
    <m/>
    <m/>
    <x v="12"/>
    <x v="40"/>
    <s v="Jérome AILLOUD"/>
    <s v="sarlpab@orange.fr"/>
    <s v="04 37 06 45 66"/>
    <m/>
    <s v="oui"/>
    <d v="2022-03-13T00:00:00"/>
    <s v="insert / foyer fermé"/>
    <n v="1985"/>
    <x v="0"/>
    <x v="0"/>
    <s v="EXTRAFLAME"/>
    <s v="Souvenir Lux Evo"/>
    <n v="12"/>
    <n v="10.199999999999999"/>
    <n v="90.8"/>
    <n v="7.7600000000000004E-3"/>
    <s v="FV7"/>
    <m/>
    <n v="4276.6899999999996"/>
    <m/>
    <m/>
    <m/>
    <n v="926"/>
    <n v="4942.5600000000004"/>
    <n v="260.13"/>
    <n v="5214.3999999999996"/>
    <m/>
    <s v="oui"/>
    <m/>
    <m/>
    <s v="ADEME 2022"/>
    <s v="Facturation AGEDEN 2022"/>
  </r>
  <r>
    <x v="4"/>
    <n v="2"/>
    <x v="3"/>
    <x v="1"/>
    <s v="SV"/>
    <s v="VRB0349"/>
    <n v="600"/>
    <d v="2022-01-26T00:00:00"/>
    <d v="2022-02-01T00:00:00"/>
    <m/>
    <m/>
    <d v="2022-02-02T00:00:00"/>
    <d v="2022-02-02T00:00:00"/>
    <d v="2022-01-14T00:00:00"/>
    <m/>
    <d v="2022-04-12T00:00:00"/>
    <d v="2022-04-06T00:00:00"/>
    <m/>
    <d v="2022-04-14T00:00:00"/>
    <d v="2022-04-14T00:00:00"/>
    <d v="2022-04-15T00:00:00"/>
    <m/>
    <m/>
    <m/>
    <s v="BENOIT-GUERINDON"/>
    <s v="Denis"/>
    <n v="2"/>
    <n v="35380"/>
    <n v="469"/>
    <s v="Chemin de bois rayé"/>
    <n v="38850"/>
    <x v="36"/>
    <n v="680360801"/>
    <s v="denis.benoit-guerindon@orange.fr"/>
    <s v="PO"/>
    <m/>
    <m/>
    <m/>
    <m/>
    <m/>
    <m/>
    <x v="15"/>
    <x v="9"/>
    <s v="Michel"/>
    <s v="enerlogis@orange.fr"/>
    <s v="04 79 75 09 79"/>
    <m/>
    <s v="oui"/>
    <d v="2022-08-25T00:00:00"/>
    <s v="poêle"/>
    <s v="&lt;1949"/>
    <x v="0"/>
    <x v="0"/>
    <s v="CADEL"/>
    <s v="Spirit"/>
    <n v="17"/>
    <n v="5.2"/>
    <n v="89.5"/>
    <n v="9.0399999999999994E-3"/>
    <s v="FV7"/>
    <m/>
    <n v="2716"/>
    <m/>
    <m/>
    <m/>
    <n v="877"/>
    <n v="3593"/>
    <n v="197.62"/>
    <n v="3790.62"/>
    <n v="3790.62"/>
    <s v="oui"/>
    <m/>
    <m/>
    <s v="ADEME 2022"/>
    <s v="Facturation AGEDEN 2022"/>
  </r>
  <r>
    <x v="4"/>
    <n v="2"/>
    <x v="3"/>
    <x v="1"/>
    <s v="SV"/>
    <s v="VRB0350"/>
    <n v="600"/>
    <d v="2022-01-28T00:00:00"/>
    <d v="2022-02-01T00:00:00"/>
    <d v="2022-02-02T00:00:00"/>
    <s v="Manque Taxe foncière. Ok le 4/2/22              "/>
    <d v="2022-02-17T00:00:00"/>
    <d v="2022-02-17T00:00:00"/>
    <d v="2022-02-22T00:00:00"/>
    <m/>
    <d v="2022-06-07T00:00:00"/>
    <d v="2022-04-05T00:00:00"/>
    <s v="-"/>
    <d v="2022-07-27T00:00:00"/>
    <d v="2022-07-27T00:00:00"/>
    <d v="2022-07-28T00:00:00"/>
    <m/>
    <m/>
    <m/>
    <s v="CARECCHIO"/>
    <s v="Pierre"/>
    <n v="2"/>
    <n v="63338"/>
    <n v="20"/>
    <s v="Rue du Grand Som"/>
    <n v="38500"/>
    <x v="1"/>
    <n v="651854611"/>
    <s v="carecchio.p@gmail.com"/>
    <s v="PO"/>
    <m/>
    <m/>
    <m/>
    <m/>
    <m/>
    <m/>
    <x v="14"/>
    <x v="1"/>
    <s v="SIMON Frédéric"/>
    <s v="contact@ecvoiron.fr"/>
    <n v="476069938"/>
    <m/>
    <s v="oui"/>
    <d v="2022-09-18T00:00:00"/>
    <s v="poêle"/>
    <s v="&lt;2000"/>
    <x v="0"/>
    <x v="1"/>
    <s v="CHARNWOOD"/>
    <s v="C.Five"/>
    <n v="30"/>
    <n v="5"/>
    <n v="82"/>
    <n v="0.06"/>
    <s v="FV7"/>
    <m/>
    <n v="3590"/>
    <m/>
    <m/>
    <m/>
    <n v="1140"/>
    <n v="4730"/>
    <n v="260.17"/>
    <n v="4990.17"/>
    <n v="4990.17"/>
    <s v="oui"/>
    <m/>
    <m/>
    <s v="ADEME 2022"/>
    <s v="Facturation AGEDEN 2022"/>
  </r>
  <r>
    <x v="4"/>
    <n v="2"/>
    <x v="3"/>
    <x v="1"/>
    <s v="SV"/>
    <s v="VRB0351"/>
    <n v="600"/>
    <d v="2022-01-31T00:00:00"/>
    <d v="2022-02-01T00:00:00"/>
    <m/>
    <m/>
    <d v="2022-02-02T00:00:00"/>
    <d v="2022-02-02T00:00:00"/>
    <d v="2022-01-14T00:00:00"/>
    <m/>
    <d v="2022-06-24T00:00:00"/>
    <d v="2022-06-03T00:00:00"/>
    <s v="Attestation de fin de travaux"/>
    <d v="2022-09-12T00:00:00"/>
    <d v="2022-09-12T00:00:00"/>
    <d v="2022-09-20T00:00:00"/>
    <m/>
    <m/>
    <m/>
    <s v="VAUFREDAZ"/>
    <s v="Yannick"/>
    <n v="2"/>
    <n v="43950"/>
    <n v="1253"/>
    <s v="Route de la Garangère"/>
    <n v="38850"/>
    <x v="7"/>
    <n v="643702473"/>
    <s v="yannick.vaufredaz@orange.fr"/>
    <s v="PO"/>
    <m/>
    <m/>
    <m/>
    <m/>
    <m/>
    <m/>
    <x v="3"/>
    <x v="3"/>
    <s v="TROUBA"/>
    <s v="flammeiseroise38300@orange.fr"/>
    <s v="04 74 43 04 11"/>
    <s v="-"/>
    <s v="oui"/>
    <d v="2022-08-01T00:00:00"/>
    <s v="insert / foyer fermé"/>
    <n v="1980"/>
    <x v="0"/>
    <x v="0"/>
    <s v="JOLLY MEC"/>
    <s v="BOTERO 2 10 KW"/>
    <n v="11"/>
    <n v="10"/>
    <n v="91.2"/>
    <n v="0.01"/>
    <s v="registre"/>
    <m/>
    <n v="4030"/>
    <m/>
    <m/>
    <m/>
    <n v="1213.25"/>
    <n v="5180"/>
    <n v="284.89999999999998"/>
    <n v="5464.9"/>
    <n v="5464.9"/>
    <s v="oui"/>
    <m/>
    <m/>
    <s v="ADEME 2022"/>
    <s v="Facturation AGEDEN 2022"/>
  </r>
  <r>
    <x v="4"/>
    <n v="2"/>
    <x v="3"/>
    <x v="2"/>
    <s v="SV"/>
    <s v="VRB0352"/>
    <n v="1000"/>
    <d v="2022-01-20T00:00:00"/>
    <d v="2022-02-01T00:00:00"/>
    <m/>
    <m/>
    <d v="2022-02-07T00:00:00"/>
    <d v="2022-02-07T00:00:00"/>
    <d v="2022-01-14T00:00:00"/>
    <m/>
    <d v="2022-04-28T00:00:00"/>
    <d v="2022-04-19T00:00:00"/>
    <m/>
    <d v="2022-05-04T00:00:00"/>
    <d v="2022-05-04T00:00:00"/>
    <d v="2022-06-05T00:00:00"/>
    <m/>
    <m/>
    <m/>
    <s v="REPELLIN"/>
    <s v="Mireille"/>
    <n v="1"/>
    <n v="6684"/>
    <n v="375"/>
    <s v="Route de Bilieu"/>
    <n v="38850"/>
    <x v="24"/>
    <n v="659217504"/>
    <s v="mireille.repellin@gmail.com"/>
    <s v="PO"/>
    <m/>
    <m/>
    <m/>
    <m/>
    <m/>
    <m/>
    <x v="14"/>
    <x v="1"/>
    <s v="SIMON Frédéric"/>
    <s v="contact@ecvoiron.fr"/>
    <n v="476069938"/>
    <m/>
    <s v="oui"/>
    <d v="2022-09-18T00:00:00"/>
    <s v="foyer ouvert"/>
    <n v="1930"/>
    <x v="0"/>
    <x v="0"/>
    <s v="AUSTROFLAMME"/>
    <s v="Clou Confort"/>
    <n v="14"/>
    <n v="6"/>
    <n v="88"/>
    <n v="5.6000000000000001E-2"/>
    <s v="FV7"/>
    <m/>
    <n v="5788"/>
    <m/>
    <m/>
    <m/>
    <n v="840"/>
    <n v="6628"/>
    <n v="364.56"/>
    <n v="6771"/>
    <n v="6992.56"/>
    <s v="oui"/>
    <m/>
    <m/>
    <s v="ADEME 2022"/>
    <s v="Facturation AGEDEN 2022"/>
  </r>
  <r>
    <x v="3"/>
    <n v="1"/>
    <x v="4"/>
    <x v="0"/>
    <s v="SV"/>
    <s v="VRB0353"/>
    <n v="600"/>
    <d v="2022-01-24T00:00:00"/>
    <d v="2022-02-01T00:00:00"/>
    <m/>
    <s v="Devis uniquement sur pose et non sur l'achat d'un poele"/>
    <m/>
    <m/>
    <m/>
    <m/>
    <m/>
    <m/>
    <m/>
    <m/>
    <m/>
    <m/>
    <m/>
    <d v="2022-02-09T00:00:00"/>
    <s v="Devis uniquement sur pose (sans achat poele)"/>
    <s v="GARY"/>
    <s v="René"/>
    <n v="3"/>
    <n v="41960"/>
    <s v="SVV"/>
    <s v="Rue des Glaieuls"/>
    <n v="38340"/>
    <x v="17"/>
    <n v="664755971"/>
    <s v=" "/>
    <s v="PO"/>
    <m/>
    <m/>
    <m/>
    <m/>
    <m/>
    <m/>
    <x v="46"/>
    <x v="38"/>
    <m/>
    <m/>
    <m/>
    <m/>
    <m/>
    <m/>
    <m/>
    <m/>
    <x v="4"/>
    <x v="2"/>
    <m/>
    <m/>
    <m/>
    <m/>
    <m/>
    <m/>
    <m/>
    <m/>
    <m/>
    <m/>
    <m/>
    <m/>
    <m/>
    <m/>
    <m/>
    <m/>
    <m/>
    <m/>
    <m/>
    <m/>
    <n v="0"/>
    <s v="Refusé phase initiale"/>
  </r>
  <r>
    <x v="4"/>
    <n v="3"/>
    <x v="3"/>
    <x v="2"/>
    <s v="SV"/>
    <s v="VRB0354"/>
    <n v="1000"/>
    <d v="2022-01-24T00:00:00"/>
    <d v="2022-02-01T00:00:00"/>
    <d v="2022-02-07T00:00:00"/>
    <s v="Manque photo (photo pièce vide sans ancien matériel (ok le 9/3). Mail particulier le 17/2 + rib lisible avec adresse (Ok pour le RIB le 10/2)"/>
    <d v="2022-03-15T00:00:00"/>
    <d v="2022-03-15T00:00:00"/>
    <d v="2022-04-04T00:00:00"/>
    <m/>
    <d v="2022-06-30T00:00:00"/>
    <d v="2022-04-04T00:00:00"/>
    <s v="Photo"/>
    <d v="2022-09-19T00:00:00"/>
    <d v="2022-09-19T00:00:00"/>
    <d v="2022-09-20T00:00:00"/>
    <m/>
    <m/>
    <m/>
    <s v="DEZEMPTE"/>
    <s v="Jean-Luc"/>
    <n v="2"/>
    <n v="17226"/>
    <n v="15"/>
    <s v="Chemin des Morais la Charreliere"/>
    <n v="38500"/>
    <x v="1"/>
    <n v="659212286"/>
    <s v="vincentelisa@orange.fr"/>
    <s v="PB"/>
    <m/>
    <m/>
    <n v="2"/>
    <s v="Rue du Bourdon"/>
    <n v="38500"/>
    <s v="VOIRON"/>
    <x v="40"/>
    <x v="31"/>
    <s v="MANGIONE"/>
    <s v="cheminees-svcd@orange.fr"/>
    <n v="476725701"/>
    <s v="-"/>
    <s v="oui"/>
    <d v="2023-02-01T00:00:00"/>
    <m/>
    <n v="1890"/>
    <x v="0"/>
    <x v="1"/>
    <s v="INVICTA"/>
    <s v="CAROLE"/>
    <n v="30"/>
    <n v="8"/>
    <n v="77"/>
    <n v="0.1"/>
    <s v="FV7"/>
    <m/>
    <n v="1250"/>
    <m/>
    <m/>
    <m/>
    <n v="800"/>
    <n v="2050"/>
    <n v="112.75"/>
    <n v="2162.75"/>
    <n v="2162.75"/>
    <s v="oui"/>
    <m/>
    <m/>
    <s v="ADEME 2022"/>
    <s v="Facturation AGEDEN 2022"/>
  </r>
  <r>
    <x v="4"/>
    <n v="2"/>
    <x v="3"/>
    <x v="1"/>
    <s v="SV"/>
    <s v="VRB0355"/>
    <n v="600"/>
    <d v="2022-01-25T00:00:00"/>
    <d v="2022-02-01T00:00:00"/>
    <d v="2022-02-07T00:00:00"/>
    <s v="Manque RIB avec adresse. Ok le 7/2/22"/>
    <d v="2022-02-17T00:00:00"/>
    <d v="2022-02-17T00:00:00"/>
    <d v="2022-02-22T00:00:00"/>
    <m/>
    <d v="2022-10-25T00:00:00"/>
    <d v="2022-10-19T00:00:00"/>
    <s v="Attestation fin de travaux + destruction matériel"/>
    <d v="2022-11-10T00:00:00"/>
    <d v="2022-11-10T00:00:00"/>
    <d v="2022-11-15T00:00:00"/>
    <m/>
    <m/>
    <m/>
    <s v="CUZIN"/>
    <s v="Laurent"/>
    <n v="3"/>
    <n v="51669"/>
    <n v="197"/>
    <s v="Route de Palluel"/>
    <n v="38340"/>
    <x v="17"/>
    <n v="601223453"/>
    <s v="laurent.cuzin@gmx.fr"/>
    <s v="PO"/>
    <m/>
    <m/>
    <m/>
    <m/>
    <m/>
    <m/>
    <x v="16"/>
    <x v="10"/>
    <s v="ALO"/>
    <s v="cheminees.jay@orange.fr"/>
    <n v="476500550"/>
    <s v="-"/>
    <s v="oui"/>
    <d v="2022-06-28T00:00:00"/>
    <s v="foyer ouvert"/>
    <n v="1965"/>
    <x v="0"/>
    <x v="1"/>
    <s v="TURBO FONTE"/>
    <s v="JAZZ CV 7"/>
    <n v="32"/>
    <n v="7"/>
    <n v="77.8"/>
    <n v="0.08"/>
    <s v="FV7"/>
    <m/>
    <n v="3713.91"/>
    <m/>
    <m/>
    <m/>
    <n v="900"/>
    <n v="4493.91"/>
    <n v="247.17"/>
    <n v="4741.08"/>
    <n v="4741.08"/>
    <s v="non"/>
    <m/>
    <m/>
    <s v="ADEME 2022"/>
    <s v="Facturation AGEDEN 2022"/>
  </r>
  <r>
    <x v="3"/>
    <n v="1"/>
    <x v="4"/>
    <x v="0"/>
    <s v="SV"/>
    <s v="VRB0356"/>
    <s v="ISOLATION THERMIQUE"/>
    <m/>
    <m/>
    <m/>
    <m/>
    <m/>
    <m/>
    <m/>
    <m/>
    <m/>
    <m/>
    <m/>
    <m/>
    <m/>
    <m/>
    <m/>
    <d v="1899-12-31T00:00:00"/>
    <m/>
    <m/>
    <m/>
    <m/>
    <m/>
    <m/>
    <m/>
    <m/>
    <x v="37"/>
    <m/>
    <m/>
    <m/>
    <m/>
    <m/>
    <m/>
    <m/>
    <m/>
    <m/>
    <x v="46"/>
    <x v="38"/>
    <m/>
    <m/>
    <m/>
    <m/>
    <m/>
    <m/>
    <m/>
    <m/>
    <x v="4"/>
    <x v="2"/>
    <m/>
    <m/>
    <m/>
    <m/>
    <m/>
    <m/>
    <m/>
    <m/>
    <m/>
    <m/>
    <m/>
    <m/>
    <m/>
    <m/>
    <m/>
    <m/>
    <m/>
    <m/>
    <m/>
    <m/>
    <n v="0"/>
    <s v="Refusé phase initiale"/>
  </r>
  <r>
    <x v="4"/>
    <n v="2"/>
    <x v="3"/>
    <x v="1"/>
    <s v="SV"/>
    <s v="VRB0357"/>
    <n v="600"/>
    <d v="2022-02-01T00:00:00"/>
    <d v="2022-02-01T00:00:00"/>
    <m/>
    <m/>
    <d v="2022-02-07T00:00:00"/>
    <d v="2022-02-07T00:00:00"/>
    <d v="2022-01-14T00:00:00"/>
    <m/>
    <d v="2022-06-13T00:00:00"/>
    <d v="2022-06-07T00:00:00"/>
    <s v="Photo"/>
    <d v="2022-08-22T00:00:00"/>
    <d v="2022-08-22T00:00:00"/>
    <d v="2022-08-23T00:00:00"/>
    <m/>
    <m/>
    <m/>
    <s v="ALLAMAN"/>
    <s v="Gilles"/>
    <n v="2"/>
    <n v="72722"/>
    <n v="8"/>
    <s v="Rue des Hauts Prés"/>
    <n v="38500"/>
    <x v="1"/>
    <n v="684315357"/>
    <s v="gilles.allaman@orange.fr"/>
    <m/>
    <m/>
    <m/>
    <m/>
    <m/>
    <m/>
    <m/>
    <x v="14"/>
    <x v="1"/>
    <s v="SIMON Frédéric"/>
    <s v="contact@ecvoiron.fr"/>
    <n v="476069938"/>
    <m/>
    <s v="oui"/>
    <d v="2022-09-18T00:00:00"/>
    <s v="poêle"/>
    <s v="&lt;2002"/>
    <x v="0"/>
    <x v="1"/>
    <s v="ROMOTOP"/>
    <s v="Navia G"/>
    <n v="40"/>
    <n v="6"/>
    <n v="83"/>
    <n v="7.0000000000000007E-2"/>
    <s v="FV7"/>
    <m/>
    <n v="3686.6"/>
    <m/>
    <m/>
    <m/>
    <n v="720.97"/>
    <n v="4407.57"/>
    <n v="242.43"/>
    <n v="4650"/>
    <n v="4650"/>
    <s v="oui"/>
    <m/>
    <m/>
    <s v="ADEME 2022"/>
    <s v="Facturation AGEDEN 2022"/>
  </r>
  <r>
    <x v="4"/>
    <n v="2"/>
    <x v="3"/>
    <x v="1"/>
    <s v="SV"/>
    <s v="VRB0358"/>
    <n v="600"/>
    <d v="2022-02-02T00:00:00"/>
    <d v="2022-02-03T00:00:00"/>
    <m/>
    <m/>
    <d v="2022-02-09T00:00:00"/>
    <d v="2022-02-09T00:00:00"/>
    <d v="2022-01-14T00:00:00"/>
    <m/>
    <d v="2022-05-16T00:00:00"/>
    <d v="2022-05-03T00:00:00"/>
    <s v="-"/>
    <d v="2022-07-26T00:00:00"/>
    <d v="2022-07-26T00:00:00"/>
    <d v="2022-07-27T00:00:00"/>
    <m/>
    <m/>
    <m/>
    <s v="BOIZARD"/>
    <s v="Marc"/>
    <n v="2"/>
    <n v="40069"/>
    <n v="35"/>
    <s v="Chemin de la Morge"/>
    <n v="38960"/>
    <x v="22"/>
    <n v="685320083"/>
    <s v="marc.boizard@wanadoo.fr"/>
    <s v="PO"/>
    <m/>
    <m/>
    <m/>
    <m/>
    <m/>
    <m/>
    <x v="11"/>
    <x v="2"/>
    <s v="GRATIER Pascal"/>
    <s v="grenoble@hase-boutique.fr"/>
    <n v="476452433"/>
    <s v="-"/>
    <s v="oui"/>
    <d v="2022-02-28T00:00:00"/>
    <s v="insert / foyer fermé"/>
    <n v="1988"/>
    <x v="0"/>
    <x v="1"/>
    <s v="HASE"/>
    <s v="Lima"/>
    <n v="25"/>
    <n v="6"/>
    <n v="83"/>
    <n v="7.0000000000000007E-2"/>
    <s v="FV7"/>
    <m/>
    <n v="6259.19"/>
    <m/>
    <m/>
    <m/>
    <n v="1014.78"/>
    <n v="6813.97"/>
    <n v="374.77"/>
    <n v="7188.74"/>
    <n v="7188.74"/>
    <s v="oui"/>
    <m/>
    <m/>
    <s v="ADEME 2022"/>
    <s v="Facturation AGEDEN 2022"/>
  </r>
  <r>
    <x v="4"/>
    <n v="2"/>
    <x v="3"/>
    <x v="2"/>
    <s v="SV"/>
    <s v="VRB0359"/>
    <n v="1000"/>
    <d v="2022-02-02T00:00:00"/>
    <d v="2022-02-03T00:00:00"/>
    <m/>
    <m/>
    <d v="2022-02-24T00:00:00"/>
    <d v="2022-02-24T00:00:00"/>
    <d v="2022-02-28T00:00:00"/>
    <m/>
    <d v="2022-06-27T00:00:00"/>
    <d v="2022-05-31T00:00:00"/>
    <s v="-"/>
    <d v="2022-07-27T00:00:00"/>
    <d v="2022-07-27T00:00:00"/>
    <d v="2022-07-28T00:00:00"/>
    <m/>
    <m/>
    <m/>
    <s v="GONIN"/>
    <s v="Quentin"/>
    <n v="2"/>
    <n v="27745"/>
    <n v="110"/>
    <s v="Le petit chemin"/>
    <n v="38140"/>
    <x v="12"/>
    <n v="782674624"/>
    <s v="marie.erival6@gmail.com"/>
    <m/>
    <m/>
    <m/>
    <m/>
    <m/>
    <m/>
    <m/>
    <x v="14"/>
    <x v="1"/>
    <s v="SIMON Frédéric"/>
    <s v="contact@ecvoiron.fr"/>
    <n v="476069938"/>
    <m/>
    <s v="oui"/>
    <d v="2022-09-18T00:00:00"/>
    <s v="chaudière"/>
    <s v="&lt;2002"/>
    <x v="0"/>
    <x v="1"/>
    <s v="ROMOTOP"/>
    <s v="Riano"/>
    <n v="17"/>
    <n v="9"/>
    <n v="79.5"/>
    <n v="8.4080000000000002E-2"/>
    <s v="FV7"/>
    <m/>
    <n v="6582.95"/>
    <m/>
    <m/>
    <m/>
    <n v="300"/>
    <n v="6882.95"/>
    <n v="390.21"/>
    <n v="7273.16"/>
    <n v="7261.54"/>
    <s v="non"/>
    <m/>
    <m/>
    <s v="ADEME 2022"/>
    <s v="Facturation AGEDEN 2022"/>
  </r>
  <r>
    <x v="4"/>
    <n v="2"/>
    <x v="3"/>
    <x v="1"/>
    <s v="SV"/>
    <s v="VRB0360"/>
    <n v="600"/>
    <d v="2022-02-02T00:00:00"/>
    <d v="2022-02-03T00:00:00"/>
    <s v="  "/>
    <m/>
    <d v="2022-02-09T00:00:00"/>
    <d v="2022-02-09T00:00:00"/>
    <d v="2022-01-14T00:00:00"/>
    <m/>
    <d v="2022-07-08T00:00:00"/>
    <d v="2022-06-28T00:00:00"/>
    <s v="-"/>
    <d v="2022-07-27T00:00:00"/>
    <d v="2022-07-27T00:00:00"/>
    <d v="2022-07-28T00:00:00"/>
    <m/>
    <m/>
    <m/>
    <s v="GIRARD"/>
    <s v="Emmanuel et Beatrice"/>
    <n v="2"/>
    <n v="40271"/>
    <n v="127"/>
    <s v="Rue du Haut Gayet"/>
    <n v="38850"/>
    <x v="7"/>
    <n v="670991193"/>
    <s v="girard-emmanuel@bbox.fr"/>
    <s v="PO"/>
    <m/>
    <m/>
    <m/>
    <m/>
    <m/>
    <m/>
    <x v="14"/>
    <x v="1"/>
    <s v="SIMON Frédéric"/>
    <s v="contact@ecvoiron.fr"/>
    <n v="476069938"/>
    <m/>
    <s v="oui"/>
    <d v="2022-09-18T00:00:00"/>
    <s v="insert / foyer fermé"/>
    <n v="1989"/>
    <x v="0"/>
    <x v="0"/>
    <s v="NOBIS"/>
    <s v="Round Top A8V"/>
    <n v="15"/>
    <n v="7.3"/>
    <n v="91.9"/>
    <n v="5.4400000000000004E-3"/>
    <s v="FV7"/>
    <m/>
    <n v="5105"/>
    <m/>
    <m/>
    <m/>
    <n v="591"/>
    <n v="5696"/>
    <n v="313.29000000000002"/>
    <n v="6009.29"/>
    <n v="6009.29"/>
    <s v="non"/>
    <m/>
    <m/>
    <s v="ADEME 2022"/>
    <s v="Facturation AGEDEN 2022"/>
  </r>
  <r>
    <x v="3"/>
    <n v="1"/>
    <x v="4"/>
    <x v="0"/>
    <s v="SV"/>
    <s v="VRB0361"/>
    <s v="ISOLATION THERMIQUE"/>
    <m/>
    <m/>
    <m/>
    <m/>
    <m/>
    <m/>
    <m/>
    <m/>
    <m/>
    <m/>
    <m/>
    <m/>
    <m/>
    <m/>
    <m/>
    <d v="1899-12-31T00:00:00"/>
    <m/>
    <m/>
    <m/>
    <m/>
    <m/>
    <m/>
    <m/>
    <m/>
    <x v="37"/>
    <m/>
    <m/>
    <m/>
    <m/>
    <m/>
    <m/>
    <m/>
    <m/>
    <m/>
    <x v="46"/>
    <x v="38"/>
    <m/>
    <m/>
    <m/>
    <m/>
    <m/>
    <m/>
    <m/>
    <m/>
    <x v="4"/>
    <x v="2"/>
    <m/>
    <m/>
    <m/>
    <m/>
    <m/>
    <m/>
    <m/>
    <m/>
    <m/>
    <m/>
    <m/>
    <m/>
    <m/>
    <m/>
    <m/>
    <m/>
    <m/>
    <m/>
    <m/>
    <m/>
    <n v="0"/>
    <s v="Refusé phase initiale"/>
  </r>
  <r>
    <x v="3"/>
    <n v="1"/>
    <x v="4"/>
    <x v="0"/>
    <s v="EG"/>
    <s v="VRB0362"/>
    <n v="1000"/>
    <d v="2022-02-07T00:00:00"/>
    <d v="2022-02-11T00:00:00"/>
    <m/>
    <s v="Artisan non signataire, appel le 14/02, dossier en attente"/>
    <m/>
    <m/>
    <m/>
    <m/>
    <m/>
    <m/>
    <m/>
    <m/>
    <m/>
    <m/>
    <m/>
    <d v="2023-01-04T00:00:00"/>
    <s v="installateur a déposé le bilan"/>
    <s v="DAUDEL"/>
    <s v="Aurélie"/>
    <n v="4"/>
    <n v="35077"/>
    <n v="55"/>
    <s v="Rue Victor Cassien"/>
    <n v="38340"/>
    <x v="17"/>
    <n v="675419207"/>
    <s v="aurelie.daudel@gmail.com"/>
    <s v="PO"/>
    <m/>
    <m/>
    <m/>
    <m/>
    <m/>
    <m/>
    <x v="48"/>
    <x v="41"/>
    <s v="HANNACHI Firas"/>
    <s v="menergies.hf @outlook.fr"/>
    <s v="07 81 96 47 02"/>
    <s v="M ENERGIE"/>
    <s v="non"/>
    <d v="2022-10-14T00:00:00"/>
    <m/>
    <m/>
    <x v="4"/>
    <x v="2"/>
    <m/>
    <m/>
    <m/>
    <m/>
    <m/>
    <m/>
    <m/>
    <m/>
    <m/>
    <m/>
    <m/>
    <m/>
    <m/>
    <m/>
    <m/>
    <m/>
    <m/>
    <m/>
    <m/>
    <m/>
    <n v="0"/>
    <s v="Refusé phase initiale"/>
  </r>
  <r>
    <x v="4"/>
    <n v="2"/>
    <x v="3"/>
    <x v="1"/>
    <s v="EG"/>
    <s v="VRB0363"/>
    <n v="600"/>
    <d v="2022-02-08T00:00:00"/>
    <d v="2022-02-11T00:00:00"/>
    <s v="-"/>
    <s v="-"/>
    <d v="2022-02-14T00:00:00"/>
    <d v="2022-02-14T00:00:00"/>
    <d v="2022-02-22T00:00:00"/>
    <m/>
    <d v="2022-09-20T00:00:00"/>
    <d v="2022-09-09T00:00:00"/>
    <s v="-"/>
    <d v="2022-11-08T00:00:00"/>
    <d v="2022-11-08T00:00:00"/>
    <d v="2022-11-14T00:00:00"/>
    <m/>
    <m/>
    <m/>
    <s v="POUSSIER"/>
    <s v="Vincent"/>
    <n v="3"/>
    <n v="66831"/>
    <n v="87"/>
    <s v="Route du vieux chene"/>
    <n v="38430"/>
    <x v="2"/>
    <n v="476932468"/>
    <s v="cdelens@orange.fr"/>
    <s v="PO"/>
    <m/>
    <m/>
    <m/>
    <m/>
    <m/>
    <m/>
    <x v="6"/>
    <x v="6"/>
    <s v="FAURE Jacques"/>
    <s v="jacques.faure24@wanadoo.fr"/>
    <n v="476355605"/>
    <s v="-"/>
    <s v="oui"/>
    <d v="2022-10-26T00:00:00"/>
    <s v="insert / foyer fermé"/>
    <n v="1995"/>
    <x v="0"/>
    <x v="1"/>
    <s v="FONTE FLAMME"/>
    <s v="Havana"/>
    <n v="17"/>
    <n v="8.1999999999999993"/>
    <n v="81.5"/>
    <n v="0.1"/>
    <s v="FV7"/>
    <m/>
    <n v="6295.9800000000005"/>
    <m/>
    <m/>
    <m/>
    <n v="937.45"/>
    <n v="7233.43"/>
    <n v="397.83865000000003"/>
    <n v="7631.26865"/>
    <n v="7631.27"/>
    <s v="non"/>
    <m/>
    <m/>
    <s v="ADEME 2022"/>
    <s v="Facturation AGEDEN 2022"/>
  </r>
  <r>
    <x v="4"/>
    <n v="2"/>
    <x v="3"/>
    <x v="2"/>
    <s v="EG"/>
    <s v="VRB0364"/>
    <n v="1000"/>
    <d v="2022-02-09T00:00:00"/>
    <d v="2022-02-11T00:00:00"/>
    <s v="-"/>
    <s v="-"/>
    <d v="2022-02-14T00:00:00"/>
    <d v="2022-02-14T00:00:00"/>
    <d v="2022-02-22T00:00:00"/>
    <m/>
    <m/>
    <m/>
    <m/>
    <m/>
    <m/>
    <m/>
    <m/>
    <m/>
    <m/>
    <s v="GIRERD"/>
    <s v="Monique"/>
    <n v="1"/>
    <n v="11636"/>
    <n v="81"/>
    <s v="Chemin du Sicaud"/>
    <n v="38620"/>
    <x v="16"/>
    <n v="636829576"/>
    <s v="mygi38@live.fr "/>
    <s v="PO"/>
    <m/>
    <m/>
    <m/>
    <m/>
    <m/>
    <m/>
    <x v="0"/>
    <x v="0"/>
    <s v="Carre Francois"/>
    <s v="f.carre@carre-f.com"/>
    <s v="04 76 37 03 50"/>
    <s v="-"/>
    <s v="oui"/>
    <d v="2022-09-17T00:00:00"/>
    <s v="cuisinière"/>
    <n v="1985"/>
    <x v="0"/>
    <x v="0"/>
    <s v="PALAZZETTI"/>
    <s v="ECOFIRE GINGER IDRO 12 Kw"/>
    <n v="17"/>
    <n v="12"/>
    <n v="93"/>
    <n v="0.01"/>
    <s v="FV7"/>
    <m/>
    <n v="6408"/>
    <m/>
    <m/>
    <m/>
    <n v="980"/>
    <n v="7388"/>
    <n v="406.34"/>
    <n v="7794.3399999999992"/>
    <m/>
    <s v="oui"/>
    <m/>
    <m/>
    <s v="ADEME 2022"/>
    <s v="Facturation AGEDEN 2022"/>
  </r>
  <r>
    <x v="3"/>
    <n v="1"/>
    <x v="3"/>
    <x v="1"/>
    <s v="EG"/>
    <s v="VRB0365"/>
    <n v="600"/>
    <d v="2022-02-11T00:00:00"/>
    <d v="2022-02-15T00:00:00"/>
    <d v="2022-02-23T00:00:00"/>
    <s v="En attente de labellisation"/>
    <m/>
    <m/>
    <m/>
    <m/>
    <m/>
    <m/>
    <m/>
    <m/>
    <m/>
    <m/>
    <m/>
    <m/>
    <m/>
    <s v="GAUTRONNEAU/SEROR"/>
    <s v="Christophe/Muriel"/>
    <n v="2"/>
    <n v="43825"/>
    <n v="17"/>
    <s v="Avenue Marie Curie"/>
    <n v="38500"/>
    <x v="1"/>
    <n v="607088131"/>
    <s v="christophe.seror@gmail.com"/>
    <s v="PO"/>
    <m/>
    <m/>
    <m/>
    <m/>
    <m/>
    <m/>
    <x v="27"/>
    <x v="42"/>
    <s v="SIMON Pascal"/>
    <s v="pascal.simon@atre-loisirs.fr"/>
    <s v="04 79 84 25 35"/>
    <s v="-"/>
    <s v="oui"/>
    <d v="2022-07-21T00:00:00"/>
    <s v="poêle"/>
    <s v="&lt;2002"/>
    <x v="0"/>
    <x v="2"/>
    <m/>
    <m/>
    <m/>
    <m/>
    <m/>
    <m/>
    <m/>
    <m/>
    <m/>
    <m/>
    <m/>
    <m/>
    <m/>
    <m/>
    <m/>
    <m/>
    <m/>
    <m/>
    <m/>
    <m/>
    <m/>
    <m/>
  </r>
  <r>
    <x v="4"/>
    <n v="2"/>
    <x v="3"/>
    <x v="2"/>
    <s v="EG"/>
    <s v="VRB0366"/>
    <n v="1000"/>
    <d v="2022-02-11T00:00:00"/>
    <d v="2022-02-15T00:00:00"/>
    <s v="-"/>
    <s v="-"/>
    <d v="2022-02-23T00:00:00"/>
    <d v="2022-02-23T00:00:00"/>
    <d v="2022-02-25T00:00:00"/>
    <m/>
    <d v="2022-04-05T00:00:00"/>
    <d v="2022-04-02T00:00:00"/>
    <m/>
    <d v="2022-04-14T00:00:00"/>
    <d v="2022-04-14T00:00:00"/>
    <d v="2022-04-15T00:00:00"/>
    <m/>
    <m/>
    <m/>
    <s v="MARCINIAK"/>
    <s v="Stephane"/>
    <n v="2"/>
    <n v="8876"/>
    <n v="100"/>
    <s v="Rue de la caserne le Pon"/>
    <n v="38730"/>
    <x v="5"/>
    <n v="766131436"/>
    <s v="pro.pose.menuiserie@wanadoo.fr"/>
    <s v="PO"/>
    <m/>
    <m/>
    <m/>
    <m/>
    <m/>
    <m/>
    <x v="15"/>
    <x v="9"/>
    <s v="MICHEL Patrick"/>
    <s v="enerlogis@orange.fr"/>
    <s v="04 79 75 09 79"/>
    <s v="-"/>
    <s v="oui"/>
    <d v="2022-08-25T00:00:00"/>
    <s v="poêle"/>
    <n v="2000"/>
    <x v="0"/>
    <x v="0"/>
    <s v="MCZ"/>
    <s v="RAY COMFORT AIR 8 UP! M1"/>
    <n v="11"/>
    <n v="7.8"/>
    <n v="90.2"/>
    <n v="6.0000000000000001E-3"/>
    <s v="FV7"/>
    <m/>
    <n v="4909"/>
    <m/>
    <m/>
    <m/>
    <n v="806.67"/>
    <n v="5715.67"/>
    <n v="314.36185"/>
    <n v="6030.0318500000003"/>
    <n v="6030.03"/>
    <s v="oui"/>
    <m/>
    <m/>
    <s v="ADEME 2022"/>
    <s v="Facturation AGEDEN 2022"/>
  </r>
  <r>
    <x v="4"/>
    <n v="3"/>
    <x v="3"/>
    <x v="1"/>
    <s v="EG"/>
    <s v="VRB0367"/>
    <n v="600"/>
    <d v="2022-02-15T00:00:00"/>
    <d v="2022-02-15T00:00:00"/>
    <d v="2022-02-23T00:00:00"/>
    <s v="Formulaire de demande incomplet + Photo + RIB + lettre"/>
    <d v="2022-03-04T00:00:00"/>
    <d v="2022-03-04T00:00:00"/>
    <d v="2022-03-08T00:00:00"/>
    <m/>
    <d v="2022-05-30T00:00:00"/>
    <d v="2022-05-24T00:00:00"/>
    <s v="-"/>
    <d v="2022-07-26T00:00:00"/>
    <d v="2022-07-26T00:00:00"/>
    <d v="2022-07-27T00:00:00"/>
    <m/>
    <m/>
    <m/>
    <s v="BRUNO"/>
    <s v="Marcelle"/>
    <n v="2"/>
    <n v="33847"/>
    <n v="230"/>
    <s v="Route du Village"/>
    <n v="38340"/>
    <x v="23"/>
    <n v="618827199"/>
    <s v="giuseppeitalo.bruno@sfr.fr"/>
    <s v="PO"/>
    <m/>
    <m/>
    <m/>
    <m/>
    <m/>
    <m/>
    <x v="16"/>
    <x v="10"/>
    <s v="ALO"/>
    <s v="cheminees.jay@orange.fr"/>
    <n v="476500550"/>
    <s v="-"/>
    <s v="oui"/>
    <d v="2022-06-28T00:00:00"/>
    <s v="poêle"/>
    <s v="&lt;1990"/>
    <x v="0"/>
    <x v="1"/>
    <s v="AXIS - ARTENSE"/>
    <n v="800"/>
    <n v="30"/>
    <n v="7"/>
    <n v="75"/>
    <n v="0.12"/>
    <s v="FV7"/>
    <m/>
    <n v="3021.1899999999996"/>
    <m/>
    <m/>
    <m/>
    <n v="973.76"/>
    <n v="3994.95"/>
    <n v="219.72225"/>
    <n v="4214.6722499999996"/>
    <n v="4113.51"/>
    <s v="oui"/>
    <m/>
    <m/>
    <s v="ADEME 2022"/>
    <s v="Facturation AGEDEN 2022"/>
  </r>
  <r>
    <x v="4"/>
    <n v="3"/>
    <x v="3"/>
    <x v="1"/>
    <s v="EG"/>
    <s v="VRB0368"/>
    <n v="600"/>
    <d v="2022-02-15T00:00:00"/>
    <d v="2022-02-16T00:00:00"/>
    <d v="2022-02-23T00:00:00"/>
    <s v="RIB"/>
    <d v="2022-03-04T00:00:00"/>
    <d v="2022-03-04T00:00:00"/>
    <d v="2022-03-08T00:00:00"/>
    <m/>
    <d v="2022-09-16T00:00:00"/>
    <d v="2022-07-15T00:00:00"/>
    <s v="-"/>
    <d v="2022-09-29T00:00:00"/>
    <d v="2022-09-29T00:00:00"/>
    <d v="2022-09-29T00:00:00"/>
    <m/>
    <m/>
    <m/>
    <s v="PECOUL"/>
    <s v="Jean-Yves"/>
    <n v="2"/>
    <n v="54714"/>
    <n v="34"/>
    <s v="Rue de l'Isere"/>
    <n v="38500"/>
    <x v="4"/>
    <n v="476550176"/>
    <s v="jpecoul@orange.fr"/>
    <s v="PO"/>
    <m/>
    <m/>
    <m/>
    <m/>
    <m/>
    <m/>
    <x v="2"/>
    <x v="2"/>
    <s v="DIDIER Léo"/>
    <s v="jcduo@orange.fr"/>
    <s v="04 38 02 90 38"/>
    <s v="-"/>
    <s v="oui"/>
    <d v="2022-08-09T00:00:00"/>
    <s v="foyer ouvert"/>
    <n v="1985"/>
    <x v="0"/>
    <x v="0"/>
    <s v="MORETTI FIRE"/>
    <s v="RELAX SAT GLASS 8"/>
    <n v="9"/>
    <n v="8"/>
    <n v="86.6"/>
    <n v="30"/>
    <s v="registre"/>
    <m/>
    <n v="4597.16"/>
    <m/>
    <m/>
    <m/>
    <n v="616.11"/>
    <n v="5213.2699999999995"/>
    <n v="286.72985"/>
    <n v="5499.9998499999992"/>
    <n v="5500"/>
    <s v="oui"/>
    <m/>
    <m/>
    <s v="ADEME 2022"/>
    <s v="Facturation AGEDEN 2022"/>
  </r>
  <r>
    <x v="4"/>
    <n v="3"/>
    <x v="3"/>
    <x v="1"/>
    <s v="EG"/>
    <s v="VRB0369"/>
    <n v="600"/>
    <d v="2022-02-15T00:00:00"/>
    <d v="2022-02-16T00:00:00"/>
    <d v="2022-02-23T00:00:00"/>
    <s v="Photo plan large"/>
    <d v="2022-03-04T00:00:00"/>
    <d v="2022-03-04T00:00:00"/>
    <d v="2022-03-08T00:00:00"/>
    <m/>
    <d v="2022-08-04T00:00:00"/>
    <d v="2022-07-10T00:00:00"/>
    <s v="-"/>
    <d v="2022-08-22T00:00:00"/>
    <d v="2022-08-22T00:00:00"/>
    <d v="2022-08-23T00:00:00"/>
    <m/>
    <m/>
    <m/>
    <s v="BARLIER"/>
    <s v="Martin"/>
    <n v="2"/>
    <n v="38773"/>
    <n v="53"/>
    <s v="Route de l'etang d'aiguenoire"/>
    <n v="38500"/>
    <x v="1"/>
    <n v="609966368"/>
    <s v="manon.destras@gmail.com"/>
    <s v="PO"/>
    <m/>
    <m/>
    <m/>
    <m/>
    <m/>
    <m/>
    <x v="1"/>
    <x v="1"/>
    <s v="LIDER Jean-Christohphe"/>
    <s v="jlc.services@orange.fr"/>
    <s v="04 76 07 14 61"/>
    <s v="-"/>
    <s v="oui"/>
    <d v="2022-11-03T00:00:00"/>
    <s v="poêle"/>
    <n v="1980"/>
    <x v="0"/>
    <x v="0"/>
    <s v="MCZ"/>
    <s v="RAAM COMFORT AIR 8 S1"/>
    <n v="11"/>
    <n v="7.8"/>
    <n v="90.2"/>
    <n v="6.0000000000000001E-3"/>
    <s v="FV7"/>
    <m/>
    <n v="7818.4400000000005"/>
    <m/>
    <m/>
    <m/>
    <n v="540"/>
    <n v="8358.44"/>
    <n v="459.71420000000001"/>
    <n v="8818.1542000000009"/>
    <n v="8396.15"/>
    <s v="NC"/>
    <m/>
    <m/>
    <s v="ADEME 2022"/>
    <s v="Facturation AGEDEN 2022"/>
  </r>
  <r>
    <x v="4"/>
    <n v="3"/>
    <x v="3"/>
    <x v="2"/>
    <s v="EG"/>
    <s v="VRB0370"/>
    <n v="1000"/>
    <d v="2022-02-15T00:00:00"/>
    <d v="2022-02-16T00:00:00"/>
    <d v="2022-02-23T00:00:00"/>
    <s v="Formulaire de demande non complet"/>
    <d v="2022-03-10T00:00:00"/>
    <d v="2022-03-10T00:00:00"/>
    <d v="2022-03-15T00:00:00"/>
    <m/>
    <d v="2022-03-22T00:00:00"/>
    <d v="2022-03-16T00:00:00"/>
    <m/>
    <d v="2022-03-30T00:00:00"/>
    <d v="2022-03-30T00:00:00"/>
    <d v="2022-04-01T00:00:00"/>
    <m/>
    <m/>
    <m/>
    <s v="PERRIN"/>
    <s v="Murielle"/>
    <n v="4"/>
    <n v="26652"/>
    <n v="76"/>
    <s v="Impasse st Michel"/>
    <n v="38850"/>
    <x v="5"/>
    <n v="689621475"/>
    <s v="murielle.perrin3@gmail.com"/>
    <s v="PO"/>
    <m/>
    <m/>
    <m/>
    <m/>
    <m/>
    <m/>
    <x v="15"/>
    <x v="9"/>
    <s v="MICHEL Patrick"/>
    <s v="enerlogis@orange.fr"/>
    <s v="04 79 75 09 79"/>
    <s v="-"/>
    <s v="oui"/>
    <d v="2022-08-25T00:00:00"/>
    <s v="foyer ouvert"/>
    <n v="1975"/>
    <x v="0"/>
    <x v="0"/>
    <s v="MCZ"/>
    <s v="EGO AIR 8 UP! M1"/>
    <n v="17"/>
    <n v="8.1"/>
    <n v="90.9"/>
    <n v="2E-3"/>
    <s v="FV7"/>
    <m/>
    <n v="4075.67"/>
    <m/>
    <m/>
    <m/>
    <n v="950"/>
    <n v="5025.67"/>
    <n v="276.41185000000002"/>
    <n v="5302.0818500000005"/>
    <n v="5302.08"/>
    <s v="oui"/>
    <m/>
    <m/>
    <s v="ADEME 2022"/>
    <s v="Facturation AGEDEN 2022"/>
  </r>
  <r>
    <x v="4"/>
    <n v="3"/>
    <x v="3"/>
    <x v="2"/>
    <s v="EG"/>
    <s v="VRB0371"/>
    <n v="1000"/>
    <d v="2022-02-15T00:00:00"/>
    <d v="2022-02-16T00:00:00"/>
    <d v="2022-02-23T00:00:00"/>
    <s v="RIB"/>
    <d v="2022-03-04T00:00:00"/>
    <d v="2022-03-04T00:00:00"/>
    <d v="2022-03-08T00:00:00"/>
    <m/>
    <d v="2022-03-15T00:00:00"/>
    <d v="2022-03-11T00:00:00"/>
    <m/>
    <d v="2022-04-07T00:00:00"/>
    <d v="2022-04-07T00:00:00"/>
    <d v="2022-04-11T00:00:00"/>
    <m/>
    <m/>
    <m/>
    <s v="ASTORI"/>
    <s v="David"/>
    <n v="1"/>
    <n v="15166"/>
    <n v="140"/>
    <s v="Route du grand Ratz"/>
    <n v="38500"/>
    <x v="4"/>
    <n v="610536892"/>
    <s v="ddastri@hotmail.fr"/>
    <s v="PO"/>
    <m/>
    <m/>
    <m/>
    <m/>
    <m/>
    <m/>
    <x v="15"/>
    <x v="9"/>
    <s v="MICHEL Patrick"/>
    <s v="enerlogis@orange.fr"/>
    <s v="04 79 75 09 79"/>
    <s v="-"/>
    <s v="oui"/>
    <d v="2022-08-25T00:00:00"/>
    <s v="poêle"/>
    <n v="2000"/>
    <x v="0"/>
    <x v="0"/>
    <s v="MCZ"/>
    <s v="EGO COMFORT AIR 10 M2"/>
    <n v="18"/>
    <n v="10"/>
    <n v="90.4"/>
    <n v="3.0400000000000002E-3"/>
    <s v="FV7"/>
    <m/>
    <n v="5104.67"/>
    <m/>
    <m/>
    <m/>
    <n v="805"/>
    <n v="5909.67"/>
    <n v="325.03185000000002"/>
    <n v="6234.7018499999995"/>
    <n v="6234.7"/>
    <s v="non"/>
    <m/>
    <m/>
    <s v="ADEME 2022"/>
    <s v="Facturation AGEDEN 2022"/>
  </r>
  <r>
    <x v="4"/>
    <n v="4"/>
    <x v="3"/>
    <x v="1"/>
    <s v="EG"/>
    <s v="VRB0372"/>
    <n v="600"/>
    <d v="2022-02-21T00:00:00"/>
    <d v="2022-02-22T00:00:00"/>
    <d v="2022-02-23T00:00:00"/>
    <s v="Photo plan large; Ok le 12/4"/>
    <d v="2022-04-14T00:00:00"/>
    <d v="2022-04-14T00:00:00"/>
    <d v="2022-04-22T00:00:00"/>
    <m/>
    <d v="2022-05-27T00:00:00"/>
    <d v="2022-05-16T00:00:00"/>
    <s v="-"/>
    <d v="2022-07-26T00:00:00"/>
    <d v="2022-07-26T00:00:00"/>
    <d v="2022-07-27T00:00:00"/>
    <m/>
    <m/>
    <m/>
    <s v="MATTIUSSI"/>
    <s v="Patrick"/>
    <n v="3"/>
    <n v="41767"/>
    <n v="193"/>
    <s v="Rue de Brandegaudiere"/>
    <n v="38340"/>
    <x v="17"/>
    <n v="684952235"/>
    <s v="patrick.mattiussi@wanadoo.fr"/>
    <s v="PO"/>
    <m/>
    <m/>
    <m/>
    <m/>
    <m/>
    <m/>
    <x v="7"/>
    <x v="35"/>
    <s v="PIERRE Emmanuel"/>
    <s v="voiron@techni-nature.com"/>
    <s v="09 51 09 63 43"/>
    <s v="-"/>
    <s v="oui"/>
    <d v="2022-08-25T00:00:00"/>
    <s v="insert / foyer fermé"/>
    <n v="1988"/>
    <x v="0"/>
    <x v="0"/>
    <s v="PIAZZETA"/>
    <s v="P220 SV"/>
    <n v="15"/>
    <n v="8.5"/>
    <n v="91.3"/>
    <n v="3.4399999999999999E-3"/>
    <s v="FV7"/>
    <m/>
    <n v="6789.25"/>
    <m/>
    <m/>
    <m/>
    <n v="690"/>
    <n v="7479.25"/>
    <n v="411.35874999999999"/>
    <n v="7890.6087500000003"/>
    <n v="7890.6077500000001"/>
    <s v="oui"/>
    <m/>
    <m/>
    <s v="ADEME 2022"/>
    <s v="Facturation AGEDEN 2022"/>
  </r>
  <r>
    <x v="0"/>
    <e v="#VALUE!"/>
    <x v="4"/>
    <x v="0"/>
    <s v="EG"/>
    <s v="VRB0373"/>
    <n v="600"/>
    <d v="2022-02-21T00:00:00"/>
    <d v="2022-02-22T00:00:00"/>
    <d v="2022-02-23T00:00:00"/>
    <s v="Photo plan large"/>
    <s v="-"/>
    <s v="-"/>
    <s v="-"/>
    <m/>
    <s v="-"/>
    <s v="-"/>
    <s v="-"/>
    <s v="-"/>
    <s v="-"/>
    <s v="-"/>
    <m/>
    <d v="2022-03-04T00:00:00"/>
    <s v="Ancienne installation trop récente"/>
    <s v="MASSARTIC"/>
    <s v="Edith"/>
    <n v="1"/>
    <n v="21048"/>
    <n v="8"/>
    <s v="Allée du Languedoc"/>
    <n v="38430"/>
    <x v="2"/>
    <n v="670955859"/>
    <s v="marcel.massartic@orange.fr"/>
    <s v="PO"/>
    <m/>
    <m/>
    <m/>
    <m/>
    <m/>
    <m/>
    <x v="2"/>
    <x v="2"/>
    <s v="DIDIER Jean-Claude"/>
    <s v="jcduo@orange.fr"/>
    <s v="04 38 02 90 38"/>
    <s v="-"/>
    <s v="oui"/>
    <d v="2022-08-09T00:00:00"/>
    <s v="poêle"/>
    <n v="2013"/>
    <x v="5"/>
    <x v="3"/>
    <s v="-"/>
    <s v="-"/>
    <s v="-"/>
    <s v="-"/>
    <s v="-"/>
    <s v="-"/>
    <s v="-"/>
    <m/>
    <n v="0"/>
    <m/>
    <m/>
    <m/>
    <n v="0"/>
    <n v="0"/>
    <n v="0"/>
    <n v="0"/>
    <n v="0"/>
    <s v="-"/>
    <m/>
    <m/>
    <n v="0"/>
    <s v="Refusé phase initiale"/>
  </r>
  <r>
    <x v="4"/>
    <n v="3"/>
    <x v="3"/>
    <x v="2"/>
    <s v="EG"/>
    <s v="VRB0374"/>
    <n v="1000"/>
    <d v="2022-02-22T00:00:00"/>
    <d v="2022-02-22T00:00:00"/>
    <d v="2022-02-23T00:00:00"/>
    <s v="TF + Photo plan large + RIB + devis"/>
    <d v="2022-03-04T00:00:00"/>
    <d v="2022-03-04T00:00:00"/>
    <d v="2022-03-08T00:00:00"/>
    <m/>
    <d v="2022-09-14T00:00:00"/>
    <d v="2022-08-19T00:00:00"/>
    <s v="-"/>
    <d v="2022-09-29T00:00:00"/>
    <d v="2022-09-29T00:00:00"/>
    <d v="2022-09-29T00:00:00"/>
    <m/>
    <m/>
    <m/>
    <s v="PREVEL"/>
    <s v="Evelyne"/>
    <n v="1"/>
    <n v="16042"/>
    <n v="365"/>
    <s v="Rue de la caserne"/>
    <n v="38850"/>
    <x v="24"/>
    <n v="619273702"/>
    <s v="eveprevel@hotmail.fr"/>
    <s v="PO"/>
    <m/>
    <m/>
    <m/>
    <m/>
    <m/>
    <m/>
    <x v="1"/>
    <x v="1"/>
    <s v="LIDER Jean-Christohphe"/>
    <s v="jlc.services@orange.fr"/>
    <s v="04 76 07 14 61"/>
    <s v="-"/>
    <s v="oui"/>
    <d v="2022-11-03T00:00:00"/>
    <s v="insert / foyer fermé"/>
    <n v="1990"/>
    <x v="0"/>
    <x v="0"/>
    <s v="MCZ"/>
    <s v="EGO COMFORT AIR"/>
    <n v="22"/>
    <n v="8"/>
    <n v="92"/>
    <n v="0.01"/>
    <s v="FV7"/>
    <m/>
    <n v="4034.5"/>
    <m/>
    <m/>
    <m/>
    <n v="485"/>
    <n v="4519.5"/>
    <n v="248.57249999999999"/>
    <n v="4768.0725000000002"/>
    <n v="4768.07"/>
    <s v="oui"/>
    <m/>
    <m/>
    <s v="ADEME 2022"/>
    <s v="Facturation AGEDEN 2022"/>
  </r>
  <r>
    <x v="4"/>
    <n v="3"/>
    <x v="3"/>
    <x v="1"/>
    <s v="EG"/>
    <s v="VRB0375"/>
    <n v="600"/>
    <d v="2022-02-22T00:00:00"/>
    <d v="2022-02-22T00:00:00"/>
    <d v="2022-02-23T00:00:00"/>
    <s v="Photo plan large (ok) + RIB (ok) + TF"/>
    <d v="2022-03-04T00:00:00"/>
    <d v="2022-03-04T00:00:00"/>
    <d v="2022-03-08T00:00:00"/>
    <m/>
    <d v="2022-06-03T00:00:00"/>
    <d v="2022-06-02T00:00:00"/>
    <s v="-"/>
    <d v="2022-07-26T00:00:00"/>
    <d v="2022-07-26T00:00:00"/>
    <d v="2022-07-27T00:00:00"/>
    <m/>
    <m/>
    <m/>
    <s v="DAMOUR"/>
    <s v="Hervé"/>
    <n v="2"/>
    <n v="57894"/>
    <n v="34"/>
    <s v="Avenue du Vercors"/>
    <n v="38210"/>
    <x v="15"/>
    <n v="651011206"/>
    <s v="damsik06@yahoo.fr"/>
    <s v="PO"/>
    <m/>
    <m/>
    <m/>
    <m/>
    <m/>
    <m/>
    <x v="49"/>
    <x v="2"/>
    <s v="GRATIER Pascal"/>
    <s v="grenoble@hase-boutique.fr"/>
    <n v="476452433"/>
    <s v="-"/>
    <s v="oui"/>
    <d v="2023-01-28T00:00:00"/>
    <s v="foyer ouvert"/>
    <n v="1987"/>
    <x v="0"/>
    <x v="0"/>
    <s v="THERMOROSSI"/>
    <s v="BELLAVISTA R PLUS"/>
    <n v="14"/>
    <n v="11.1"/>
    <n v="80.3"/>
    <n v="39"/>
    <s v="registre"/>
    <m/>
    <n v="7217.3399999999992"/>
    <m/>
    <m/>
    <m/>
    <n v="1310"/>
    <n v="8527.34"/>
    <n v="469.00370000000004"/>
    <n v="8996.3436999999994"/>
    <n v="8996.34"/>
    <s v="non"/>
    <m/>
    <m/>
    <s v="ADEME 2022"/>
    <s v="Facturation AGEDEN 2022"/>
  </r>
  <r>
    <x v="4"/>
    <n v="3"/>
    <x v="3"/>
    <x v="1"/>
    <s v="SV"/>
    <s v="VRB0376"/>
    <n v="600"/>
    <d v="2022-02-23T00:00:00"/>
    <d v="2022-02-23T00:00:00"/>
    <d v="2022-02-24T00:00:00"/>
    <s v="Manque p2 du questionnaire. Ok le 27/2"/>
    <d v="2022-03-02T00:00:00"/>
    <d v="2022-03-02T00:00:00"/>
    <d v="2022-03-08T00:00:00"/>
    <m/>
    <d v="2022-05-17T00:00:00"/>
    <d v="2022-05-11T00:00:00"/>
    <s v="-"/>
    <d v="2022-07-26T00:00:00"/>
    <d v="2022-07-26T00:00:00"/>
    <d v="2022-07-27T00:00:00"/>
    <m/>
    <m/>
    <m/>
    <s v="BRUSA"/>
    <s v="Anthony"/>
    <n v="4"/>
    <n v="58954"/>
    <n v="128"/>
    <s v="Impasse clos des vergers"/>
    <n v="38960"/>
    <x v="11"/>
    <n v="649427065"/>
    <s v="aurelieboutet44@gmail.com"/>
    <s v="PO"/>
    <m/>
    <m/>
    <m/>
    <m/>
    <m/>
    <m/>
    <x v="7"/>
    <x v="35"/>
    <s v="PIERRE Emmanuel"/>
    <s v=" "/>
    <s v="09 51 09 63 43"/>
    <s v="-"/>
    <s v="oui"/>
    <d v="2022-08-25T00:00:00"/>
    <s v="insert / foyer fermé"/>
    <n v="1998"/>
    <x v="0"/>
    <x v="0"/>
    <s v="HOBEN"/>
    <s v="H6 Eclipse"/>
    <n v="20"/>
    <n v="7.9"/>
    <n v="89"/>
    <n v="1.7999999999999999E-2"/>
    <s v="FV7"/>
    <m/>
    <n v="7445.35"/>
    <m/>
    <m/>
    <m/>
    <n v="630"/>
    <n v="8075.35"/>
    <n v="444.14"/>
    <n v="8519.49"/>
    <n v="8519.49"/>
    <s v="oui"/>
    <m/>
    <m/>
    <s v="ADEME 2022"/>
    <s v="Facturation AGEDEN 2022"/>
  </r>
  <r>
    <x v="4"/>
    <n v="4"/>
    <x v="3"/>
    <x v="1"/>
    <s v="SV"/>
    <s v="VRB0377"/>
    <n v="600"/>
    <d v="2022-02-25T00:00:00"/>
    <d v="2022-02-25T00:00:00"/>
    <d v="2022-03-01T00:00:00"/>
    <s v="Manque RIB à la bonne adresse. Ok le 8/4/22"/>
    <d v="2022-04-14T00:00:00"/>
    <d v="2022-04-14T00:00:00"/>
    <d v="2022-04-22T00:00:00"/>
    <m/>
    <d v="2022-05-02T00:00:00"/>
    <d v="2022-05-02T00:00:00"/>
    <m/>
    <d v="2022-05-04T00:00:00"/>
    <d v="2022-05-04T00:00:00"/>
    <d v="2022-05-06T00:00:00"/>
    <m/>
    <m/>
    <m/>
    <s v="MERCIER"/>
    <s v="Jean-Claude"/>
    <n v="2"/>
    <n v="64698"/>
    <n v="18"/>
    <s v="Bis Chemin du Salamot"/>
    <n v="38210"/>
    <x v="15"/>
    <n v="680463626"/>
    <s v="jcmercier38@gmail.com"/>
    <s v="PO"/>
    <m/>
    <m/>
    <m/>
    <m/>
    <m/>
    <m/>
    <x v="6"/>
    <x v="6"/>
    <s v="FAURE Jacques"/>
    <s v="jacques.faure24@wanadoo.fr"/>
    <n v="476355605"/>
    <s v="-"/>
    <s v="oui"/>
    <d v="2022-10-26T00:00:00"/>
    <s v="insert / foyer fermé"/>
    <n v="1992"/>
    <x v="2"/>
    <x v="1"/>
    <s v="FONTE FLAMME"/>
    <s v="Vision 775 - 10"/>
    <n v="23"/>
    <n v="10"/>
    <n v="78"/>
    <n v="7.0000000000000007E-2"/>
    <s v="FV7"/>
    <m/>
    <n v="4796.67"/>
    <m/>
    <m/>
    <m/>
    <n v="1559.8"/>
    <n v="6356.47"/>
    <n v="349.61"/>
    <n v="6706.08"/>
    <n v="6706.08"/>
    <s v="oui"/>
    <m/>
    <m/>
    <s v="ADEME 2022"/>
    <s v="Facturation AGEDEN 2022"/>
  </r>
  <r>
    <x v="4"/>
    <n v="3"/>
    <x v="3"/>
    <x v="1"/>
    <s v="SV"/>
    <s v="VRB0378"/>
    <n v="600"/>
    <d v="2022-02-25T00:00:00"/>
    <d v="2022-02-28T00:00:00"/>
    <d v="2022-03-02T00:00:00"/>
    <s v="Manque lettre de sollicitation (ok le 4/3/22)"/>
    <d v="2022-03-30T00:00:00"/>
    <d v="2022-03-30T00:00:00"/>
    <d v="2022-04-04T00:00:00"/>
    <m/>
    <d v="2022-05-25T00:00:00"/>
    <d v="2022-05-20T00:00:00"/>
    <s v="-"/>
    <d v="2022-07-26T00:00:00"/>
    <d v="2022-07-26T00:00:00"/>
    <d v="2022-07-27T00:00:00"/>
    <m/>
    <m/>
    <m/>
    <s v="PHILIPPE"/>
    <s v="Stéphane"/>
    <n v="3"/>
    <n v="56659"/>
    <n v="67"/>
    <s v="Chemin de la tencon"/>
    <n v="38430"/>
    <x v="28"/>
    <n v="607620009"/>
    <s v="stephane.philippe38@gmail.com"/>
    <s v="PO"/>
    <m/>
    <m/>
    <m/>
    <m/>
    <m/>
    <m/>
    <x v="2"/>
    <x v="2"/>
    <s v="DIDIER Jean-Claude"/>
    <s v="jcduo@orange.fr"/>
    <s v="04 38 02 90 38"/>
    <s v="-"/>
    <s v="oui"/>
    <d v="2022-08-09T00:00:00"/>
    <s v="poêle"/>
    <n v="2001"/>
    <x v="0"/>
    <x v="0"/>
    <s v="LORFLAM"/>
    <s v="Ofen SP 2"/>
    <n v="15"/>
    <n v="9.6"/>
    <n v="82"/>
    <m/>
    <s v="registre"/>
    <m/>
    <n v="4768.96"/>
    <m/>
    <m/>
    <m/>
    <n v="450"/>
    <n v="5218.96"/>
    <n v="287.04000000000002"/>
    <n v="5506"/>
    <n v="5506"/>
    <s v="non"/>
    <m/>
    <m/>
    <s v="ADEME 2022"/>
    <s v="Facturation AGEDEN 2022"/>
  </r>
  <r>
    <x v="4"/>
    <n v="3"/>
    <x v="3"/>
    <x v="2"/>
    <s v="SV"/>
    <s v="VRB0379"/>
    <n v="1000"/>
    <d v="2022-02-28T00:00:00"/>
    <d v="2022-02-28T00:00:00"/>
    <d v="2022-03-02T00:00:00"/>
    <s v="Manque photo plan large; OK le 2/3/22"/>
    <d v="2022-03-02T00:00:00"/>
    <d v="2022-03-02T00:00:00"/>
    <d v="2022-03-08T00:00:00"/>
    <m/>
    <m/>
    <m/>
    <m/>
    <m/>
    <m/>
    <m/>
    <m/>
    <m/>
    <m/>
    <s v="RASSAT"/>
    <s v="Lucile"/>
    <n v="3"/>
    <n v="30465"/>
    <n v="211"/>
    <s v="Rue du Boutet"/>
    <n v="38340"/>
    <x v="17"/>
    <n v="674849672"/>
    <s v="lucile43@hotmail.fr"/>
    <s v="PO"/>
    <m/>
    <m/>
    <m/>
    <m/>
    <m/>
    <m/>
    <x v="35"/>
    <x v="3"/>
    <s v="CARUANA Anthony"/>
    <s v="contact.echirolles@alp-confort.fr"/>
    <n v="438920220"/>
    <s v="-"/>
    <s v="oui"/>
    <d v="2022-04-17T00:00:00"/>
    <s v="foyer ouvert"/>
    <n v="1948"/>
    <x v="0"/>
    <x v="0"/>
    <s v="Extraflamme"/>
    <s v="Gabriella"/>
    <n v="14"/>
    <n v="8"/>
    <n v="94"/>
    <n v="1.0319999999999999E-2"/>
    <s v="FV7"/>
    <m/>
    <n v="5861"/>
    <m/>
    <m/>
    <m/>
    <n v="333.67"/>
    <n v="6090"/>
    <n v="317.49"/>
    <n v="5772.51"/>
    <m/>
    <s v="oui"/>
    <m/>
    <m/>
    <s v="ADEME 2022"/>
    <s v="Facturation AGEDEN 2022"/>
  </r>
  <r>
    <x v="4"/>
    <n v="3"/>
    <x v="3"/>
    <x v="1"/>
    <s v="SV"/>
    <s v="VRB0380"/>
    <n v="600"/>
    <d v="2022-03-01T00:00:00"/>
    <d v="2022-03-03T00:00:00"/>
    <m/>
    <m/>
    <d v="2022-03-03T00:00:00"/>
    <d v="2022-03-03T00:00:00"/>
    <d v="2022-03-08T00:00:00"/>
    <m/>
    <d v="2022-06-27T00:00:00"/>
    <d v="2022-05-30T00:00:00"/>
    <s v="-"/>
    <d v="2022-07-27T00:00:00"/>
    <d v="2022-07-27T00:00:00"/>
    <d v="2022-07-28T00:00:00"/>
    <m/>
    <m/>
    <m/>
    <s v="DIEBOLT"/>
    <s v="Didier"/>
    <n v="2"/>
    <n v="70584"/>
    <n v="95"/>
    <s v="Les jardins du centre"/>
    <n v="38140"/>
    <x v="8"/>
    <n v="630170447"/>
    <s v="diebolt.didier60@free.fr"/>
    <s v="PO"/>
    <m/>
    <m/>
    <m/>
    <m/>
    <m/>
    <m/>
    <x v="14"/>
    <x v="1"/>
    <s v="SIMON Frédéric"/>
    <s v="contact@ecvoiron.fr"/>
    <n v="476069938"/>
    <m/>
    <s v="oui"/>
    <d v="2022-09-18T00:00:00"/>
    <s v="poêle"/>
    <n v="2001"/>
    <x v="0"/>
    <x v="1"/>
    <s v="NORDPEIS"/>
    <s v="Me Wall"/>
    <n v="40"/>
    <n v="5.8"/>
    <n v="75"/>
    <n v="0.1024"/>
    <s v="FV7"/>
    <m/>
    <n v="4648"/>
    <m/>
    <m/>
    <m/>
    <n v="1040"/>
    <n v="5688"/>
    <n v="312.85000000000002"/>
    <n v="6000.85"/>
    <n v="6000.85"/>
    <s v="non"/>
    <m/>
    <m/>
    <s v="ADEME 2022"/>
    <s v="Facturation AGEDEN 2022"/>
  </r>
  <r>
    <x v="4"/>
    <n v="3"/>
    <x v="3"/>
    <x v="1"/>
    <s v="SV"/>
    <s v="VRB0381"/>
    <n v="600"/>
    <d v="2022-03-01T00:00:00"/>
    <d v="2022-03-03T00:00:00"/>
    <m/>
    <m/>
    <d v="2022-03-03T00:00:00"/>
    <d v="2022-03-03T00:00:00"/>
    <d v="2022-03-08T00:00:00"/>
    <m/>
    <d v="2022-05-13T00:00:00"/>
    <d v="2022-05-09T00:00:00"/>
    <s v="-"/>
    <d v="2022-07-26T00:00:00"/>
    <d v="2022-07-26T00:00:00"/>
    <d v="2022-07-27T00:00:00"/>
    <m/>
    <m/>
    <m/>
    <s v="DAUBARD"/>
    <s v="Henri"/>
    <n v="2"/>
    <n v="30125"/>
    <n v="6"/>
    <s v="Le Hameau du Garat"/>
    <n v="38500"/>
    <x v="1"/>
    <n v="687797125"/>
    <s v="daubardh@orange.fr"/>
    <s v="PO"/>
    <m/>
    <m/>
    <m/>
    <m/>
    <m/>
    <m/>
    <x v="14"/>
    <x v="1"/>
    <s v="SIMON Frédéric"/>
    <s v="contact@ecvoiron.fr"/>
    <n v="476069938"/>
    <m/>
    <s v="oui"/>
    <d v="2022-09-18T00:00:00"/>
    <s v="insert / foyer fermé"/>
    <n v="1992"/>
    <x v="0"/>
    <x v="1"/>
    <s v="ROMOTOP"/>
    <s v="Stromboli N"/>
    <n v="17"/>
    <n v="9"/>
    <n v="79.5"/>
    <n v="8.4080000000000002E-2"/>
    <s v="FV7"/>
    <m/>
    <n v="4435"/>
    <m/>
    <m/>
    <m/>
    <n v="750"/>
    <n v="5185"/>
    <n v="285.18"/>
    <n v="5470.18"/>
    <n v="5291.89"/>
    <s v="oui"/>
    <m/>
    <m/>
    <s v="ADEME 2022"/>
    <s v="Facturation AGEDEN 2022"/>
  </r>
  <r>
    <x v="0"/>
    <e v="#VALUE!"/>
    <x v="4"/>
    <x v="0"/>
    <s v="EG"/>
    <s v="VRB0382"/>
    <n v="1000"/>
    <d v="2022-03-03T00:00:00"/>
    <d v="2022-03-04T00:00:00"/>
    <d v="2022-03-09T00:00:00"/>
    <s v="RIB"/>
    <s v="-"/>
    <s v="-"/>
    <s v="-"/>
    <m/>
    <s v="-"/>
    <s v="-"/>
    <s v="-"/>
    <s v="-"/>
    <s v="-"/>
    <s v="-"/>
    <m/>
    <d v="2022-03-09T00:00:00"/>
    <s v="remplacement poêle à fioul"/>
    <s v="PALOMBA &amp;BRAS"/>
    <s v="Léa &amp; Enzo"/>
    <n v="2"/>
    <n v="18191"/>
    <n v="245"/>
    <s v="Le grand chemin  "/>
    <n v="38140"/>
    <x v="12"/>
    <n v="638555477"/>
    <s v="lea718@outlook.fr"/>
    <s v="PO"/>
    <m/>
    <m/>
    <m/>
    <m/>
    <m/>
    <m/>
    <x v="7"/>
    <x v="35"/>
    <s v="PIERRE Emmanuel"/>
    <s v="voiron@techni-nature.com"/>
    <s v="09 51 09 63 43"/>
    <s v="-"/>
    <s v="oui"/>
    <d v="2022-08-25T00:00:00"/>
    <s v="-"/>
    <s v="-"/>
    <x v="5"/>
    <x v="3"/>
    <s v="-"/>
    <s v="-"/>
    <s v="-"/>
    <s v="-"/>
    <s v="-"/>
    <s v="-"/>
    <s v="-"/>
    <m/>
    <n v="0"/>
    <m/>
    <m/>
    <m/>
    <n v="0"/>
    <n v="0"/>
    <n v="0"/>
    <n v="0"/>
    <s v="-"/>
    <s v="-"/>
    <m/>
    <m/>
    <n v="0"/>
    <s v="Refusé phase initiale"/>
  </r>
  <r>
    <x v="4"/>
    <n v="3"/>
    <x v="3"/>
    <x v="1"/>
    <s v="EG"/>
    <s v="VRB0383"/>
    <n v="600"/>
    <d v="2022-03-03T00:00:00"/>
    <d v="2022-03-04T00:00:00"/>
    <s v="-"/>
    <s v="-"/>
    <d v="2022-03-10T00:00:00"/>
    <d v="2022-03-10T00:00:00"/>
    <d v="2022-03-15T00:00:00"/>
    <m/>
    <d v="2022-06-07T00:00:00"/>
    <d v="2022-05-06T00:00:00"/>
    <s v="-"/>
    <d v="2022-07-27T00:00:00"/>
    <d v="2022-07-27T00:00:00"/>
    <d v="2022-07-28T00:00:00"/>
    <m/>
    <m/>
    <m/>
    <s v="PORTAL"/>
    <s v="Jacques"/>
    <n v="2"/>
    <n v="42225"/>
    <n v="6"/>
    <s v="Lotissement le Petit bois"/>
    <n v="38140"/>
    <x v="8"/>
    <n v="610927108"/>
    <s v="jacques.portal94@free.fr"/>
    <s v="PO"/>
    <m/>
    <m/>
    <m/>
    <m/>
    <m/>
    <m/>
    <x v="26"/>
    <x v="19"/>
    <s v="ZELUS Jean-Pierre"/>
    <s v="jeanpierrezelus@poelesgranules.fr"/>
    <s v="06 22 53 64 55"/>
    <s v="-"/>
    <s v="oui"/>
    <d v="2022-08-16T00:00:00"/>
    <s v="insert / foyer fermé"/>
    <n v="1987"/>
    <x v="0"/>
    <x v="0"/>
    <s v="EDILKAMIN"/>
    <s v="Lena Plus"/>
    <n v="15"/>
    <n v="9.1999999999999993"/>
    <n v="88.5"/>
    <n v="9.0399999999999994E-3"/>
    <s v="FV7"/>
    <m/>
    <n v="3700"/>
    <m/>
    <m/>
    <m/>
    <n v="710"/>
    <n v="4410"/>
    <n v="242.55"/>
    <n v="4652.5499999999993"/>
    <n v="4652.0013999999992"/>
    <s v="oui"/>
    <m/>
    <m/>
    <s v="ADEME 2022"/>
    <s v="Facturation AGEDEN 2022"/>
  </r>
  <r>
    <x v="4"/>
    <n v="3"/>
    <x v="3"/>
    <x v="2"/>
    <s v="EG"/>
    <s v="VRB0384"/>
    <n v="1000"/>
    <d v="2022-03-07T00:00:00"/>
    <s v="-"/>
    <s v="-"/>
    <s v="dossier complet envoyé par courrier et mail à installateur"/>
    <d v="2022-03-10T00:00:00"/>
    <d v="2022-03-10T00:00:00"/>
    <d v="2022-03-16T00:00:00"/>
    <m/>
    <d v="2022-11-29T00:00:00"/>
    <d v="2022-11-16T00:00:00"/>
    <s v="-"/>
    <d v="2022-12-20T00:00:00"/>
    <d v="2022-12-20T00:00:00"/>
    <d v="2023-01-06T00:00:00"/>
    <m/>
    <m/>
    <m/>
    <s v="BENOIT-CATTIN"/>
    <s v="Thierry &amp; Stéphanie"/>
    <n v="5"/>
    <n v="40967"/>
    <n v="69"/>
    <s v="Allée de Bel Air"/>
    <n v="38620"/>
    <x v="34"/>
    <s v="-"/>
    <s v="-"/>
    <s v="PO"/>
    <m/>
    <m/>
    <m/>
    <m/>
    <m/>
    <m/>
    <x v="1"/>
    <x v="1"/>
    <s v="LIDER Jean-Christohphe"/>
    <s v="poelesetcuisinierespassion@gmail.com"/>
    <s v="04 76 07 14 61"/>
    <s v="-"/>
    <s v="oui"/>
    <d v="2022-11-03T00:00:00"/>
    <s v="poêle"/>
    <n v="2000"/>
    <x v="0"/>
    <x v="0"/>
    <s v="MCZ"/>
    <s v="HALO AIR 8 UP! M1"/>
    <n v="17"/>
    <n v="8.1"/>
    <n v="90.9"/>
    <n v="2E-3"/>
    <s v="FV7"/>
    <m/>
    <n v="4842"/>
    <m/>
    <m/>
    <m/>
    <n v="500"/>
    <n v="5342"/>
    <n v="293.81"/>
    <n v="5635.8099999999995"/>
    <n v="5635.81"/>
    <s v="oui"/>
    <m/>
    <m/>
    <s v="ADEME 2022"/>
    <s v="Facturation AGEDEN 2022"/>
  </r>
  <r>
    <x v="4"/>
    <n v="3"/>
    <x v="3"/>
    <x v="2"/>
    <s v="EG"/>
    <s v="VRB0385"/>
    <n v="1000"/>
    <d v="2022-03-07T00:00:00"/>
    <d v="2022-03-08T00:00:00"/>
    <s v="-"/>
    <s v="-"/>
    <d v="2022-03-10T00:00:00"/>
    <d v="2022-03-10T00:00:00"/>
    <d v="2022-03-15T00:00:00"/>
    <m/>
    <m/>
    <m/>
    <m/>
    <m/>
    <m/>
    <m/>
    <m/>
    <m/>
    <m/>
    <s v="GONON"/>
    <s v="Daniel"/>
    <n v="1"/>
    <n v="11290"/>
    <n v="807"/>
    <s v="Route du Mollard le pin"/>
    <n v="38730"/>
    <x v="35"/>
    <n v="640051608"/>
    <s v="gonon.daniel30676@gmail.com"/>
    <s v="PO"/>
    <m/>
    <m/>
    <m/>
    <m/>
    <m/>
    <m/>
    <x v="0"/>
    <x v="0"/>
    <s v="Carre Francois"/>
    <s v="f.carre@carre-f.com"/>
    <s v="04 76 37 03 50"/>
    <s v="-"/>
    <s v="oui"/>
    <d v="2022-09-17T00:00:00"/>
    <s v="cuisinière"/>
    <n v="1985"/>
    <x v="0"/>
    <x v="0"/>
    <s v="PALAZZETTI"/>
    <s v="ECOFIRE MARIANNE 9 KW"/>
    <n v="16"/>
    <n v="9.1"/>
    <n v="91.8"/>
    <n v="3.7599999999999999E-3"/>
    <s v="FV7"/>
    <m/>
    <n v="5598"/>
    <m/>
    <m/>
    <m/>
    <n v="790"/>
    <n v="6388"/>
    <n v="351.34"/>
    <n v="6739.3399999999992"/>
    <m/>
    <s v="oui"/>
    <m/>
    <m/>
    <s v="ADEME 2022"/>
    <s v="Facturation AGEDEN 2022"/>
  </r>
  <r>
    <x v="4"/>
    <n v="4"/>
    <x v="3"/>
    <x v="1"/>
    <s v="FZO"/>
    <s v="VRB0386"/>
    <n v="600"/>
    <d v="2022-03-08T00:00:00"/>
    <d v="2022-03-16T00:00:00"/>
    <d v="2022-03-28T00:00:00"/>
    <s v="photo plan large"/>
    <d v="2022-04-01T00:00:00"/>
    <d v="2022-04-01T00:00:00"/>
    <d v="2022-04-04T00:00:00"/>
    <m/>
    <d v="2023-01-18T00:00:00"/>
    <m/>
    <m/>
    <m/>
    <m/>
    <m/>
    <m/>
    <m/>
    <m/>
    <s v="BOUCENNA"/>
    <s v="Ahcene"/>
    <n v="2"/>
    <n v="41354"/>
    <n v="460"/>
    <s v="Rue du Charrat"/>
    <n v="38960"/>
    <x v="22"/>
    <n v="607293201"/>
    <s v="ahcene.boucenna@free.fr"/>
    <s v="PO"/>
    <m/>
    <m/>
    <m/>
    <m/>
    <m/>
    <m/>
    <x v="1"/>
    <x v="1"/>
    <s v="LIDER Jean-Christohphe"/>
    <s v="poelesetcuisinierespassion@gmail.com"/>
    <s v="04 76 07 14 61"/>
    <s v="-"/>
    <s v="oui"/>
    <d v="2022-11-03T00:00:00"/>
    <s v="insert / foyer fermé"/>
    <n v="1990"/>
    <x v="0"/>
    <x v="0"/>
    <s v="MCZ"/>
    <s v="RAY COMFORT AIR 8 M1"/>
    <n v="11"/>
    <n v="7.8"/>
    <n v="90.2"/>
    <n v="6.0000000000000001E-3"/>
    <s v="FV7"/>
    <m/>
    <n v="5454"/>
    <m/>
    <m/>
    <m/>
    <n v="545"/>
    <n v="5999"/>
    <n v="329.94499999999999"/>
    <n v="6328.9449999999997"/>
    <m/>
    <s v="non"/>
    <m/>
    <m/>
    <s v="ADEME 2022"/>
    <s v="Facturation AGEDEN 2022"/>
  </r>
  <r>
    <x v="4"/>
    <n v="4"/>
    <x v="3"/>
    <x v="1"/>
    <s v="FZO"/>
    <s v="VRB0387"/>
    <n v="600"/>
    <d v="2022-03-15T00:00:00"/>
    <d v="2022-03-16T00:00:00"/>
    <d v="2022-03-28T00:00:00"/>
    <s v="Devis non complet "/>
    <d v="2022-04-27T00:00:00"/>
    <d v="2022-04-27T00:00:00"/>
    <d v="2022-05-02T00:00:00"/>
    <m/>
    <d v="2022-11-07T00:00:00"/>
    <d v="2022-10-07T00:00:00"/>
    <s v="-"/>
    <d v="2022-11-09T00:00:00"/>
    <d v="2022-11-09T00:00:00"/>
    <d v="2022-11-14T00:00:00"/>
    <m/>
    <m/>
    <m/>
    <s v="JANNIN &amp;VAN REETH"/>
    <s v="Antony &amp; Marion"/>
    <n v="2"/>
    <n v="37372"/>
    <n v="420"/>
    <s v="Route du Mollard Rond"/>
    <n v="38620"/>
    <x v="14"/>
    <n v="688739843"/>
    <s v="m.vanreeth@yahoo.fr"/>
    <s v="PO"/>
    <m/>
    <m/>
    <m/>
    <m/>
    <m/>
    <m/>
    <x v="50"/>
    <x v="8"/>
    <s v="Mr. AILLOUD BETASSON"/>
    <m/>
    <n v="698193037"/>
    <s v="SARL PAB"/>
    <s v="oui"/>
    <d v="2023-03-13T00:00:00"/>
    <s v="insert / foyer fermé"/>
    <n v="1989"/>
    <x v="0"/>
    <x v="1"/>
    <s v="SUPRA"/>
    <s v="LARRY BÛCHER"/>
    <n v="20"/>
    <n v="8.5"/>
    <n v="75.400000000000006"/>
    <n v="8.6400000000000005E-2"/>
    <s v="FV7"/>
    <m/>
    <n v="3316.0299999999997"/>
    <m/>
    <m/>
    <m/>
    <n v="1172.75"/>
    <n v="4488.78"/>
    <n v="246.88289999999998"/>
    <n v="4735.6628999999994"/>
    <n v="4628.67"/>
    <s v="oui"/>
    <m/>
    <m/>
    <s v="ADEME 2022"/>
    <s v="Facturation AGEDEN 2022"/>
  </r>
  <r>
    <x v="4"/>
    <n v="3"/>
    <x v="3"/>
    <x v="2"/>
    <s v="FZO"/>
    <s v="VRB0388"/>
    <n v="1000"/>
    <d v="2022-03-17T00:00:00"/>
    <d v="2022-03-18T00:00:00"/>
    <s v="-"/>
    <s v="-"/>
    <d v="2022-03-28T00:00:00"/>
    <d v="2022-03-28T00:00:00"/>
    <d v="2022-04-04T00:00:00"/>
    <m/>
    <d v="2022-12-08T00:00:00"/>
    <d v="2022-10-31T00:00:00"/>
    <s v="Attestation honneur de destruction"/>
    <d v="2023-01-30T00:00:00"/>
    <d v="2023-01-30T00:00:00"/>
    <m/>
    <m/>
    <m/>
    <m/>
    <s v="DURIF TROILLETON"/>
    <s v="Gerard"/>
    <n v="2"/>
    <n v="28497"/>
    <n v="795"/>
    <s v="Route de ST Etienne de Croissey"/>
    <n v="38960"/>
    <x v="11"/>
    <n v="782117080"/>
    <s v="troillet38@free.fr"/>
    <s v="PO"/>
    <m/>
    <m/>
    <m/>
    <m/>
    <m/>
    <m/>
    <x v="1"/>
    <x v="1"/>
    <s v="LIDER Jean-Christohphe"/>
    <s v="poelesetcuisinierespassion@gmail.com"/>
    <s v="04 76 07 14 61"/>
    <s v="-"/>
    <s v="oui"/>
    <d v="2022-11-03T00:00:00"/>
    <s v="foyer ouvert"/>
    <n v="1980"/>
    <x v="0"/>
    <x v="1"/>
    <s v="STOVAX"/>
    <s v="Studio Air 2:  726-181"/>
    <n v="20"/>
    <n v="8.1999999999999993"/>
    <n v="69.5"/>
    <n v="1000"/>
    <s v="registre"/>
    <m/>
    <n v="5166.1499999999996"/>
    <m/>
    <m/>
    <m/>
    <n v="555"/>
    <n v="5721.15"/>
    <n v="314.66325000000001"/>
    <n v="6035.8132499999992"/>
    <n v="6035.81"/>
    <s v="oui"/>
    <m/>
    <m/>
    <s v="ADEME 2022"/>
    <s v="Facturation AGEDEN 2022"/>
  </r>
  <r>
    <x v="4"/>
    <n v="4"/>
    <x v="3"/>
    <x v="1"/>
    <s v="FZO"/>
    <s v="VRB0389"/>
    <n v="600"/>
    <d v="2022-03-21T00:00:00"/>
    <d v="2022-03-23T00:00:00"/>
    <d v="2022-03-28T00:00:00"/>
    <s v="TF"/>
    <d v="2022-04-01T00:00:00"/>
    <d v="2022-04-01T00:00:00"/>
    <d v="2022-04-04T00:00:00"/>
    <m/>
    <d v="2022-10-17T00:00:00"/>
    <d v="2022-10-13T00:00:00"/>
    <s v="-"/>
    <d v="2022-11-08T00:00:00"/>
    <d v="2022-11-08T00:00:00"/>
    <d v="2022-11-14T00:00:00"/>
    <m/>
    <m/>
    <m/>
    <s v="BOIS"/>
    <s v="Jean-Pierre"/>
    <n v="2"/>
    <n v="42858"/>
    <n v="126"/>
    <s v="Lotissement la grande sure"/>
    <n v="38500"/>
    <x v="18"/>
    <n v="476659391"/>
    <s v="jeanpierre.bois@territoires-informatiques.fr"/>
    <s v="PO"/>
    <m/>
    <m/>
    <m/>
    <m/>
    <m/>
    <m/>
    <x v="16"/>
    <x v="10"/>
    <s v="ALO"/>
    <s v="cheminees.jay@orange.fr"/>
    <n v="476500550"/>
    <s v="-"/>
    <s v="oui"/>
    <d v="2022-06-28T00:00:00"/>
    <s v="insert / foyer fermé"/>
    <n v="1986"/>
    <x v="0"/>
    <x v="1"/>
    <s v="TURBO FONTE"/>
    <s v="MABLY 5 KW"/>
    <n v="26"/>
    <n v="5"/>
    <n v="80.3"/>
    <s v="0.07288"/>
    <s v="FV7"/>
    <m/>
    <n v="4745.1000000000004"/>
    <m/>
    <m/>
    <m/>
    <n v="1314.42"/>
    <n v="6059.52"/>
    <n v="333.27360000000004"/>
    <n v="6392.7936"/>
    <n v="6582.69"/>
    <s v="oui"/>
    <m/>
    <m/>
    <s v="ADEME 2022"/>
    <s v="Facturation AGEDEN 2022"/>
  </r>
  <r>
    <x v="4"/>
    <n v="3"/>
    <x v="3"/>
    <x v="1"/>
    <s v="FZO"/>
    <s v="VRB0390"/>
    <n v="600"/>
    <d v="2022-03-22T00:00:00"/>
    <d v="2022-03-23T00:00:00"/>
    <s v="-"/>
    <s v="-"/>
    <d v="2022-03-28T00:00:00"/>
    <d v="2022-03-28T00:00:00"/>
    <d v="2022-04-04T00:00:00"/>
    <m/>
    <d v="2022-06-20T00:00:00"/>
    <d v="2022-05-03T00:00:00"/>
    <s v="-"/>
    <d v="2022-07-27T00:00:00"/>
    <d v="2022-07-27T00:00:00"/>
    <d v="2022-07-28T00:00:00"/>
    <m/>
    <m/>
    <m/>
    <s v="LOUAT"/>
    <s v="Daniel"/>
    <n v="2"/>
    <n v="46853"/>
    <n v="1"/>
    <s v="Le petit bois "/>
    <n v="38140"/>
    <x v="8"/>
    <n v="476355944"/>
    <s v="louatd@yahoo.com"/>
    <s v="PO"/>
    <m/>
    <m/>
    <m/>
    <m/>
    <m/>
    <m/>
    <x v="26"/>
    <x v="19"/>
    <s v="ZELUS Jean-Pierre"/>
    <s v="jeanpierrezelus@poelesgranules.fr"/>
    <s v="06 22 53 64 55"/>
    <s v="-"/>
    <s v="oui"/>
    <d v="2022-08-16T00:00:00"/>
    <s v="insert / foyer fermé"/>
    <n v="1987"/>
    <x v="0"/>
    <x v="0"/>
    <s v="EDILKAMIN"/>
    <s v="Lena Plus"/>
    <n v="15"/>
    <n v="9.1999999999999993"/>
    <n v="88.5"/>
    <s v="0.00904 "/>
    <s v="FV7"/>
    <m/>
    <n v="2400"/>
    <m/>
    <m/>
    <m/>
    <n v="710"/>
    <n v="3110"/>
    <n v="171.05"/>
    <n v="3281.0499999999997"/>
    <n v="3280.9972499999994"/>
    <s v="oui"/>
    <m/>
    <m/>
    <s v="ADEME 2022"/>
    <s v="Facturation AGEDEN 2022"/>
  </r>
  <r>
    <x v="4"/>
    <n v="3"/>
    <x v="3"/>
    <x v="1"/>
    <s v="SV"/>
    <s v="VRB0391"/>
    <n v="600"/>
    <d v="2022-03-16T00:00:00"/>
    <d v="2022-03-23T00:00:00"/>
    <m/>
    <m/>
    <d v="2022-03-30T00:00:00"/>
    <d v="2022-03-30T00:00:00"/>
    <d v="2022-04-04T00:00:00"/>
    <m/>
    <d v="2022-10-19T00:00:00"/>
    <d v="2022-09-28T00:00:00"/>
    <s v="-"/>
    <d v="2022-11-09T00:00:00"/>
    <d v="2022-11-09T00:00:00"/>
    <d v="2022-11-14T00:00:00"/>
    <m/>
    <m/>
    <m/>
    <s v="CROCE"/>
    <s v="Pascal"/>
    <n v="2"/>
    <n v="33409"/>
    <n v="25"/>
    <s v="Chemin du Gorgeat"/>
    <n v="38500"/>
    <x v="18"/>
    <n v="652860038"/>
    <s v="pascalcroce@sfr.fr"/>
    <s v="PO"/>
    <m/>
    <m/>
    <m/>
    <m/>
    <m/>
    <m/>
    <x v="7"/>
    <x v="35"/>
    <s v="PIERRE Emmanuel"/>
    <s v="voiron@techni-nature.com"/>
    <s v="09 51 09 63 43"/>
    <s v="-"/>
    <s v="oui"/>
    <d v="2022-08-25T00:00:00"/>
    <s v="insert / foyer fermé"/>
    <n v="1992"/>
    <x v="0"/>
    <x v="0"/>
    <s v="PIAZZETA"/>
    <s v="P230"/>
    <n v="14"/>
    <n v="11"/>
    <n v="90.7"/>
    <n v="7.8399999999999997E-3"/>
    <s v="FV7"/>
    <m/>
    <n v="7156.9"/>
    <m/>
    <m/>
    <m/>
    <n v="730"/>
    <n v="7229.98"/>
    <n v="397.65"/>
    <n v="7627.63"/>
    <n v="7627.63"/>
    <s v="oui"/>
    <m/>
    <m/>
    <s v="ADEME 2022"/>
    <s v="Facturation AGEDEN 2022"/>
  </r>
  <r>
    <x v="4"/>
    <n v="3"/>
    <x v="3"/>
    <x v="2"/>
    <s v="SV"/>
    <s v="VRB0392"/>
    <n v="1000"/>
    <d v="2022-03-22T00:00:00"/>
    <d v="2022-03-23T00:00:00"/>
    <m/>
    <m/>
    <d v="2022-03-30T00:00:00"/>
    <d v="2022-03-30T00:00:00"/>
    <d v="2022-04-04T00:00:00"/>
    <m/>
    <d v="2022-05-09T00:00:00"/>
    <d v="2022-04-15T00:00:00"/>
    <s v="-"/>
    <d v="2022-07-26T00:00:00"/>
    <d v="2022-07-26T00:00:00"/>
    <d v="2022-07-27T00:00:00"/>
    <m/>
    <m/>
    <m/>
    <s v="PILATO"/>
    <s v="Louise"/>
    <n v="1"/>
    <n v="14496"/>
    <n v="30"/>
    <s v="Montée du Pilet"/>
    <n v="38500"/>
    <x v="18"/>
    <n v="610354467"/>
    <s v="sps38@orange.fr"/>
    <s v="PO"/>
    <m/>
    <m/>
    <m/>
    <m/>
    <m/>
    <m/>
    <x v="16"/>
    <x v="10"/>
    <s v="ALO"/>
    <s v="cheminees.jay@orange.fr"/>
    <n v="476500550"/>
    <s v="-"/>
    <s v="oui"/>
    <d v="2022-06-28T00:00:00"/>
    <s v="insert / foyer fermé"/>
    <n v="1999"/>
    <x v="2"/>
    <x v="1"/>
    <s v="TURBO FONTE"/>
    <s v="Astrea 888"/>
    <n v="40"/>
    <n v="16"/>
    <n v="79"/>
    <n v="0.11"/>
    <s v="FV7"/>
    <m/>
    <n v="2857.3"/>
    <m/>
    <m/>
    <m/>
    <n v="650"/>
    <n v="3507.3"/>
    <n v="192.9"/>
    <n v="3700.2"/>
    <n v="3700.2"/>
    <s v="oui"/>
    <m/>
    <m/>
    <s v="ADEME 2022"/>
    <s v="Facturation AGEDEN 2022"/>
  </r>
  <r>
    <x v="4"/>
    <n v="4"/>
    <x v="3"/>
    <x v="1"/>
    <s v="FZO"/>
    <s v="VRB0393"/>
    <n v="600"/>
    <d v="2022-03-23T00:00:00"/>
    <d v="2022-03-30T00:00:00"/>
    <s v="-"/>
    <s v="-"/>
    <d v="2022-04-07T00:00:00"/>
    <d v="2022-04-07T00:00:00"/>
    <d v="2022-04-13T00:00:00"/>
    <m/>
    <d v="2022-05-30T00:00:00"/>
    <d v="2022-05-08T00:00:00"/>
    <s v="-"/>
    <d v="2022-07-26T00:00:00"/>
    <d v="2022-07-26T00:00:00"/>
    <d v="2022-07-27T00:00:00"/>
    <m/>
    <m/>
    <m/>
    <s v="CLAVEL"/>
    <s v="Hervé"/>
    <n v="2"/>
    <n v="64405"/>
    <n v="215"/>
    <s v="Route du Correards"/>
    <n v="38490"/>
    <x v="33"/>
    <n v="667498483"/>
    <s v="herve.clavel@hotmail.com"/>
    <s v="PO"/>
    <m/>
    <m/>
    <m/>
    <m/>
    <m/>
    <m/>
    <x v="39"/>
    <x v="30"/>
    <s v="Mr BARGEL Jonathan"/>
    <s v="jonathan.bargel@philippeisere.fr"/>
    <n v="476663386"/>
    <s v="-"/>
    <s v="oui"/>
    <d v="2022-06-19T00:00:00"/>
    <s v="foyer ouvert"/>
    <n v="2001"/>
    <x v="2"/>
    <x v="1"/>
    <s v="CHEMINEES PHILIPPE PERFORM"/>
    <s v="850 ETANCHE PR"/>
    <n v="18"/>
    <n v="14"/>
    <s v="79.2 "/>
    <s v="0.0916 "/>
    <s v="FV7"/>
    <m/>
    <n v="6620.66"/>
    <m/>
    <m/>
    <m/>
    <n v="885"/>
    <n v="7505.66"/>
    <n v="412.81130000000002"/>
    <n v="7918.4712999999992"/>
    <n v="7918.4705999999996"/>
    <s v="oui"/>
    <m/>
    <m/>
    <s v="ADEME 2022"/>
    <s v="Facturation AGEDEN 2022"/>
  </r>
  <r>
    <x v="4"/>
    <n v="4"/>
    <x v="3"/>
    <x v="1"/>
    <s v="FZO"/>
    <s v="VRB0394"/>
    <n v="600"/>
    <d v="2022-03-23T00:00:00"/>
    <d v="2022-04-04T00:00:00"/>
    <s v="-"/>
    <s v="-"/>
    <d v="2022-04-07T00:00:00"/>
    <d v="2022-04-07T00:00:00"/>
    <d v="2022-04-13T00:00:00"/>
    <m/>
    <d v="2022-09-20T00:00:00"/>
    <d v="2022-09-06T00:00:00"/>
    <s v="Facture acquittée"/>
    <d v="2022-11-10T00:00:00"/>
    <d v="2022-11-10T00:00:00"/>
    <d v="2022-11-15T00:00:00"/>
    <m/>
    <m/>
    <m/>
    <s v="BUISSON"/>
    <s v="Gilbert"/>
    <n v="2"/>
    <n v="42264"/>
    <n v="21"/>
    <s v="Les horizons"/>
    <n v="38210"/>
    <x v="15"/>
    <n v="476070701"/>
    <s v="elibuisson@laposte.net"/>
    <s v="PO"/>
    <m/>
    <m/>
    <m/>
    <m/>
    <m/>
    <m/>
    <x v="43"/>
    <x v="33"/>
    <s v="Mr  ROUBINET"/>
    <s v="contact-chaleurbois38@orange.fr"/>
    <n v="476389564"/>
    <s v="-"/>
    <s v="oui"/>
    <d v="2022-11-02T00:00:00"/>
    <s v="insert / foyer fermé"/>
    <n v="1990"/>
    <x v="0"/>
    <x v="0"/>
    <s v="HOBEN"/>
    <s v="H6 Eclipse"/>
    <n v="20"/>
    <s v="7.9"/>
    <n v="89"/>
    <s v="0.018"/>
    <s v="FV7"/>
    <m/>
    <n v="7274.8499999999995"/>
    <m/>
    <m/>
    <m/>
    <n v="585"/>
    <n v="7859.8499999999995"/>
    <n v="432.29174999999998"/>
    <n v="8292.1417499999989"/>
    <n v="7592.14"/>
    <s v="oui"/>
    <m/>
    <m/>
    <s v="ADEME 2022"/>
    <s v="Facturation AGEDEN 2022"/>
  </r>
  <r>
    <x v="4"/>
    <n v="4"/>
    <x v="3"/>
    <x v="1"/>
    <s v="FZO"/>
    <s v="VRB0395"/>
    <n v="600"/>
    <d v="2022-03-24T00:00:00"/>
    <d v="2022-03-31T00:00:00"/>
    <s v="-"/>
    <s v="-"/>
    <d v="2022-04-07T00:00:00"/>
    <d v="2022-04-07T00:00:00"/>
    <d v="2022-04-13T00:00:00"/>
    <m/>
    <d v="2022-09-14T00:00:00"/>
    <d v="2022-09-07T00:00:00"/>
    <s v="-"/>
    <d v="2022-11-08T00:00:00"/>
    <d v="2022-11-08T00:00:00"/>
    <d v="2022-11-14T00:00:00"/>
    <m/>
    <m/>
    <m/>
    <s v="JARRIN &amp;GILLET"/>
    <s v="Patrice &amp; Julian"/>
    <n v="2"/>
    <n v="52044"/>
    <n v="6005"/>
    <s v="Chemin de Saint Jean de Chepy  Lot le Mas des peupliers"/>
    <n v="38210"/>
    <x v="15"/>
    <n v="622647817"/>
    <s v="jarrinpat@numericable.fr"/>
    <s v="PO"/>
    <m/>
    <m/>
    <m/>
    <m/>
    <m/>
    <m/>
    <x v="51"/>
    <x v="43"/>
    <s v="M. GIAIME Norbert"/>
    <s v="acg.plomberie.renov@gmail.com"/>
    <n v="665070922"/>
    <m/>
    <s v="oui"/>
    <d v="2023-03-02T00:00:00"/>
    <s v="insert / foyer fermé"/>
    <n v="1989"/>
    <x v="0"/>
    <x v="0"/>
    <s v="KLOVER"/>
    <s v="Aura 80"/>
    <n v="15"/>
    <n v="7.8"/>
    <n v="81"/>
    <n v="74"/>
    <s v="registre"/>
    <m/>
    <n v="5686.1900000000005"/>
    <m/>
    <m/>
    <m/>
    <n v="875"/>
    <n v="6561.1900000000005"/>
    <n v="360.86545000000001"/>
    <n v="6922.0554499999998"/>
    <n v="6478.34"/>
    <s v="oui"/>
    <m/>
    <m/>
    <s v="ADEME 2022"/>
    <s v="Facturation AGEDEN 2022"/>
  </r>
  <r>
    <x v="4"/>
    <n v="4"/>
    <x v="3"/>
    <x v="1"/>
    <s v="FZO"/>
    <s v="VRB0396"/>
    <n v="600"/>
    <d v="2022-03-24T00:00:00"/>
    <d v="2022-03-31T00:00:00"/>
    <s v="-"/>
    <s v="-"/>
    <d v="2022-04-07T00:00:00"/>
    <d v="2022-04-07T00:00:00"/>
    <d v="2022-04-13T00:00:00"/>
    <m/>
    <d v="2022-06-14T00:00:00"/>
    <d v="2022-06-09T00:00:00"/>
    <s v="-"/>
    <d v="2022-07-27T00:00:00"/>
    <d v="2022-07-27T00:00:00"/>
    <d v="2022-07-28T00:00:00"/>
    <m/>
    <m/>
    <m/>
    <s v="BLANCHARD"/>
    <s v="Philippe"/>
    <n v="3"/>
    <n v="58783"/>
    <n v="39"/>
    <s v="Rue des Buissons"/>
    <n v="38500"/>
    <x v="1"/>
    <s v="06 51 38 00 76"/>
    <s v="phiblanchard@gmail.com"/>
    <s v="PO"/>
    <m/>
    <m/>
    <m/>
    <m/>
    <m/>
    <m/>
    <x v="49"/>
    <x v="2"/>
    <s v="GRATIER Pascal"/>
    <s v="grenoble@hase-boutique.fr"/>
    <n v="476452433"/>
    <s v="-"/>
    <s v="oui"/>
    <d v="2023-01-28T00:00:00"/>
    <s v="foyer ouvert"/>
    <n v="2000"/>
    <x v="0"/>
    <x v="1"/>
    <s v="HASE"/>
    <s v="DEHLI 114"/>
    <n v="20"/>
    <n v="5"/>
    <n v="80"/>
    <s v="0.08168 "/>
    <s v="FV7"/>
    <m/>
    <n v="5084.0999999999995"/>
    <m/>
    <m/>
    <m/>
    <n v="585"/>
    <n v="5669.0999999999995"/>
    <n v="279.62549999999999"/>
    <n v="5980.9004999999988"/>
    <n v="5980.9049999999997"/>
    <s v="oui"/>
    <m/>
    <m/>
    <s v="ADEME 2022"/>
    <s v="Facturation AGEDEN 2022"/>
  </r>
  <r>
    <x v="4"/>
    <n v="4"/>
    <x v="3"/>
    <x v="2"/>
    <s v="FZO"/>
    <s v="VRB0397"/>
    <n v="1000"/>
    <d v="2022-03-24T00:00:00"/>
    <d v="2022-03-31T00:00:00"/>
    <s v="-"/>
    <s v="-"/>
    <d v="2022-04-15T00:00:00"/>
    <d v="2022-04-15T00:00:00"/>
    <d v="2022-04-25T00:00:00"/>
    <m/>
    <d v="2022-06-29T00:00:00"/>
    <d v="2022-06-14T00:00:00"/>
    <s v="-"/>
    <d v="2022-07-27T00:00:00"/>
    <d v="2022-07-27T00:00:00"/>
    <d v="2022-07-28T00:00:00"/>
    <m/>
    <m/>
    <m/>
    <s v="BAILLY"/>
    <s v="Gerard"/>
    <n v="2"/>
    <n v="14427"/>
    <n v="49"/>
    <s v="Chemin de la Morge"/>
    <n v="38960"/>
    <x v="22"/>
    <n v="662385063"/>
    <s v="tgb.190855@gmail.com"/>
    <s v="PO"/>
    <m/>
    <m/>
    <m/>
    <m/>
    <m/>
    <m/>
    <x v="14"/>
    <x v="1"/>
    <s v="SIMON Frédéric"/>
    <s v="contact@ecvoiron.fr"/>
    <n v="476069938"/>
    <s v="-"/>
    <s v="oui"/>
    <d v="2022-09-18T00:00:00"/>
    <s v="poêle"/>
    <n v="1996"/>
    <x v="0"/>
    <x v="1"/>
    <s v="ROMOTOP"/>
    <s v="Tala"/>
    <n v="26"/>
    <n v="8"/>
    <n v="78.3"/>
    <s v="0.09512 "/>
    <s v="FV7"/>
    <m/>
    <n v="2030"/>
    <m/>
    <m/>
    <m/>
    <n v="2640"/>
    <n v="4670"/>
    <n v="256.85000000000002"/>
    <n v="4926.8499999999995"/>
    <n v="4926.8500000000004"/>
    <s v="oui"/>
    <m/>
    <m/>
    <s v="ADEME 2022"/>
    <s v="Facturation AGEDEN 2022"/>
  </r>
  <r>
    <x v="4"/>
    <n v="4"/>
    <x v="3"/>
    <x v="2"/>
    <s v="FZO"/>
    <s v="VRB0398"/>
    <n v="1000"/>
    <d v="2022-03-25T00:00:00"/>
    <d v="2022-03-31T00:00:00"/>
    <s v="-"/>
    <s v="-"/>
    <d v="2022-04-07T00:00:00"/>
    <d v="2022-04-07T00:00:00"/>
    <d v="2022-04-13T00:00:00"/>
    <m/>
    <d v="2022-11-16T00:00:00"/>
    <d v="2022-10-24T00:00:00"/>
    <s v="-"/>
    <d v="2022-11-30T00:00:00"/>
    <d v="2022-11-30T00:00:00"/>
    <d v="2022-12-02T00:00:00"/>
    <m/>
    <m/>
    <m/>
    <s v="REY"/>
    <s v="Daniel"/>
    <n v="2"/>
    <n v="24545"/>
    <n v="97"/>
    <s v="Allée de Grand champ"/>
    <n v="38730"/>
    <x v="5"/>
    <n v="633044606"/>
    <s v="reyjosette38730@orange.fr"/>
    <s v="PO"/>
    <m/>
    <m/>
    <m/>
    <m/>
    <m/>
    <m/>
    <x v="52"/>
    <x v="9"/>
    <s v="M. MICHEL"/>
    <s v="enerlogis@orange.fr"/>
    <n v="479750979"/>
    <s v="-"/>
    <s v="oui"/>
    <d v="2022-11-15T00:00:00"/>
    <s v="poêle"/>
    <n v="1986"/>
    <x v="0"/>
    <x v="0"/>
    <s v="MCZ"/>
    <s v="EGO AIR 8 M2"/>
    <n v="17"/>
    <s v="8.1"/>
    <s v="90.9 "/>
    <s v="0.002"/>
    <s v="FV7"/>
    <m/>
    <n v="3970.67"/>
    <m/>
    <m/>
    <m/>
    <n v="805"/>
    <n v="4775.67"/>
    <n v="262.66185000000002"/>
    <n v="5038.3318499999996"/>
    <n v="5038.33"/>
    <s v="oui"/>
    <m/>
    <m/>
    <s v="ADEME 2022"/>
    <s v="Facturation AGEDEN 2022"/>
  </r>
  <r>
    <x v="4"/>
    <n v="4"/>
    <x v="3"/>
    <x v="2"/>
    <s v="FZO"/>
    <s v="VRB0399"/>
    <n v="1000"/>
    <d v="2022-03-25T00:00:00"/>
    <d v="2022-03-31T00:00:00"/>
    <d v="2022-04-07T00:00:00"/>
    <s v="photo plan large"/>
    <d v="2022-04-15T00:00:00"/>
    <d v="2022-04-15T00:00:00"/>
    <d v="2022-04-25T00:00:00"/>
    <m/>
    <d v="2022-05-13T00:00:00"/>
    <d v="2022-04-28T00:00:00"/>
    <s v="-"/>
    <d v="2022-07-26T00:00:00"/>
    <d v="2022-07-26T00:00:00"/>
    <d v="2022-07-27T00:00:00"/>
    <m/>
    <m/>
    <m/>
    <s v="ROCHE"/>
    <s v="Thibaut"/>
    <n v="4"/>
    <n v="23507"/>
    <n v="195"/>
    <s v="Route de Boisvert"/>
    <n v="38140"/>
    <x v="12"/>
    <n v="632076855"/>
    <s v="thibaut.roche38@gmail.com"/>
    <s v="PO"/>
    <m/>
    <m/>
    <m/>
    <m/>
    <m/>
    <m/>
    <x v="7"/>
    <x v="35"/>
    <s v="PIERRE Emmanuel"/>
    <s v="voiron@techni-nature.com"/>
    <s v="09 51 09 63 43"/>
    <s v="-"/>
    <s v="oui"/>
    <d v="2022-08-25T00:00:00"/>
    <s v="poêle"/>
    <s v="&lt;1990"/>
    <x v="0"/>
    <x v="1"/>
    <s v="HWAM /"/>
    <s v="WIKING MIRO 4"/>
    <n v="18"/>
    <s v="4.9"/>
    <n v="78"/>
    <s v="0.09"/>
    <s v="FV7"/>
    <m/>
    <n v="3763.12"/>
    <m/>
    <m/>
    <m/>
    <n v="630"/>
    <n v="4393.12"/>
    <n v="241.6216"/>
    <n v="4634.7415999999994"/>
    <n v="4634.74"/>
    <s v="oui"/>
    <m/>
    <m/>
    <s v="ADEME 2022"/>
    <s v="Facturation AGEDEN 2022"/>
  </r>
  <r>
    <x v="4"/>
    <n v="4"/>
    <x v="3"/>
    <x v="1"/>
    <s v="FZO"/>
    <s v="VRB0400"/>
    <n v="600"/>
    <d v="2022-03-29T00:00:00"/>
    <d v="2022-03-31T00:00:00"/>
    <d v="2022-04-07T00:00:00"/>
    <s v="TF + Photo plan large "/>
    <d v="2022-04-15T00:00:00"/>
    <d v="2022-04-15T00:00:00"/>
    <d v="2022-04-25T00:00:00"/>
    <m/>
    <d v="2022-08-26T00:00:00"/>
    <d v="2022-07-13T00:00:00"/>
    <s v="-"/>
    <d v="2022-11-28T00:00:00"/>
    <d v="2022-11-28T00:00:00"/>
    <d v="2022-11-29T00:00:00"/>
    <m/>
    <m/>
    <m/>
    <s v="RIVAL"/>
    <s v="Christian"/>
    <n v="2"/>
    <n v="63712"/>
    <n v="6"/>
    <s v="Avenue de la maladiere"/>
    <n v="38140"/>
    <x v="6"/>
    <n v="686551858"/>
    <s v="rival.christian@wanadoo.fr"/>
    <s v="PO"/>
    <m/>
    <m/>
    <m/>
    <m/>
    <m/>
    <m/>
    <x v="1"/>
    <x v="1"/>
    <s v="Mr. LIBER"/>
    <s v="poelesetcuisinierespassion@gmail.com"/>
    <n v="476074561"/>
    <s v="-"/>
    <s v="oui"/>
    <d v="2022-11-03T00:00:00"/>
    <s v="insert / foyer fermé"/>
    <n v="1990"/>
    <x v="0"/>
    <x v="0"/>
    <s v="MCZ"/>
    <s v="SUITE AIR 10 UP! M1"/>
    <m/>
    <m/>
    <m/>
    <m/>
    <s v="FV7"/>
    <m/>
    <n v="6273.27"/>
    <m/>
    <m/>
    <m/>
    <n v="480"/>
    <n v="6753.27"/>
    <n v="371.42985000000004"/>
    <n v="7124.69985"/>
    <n v="7124.69985"/>
    <s v="oui"/>
    <m/>
    <m/>
    <s v="ADEME 2022"/>
    <s v="Facturation AGEDEN 2022"/>
  </r>
  <r>
    <x v="4"/>
    <n v="4"/>
    <x v="3"/>
    <x v="1"/>
    <s v="SV"/>
    <s v="VRB0401"/>
    <n v="600"/>
    <d v="2022-03-29T00:00:00"/>
    <d v="2022-04-01T00:00:00"/>
    <m/>
    <m/>
    <d v="2022-04-13T00:00:00"/>
    <d v="2022-04-13T00:00:00"/>
    <d v="2022-04-22T00:00:00"/>
    <m/>
    <d v="2022-05-26T00:00:00"/>
    <d v="2022-05-24T00:00:00"/>
    <s v="-"/>
    <d v="2022-07-26T00:00:00"/>
    <d v="2022-07-26T00:00:00"/>
    <d v="2022-07-27T00:00:00"/>
    <m/>
    <m/>
    <m/>
    <s v="CHAPUS"/>
    <s v="Yvan"/>
    <n v="2"/>
    <n v="28733"/>
    <n v="750"/>
    <s v="Route de la Sure"/>
    <n v="38140"/>
    <x v="8"/>
    <n v="637465989"/>
    <s v="chapus.yvan@orange.fr"/>
    <s v="PO"/>
    <m/>
    <m/>
    <m/>
    <m/>
    <m/>
    <m/>
    <x v="14"/>
    <x v="1"/>
    <s v="SIMON Frédéric"/>
    <s v="contact@ecvoiron.fr"/>
    <n v="476069938"/>
    <s v="-"/>
    <s v="oui"/>
    <d v="2022-09-18T00:00:00"/>
    <s v="foyer ouvert"/>
    <n v="1985"/>
    <x v="0"/>
    <x v="0"/>
    <s v="PALAZZETTI"/>
    <s v="Marianne 9"/>
    <n v="16"/>
    <n v="9.1"/>
    <n v="91.8"/>
    <n v="3.7599999999999999E-3"/>
    <s v="FV7"/>
    <m/>
    <n v="5260"/>
    <m/>
    <m/>
    <m/>
    <n v="590"/>
    <n v="5850"/>
    <n v="321.75"/>
    <n v="6171.75"/>
    <n v="6171.75"/>
    <s v="oui"/>
    <m/>
    <m/>
    <s v="ADEME 2022"/>
    <s v="Facturation AGEDEN 2022"/>
  </r>
  <r>
    <x v="4"/>
    <n v="4"/>
    <x v="3"/>
    <x v="2"/>
    <s v="SV"/>
    <s v="VRB0402"/>
    <n v="1000"/>
    <d v="2022-03-30T00:00:00"/>
    <d v="2022-04-01T00:00:00"/>
    <d v="2022-04-13T00:00:00"/>
    <s v="Attendre appel Leroy Merlin pour précision matériel; ok"/>
    <d v="2022-04-14T00:00:00"/>
    <d v="2022-04-14T00:00:00"/>
    <d v="2022-04-22T00:00:00"/>
    <m/>
    <d v="2023-01-13T00:00:00"/>
    <d v="2022-11-04T00:00:00"/>
    <s v="-"/>
    <d v="2023-02-17T00:00:00"/>
    <d v="2023-02-17T00:00:00"/>
    <m/>
    <m/>
    <m/>
    <m/>
    <s v="DOPPIO"/>
    <s v="Véronique"/>
    <n v="1"/>
    <n v="18759"/>
    <n v="200"/>
    <s v="Route de la Fontaine Ronde"/>
    <n v="38210"/>
    <x v="3"/>
    <n v="767944669"/>
    <s v="institutbeautefeline@yahoo.fr"/>
    <s v="PO"/>
    <m/>
    <m/>
    <m/>
    <m/>
    <m/>
    <m/>
    <x v="12"/>
    <x v="40"/>
    <s v="Jérome AILLOUD"/>
    <s v="sarlpab@orange.fr"/>
    <s v="06 98 19 30 37"/>
    <m/>
    <s v="oui"/>
    <d v="2022-03-13T00:00:00"/>
    <s v="insert / foyer fermé"/>
    <n v="1997"/>
    <x v="0"/>
    <x v="0"/>
    <s v="FREEPOINT"/>
    <s v="Moon"/>
    <n v="17"/>
    <n v="10"/>
    <n v="91"/>
    <n v="9.5200000000000007E-3"/>
    <s v="FV7"/>
    <m/>
    <n v="4153.03"/>
    <m/>
    <m/>
    <m/>
    <n v="1393.6"/>
    <n v="5543.54"/>
    <n v="310.93"/>
    <n v="5854.47"/>
    <n v="5757.19"/>
    <s v="non"/>
    <m/>
    <m/>
    <s v="ADEME 2022"/>
    <s v="Facturation AGEDEN 2022"/>
  </r>
  <r>
    <x v="4"/>
    <n v="4"/>
    <x v="3"/>
    <x v="1"/>
    <s v="SV"/>
    <s v="VRB0403"/>
    <n v="600"/>
    <d v="2022-03-31T00:00:00"/>
    <d v="2022-04-01T00:00:00"/>
    <d v="2022-04-13T00:00:00"/>
    <s v="Demandé photo plan large (ok le 15/4)"/>
    <d v="2022-04-26T00:00:00"/>
    <d v="2022-04-26T00:00:00"/>
    <d v="2022-05-03T00:00:00"/>
    <m/>
    <d v="2022-09-26T00:00:00"/>
    <d v="2022-07-21T00:00:00"/>
    <s v="Attestation destruction"/>
    <d v="2022-11-10T00:00:00"/>
    <d v="2022-11-10T00:00:00"/>
    <d v="2022-11-15T00:00:00"/>
    <m/>
    <m/>
    <m/>
    <s v="PERRIER &amp; DENEULIN"/>
    <s v="Eléonore &amp; Claire"/>
    <n v="3"/>
    <n v="51455"/>
    <n v="14"/>
    <s v="Passage de Vir Fourche"/>
    <n v="38500"/>
    <x v="1"/>
    <n v="676447389"/>
    <s v="eleonore.perrier@yahoo.fr"/>
    <s v="PO"/>
    <m/>
    <m/>
    <m/>
    <m/>
    <m/>
    <m/>
    <x v="5"/>
    <x v="5"/>
    <s v="Harold MOCCELIN"/>
    <s v="godin-grenoble@orange.fr"/>
    <s v="04 38 02 19 01"/>
    <s v="-"/>
    <s v="oui"/>
    <d v="2023-03-21T00:00:00"/>
    <s v="insert / foyer fermé"/>
    <s v="Inconnu"/>
    <x v="2"/>
    <x v="1"/>
    <s v="CHEMINEES GODIN"/>
    <n v="757"/>
    <n v="38"/>
    <n v="14.1"/>
    <n v="75.8"/>
    <n v="0.11600000000000001"/>
    <s v="FV7"/>
    <m/>
    <n v="7962"/>
    <m/>
    <m/>
    <m/>
    <n v="1182"/>
    <n v="9144"/>
    <n v="503"/>
    <n v="8990"/>
    <n v="8990"/>
    <s v="oui"/>
    <m/>
    <m/>
    <s v="ADEME 2022"/>
    <s v="Facturation AGEDEN 2022"/>
  </r>
  <r>
    <x v="4"/>
    <n v="4"/>
    <x v="3"/>
    <x v="1"/>
    <s v="SV"/>
    <s v="VRB0404"/>
    <n v="600"/>
    <d v="2022-03-31T00:00:00"/>
    <d v="2022-04-01T00:00:00"/>
    <m/>
    <m/>
    <d v="2022-04-13T00:00:00"/>
    <d v="2022-04-13T00:00:00"/>
    <d v="2022-04-22T00:00:00"/>
    <m/>
    <d v="2022-07-21T00:00:00"/>
    <d v="2022-07-19T00:00:00"/>
    <s v="-"/>
    <d v="2022-08-22T00:00:00"/>
    <d v="2022-08-22T00:00:00"/>
    <d v="2022-08-23T00:00:00"/>
    <m/>
    <m/>
    <m/>
    <s v="MARTINON"/>
    <s v="Michel"/>
    <n v="2"/>
    <n v="42475"/>
    <n v="653"/>
    <s v="Route de la cascade"/>
    <n v="38850"/>
    <x v="7"/>
    <n v="666344061"/>
    <s v="martinon.michel30733@gmail.com"/>
    <s v="PO"/>
    <m/>
    <m/>
    <m/>
    <m/>
    <m/>
    <m/>
    <x v="0"/>
    <x v="0"/>
    <s v="Carre Francois"/>
    <s v="marketing@carre-F.com"/>
    <s v="04 76 37 03 50"/>
    <s v="-"/>
    <s v="oui"/>
    <d v="2022-09-17T00:00:00"/>
    <s v="insert / foyer fermé"/>
    <n v="1993"/>
    <x v="0"/>
    <x v="0"/>
    <s v="PALAZZETTI"/>
    <s v="Linda 12"/>
    <n v="15"/>
    <n v="12"/>
    <n v="89.6"/>
    <n v="1.7600000000000001E-3"/>
    <s v="FV7"/>
    <m/>
    <n v="5447"/>
    <m/>
    <m/>
    <m/>
    <n v="1973"/>
    <n v="7420"/>
    <n v="408.1"/>
    <n v="7828.1"/>
    <n v="7828.1"/>
    <s v="oui"/>
    <m/>
    <m/>
    <s v="ADEME 2022"/>
    <s v="Facturation AGEDEN 2022"/>
  </r>
  <r>
    <x v="3"/>
    <n v="1"/>
    <x v="4"/>
    <x v="0"/>
    <s v="SV"/>
    <s v="VRB0405"/>
    <n v="1000"/>
    <d v="2022-03-31T00:00:00"/>
    <d v="2022-04-01T00:00:00"/>
    <d v="2022-04-13T00:00:00"/>
    <s v="Demandé une autre photo où l'on peut voir le raccordement + signature de la charte"/>
    <m/>
    <m/>
    <m/>
    <m/>
    <m/>
    <m/>
    <m/>
    <m/>
    <m/>
    <m/>
    <m/>
    <d v="2023-01-04T00:00:00"/>
    <s v="installateur a déposé le bilan"/>
    <s v="COMBE"/>
    <s v="Sébastien"/>
    <n v="1"/>
    <n v="0"/>
    <n v="24"/>
    <s v="Route de la croix bogard"/>
    <n v="38500"/>
    <x v="18"/>
    <n v="672067856"/>
    <s v="sebastiencombe@free.fr"/>
    <s v="PO"/>
    <m/>
    <m/>
    <m/>
    <m/>
    <m/>
    <m/>
    <x v="53"/>
    <x v="38"/>
    <m/>
    <m/>
    <m/>
    <m/>
    <m/>
    <m/>
    <m/>
    <m/>
    <x v="4"/>
    <x v="2"/>
    <m/>
    <m/>
    <m/>
    <m/>
    <m/>
    <m/>
    <m/>
    <m/>
    <m/>
    <m/>
    <m/>
    <m/>
    <m/>
    <m/>
    <m/>
    <m/>
    <m/>
    <m/>
    <m/>
    <m/>
    <n v="0"/>
    <s v="Refusé phase initiale"/>
  </r>
  <r>
    <x v="4"/>
    <n v="4"/>
    <x v="3"/>
    <x v="2"/>
    <s v="SV"/>
    <s v="VRB0406"/>
    <n v="1000"/>
    <d v="2022-03-31T00:00:00"/>
    <d v="2022-04-01T00:00:00"/>
    <m/>
    <m/>
    <d v="2022-04-14T00:00:00"/>
    <d v="2022-04-14T00:00:00"/>
    <d v="2022-04-22T00:00:00"/>
    <m/>
    <d v="2022-08-29T00:00:00"/>
    <d v="2022-08-16T00:00:00"/>
    <s v="-"/>
    <d v="2022-09-12T00:00:00"/>
    <d v="2022-09-12T00:00:00"/>
    <d v="2022-09-20T00:00:00"/>
    <m/>
    <m/>
    <m/>
    <s v="VUILLERMET"/>
    <s v="Georges"/>
    <n v="2"/>
    <n v="14154"/>
    <n v="335"/>
    <s v="Chemin de Chantaret"/>
    <n v="38850"/>
    <x v="9"/>
    <n v="623551676"/>
    <s v="viullermet.georges21814@gmail.com"/>
    <s v="PO"/>
    <m/>
    <m/>
    <m/>
    <m/>
    <m/>
    <m/>
    <x v="0"/>
    <x v="0"/>
    <s v="Carre Francois"/>
    <s v="marketing@carre-F.com"/>
    <s v="04 76 37 03 50"/>
    <s v="-"/>
    <s v="oui"/>
    <d v="2022-09-17T00:00:00"/>
    <s v="insert / foyer fermé"/>
    <n v="2001"/>
    <x v="0"/>
    <x v="1"/>
    <s v="FIREPLACE"/>
    <s v="Ronky"/>
    <n v="28"/>
    <n v="9"/>
    <n v="75.8"/>
    <n v="7.5679999999999997E-2"/>
    <s v="FV7"/>
    <m/>
    <n v="3688.3"/>
    <m/>
    <m/>
    <m/>
    <n v="1040"/>
    <n v="4728.3"/>
    <n v="260.06"/>
    <n v="4988.3600000000006"/>
    <n v="4988.3599999999997"/>
    <s v="oui"/>
    <m/>
    <m/>
    <s v="ADEME 2022"/>
    <s v="Facturation AGEDEN 2022"/>
  </r>
  <r>
    <x v="4"/>
    <n v="4"/>
    <x v="3"/>
    <x v="2"/>
    <s v="SV"/>
    <s v="VRB0407"/>
    <n v="1000"/>
    <d v="2022-04-01T00:00:00"/>
    <d v="2022-04-05T00:00:00"/>
    <m/>
    <m/>
    <d v="2022-04-14T00:00:00"/>
    <d v="2022-04-14T00:00:00"/>
    <d v="2022-04-22T00:00:00"/>
    <m/>
    <m/>
    <m/>
    <m/>
    <m/>
    <m/>
    <m/>
    <m/>
    <m/>
    <m/>
    <s v="FENOLI"/>
    <s v="Martial"/>
    <n v="1"/>
    <n v="11827"/>
    <n v="86"/>
    <s v="Route du Mollard Bourcier"/>
    <n v="38140"/>
    <x v="6"/>
    <n v="656727041"/>
    <s v="caro.feno@live.fr"/>
    <s v="PO"/>
    <m/>
    <m/>
    <m/>
    <m/>
    <m/>
    <m/>
    <x v="44"/>
    <x v="34"/>
    <s v="MORETTO"/>
    <s v="contact@cpc38.com"/>
    <s v="04 76 06 36 61"/>
    <m/>
    <s v="oui"/>
    <n v="44715"/>
    <s v="insert / foyer fermé"/>
    <n v="1986"/>
    <x v="0"/>
    <x v="0"/>
    <s v="GODIN"/>
    <s v="Artémis"/>
    <n v="18"/>
    <n v="9"/>
    <n v="93"/>
    <n v="2.128E-2"/>
    <s v="FV7"/>
    <m/>
    <n v="4290"/>
    <m/>
    <m/>
    <m/>
    <n v="2330"/>
    <n v="6870"/>
    <n v="377.85"/>
    <n v="7247.85"/>
    <m/>
    <s v="oui"/>
    <m/>
    <m/>
    <s v="ADEME 2022"/>
    <s v="Facturation AGEDEN 2022"/>
  </r>
  <r>
    <x v="4"/>
    <n v="4"/>
    <x v="3"/>
    <x v="1"/>
    <s v="SV"/>
    <s v="VRB0408"/>
    <n v="600"/>
    <d v="2022-04-04T00:00:00"/>
    <d v="2022-04-05T00:00:00"/>
    <d v="2022-04-14T00:00:00"/>
    <s v="Demandé photo plan large. Ok le 24/4/22"/>
    <d v="2022-04-26T00:00:00"/>
    <d v="2022-04-26T00:00:00"/>
    <d v="2022-05-03T00:00:00"/>
    <m/>
    <m/>
    <m/>
    <m/>
    <m/>
    <m/>
    <m/>
    <m/>
    <m/>
    <m/>
    <s v="COPPEY"/>
    <s v="Gregoire"/>
    <n v="5"/>
    <n v="60084"/>
    <n v="105"/>
    <s v="Allée des Chenevieres"/>
    <n v="38960"/>
    <x v="22"/>
    <n v="688030778"/>
    <s v="claireetgregoirecoppey@gmail.com"/>
    <s v="PO"/>
    <m/>
    <m/>
    <m/>
    <m/>
    <m/>
    <m/>
    <x v="1"/>
    <x v="1"/>
    <s v="Mr. LIBER"/>
    <s v="poelesetcuisinierespassion@gmail.com"/>
    <n v="476074561"/>
    <s v="-"/>
    <s v="oui"/>
    <d v="2022-11-03T00:00:00"/>
    <s v="insert / foyer fermé"/>
    <s v="&lt; 2002"/>
    <x v="0"/>
    <x v="0"/>
    <s v="MCZ"/>
    <s v="Ego Comfort Air 10w"/>
    <n v="18"/>
    <n v="10"/>
    <n v="90.4"/>
    <n v="3.0400000000000002E-3"/>
    <s v="FV7"/>
    <m/>
    <n v="5061"/>
    <m/>
    <m/>
    <m/>
    <n v="505"/>
    <n v="5566"/>
    <n v="306.13"/>
    <n v="5872.13"/>
    <m/>
    <s v="oui"/>
    <m/>
    <m/>
    <s v="ADEME 2022"/>
    <s v="Facturation AGEDEN 2022"/>
  </r>
  <r>
    <x v="4"/>
    <n v="7"/>
    <x v="3"/>
    <x v="2"/>
    <s v="SV"/>
    <s v="VRB0409"/>
    <n v="1000"/>
    <d v="2022-04-05T00:00:00"/>
    <d v="2022-04-11T00:00:00"/>
    <d v="2022-04-14T00:00:00"/>
    <s v="Demandé RIB avec adresse"/>
    <d v="2022-07-19T00:00:00"/>
    <d v="2022-07-19T00:00:00"/>
    <d v="2022-07-26T00:00:00"/>
    <m/>
    <d v="2022-08-09T00:00:00"/>
    <d v="2022-07-31T00:00:00"/>
    <s v="-"/>
    <d v="2022-08-22T00:00:00"/>
    <d v="2022-08-22T00:00:00"/>
    <d v="2022-08-23T00:00:00"/>
    <m/>
    <m/>
    <m/>
    <s v="TRIPIER"/>
    <s v="Merlin Maurice"/>
    <n v="2"/>
    <n v="28371"/>
    <n v="976"/>
    <s v="Route de la Grange Dimière"/>
    <n v="38730"/>
    <x v="19"/>
    <n v="676865428"/>
    <s v="mauricetripier38730@gmail.com"/>
    <s v="PO"/>
    <m/>
    <m/>
    <m/>
    <m/>
    <m/>
    <m/>
    <x v="39"/>
    <x v="30"/>
    <s v="Mr BARGEL Jonathan"/>
    <s v="contact@philippeisere.fr"/>
    <s v="06 79 53 46 45"/>
    <s v="-"/>
    <s v="oui"/>
    <d v="2022-06-19T00:00:00"/>
    <s v="foyer ouvert"/>
    <n v="1980"/>
    <x v="2"/>
    <x v="1"/>
    <s v="CHEMINEES PHILIPPE "/>
    <s v="Anthem 85"/>
    <n v="34"/>
    <n v="12.5"/>
    <n v="76.5"/>
    <n v="0.12"/>
    <s v="FV7"/>
    <m/>
    <n v="4100.47"/>
    <m/>
    <m/>
    <m/>
    <n v="800"/>
    <n v="4900.47"/>
    <n v="263.52999999999997"/>
    <n v="5170"/>
    <n v="5171"/>
    <s v="oui"/>
    <m/>
    <m/>
    <s v="ADEME 2022"/>
    <s v="Facturation AGEDEN 2022"/>
  </r>
  <r>
    <x v="4"/>
    <n v="4"/>
    <x v="3"/>
    <x v="1"/>
    <s v="SV"/>
    <s v="VRB0410"/>
    <n v="600"/>
    <d v="2022-04-05T00:00:00"/>
    <d v="2022-04-11T00:00:00"/>
    <m/>
    <m/>
    <d v="2022-04-14T00:00:00"/>
    <d v="2022-04-14T00:00:00"/>
    <d v="2022-04-22T00:00:00"/>
    <m/>
    <d v="2022-10-20T00:00:00"/>
    <d v="2022-10-17T00:00:00"/>
    <s v="-"/>
    <d v="2022-11-09T00:00:00"/>
    <d v="2022-11-09T00:00:00"/>
    <d v="2022-11-14T00:00:00"/>
    <m/>
    <m/>
    <m/>
    <s v="FAURE"/>
    <s v="Jacques"/>
    <n v="1"/>
    <n v="34384"/>
    <n v="2016"/>
    <s v="Route de la Cheneviere"/>
    <n v="38430"/>
    <x v="2"/>
    <n v="476353756"/>
    <s v="jacques.faure18@gmail.com"/>
    <s v="PO"/>
    <m/>
    <m/>
    <m/>
    <m/>
    <m/>
    <m/>
    <x v="6"/>
    <x v="6"/>
    <s v="FAURE Jacques"/>
    <s v="jacques.faure24@wanadoo.fr"/>
    <n v="476355605"/>
    <s v="-"/>
    <s v="oui"/>
    <d v="2022-10-26T00:00:00"/>
    <s v="insert / foyer fermé"/>
    <n v="1996"/>
    <x v="2"/>
    <x v="1"/>
    <s v="AXIS - ARTENSE"/>
    <s v="Foyer expérience 100"/>
    <n v="30"/>
    <n v="14"/>
    <n v="75"/>
    <n v="0.1"/>
    <s v="FV7"/>
    <m/>
    <n v="2474.1"/>
    <m/>
    <m/>
    <m/>
    <n v="250"/>
    <n v="2724.1"/>
    <n v="149.83000000000001"/>
    <n v="2873.93"/>
    <n v="2873.93"/>
    <s v="non"/>
    <m/>
    <m/>
    <s v="ADEME 2022"/>
    <s v="Facturation AGEDEN 2022"/>
  </r>
  <r>
    <x v="4"/>
    <n v="4"/>
    <x v="3"/>
    <x v="1"/>
    <s v="SV"/>
    <s v="VRB0411"/>
    <n v="600"/>
    <d v="2022-04-06T00:00:00"/>
    <d v="2022-04-11T00:00:00"/>
    <d v="2022-02-14T00:00:00"/>
    <s v="Manque photo plan large + rib avec adresse (ok le 19/4/22)"/>
    <d v="2022-04-26T00:00:00"/>
    <d v="2022-04-26T00:00:00"/>
    <d v="2022-05-03T00:00:00"/>
    <m/>
    <d v="2022-07-05T00:00:00"/>
    <d v="2022-06-30T00:00:00"/>
    <s v="-"/>
    <d v="2022-07-27T00:00:00"/>
    <d v="2022-07-27T00:00:00"/>
    <d v="2022-07-28T00:00:00"/>
    <m/>
    <m/>
    <m/>
    <s v="VOISIN"/>
    <s v="Jean - Michel"/>
    <n v="1"/>
    <n v="59245"/>
    <n v="115"/>
    <s v="Allée des Thuyas"/>
    <n v="38490"/>
    <x v="33"/>
    <n v="641800656"/>
    <s v="voisin.jeanmichel30797@gmail.com"/>
    <s v="PO"/>
    <m/>
    <m/>
    <m/>
    <m/>
    <m/>
    <m/>
    <x v="0"/>
    <x v="0"/>
    <s v="Carre Francois"/>
    <s v="marketing@carre-F.com"/>
    <s v="04 76 37 03 50"/>
    <s v="-"/>
    <s v="oui"/>
    <d v="2022-09-17T00:00:00"/>
    <s v="poêle"/>
    <n v="2000"/>
    <x v="0"/>
    <x v="0"/>
    <s v="PALAZZETTI"/>
    <s v="Anna"/>
    <n v="11"/>
    <n v="12"/>
    <n v="88.5"/>
    <n v="7.0400000000000003E-3"/>
    <s v="FV7"/>
    <m/>
    <n v="7216"/>
    <m/>
    <m/>
    <m/>
    <n v="790"/>
    <n v="8006"/>
    <n v="440.33"/>
    <n v="8446.33"/>
    <n v="8446.33"/>
    <s v="oui"/>
    <m/>
    <m/>
    <s v="ADEME 2022"/>
    <s v="Facturation AGEDEN 2022"/>
  </r>
  <r>
    <x v="4"/>
    <n v="4"/>
    <x v="3"/>
    <x v="1"/>
    <s v="SV"/>
    <s v="VRB0412"/>
    <n v="600"/>
    <d v="2022-04-06T00:00:00"/>
    <d v="2022-04-11T00:00:00"/>
    <m/>
    <m/>
    <d v="2022-04-14T00:00:00"/>
    <d v="2022-04-14T00:00:00"/>
    <d v="2022-04-22T00:00:00"/>
    <m/>
    <d v="2022-06-04T00:00:00"/>
    <d v="2022-05-20T00:00:00"/>
    <s v="-"/>
    <d v="2022-07-26T00:00:00"/>
    <d v="2022-07-26T00:00:00"/>
    <d v="2022-07-27T00:00:00"/>
    <m/>
    <m/>
    <m/>
    <s v="LE GOFFIC"/>
    <s v="Hervé"/>
    <n v="2"/>
    <n v="73445"/>
    <n v="11"/>
    <s v="Lotissement le beau Rivoire"/>
    <n v="38960"/>
    <x v="22"/>
    <n v="684644462"/>
    <s v="herve.le.goffic@gmail.com"/>
    <s v="PO"/>
    <m/>
    <m/>
    <m/>
    <m/>
    <m/>
    <m/>
    <x v="5"/>
    <x v="5"/>
    <s v="Harold MOCCELIN"/>
    <s v="godin-grenoble@orange.fr"/>
    <s v="04 38 02 19 01"/>
    <s v="-"/>
    <s v="oui"/>
    <d v="2023-03-21T00:00:00"/>
    <s v="foyer ouvert"/>
    <n v="1996"/>
    <x v="0"/>
    <x v="0"/>
    <s v="GODIN"/>
    <s v="Estray"/>
    <n v="16"/>
    <n v="9"/>
    <n v="91.8"/>
    <n v="1"/>
    <s v="FV7"/>
    <m/>
    <n v="6009"/>
    <m/>
    <m/>
    <m/>
    <n v="2053"/>
    <n v="8062"/>
    <n v="443"/>
    <n v="7900"/>
    <n v="8070"/>
    <s v="non"/>
    <m/>
    <m/>
    <s v="ADEME 2022"/>
    <s v="Facturation AGEDEN 2022"/>
  </r>
  <r>
    <x v="4"/>
    <n v="4"/>
    <x v="3"/>
    <x v="2"/>
    <s v="SV"/>
    <s v="VRB0413"/>
    <n v="1000"/>
    <d v="2022-04-08T00:00:00"/>
    <d v="2022-04-11T00:00:00"/>
    <d v="2022-02-14T00:00:00"/>
    <s v="Manque 1ère page avis impots (ok le 15/4)"/>
    <d v="2022-04-26T00:00:00"/>
    <d v="2022-04-26T00:00:00"/>
    <d v="2022-05-03T00:00:00"/>
    <m/>
    <d v="2022-07-12T00:00:00"/>
    <d v="2022-06-27T00:00:00"/>
    <s v="-"/>
    <d v="2022-08-22T00:00:00"/>
    <d v="2022-08-22T00:00:00"/>
    <d v="2022-08-23T00:00:00"/>
    <m/>
    <m/>
    <m/>
    <s v="CHALLIER"/>
    <s v="Anne"/>
    <n v="1"/>
    <n v="25974"/>
    <n v="4"/>
    <s v="Rue de l'egala"/>
    <n v="38500"/>
    <x v="4"/>
    <n v="620480579"/>
    <s v="ennah@orange.fr"/>
    <s v="PO"/>
    <m/>
    <m/>
    <m/>
    <m/>
    <m/>
    <m/>
    <x v="1"/>
    <x v="1"/>
    <s v="Mr. LIBER"/>
    <s v="poelesetcuisinierespassion@gmail.com"/>
    <n v="476074561"/>
    <s v="-"/>
    <s v="oui"/>
    <d v="2022-11-03T00:00:00"/>
    <s v="foyer ouvert"/>
    <n v="1985"/>
    <x v="0"/>
    <x v="1"/>
    <s v="MORVAN"/>
    <s v="Vision'R"/>
    <n v="15"/>
    <n v="7"/>
    <n v="77"/>
    <n v="0.1"/>
    <s v="FV7"/>
    <m/>
    <n v="3208"/>
    <m/>
    <m/>
    <m/>
    <n v="490"/>
    <n v="3698"/>
    <n v="203.39"/>
    <n v="3901.39"/>
    <n v="3901.39"/>
    <s v="non"/>
    <m/>
    <m/>
    <s v="ADEME 2022"/>
    <s v="Facturation AGEDEN 2022"/>
  </r>
  <r>
    <x v="4"/>
    <n v="4"/>
    <x v="3"/>
    <x v="1"/>
    <s v="SV"/>
    <s v="VRB0414"/>
    <n v="600"/>
    <d v="2022-04-09T00:00:00"/>
    <d v="1899-12-30T00:00:00"/>
    <d v="2022-02-14T00:00:00"/>
    <s v="Manque devis (ok le 15/4)"/>
    <d v="2022-04-26T00:00:00"/>
    <d v="2022-04-26T00:00:00"/>
    <d v="2022-05-03T00:00:00"/>
    <m/>
    <d v="2022-05-09T00:00:00"/>
    <d v="2022-05-05T00:00:00"/>
    <s v="-"/>
    <d v="2022-07-26T00:00:00"/>
    <d v="2022-07-26T00:00:00"/>
    <d v="2022-07-27T00:00:00"/>
    <m/>
    <m/>
    <m/>
    <s v="ROSSET"/>
    <s v="Claude"/>
    <n v="2"/>
    <n v="41780"/>
    <n v="280"/>
    <s v="La platte"/>
    <n v="38140"/>
    <x v="12"/>
    <n v="671916849"/>
    <s v="rosset.claude30692@gmail.com"/>
    <s v="PO"/>
    <m/>
    <m/>
    <m/>
    <m/>
    <m/>
    <m/>
    <x v="0"/>
    <x v="0"/>
    <s v="Carre Francois"/>
    <s v="marketing@carre-F.com"/>
    <s v="04 76 37 03 50"/>
    <s v="-"/>
    <s v="oui"/>
    <d v="2022-09-17T00:00:00"/>
    <s v="insert / foyer fermé"/>
    <n v="2000"/>
    <x v="0"/>
    <x v="0"/>
    <s v="PALAZZETTI"/>
    <s v="Linda 12"/>
    <n v="15"/>
    <n v="12"/>
    <n v="89.6"/>
    <n v="1.7600000000000001E-3"/>
    <s v="FV7"/>
    <m/>
    <n v="6929.52"/>
    <m/>
    <m/>
    <m/>
    <n v="1578"/>
    <n v="8064"/>
    <n v="443.52"/>
    <n v="8507.52"/>
    <n v="8507.52"/>
    <s v="oui"/>
    <m/>
    <m/>
    <s v="ADEME 2022"/>
    <s v="Facturation AGEDEN 2022"/>
  </r>
  <r>
    <x v="4"/>
    <n v="4"/>
    <x v="3"/>
    <x v="2"/>
    <s v="FZO"/>
    <s v="VRB0415"/>
    <n v="1000"/>
    <d v="2022-04-11T00:00:00"/>
    <d v="2022-04-11T00:00:00"/>
    <d v="2022-04-19T00:00:00"/>
    <s v="Phto plan large"/>
    <d v="2022-04-26T00:00:00"/>
    <d v="2022-04-27T00:00:00"/>
    <d v="2022-05-02T00:00:00"/>
    <m/>
    <d v="2023-01-06T00:00:00"/>
    <d v="2022-11-08T00:00:00"/>
    <s v="-"/>
    <d v="2023-01-30T00:00:00"/>
    <d v="2023-01-30T00:00:00"/>
    <m/>
    <m/>
    <m/>
    <m/>
    <s v="SERPOLLIER"/>
    <s v="Cléa"/>
    <n v="2"/>
    <n v="22741"/>
    <n v="1592"/>
    <s v="Route des Milles Martyrs"/>
    <n v="38620"/>
    <x v="31"/>
    <n v="610614433"/>
    <s v="clea.serpollier@gmail.com"/>
    <s v="PO"/>
    <m/>
    <m/>
    <m/>
    <m/>
    <m/>
    <m/>
    <x v="16"/>
    <x v="10"/>
    <s v="ALO"/>
    <s v="cheminees.jay@orange.fr"/>
    <n v="476500550"/>
    <s v="-"/>
    <s v="oui"/>
    <n v="476069938"/>
    <s v="poêle"/>
    <n v="1988"/>
    <x v="0"/>
    <x v="0"/>
    <s v="TURBO FONTE"/>
    <s v="MYA 10 KW"/>
    <n v="19"/>
    <n v="10"/>
    <n v="88"/>
    <s v="0.00312 "/>
    <s v="FV7"/>
    <m/>
    <n v="5753.08"/>
    <m/>
    <m/>
    <m/>
    <n v="1125.24"/>
    <n v="6878.32"/>
    <n v="378.30759999999998"/>
    <n v="7256.6275999999989"/>
    <n v="7256.63"/>
    <s v="non"/>
    <m/>
    <m/>
    <s v="ADEME 2022"/>
    <s v="Facturation AGEDEN 2022"/>
  </r>
  <r>
    <x v="4"/>
    <n v="4"/>
    <x v="3"/>
    <x v="1"/>
    <s v="FZO"/>
    <s v="VRB0416"/>
    <n v="600"/>
    <d v="2022-04-11T00:00:00"/>
    <d v="2022-04-13T00:00:00"/>
    <s v="-"/>
    <s v="-"/>
    <d v="2022-04-20T00:00:00"/>
    <d v="2022-04-20T00:00:00"/>
    <d v="2022-04-25T00:00:00"/>
    <m/>
    <d v="2022-06-08T00:00:00"/>
    <d v="2022-06-02T00:00:00"/>
    <s v="-"/>
    <d v="2022-07-27T00:00:00"/>
    <d v="2022-07-27T00:00:00"/>
    <d v="2022-07-28T00:00:00"/>
    <m/>
    <m/>
    <m/>
    <s v="RUGGERI"/>
    <s v="Stéphane"/>
    <n v="4"/>
    <n v="76469"/>
    <n v="425"/>
    <s v="Route des Rivoires"/>
    <n v="38210"/>
    <x v="3"/>
    <n v="646034709"/>
    <s v="clairesteph.ruggeri@gmail.com"/>
    <s v="PO"/>
    <m/>
    <m/>
    <m/>
    <m/>
    <m/>
    <m/>
    <x v="33"/>
    <x v="44"/>
    <s v="Mr. GUILLAUD-SAUMUR"/>
    <s v="contact@latredauphinois.fr"/>
    <n v="476354364"/>
    <s v="-"/>
    <s v="oui"/>
    <d v="2022-10-26T00:00:00"/>
    <s v="insert / foyer fermé"/>
    <n v="1999"/>
    <x v="0"/>
    <x v="1"/>
    <s v="STUV"/>
    <s v="STÛV 16/78-CUBE "/>
    <n v="13"/>
    <n v="8"/>
    <n v="66"/>
    <n v="66"/>
    <s v="registre"/>
    <m/>
    <n v="6091.3700000000008"/>
    <m/>
    <m/>
    <m/>
    <n v="1265"/>
    <n v="7356.3700000000008"/>
    <n v="404.60035000000005"/>
    <n v="7760.9703500000005"/>
    <n v="7754.6403499999997"/>
    <s v="oui"/>
    <m/>
    <m/>
    <s v="ADEME 2022"/>
    <s v="Facturation AGEDEN 2022"/>
  </r>
  <r>
    <x v="4"/>
    <n v="4"/>
    <x v="3"/>
    <x v="1"/>
    <s v="SV"/>
    <s v="VRB0417"/>
    <n v="600"/>
    <d v="2022-04-13T00:00:00"/>
    <d v="2022-04-19T00:00:00"/>
    <s v="-"/>
    <s v="-"/>
    <d v="2022-04-21T00:00:00"/>
    <d v="2022-04-21T00:00:00"/>
    <d v="2022-04-26T00:00:00"/>
    <m/>
    <d v="2022-12-19T00:00:00"/>
    <d v="2022-12-01T00:00:00"/>
    <s v="Facture acquittée "/>
    <d v="2022-12-30T00:00:00"/>
    <d v="2022-12-30T00:00:00"/>
    <d v="2023-01-06T00:00:00"/>
    <m/>
    <m/>
    <m/>
    <s v="MENY"/>
    <s v="François"/>
    <n v="3"/>
    <n v="62741"/>
    <n v="400"/>
    <s v="Route du Mollard"/>
    <n v="38140"/>
    <x v="26"/>
    <n v="623671523"/>
    <s v="francois.meny@yahoo.fr"/>
    <s v="PO"/>
    <m/>
    <m/>
    <m/>
    <m/>
    <m/>
    <m/>
    <x v="13"/>
    <x v="1"/>
    <s v="CHARREL Stephane"/>
    <s v="contact@fer-et-feu.fr"/>
    <s v="04 76 05 94 44"/>
    <m/>
    <s v="oui"/>
    <d v="2022-08-16T00:00:00"/>
    <s v="insert / foyer fermé"/>
    <n v="2001"/>
    <x v="0"/>
    <x v="1"/>
    <s v="RIKA"/>
    <s v="Fox 2"/>
    <n v="19"/>
    <n v="8"/>
    <n v="85.7"/>
    <m/>
    <s v="registre"/>
    <m/>
    <n v="4172"/>
    <m/>
    <m/>
    <m/>
    <n v="877"/>
    <n v="5049"/>
    <n v="277.7"/>
    <n v="5326.7"/>
    <n v="6198.13"/>
    <s v="oui"/>
    <m/>
    <m/>
    <s v="ADEME 2022"/>
    <s v="Facturation AGEDEN 2022"/>
  </r>
  <r>
    <x v="4"/>
    <n v="4"/>
    <x v="3"/>
    <x v="1"/>
    <s v="SV"/>
    <s v="VRB0418"/>
    <n v="600"/>
    <d v="2022-04-14T00:00:00"/>
    <d v="2022-04-19T00:00:00"/>
    <d v="2022-04-21T00:00:00"/>
    <s v="Matériel non labélisé ni équivalent. Ok changement matériel le 26/4/22"/>
    <d v="2022-04-28T00:00:00"/>
    <d v="2022-04-28T00:00:00"/>
    <d v="2022-05-02T00:00:00"/>
    <m/>
    <d v="2022-10-24T00:00:00"/>
    <d v="2022-09-30T00:00:00"/>
    <s v="Facture acquittée "/>
    <d v="2022-11-30T00:00:00"/>
    <d v="2022-11-30T00:00:00"/>
    <d v="2022-12-02T00:00:00"/>
    <m/>
    <m/>
    <m/>
    <s v="AUVRAY"/>
    <s v="Etienne"/>
    <n v="2"/>
    <n v="78668"/>
    <n v="359"/>
    <s v="Rue de Fayard"/>
    <n v="38250"/>
    <x v="24"/>
    <n v="674346378"/>
    <s v="ee.auvray@wanadoo.fr"/>
    <s v="PO"/>
    <m/>
    <m/>
    <m/>
    <m/>
    <m/>
    <m/>
    <x v="50"/>
    <x v="45"/>
    <s v="Jérome AILLOUD"/>
    <s v="sarlpab@orange.fr"/>
    <s v="06 98 19 30 37"/>
    <s v="SARL PAB"/>
    <s v="oui"/>
    <d v="2023-03-13T00:00:00"/>
    <s v="insert / foyer fermé"/>
    <n v="1996"/>
    <x v="0"/>
    <x v="0"/>
    <s v="FREEPOINT"/>
    <s v="Breeze Air Tight"/>
    <n v="12"/>
    <n v="9.1"/>
    <n v="92.9"/>
    <n v="5.0400000000000002E-3"/>
    <s v="FV7"/>
    <m/>
    <n v="4454.84"/>
    <m/>
    <m/>
    <m/>
    <n v="1404.18"/>
    <n v="5859.02"/>
    <n v="531.88"/>
    <n v="6390.9"/>
    <n v="4536.8999999999996"/>
    <s v="oui"/>
    <m/>
    <m/>
    <s v="ADEME 2022"/>
    <s v="Facturation AGEDEN 2022"/>
  </r>
  <r>
    <x v="4"/>
    <n v="4"/>
    <x v="3"/>
    <x v="1"/>
    <s v="SV"/>
    <s v="VRB0419"/>
    <n v="600"/>
    <d v="2022-04-19T00:00:00"/>
    <d v="2022-04-19T00:00:00"/>
    <s v="-"/>
    <s v="-"/>
    <d v="2022-04-21T00:00:00"/>
    <d v="2022-04-21T00:00:00"/>
    <d v="2022-04-26T00:00:00"/>
    <m/>
    <d v="2023-02-09T00:00:00"/>
    <d v="2023-01-16T00:00:00"/>
    <s v="-"/>
    <d v="2023-02-17T00:00:00"/>
    <d v="2023-02-17T00:00:00"/>
    <m/>
    <m/>
    <m/>
    <m/>
    <s v="BEDEJUS"/>
    <s v="Quentin"/>
    <n v="2"/>
    <n v="29593"/>
    <n v="1400"/>
    <s v="Route de la Garangère"/>
    <n v="38850"/>
    <x v="24"/>
    <n v="652894494"/>
    <s v="quentinbedejus@gmail.com"/>
    <s v="PO"/>
    <m/>
    <m/>
    <m/>
    <m/>
    <m/>
    <m/>
    <x v="14"/>
    <x v="1"/>
    <s v="SIMON Frédéric"/>
    <s v="contact@ecvoiron.fr"/>
    <n v="476069938"/>
    <s v="-"/>
    <s v="oui"/>
    <d v="2022-09-18T00:00:00"/>
    <s v="insert / foyer fermé"/>
    <n v="1989"/>
    <x v="0"/>
    <x v="1"/>
    <s v="AUSTOFLAMM"/>
    <s v="ClouXtra"/>
    <n v="30"/>
    <n v="8"/>
    <n v="80"/>
    <n v="7.0000000000000007E-2"/>
    <s v="FV7"/>
    <m/>
    <n v="6801"/>
    <m/>
    <m/>
    <m/>
    <n v="750"/>
    <n v="7551"/>
    <n v="415.32"/>
    <n v="7966.32"/>
    <n v="7238.37"/>
    <s v="non"/>
    <m/>
    <m/>
    <s v="ADEME 2022"/>
    <s v="Facturation AGEDEN 2022"/>
  </r>
  <r>
    <x v="4"/>
    <n v="5"/>
    <x v="3"/>
    <x v="1"/>
    <s v="SV"/>
    <s v="VRB0420"/>
    <n v="600"/>
    <d v="2022-04-19T00:00:00"/>
    <d v="2022-04-19T00:00:00"/>
    <d v="2022-04-21T00:00:00"/>
    <s v="TF pas à la même adresse que dossier et avis imposition. RIB pas bonne adresse ok rib le 22/4/22); Attestation impots pour adresse le 3/5/22"/>
    <d v="2022-05-04T00:00:00"/>
    <d v="2022-05-04T00:00:00"/>
    <d v="2022-05-18T00:00:00"/>
    <m/>
    <m/>
    <m/>
    <m/>
    <m/>
    <m/>
    <m/>
    <m/>
    <m/>
    <m/>
    <s v="COUINET"/>
    <s v="Patrick"/>
    <n v="2"/>
    <n v="36684"/>
    <n v="419"/>
    <s v="Route du Tilleul"/>
    <n v="38960"/>
    <x v="11"/>
    <n v="689217633"/>
    <s v="famille-couinet@wanadoo.fr"/>
    <s v="PO"/>
    <m/>
    <m/>
    <m/>
    <m/>
    <m/>
    <m/>
    <x v="19"/>
    <x v="12"/>
    <s v="MARGUET Eric"/>
    <s v="clara.marguet@sbidaud.fr"/>
    <n v="437039915"/>
    <s v="-"/>
    <s v="oui"/>
    <d v="2022-08-24T00:00:00"/>
    <s v="insert / foyer fermé"/>
    <n v="2000"/>
    <x v="2"/>
    <x v="1"/>
    <s v="AXIS - ARTENSE"/>
    <n v="650"/>
    <n v="37"/>
    <s v="4,9"/>
    <s v="76,1"/>
    <s v="0,08696"/>
    <s v="FV7"/>
    <m/>
    <n v="5365.28"/>
    <m/>
    <m/>
    <m/>
    <n v="471.96"/>
    <n v="5837.24"/>
    <n v="321.05"/>
    <n v="6158.29"/>
    <m/>
    <s v="oui"/>
    <m/>
    <m/>
    <s v="ADEME 2022"/>
    <s v="Facturation AGEDEN 2022"/>
  </r>
  <r>
    <x v="4"/>
    <n v="5"/>
    <x v="3"/>
    <x v="1"/>
    <s v="SV"/>
    <s v="VRB0421"/>
    <n v="600"/>
    <d v="2022-04-19T00:00:00"/>
    <d v="2022-04-20T00:00:00"/>
    <d v="2022-04-26T00:00:00"/>
    <s v="Manque RIB avec adresse"/>
    <d v="2022-05-19T00:00:00"/>
    <d v="2022-05-19T00:00:00"/>
    <d v="2022-05-25T00:00:00"/>
    <m/>
    <d v="2022-06-09T00:00:00"/>
    <d v="2022-06-02T00:00:00"/>
    <s v="-"/>
    <d v="2022-07-27T00:00:00"/>
    <d v="2022-07-27T00:00:00"/>
    <d v="2022-07-28T00:00:00"/>
    <m/>
    <m/>
    <m/>
    <s v="RIVOIRE"/>
    <s v="Alain"/>
    <n v="2"/>
    <n v="40175"/>
    <n v="565"/>
    <s v="Chemin du Pansu"/>
    <n v="38500"/>
    <x v="4"/>
    <n v="476550820"/>
    <s v="r.m.c.rivoire@wanadoo.fr"/>
    <s v="PO"/>
    <m/>
    <m/>
    <m/>
    <m/>
    <m/>
    <m/>
    <x v="14"/>
    <x v="1"/>
    <s v="SIMON Frédéric"/>
    <s v="contact@ecvoiron.fr"/>
    <n v="476069938"/>
    <s v="-"/>
    <s v="oui"/>
    <d v="2022-09-18T00:00:00"/>
    <s v="insert / foyer fermé"/>
    <n v="1991"/>
    <x v="0"/>
    <x v="1"/>
    <s v="AUSTOFLAMM"/>
    <s v="Lux"/>
    <n v="15"/>
    <n v="7"/>
    <n v="84"/>
    <n v="7.0000000000000007E-2"/>
    <s v="FV7"/>
    <m/>
    <n v="4707"/>
    <m/>
    <m/>
    <m/>
    <n v="750"/>
    <n v="5457"/>
    <n v="300.14"/>
    <n v="5757.14"/>
    <n v="5751.87"/>
    <s v="oui"/>
    <m/>
    <m/>
    <s v="ADEME 2022"/>
    <s v="Facturation AGEDEN 2022"/>
  </r>
  <r>
    <x v="4"/>
    <n v="5"/>
    <x v="3"/>
    <x v="2"/>
    <s v="SV"/>
    <s v="VRB0422"/>
    <n v="1000"/>
    <d v="2022-04-19T00:00:00"/>
    <d v="2022-04-20T00:00:00"/>
    <d v="2022-04-26T00:00:00"/>
    <s v="Rib pas à la bonne adresse (ok le 29/4/22) + demandé photo plan large (ok le 2/5/22)"/>
    <d v="2022-05-04T00:00:00"/>
    <d v="2022-05-04T00:00:00"/>
    <d v="2022-05-18T00:00:00"/>
    <m/>
    <d v="2022-06-22T00:00:00"/>
    <d v="2022-06-16T00:00:00"/>
    <s v="Attestation de fin de travaux"/>
    <d v="2022-08-22T00:00:00"/>
    <d v="2022-08-22T00:00:00"/>
    <d v="2022-08-23T00:00:00"/>
    <m/>
    <m/>
    <m/>
    <s v="BOIS &amp;ALBA"/>
    <s v="Elodie &amp; Geoffroy"/>
    <n v="4"/>
    <n v="17750"/>
    <n v="230"/>
    <s v="Route du Fays"/>
    <n v="38140"/>
    <x v="10"/>
    <n v="645273424"/>
    <s v="boiselodie@hotmail.fr"/>
    <s v="PO"/>
    <m/>
    <m/>
    <m/>
    <m/>
    <m/>
    <m/>
    <x v="39"/>
    <x v="30"/>
    <s v="Mr BARGEL Jonathan"/>
    <s v="contact@philippeisere.fr"/>
    <s v="06 79 53 46 45"/>
    <s v="-"/>
    <s v="oui"/>
    <d v="2022-06-19T00:00:00"/>
    <s v="foyer ouvert"/>
    <n v="1977"/>
    <x v="2"/>
    <x v="1"/>
    <s v="CHEMINEE PHILIPPE"/>
    <s v="Anthem 75"/>
    <n v="32"/>
    <n v="10"/>
    <n v="81.099999999999994"/>
    <n v="0.09"/>
    <s v="FV7"/>
    <m/>
    <n v="5651.14"/>
    <m/>
    <m/>
    <m/>
    <n v="885"/>
    <n v="6536.14"/>
    <n v="359.49"/>
    <n v="6895.63"/>
    <n v="6896.13"/>
    <s v="non"/>
    <m/>
    <m/>
    <s v="ADEME 2022"/>
    <s v="Facturation AGEDEN 2022"/>
  </r>
  <r>
    <x v="4"/>
    <n v="7"/>
    <x v="3"/>
    <x v="1"/>
    <s v="FZO"/>
    <s v="VRB0423"/>
    <n v="600"/>
    <d v="2022-04-20T00:00:00"/>
    <d v="2022-04-20T00:00:00"/>
    <d v="2022-04-29T00:00:00"/>
    <s v="RIB/ en attente de vérif materiel; eu l'installateur 21/09/ "/>
    <d v="2022-07-07T00:00:00"/>
    <d v="2022-07-07T00:00:00"/>
    <d v="2022-07-26T00:00:00"/>
    <m/>
    <d v="2022-09-07T00:00:00"/>
    <d v="2022-08-29T00:00:00"/>
    <s v="Facture acquittée (ok) / en attente de décision car pas labélisé"/>
    <d v="2022-11-24T00:00:00"/>
    <d v="2022-11-24T00:00:00"/>
    <d v="2022-11-24T00:00:00"/>
    <m/>
    <m/>
    <m/>
    <s v="ATTARDO"/>
    <s v="Pierrot"/>
    <n v="2"/>
    <n v="44937"/>
    <n v="32"/>
    <s v=" Rue Pasteur"/>
    <n v="38140"/>
    <x v="6"/>
    <n v="689958760"/>
    <s v="p.attardo-negri@orange.fr"/>
    <s v="PO"/>
    <m/>
    <m/>
    <m/>
    <m/>
    <m/>
    <m/>
    <x v="43"/>
    <x v="33"/>
    <s v="M. ROUBINET"/>
    <s v="contact-chaleurbois38@orange.fr"/>
    <n v="476389584"/>
    <s v="-"/>
    <s v="oui"/>
    <d v="2022-11-02T00:00:00"/>
    <s v="foyer ouvert"/>
    <n v="1990"/>
    <x v="0"/>
    <x v="1"/>
    <s v="HASE"/>
    <s v="LISBOA C15"/>
    <m/>
    <m/>
    <m/>
    <m/>
    <m/>
    <m/>
    <n v="6359.26"/>
    <m/>
    <m/>
    <m/>
    <n v="685"/>
    <n v="7044.26"/>
    <n v="387.43430000000001"/>
    <n v="7431.6943000000001"/>
    <n v="7281.69"/>
    <s v="oui"/>
    <m/>
    <m/>
    <s v="ADEME 2022"/>
    <s v="Facturation AGEDEN 2022"/>
  </r>
  <r>
    <x v="4"/>
    <n v="6"/>
    <x v="3"/>
    <x v="1"/>
    <s v="FZO"/>
    <s v="VRB0424"/>
    <n v="600"/>
    <d v="2022-04-20T00:00:00"/>
    <d v="2022-04-20T00:00:00"/>
    <d v="2022-04-29T00:00:00"/>
    <s v="Devis + photo +RIB + AI"/>
    <d v="2022-06-02T00:00:00"/>
    <d v="2022-06-02T00:00:00"/>
    <d v="2022-06-07T00:00:00"/>
    <m/>
    <m/>
    <m/>
    <m/>
    <m/>
    <m/>
    <m/>
    <m/>
    <m/>
    <m/>
    <s v="MUGNIER"/>
    <s v="Isabelle"/>
    <n v="3"/>
    <n v="43673"/>
    <n v="442"/>
    <s v="Impasse les Murgières"/>
    <n v="38850"/>
    <x v="9"/>
    <n v="686251468"/>
    <s v="isabelle.mugnier52@orange.fr"/>
    <s v="PO"/>
    <m/>
    <m/>
    <m/>
    <m/>
    <m/>
    <m/>
    <x v="39"/>
    <x v="30"/>
    <s v="BARGEL"/>
    <s v="jonathan.bargel@philippeisere.fr"/>
    <n v="679534545"/>
    <s v="-"/>
    <s v="oui"/>
    <d v="2022-06-19T00:00:00"/>
    <s v="insert / foyer fermé"/>
    <n v="1975"/>
    <x v="0"/>
    <x v="1"/>
    <s v="CHEMINEES PHILIPPE"/>
    <s v="LODEVE"/>
    <n v="38"/>
    <s v="9.4"/>
    <s v="79.9"/>
    <s v="0.0624"/>
    <s v="FV7"/>
    <m/>
    <n v="6658.9599999999991"/>
    <m/>
    <m/>
    <m/>
    <n v="500"/>
    <n v="7158.9599999999991"/>
    <n v="393.74279999999993"/>
    <n v="7552.7027999999982"/>
    <m/>
    <s v="non"/>
    <m/>
    <m/>
    <s v="ADEME 2022"/>
    <s v="Facturation AGEDEN 2022"/>
  </r>
  <r>
    <x v="4"/>
    <n v="5"/>
    <x v="3"/>
    <x v="1"/>
    <s v="FZO"/>
    <s v="VRB0425"/>
    <n v="600"/>
    <d v="2022-04-21T00:00:00"/>
    <d v="2022-04-22T00:00:00"/>
    <d v="2022-04-29T00:00:00"/>
    <s v="TF "/>
    <d v="2022-05-13T00:00:00"/>
    <d v="2022-05-13T00:00:00"/>
    <d v="2022-05-25T00:00:00"/>
    <m/>
    <d v="2022-08-02T00:00:00"/>
    <d v="2022-07-25T00:00:00"/>
    <s v="-"/>
    <d v="2022-08-22T00:00:00"/>
    <d v="2022-08-22T00:00:00"/>
    <d v="2022-08-23T00:00:00"/>
    <m/>
    <m/>
    <m/>
    <s v="GOGUET"/>
    <s v="Pascal"/>
    <n v="2"/>
    <n v="33068"/>
    <n v="36"/>
    <s v="Route sous le mont"/>
    <n v="38620"/>
    <x v="29"/>
    <n v="683321461"/>
    <s v="pasgog@free.fr"/>
    <s v="PO"/>
    <m/>
    <m/>
    <m/>
    <m/>
    <m/>
    <m/>
    <x v="39"/>
    <x v="30"/>
    <s v="M. BARGEL"/>
    <s v="jonathan.bargel@philippeisere.fr"/>
    <n v="476663386"/>
    <s v="-"/>
    <s v="oui"/>
    <d v="2022-06-19T00:00:00"/>
    <s v="insert / foyer fermé"/>
    <n v="1995"/>
    <x v="0"/>
    <x v="0"/>
    <s v="EXTRAFLAME"/>
    <s v="SHARON PLUS CRYSTAL"/>
    <n v="14"/>
    <n v="10"/>
    <n v="91"/>
    <n v="8.2400000000000008E-3"/>
    <s v="FV7"/>
    <m/>
    <n v="5744.8"/>
    <m/>
    <m/>
    <m/>
    <n v="550"/>
    <n v="6294.8"/>
    <n v="346.214"/>
    <n v="6641.0140000000001"/>
    <n v="6200"/>
    <s v="oui"/>
    <m/>
    <m/>
    <s v="ADEME 2022"/>
    <s v="Facturation AGEDEN 2022"/>
  </r>
  <r>
    <x v="4"/>
    <n v="5"/>
    <x v="3"/>
    <x v="1"/>
    <s v="FZO"/>
    <s v="VRB0426"/>
    <n v="600"/>
    <d v="2022-04-22T00:00:00"/>
    <d v="2022-04-25T00:00:00"/>
    <d v="2022-04-29T00:00:00"/>
    <s v="RIB (ok)"/>
    <d v="2022-05-13T00:00:00"/>
    <d v="2022-05-13T00:00:00"/>
    <d v="2022-05-25T00:00:00"/>
    <m/>
    <d v="2022-10-14T00:00:00"/>
    <d v="2022-09-02T00:00:00"/>
    <s v="-"/>
    <d v="2022-11-08T00:00:00"/>
    <d v="2022-11-08T00:00:00"/>
    <d v="2022-11-14T00:00:00"/>
    <m/>
    <m/>
    <m/>
    <s v="SILVESTRE"/>
    <s v="Sophie"/>
    <n v="4"/>
    <n v="79506"/>
    <n v="880"/>
    <s v="Route de Montfollet"/>
    <n v="38850"/>
    <x v="24"/>
    <n v="686828292"/>
    <s v="silvestre38@orange.fr"/>
    <s v="PO"/>
    <m/>
    <m/>
    <m/>
    <m/>
    <m/>
    <m/>
    <x v="39"/>
    <x v="30"/>
    <s v="M. BARGEL"/>
    <s v="jonathan.barguel@philippeisere.fr"/>
    <n v="476663386"/>
    <s v="-"/>
    <s v="oui"/>
    <d v="2022-06-19T00:00:00"/>
    <s v="poêle"/>
    <n v="2000"/>
    <x v="2"/>
    <x v="1"/>
    <s v="CHEMINEES PHILIPPE"/>
    <s v="702-2V"/>
    <n v="33"/>
    <n v="11"/>
    <s v="77.4"/>
    <s v="0.0876"/>
    <s v="FV7"/>
    <m/>
    <n v="8958.6999999999971"/>
    <m/>
    <m/>
    <m/>
    <n v="500"/>
    <n v="9458.6999999999971"/>
    <n v="520.22849999999983"/>
    <n v="9978.9284999999963"/>
    <n v="8500"/>
    <s v="oui"/>
    <m/>
    <m/>
    <s v="ADEME 2022"/>
    <s v="Facturation AGEDEN 2022"/>
  </r>
  <r>
    <x v="3"/>
    <n v="1"/>
    <x v="3"/>
    <x v="2"/>
    <s v="FZO"/>
    <s v="VRB0427"/>
    <n v="1000"/>
    <d v="2022-04-22T00:00:00"/>
    <d v="2022-04-25T00:00:00"/>
    <d v="2022-04-29T00:00:00"/>
    <s v="TF / relance fait 28/09"/>
    <m/>
    <m/>
    <m/>
    <m/>
    <m/>
    <m/>
    <m/>
    <m/>
    <m/>
    <m/>
    <m/>
    <m/>
    <m/>
    <s v="VANETTI"/>
    <s v="Fabien"/>
    <n v="3"/>
    <n v="19338"/>
    <n v="345"/>
    <s v="Rue des arrondieres"/>
    <n v="38850"/>
    <x v="24"/>
    <n v="615426043"/>
    <s v="fabien.vannetti@gmail.com"/>
    <s v="PO"/>
    <m/>
    <m/>
    <m/>
    <m/>
    <m/>
    <m/>
    <x v="35"/>
    <x v="3"/>
    <s v="M. CLAVEL"/>
    <s v="p.clavel@alp-confort.fr"/>
    <n v="437030090"/>
    <s v="-"/>
    <s v="oui"/>
    <d v="2023-04-17T00:00:00"/>
    <s v="foyer ouvert"/>
    <n v="1980"/>
    <x v="0"/>
    <x v="1"/>
    <s v="LA NORDICA"/>
    <s v=" Isotta con cerchi Evo"/>
    <n v="10"/>
    <s v="11.9"/>
    <n v="82"/>
    <s v="0.1"/>
    <s v="FV7"/>
    <m/>
    <n v="3948"/>
    <m/>
    <m/>
    <m/>
    <n v="497.76"/>
    <n v="4445.76"/>
    <n v="244.51680000000002"/>
    <n v="4690.2767999999996"/>
    <m/>
    <s v="oui"/>
    <m/>
    <m/>
    <m/>
    <m/>
  </r>
  <r>
    <x v="4"/>
    <n v="6"/>
    <x v="3"/>
    <x v="1"/>
    <s v="FZO"/>
    <s v="VRB0428"/>
    <n v="600"/>
    <d v="2022-04-25T00:00:00"/>
    <d v="2022-04-26T00:00:00"/>
    <s v="-"/>
    <s v="En attente de precision (matériel ) "/>
    <d v="2022-06-02T00:00:00"/>
    <d v="2022-06-02T00:00:00"/>
    <d v="2022-06-07T00:00:00"/>
    <m/>
    <d v="2022-09-09T00:00:00"/>
    <d v="2022-09-01T00:00:00"/>
    <s v="-"/>
    <d v="2022-09-29T00:00:00"/>
    <d v="2022-09-29T00:00:00"/>
    <d v="2022-09-29T00:00:00"/>
    <m/>
    <m/>
    <m/>
    <s v="DURAND POUDRET"/>
    <s v="Geoffrey"/>
    <n v="4"/>
    <n v="56975"/>
    <n v="9"/>
    <s v="Allée des Soupirs"/>
    <n v="38210"/>
    <x v="15"/>
    <n v="683292640"/>
    <s v="geoffrey_durand-poudret@hotmail.fr"/>
    <s v="PO"/>
    <m/>
    <m/>
    <m/>
    <m/>
    <m/>
    <m/>
    <x v="8"/>
    <x v="7"/>
    <s v="M. EMELIEN"/>
    <s v="perre.vodeb@watthome.com"/>
    <n v="476065876"/>
    <s v="-"/>
    <s v="oui"/>
    <d v="2022-07-28T00:00:00"/>
    <s v="insert / foyer fermé"/>
    <n v="1980"/>
    <x v="0"/>
    <x v="0"/>
    <s v="CADEL"/>
    <s v="PRINCE3 PLUS 11KW"/>
    <n v="14"/>
    <n v="11"/>
    <n v="89"/>
    <s v="0.002 "/>
    <s v="FV7"/>
    <m/>
    <n v="5055.16"/>
    <m/>
    <m/>
    <m/>
    <n v="431.46000000000004"/>
    <n v="5486.62"/>
    <n v="301.76409999999998"/>
    <n v="5788.3840999999993"/>
    <n v="5616.03"/>
    <s v="oui"/>
    <m/>
    <m/>
    <s v="ADEME 2022"/>
    <s v="Facturation AGEDEN 2022"/>
  </r>
  <r>
    <x v="4"/>
    <n v="6"/>
    <x v="3"/>
    <x v="2"/>
    <s v="FZO"/>
    <s v="VRB0429"/>
    <n v="1000"/>
    <d v="2022-04-25T00:00:00"/>
    <d v="2022-04-26T00:00:00"/>
    <s v="-"/>
    <s v="Eu installateur 12/05 , probleme technique sur le site de fournissuer"/>
    <d v="2022-06-02T00:00:00"/>
    <d v="2022-06-02T00:00:00"/>
    <d v="2022-06-07T00:00:00"/>
    <m/>
    <m/>
    <m/>
    <m/>
    <m/>
    <m/>
    <m/>
    <m/>
    <m/>
    <m/>
    <s v="MANO"/>
    <s v="Joaquina"/>
    <n v="1"/>
    <n v="18637"/>
    <n v="345"/>
    <s v="Route des Bruyères"/>
    <n v="38140"/>
    <x v="6"/>
    <n v="671591622"/>
    <s v="jo.ziz@club-internet.fr"/>
    <s v="PO"/>
    <m/>
    <m/>
    <m/>
    <m/>
    <m/>
    <m/>
    <x v="20"/>
    <x v="13"/>
    <s v="GONCALVES Loic"/>
    <s v="38@francechaleur.fr"/>
    <n v="476018471"/>
    <s v="-"/>
    <s v="oui"/>
    <d v="2022-08-04T00:00:00"/>
    <s v="poêle"/>
    <n v="1990"/>
    <x v="0"/>
    <x v="0"/>
    <s v="AMG"/>
    <s v="MINI5"/>
    <n v="18"/>
    <n v="5"/>
    <s v="89.6"/>
    <s v="0.01424"/>
    <s v="FV7"/>
    <m/>
    <n v="2274.06"/>
    <m/>
    <m/>
    <m/>
    <n v="1159.3600000000001"/>
    <n v="3433.42"/>
    <n v="188.8381"/>
    <n v="3622.2581"/>
    <m/>
    <s v="non"/>
    <m/>
    <m/>
    <s v="ADEME 2022"/>
    <s v="Facturation AGEDEN 2022"/>
  </r>
  <r>
    <x v="4"/>
    <n v="5"/>
    <x v="3"/>
    <x v="1"/>
    <s v="FZO"/>
    <s v="VRB0430"/>
    <n v="600"/>
    <d v="2022-04-25T00:00:00"/>
    <d v="2022-04-29T00:00:00"/>
    <s v="-"/>
    <s v="-"/>
    <d v="2022-05-05T00:00:00"/>
    <d v="2022-05-05T00:00:00"/>
    <d v="2022-05-18T00:00:00"/>
    <m/>
    <d v="2022-07-21T00:00:00"/>
    <d v="2022-07-11T00:00:00"/>
    <s v="-"/>
    <d v="2022-08-22T00:00:00"/>
    <d v="2022-08-22T00:00:00"/>
    <d v="2022-08-23T00:00:00"/>
    <m/>
    <m/>
    <m/>
    <s v="LACROIX"/>
    <s v="Guy"/>
    <n v="2"/>
    <n v="62678"/>
    <n v="20"/>
    <s v="Rue du Bavoir"/>
    <n v="38500"/>
    <x v="1"/>
    <n v="782438174"/>
    <s v="vouisegl38@gmail.com"/>
    <s v="PO"/>
    <m/>
    <m/>
    <m/>
    <m/>
    <m/>
    <m/>
    <x v="9"/>
    <x v="37"/>
    <s v="M. DURANTON"/>
    <s v="contact@passionflamme.fr"/>
    <n v="412042525"/>
    <s v="-"/>
    <s v="oui"/>
    <d v="2022-05-10T00:00:00"/>
    <s v="insert / foyer fermé"/>
    <s v="Pôele"/>
    <x v="0"/>
    <x v="0"/>
    <s v="NOBIS "/>
    <s v="A11 V ROUND"/>
    <n v="15"/>
    <n v="10.199999999999999"/>
    <n v="91.5"/>
    <s v="0.0012"/>
    <s v="FV7"/>
    <m/>
    <n v="5080.1499999999996"/>
    <m/>
    <m/>
    <m/>
    <n v="741"/>
    <n v="5821.15"/>
    <n v="320.16325000000001"/>
    <n v="6141.3132499999992"/>
    <n v="6141.31"/>
    <s v="oui"/>
    <m/>
    <m/>
    <s v="ADEME 2022"/>
    <s v="Facturation AGEDEN 2022"/>
  </r>
  <r>
    <x v="4"/>
    <n v="5"/>
    <x v="3"/>
    <x v="2"/>
    <s v="SV"/>
    <s v="VRB0431"/>
    <n v="1000"/>
    <d v="2022-04-28T00:00:00"/>
    <d v="2022-04-29T00:00:00"/>
    <m/>
    <m/>
    <d v="2022-05-06T00:00:00"/>
    <d v="2022-05-06T00:00:00"/>
    <d v="2022-05-18T00:00:00"/>
    <m/>
    <d v="2022-10-14T00:00:00"/>
    <d v="2022-10-04T00:00:00"/>
    <s v="-"/>
    <d v="2022-11-08T00:00:00"/>
    <d v="2022-11-08T00:00:00"/>
    <d v="2022-11-14T00:00:00"/>
    <m/>
    <m/>
    <m/>
    <s v="MORISSEAU"/>
    <s v="Mélanie"/>
    <n v="2"/>
    <n v="12465"/>
    <n v="90"/>
    <s v="Chemin de Barbassard"/>
    <n v="38960"/>
    <x v="22"/>
    <n v="750354347"/>
    <s v="melanie.morisseau@laposte.net"/>
    <s v="PO"/>
    <m/>
    <m/>
    <m/>
    <m/>
    <m/>
    <m/>
    <x v="14"/>
    <x v="1"/>
    <s v="SIMON Frédéric"/>
    <s v="contact@ecvoiron.fr"/>
    <n v="476069938"/>
    <s v="-"/>
    <s v="oui"/>
    <d v="2022-09-18T00:00:00"/>
    <s v="cuisinière"/>
    <n v="1960"/>
    <x v="0"/>
    <x v="1"/>
    <s v="ROMOTOP"/>
    <s v="Ovalis"/>
    <n v="40"/>
    <n v="6"/>
    <n v="83.6"/>
    <n v="7.3599999999999999E-2"/>
    <s v="FV7"/>
    <m/>
    <n v="6564"/>
    <m/>
    <m/>
    <m/>
    <n v="890"/>
    <n v="7454"/>
    <n v="409.98"/>
    <n v="7863.98"/>
    <n v="7863.98"/>
    <s v="oui"/>
    <m/>
    <m/>
    <s v="ADEME 2022"/>
    <s v="Facturation AGEDEN 2022"/>
  </r>
  <r>
    <x v="4"/>
    <n v="7"/>
    <x v="3"/>
    <x v="2"/>
    <s v="SV"/>
    <s v="VRB0432"/>
    <n v="1000"/>
    <d v="2022-05-03T00:00:00"/>
    <d v="2022-05-04T00:00:00"/>
    <d v="2022-05-06T00:00:00"/>
    <s v="en attente précision matériel. Eu l'installateur le 6/5"/>
    <d v="2022-07-28T00:00:00"/>
    <d v="2022-07-28T00:00:00"/>
    <d v="2022-07-29T00:00:00"/>
    <m/>
    <d v="2022-09-01T00:00:00"/>
    <d v="2022-08-26T00:00:00"/>
    <s v="-"/>
    <d v="2022-09-12T00:00:00"/>
    <d v="2022-09-12T00:00:00"/>
    <d v="2022-09-20T00:00:00"/>
    <m/>
    <m/>
    <m/>
    <s v="CORREARD"/>
    <s v="Claude"/>
    <n v="1"/>
    <n v="13872"/>
    <n v="425"/>
    <s v="Le grand chemin"/>
    <n v="38210"/>
    <x v="3"/>
    <n v="674077598"/>
    <s v="correardc@free.fr"/>
    <s v="PO"/>
    <m/>
    <m/>
    <m/>
    <m/>
    <m/>
    <m/>
    <x v="14"/>
    <x v="1"/>
    <s v="SIMON Frédéric"/>
    <s v="contact@ecvoiron.fr"/>
    <n v="476069938"/>
    <s v="-"/>
    <s v="oui"/>
    <d v="2022-09-18T00:00:00"/>
    <s v="insert / foyer fermé"/>
    <n v="1998"/>
    <x v="0"/>
    <x v="1"/>
    <s v="ROMOTOP"/>
    <s v="Evora"/>
    <n v="15"/>
    <n v="4"/>
    <n v="80.5"/>
    <n v="9.536E-2"/>
    <s v="FV7"/>
    <m/>
    <n v="3259"/>
    <m/>
    <m/>
    <m/>
    <n v="1600"/>
    <n v="4859"/>
    <n v="267.245"/>
    <n v="5126.2449999999999"/>
    <n v="5126.25"/>
    <s v="oui"/>
    <m/>
    <m/>
    <s v="ADEME 2022"/>
    <s v="Facturation AGEDEN 2022"/>
  </r>
  <r>
    <x v="4"/>
    <n v="6"/>
    <x v="3"/>
    <x v="1"/>
    <s v="YC"/>
    <s v="VRB0433"/>
    <n v="600"/>
    <d v="2022-05-04T00:00:00"/>
    <d v="2022-05-10T00:00:00"/>
    <d v="2022-06-02T00:00:00"/>
    <m/>
    <d v="2022-06-27T00:00:00"/>
    <d v="2022-06-27T00:00:00"/>
    <d v="2022-07-08T00:00:00"/>
    <m/>
    <m/>
    <m/>
    <m/>
    <m/>
    <m/>
    <m/>
    <m/>
    <m/>
    <m/>
    <s v="VIGNES"/>
    <s v="Thierry"/>
    <n v="1"/>
    <n v="71078"/>
    <n v="1647"/>
    <s v="Route de Charavines "/>
    <n v="38850"/>
    <x v="9"/>
    <n v="645506198"/>
    <s v="thierry.vignes@wanadoo.fr"/>
    <s v="PO"/>
    <m/>
    <m/>
    <m/>
    <m/>
    <m/>
    <m/>
    <x v="54"/>
    <x v="6"/>
    <m/>
    <m/>
    <n v="476913520"/>
    <s v="LA GLACE ET LE FEU"/>
    <s v="oui"/>
    <m/>
    <s v="insert / foyer fermé"/>
    <s v="&lt;1990"/>
    <x v="0"/>
    <x v="1"/>
    <s v="ADURO"/>
    <s v="H1"/>
    <n v="28"/>
    <n v="7"/>
    <n v="81.3"/>
    <n v="0.1"/>
    <s v="FV7"/>
    <m/>
    <n v="4591.33"/>
    <m/>
    <m/>
    <m/>
    <n v="1078.5"/>
    <n v="5669.83"/>
    <n v="311.84064999999998"/>
    <n v="5981.67065"/>
    <m/>
    <s v="non"/>
    <m/>
    <m/>
    <s v="ADEME 2022"/>
    <s v="Facturation AGEDEN 2022"/>
  </r>
  <r>
    <x v="4"/>
    <n v="6"/>
    <x v="3"/>
    <x v="1"/>
    <s v="YC"/>
    <s v="VRB0434"/>
    <n v="600"/>
    <d v="2022-05-09T00:00:00"/>
    <d v="2022-05-10T00:00:00"/>
    <m/>
    <m/>
    <d v="2022-06-02T00:00:00"/>
    <d v="2022-06-02T00:00:00"/>
    <d v="2022-06-07T00:00:00"/>
    <m/>
    <d v="2022-11-16T00:00:00"/>
    <d v="2022-11-07T00:00:00"/>
    <s v="-"/>
    <d v="2022-11-30T00:00:00"/>
    <d v="2022-11-30T00:00:00"/>
    <d v="2022-12-02T00:00:00"/>
    <m/>
    <m/>
    <m/>
    <s v="GIRERD"/>
    <s v="Maurice"/>
    <n v="2"/>
    <n v="29392"/>
    <n v="1"/>
    <s v="Lotissement du Mas"/>
    <n v="38140"/>
    <x v="8"/>
    <n v="682042409"/>
    <s v="dgirerd@aliceadsl.fr"/>
    <s v="PO"/>
    <m/>
    <m/>
    <m/>
    <m/>
    <m/>
    <m/>
    <x v="14"/>
    <x v="1"/>
    <s v="SIMON Frédéric"/>
    <s v="contact@ecvoiron.fr"/>
    <n v="476069938"/>
    <s v="-"/>
    <s v="oui"/>
    <d v="2022-09-18T00:00:00"/>
    <s v="insert / foyer fermé"/>
    <n v="1987"/>
    <x v="0"/>
    <x v="1"/>
    <s v="ROMOTOP"/>
    <s v="Burgos"/>
    <n v="28"/>
    <n v="7.5"/>
    <n v="82.7"/>
    <n v="5.04E-2"/>
    <s v="FV7"/>
    <m/>
    <n v="5424"/>
    <m/>
    <m/>
    <m/>
    <n v="1170"/>
    <n v="6594"/>
    <n v="362.67"/>
    <n v="6956.67"/>
    <n v="6956.68"/>
    <s v="oui"/>
    <m/>
    <m/>
    <s v="ADEME 2022"/>
    <s v="Facturation AGEDEN 2022"/>
  </r>
  <r>
    <x v="3"/>
    <n v="1"/>
    <x v="4"/>
    <x v="0"/>
    <s v="YC"/>
    <s v="VRB0435"/>
    <n v="600"/>
    <d v="2022-05-12T00:00:00"/>
    <d v="2022-05-12T00:00:00"/>
    <m/>
    <m/>
    <m/>
    <m/>
    <m/>
    <m/>
    <m/>
    <m/>
    <m/>
    <m/>
    <m/>
    <m/>
    <m/>
    <d v="2022-06-02T00:00:00"/>
    <s v="Foyer fermé &gt;2002"/>
    <s v="LOMBERT"/>
    <s v="Hervé"/>
    <n v="2"/>
    <n v="62079"/>
    <n v="131"/>
    <s v="Allée de Bel Air"/>
    <n v="38620"/>
    <x v="34"/>
    <n v="634018943"/>
    <s v="herve.lombart@icloud.com"/>
    <s v="PO"/>
    <m/>
    <m/>
    <m/>
    <m/>
    <m/>
    <m/>
    <x v="3"/>
    <x v="3"/>
    <s v="Mr TROUBA"/>
    <s v="commercial@flammeiseroise.com"/>
    <n v="474430411"/>
    <s v="-"/>
    <s v="oui"/>
    <d v="2022-08-01T00:00:00"/>
    <s v="insert / foyer fermé"/>
    <n v="2003"/>
    <x v="4"/>
    <x v="2"/>
    <m/>
    <m/>
    <m/>
    <m/>
    <m/>
    <m/>
    <m/>
    <m/>
    <m/>
    <m/>
    <m/>
    <m/>
    <m/>
    <m/>
    <m/>
    <m/>
    <m/>
    <m/>
    <m/>
    <m/>
    <n v="0"/>
    <s v="Refusé phase initiale"/>
  </r>
  <r>
    <x v="4"/>
    <n v="6"/>
    <x v="3"/>
    <x v="1"/>
    <s v="YC"/>
    <s v="VRB0436"/>
    <n v="600"/>
    <d v="2022-05-12T00:00:00"/>
    <d v="2022-05-14T00:00:00"/>
    <m/>
    <m/>
    <d v="2022-06-02T00:00:00"/>
    <d v="2022-06-02T00:00:00"/>
    <d v="2022-06-07T00:00:00"/>
    <m/>
    <d v="2022-12-30T00:00:00"/>
    <d v="2022-10-04T00:00:00"/>
    <s v="-"/>
    <d v="2023-01-06T00:00:00"/>
    <d v="2023-01-06T00:00:00"/>
    <m/>
    <m/>
    <m/>
    <m/>
    <s v="PERRAUD"/>
    <s v="Yvette"/>
    <n v="1"/>
    <n v="21534"/>
    <n v="59"/>
    <s v="Rue du Coteau"/>
    <n v="38340"/>
    <x v="17"/>
    <m/>
    <s v="romainponcet@hotmail.fr"/>
    <s v="PO"/>
    <m/>
    <m/>
    <m/>
    <m/>
    <m/>
    <m/>
    <x v="35"/>
    <x v="3"/>
    <s v="CARUANA Anthony"/>
    <s v="contact.echirolles@alp-confort.fr"/>
    <s v="04 38 92 02 20"/>
    <s v="-"/>
    <s v="oui"/>
    <d v="2023-04-17T00:00:00"/>
    <s v="insert / foyer fermé"/>
    <n v="1990"/>
    <x v="0"/>
    <x v="0"/>
    <s v="CMG"/>
    <s v="Belfiore 2"/>
    <n v="20"/>
    <n v="8"/>
    <n v="89.5"/>
    <n v="1.992E-2"/>
    <s v="FV7"/>
    <m/>
    <n v="5002.57"/>
    <m/>
    <m/>
    <m/>
    <n v="1085"/>
    <n v="5568.7199999999993"/>
    <n v="306.27959999999996"/>
    <n v="5874.9995999999992"/>
    <n v="5875"/>
    <s v="non"/>
    <m/>
    <m/>
    <s v="ADEME 2022"/>
    <s v="Facturation AGEDEN 2022"/>
  </r>
  <r>
    <x v="4"/>
    <n v="6"/>
    <x v="3"/>
    <x v="1"/>
    <s v="FZO"/>
    <s v="VRB0437"/>
    <n v="600"/>
    <d v="2022-05-13T00:00:00"/>
    <d v="2022-05-16T00:00:00"/>
    <s v="-"/>
    <s v="-"/>
    <d v="2022-06-14T00:00:00"/>
    <d v="2022-06-14T00:00:00"/>
    <d v="2022-06-17T00:00:00"/>
    <m/>
    <d v="2022-10-03T00:00:00"/>
    <d v="2022-09-28T00:00:00"/>
    <s v="-"/>
    <d v="2022-11-08T00:00:00"/>
    <d v="2022-11-08T00:00:00"/>
    <d v="2022-11-14T00:00:00"/>
    <m/>
    <m/>
    <m/>
    <s v="GRANGER"/>
    <s v="Maxime"/>
    <n v="3"/>
    <n v="44050"/>
    <n v="412"/>
    <s v="Route de la Grange Dimière"/>
    <n v="38730"/>
    <x v="5"/>
    <n v="635319439"/>
    <s v="max8_3@hotmail.com"/>
    <s v="PO"/>
    <m/>
    <m/>
    <m/>
    <m/>
    <m/>
    <m/>
    <x v="10"/>
    <x v="1"/>
    <s v="GILLET Pascal"/>
    <s v="bois-soleil-chauffage@orange.fr"/>
    <n v="476323235"/>
    <s v="-"/>
    <s v="oui"/>
    <d v="2022-08-21T00:00:00"/>
    <s v="insert / foyer fermé"/>
    <n v="1999"/>
    <x v="0"/>
    <x v="1"/>
    <s v="JOTUL Jøtul"/>
    <s v="FS 173"/>
    <n v="14"/>
    <n v="7"/>
    <n v="77"/>
    <s v="0.07072"/>
    <s v="FV7"/>
    <m/>
    <n v="6007"/>
    <m/>
    <m/>
    <m/>
    <n v="885"/>
    <n v="6612"/>
    <n v="363.66"/>
    <n v="6975.66"/>
    <n v="6775.21"/>
    <s v="oui"/>
    <m/>
    <m/>
    <s v="ADEME 2022"/>
    <s v="Facturation AGEDEN 2022"/>
  </r>
  <r>
    <x v="4"/>
    <n v="7"/>
    <x v="3"/>
    <x v="1"/>
    <s v="FZO"/>
    <s v="VRB0438"/>
    <n v="600"/>
    <d v="2022-05-13T00:00:00"/>
    <d v="2022-05-31T00:00:00"/>
    <d v="2022-06-14T00:00:00"/>
    <s v="le nom materiel revoir materiel"/>
    <d v="2022-07-21T00:00:00"/>
    <d v="2022-07-21T00:00:00"/>
    <d v="2022-07-26T00:00:00"/>
    <m/>
    <d v="2022-12-05T00:00:00"/>
    <m/>
    <m/>
    <m/>
    <m/>
    <m/>
    <m/>
    <m/>
    <m/>
    <s v="MONIN"/>
    <s v="Jean"/>
    <n v="3"/>
    <n v="45140"/>
    <n v="260"/>
    <s v="Route des Moulins"/>
    <n v="38730"/>
    <x v="19"/>
    <n v="660203725"/>
    <s v="jean.monin@wanadoo.fr"/>
    <s v="PO"/>
    <m/>
    <m/>
    <m/>
    <m/>
    <m/>
    <m/>
    <x v="19"/>
    <x v="46"/>
    <s v="MARGUET Eric"/>
    <s v="closa.marguet@abidaud.fr"/>
    <n v="437039915"/>
    <s v="-"/>
    <s v="oui"/>
    <d v="2022-08-24T00:00:00"/>
    <s v="chaudière"/>
    <n v="1995"/>
    <x v="3"/>
    <x v="0"/>
    <s v="FROLING Chaudière"/>
    <s v="PE1 15"/>
    <n v="17"/>
    <s v="14.3"/>
    <s v="94.7"/>
    <s v="0.00192"/>
    <s v="FV7"/>
    <m/>
    <n v="44332.18"/>
    <m/>
    <m/>
    <m/>
    <n v="1264.2"/>
    <n v="45596.38"/>
    <n v="2507.8008999999997"/>
    <n v="48104.180899999992"/>
    <m/>
    <s v="oui"/>
    <m/>
    <m/>
    <s v="ADEME 2022"/>
    <s v="Facturation AGEDEN 2022"/>
  </r>
  <r>
    <x v="4"/>
    <n v="6"/>
    <x v="3"/>
    <x v="1"/>
    <s v="FZO"/>
    <s v="VRB0439"/>
    <n v="600"/>
    <d v="2022-05-16T00:00:00"/>
    <d v="2022-05-16T00:00:00"/>
    <d v="2022-06-14T00:00:00"/>
    <s v="RIB a lbonne adresse"/>
    <d v="2022-06-15T00:00:00"/>
    <d v="2022-06-15T00:00:00"/>
    <d v="2022-06-17T00:00:00"/>
    <m/>
    <d v="2022-09-19T00:00:00"/>
    <d v="2022-07-30T00:00:00"/>
    <s v="-"/>
    <d v="2022-09-29T00:00:00"/>
    <d v="2022-09-29T00:00:00"/>
    <d v="2022-09-29T00:00:00"/>
    <m/>
    <m/>
    <m/>
    <s v="DAL PAN"/>
    <s v="Emmanuel"/>
    <n v="4"/>
    <n v="58926"/>
    <n v="100"/>
    <s v="Rue des barres"/>
    <n v="38210"/>
    <x v="3"/>
    <n v="627634076"/>
    <s v="dalpanpupat@gmail.com"/>
    <s v="PO"/>
    <m/>
    <m/>
    <m/>
    <m/>
    <m/>
    <m/>
    <x v="39"/>
    <x v="30"/>
    <s v="M. BARGEL"/>
    <s v="jonathan.bargel@philippeisere.fr"/>
    <n v="679534645"/>
    <s v="-"/>
    <s v="oui"/>
    <d v="2022-06-19T00:00:00"/>
    <s v="foyer ouvert"/>
    <n v="1978"/>
    <x v="0"/>
    <x v="0"/>
    <s v="EXTRAFLAME SHARON"/>
    <s v="PLUS CX CRYSTAL"/>
    <n v="11"/>
    <n v="10"/>
    <s v="90.7"/>
    <s v="0.01056"/>
    <s v="FV7"/>
    <m/>
    <n v="6152.9"/>
    <m/>
    <m/>
    <m/>
    <n v="835"/>
    <n v="6350.7099999999991"/>
    <n v="349.28904999999997"/>
    <n v="6699.9990499999985"/>
    <n v="6700"/>
    <s v="oui"/>
    <m/>
    <m/>
    <s v="ADEME 2022"/>
    <s v="Facturation AGEDEN 2022"/>
  </r>
  <r>
    <x v="4"/>
    <n v="6"/>
    <x v="3"/>
    <x v="2"/>
    <s v="FZO"/>
    <s v="VRB0440"/>
    <n v="1000"/>
    <d v="2022-05-16T00:00:00"/>
    <d v="2022-05-16T00:00:00"/>
    <s v="-"/>
    <s v="-"/>
    <d v="2022-06-14T00:00:00"/>
    <d v="2022-06-14T00:00:00"/>
    <d v="2022-06-17T00:00:00"/>
    <m/>
    <d v="2022-10-17T00:00:00"/>
    <d v="2022-10-06T00:00:00"/>
    <s v="-"/>
    <d v="2022-11-09T00:00:00"/>
    <d v="2022-11-09T00:00:00"/>
    <d v="2022-11-14T00:00:00"/>
    <m/>
    <m/>
    <m/>
    <s v="BEHAL"/>
    <s v="Eric"/>
    <n v="4"/>
    <n v="35935"/>
    <n v="22"/>
    <s v="Impasse du four a pain"/>
    <n v="38850"/>
    <x v="9"/>
    <n v="620302417"/>
    <s v="e.behal@laposte.net"/>
    <s v="PO"/>
    <m/>
    <m/>
    <m/>
    <m/>
    <m/>
    <m/>
    <x v="33"/>
    <x v="44"/>
    <s v="M. GUILLAUD-SAUMUR"/>
    <s v="contac@laletredauphinois.fr"/>
    <m/>
    <s v="-"/>
    <s v="oui"/>
    <d v="2022-10-22T00:00:00"/>
    <s v="poêle"/>
    <s v="-"/>
    <x v="0"/>
    <x v="0"/>
    <s v="RAVELLI"/>
    <s v="SC 90"/>
    <n v="10"/>
    <s v="8.3"/>
    <s v="89.4"/>
    <s v="0.01432"/>
    <s v="FV7"/>
    <m/>
    <n v="4258.93"/>
    <m/>
    <m/>
    <m/>
    <n v="750"/>
    <n v="4858.93"/>
    <n v="267.24115"/>
    <n v="5126.1711500000001"/>
    <n v="5126.17"/>
    <s v="oui"/>
    <m/>
    <m/>
    <s v="ADEME 2022"/>
    <s v="Facturation AGEDEN 2022"/>
  </r>
  <r>
    <x v="4"/>
    <n v="7"/>
    <x v="3"/>
    <x v="1"/>
    <s v="YC"/>
    <s v="VRB0441"/>
    <n v="600"/>
    <d v="2022-05-18T00:00:00"/>
    <d v="2022-05-19T00:00:00"/>
    <d v="2022-06-07T00:00:00"/>
    <s v="photo plan large"/>
    <d v="2022-07-01T00:00:00"/>
    <d v="2022-07-01T00:00:00"/>
    <d v="2022-07-08T00:00:00"/>
    <m/>
    <d v="2022-09-08T00:00:00"/>
    <d v="2022-08-30T00:00:00"/>
    <s v="-"/>
    <d v="2022-09-12T00:00:00"/>
    <d v="2022-09-12T00:00:00"/>
    <d v="2022-09-20T00:00:00"/>
    <m/>
    <m/>
    <m/>
    <s v="CERE"/>
    <s v="Marie Helene"/>
    <n v="1"/>
    <n v="29875"/>
    <n v="31"/>
    <s v="Impasse les Mas de chantaret"/>
    <n v="38850"/>
    <x v="9"/>
    <n v="674800279"/>
    <s v="mh.cere@wanadoo.fr"/>
    <s v="PO"/>
    <m/>
    <m/>
    <m/>
    <m/>
    <m/>
    <m/>
    <x v="1"/>
    <x v="1"/>
    <s v="LIBER Jean-Christophe"/>
    <s v="jlc.services@orange.fr"/>
    <s v="04 76 07 14 61"/>
    <m/>
    <s v="oui"/>
    <d v="2022-11-03T00:00:00"/>
    <s v="insert / foyer fermé"/>
    <n v="1984"/>
    <x v="2"/>
    <x v="1"/>
    <s v="Dick Geurts par Fonte Flamme "/>
    <s v="VIDAR TRIPLE"/>
    <n v="18"/>
    <n v="10.6"/>
    <n v="88"/>
    <n v="6.5040000000000001E-2"/>
    <s v="FV7"/>
    <m/>
    <n v="3231.62"/>
    <n v="3729.62"/>
    <n v="3729.62"/>
    <n v="3729.62"/>
    <n v="930"/>
    <n v="4161.62"/>
    <n v="228.88909999999998"/>
    <n v="4390.5091000000002"/>
    <n v="4390.51"/>
    <s v="oui"/>
    <m/>
    <m/>
    <s v="ADEME 2022"/>
    <s v="Facturation AGEDEN 2022"/>
  </r>
  <r>
    <x v="4"/>
    <n v="6"/>
    <x v="3"/>
    <x v="1"/>
    <s v="FZO"/>
    <s v="VRB0442"/>
    <n v="600"/>
    <d v="2022-05-20T00:00:00"/>
    <d v="2022-05-31T00:00:00"/>
    <s v="-"/>
    <s v="appareil ancien sans l'année d'installation "/>
    <d v="2022-06-15T00:00:00"/>
    <d v="2022-06-15T00:00:00"/>
    <d v="2022-06-17T00:00:00"/>
    <m/>
    <d v="2023-01-17T00:00:00"/>
    <m/>
    <m/>
    <m/>
    <m/>
    <m/>
    <m/>
    <m/>
    <m/>
    <s v="DUBOIS"/>
    <s v="Anne Laure"/>
    <n v="4"/>
    <n v="48824"/>
    <s v="134 Bis"/>
    <s v="Rue Sadi Carnot"/>
    <n v="38140"/>
    <x v="6"/>
    <n v="632816965"/>
    <s v="familleduboisfourret@gmail.com"/>
    <s v="PO"/>
    <m/>
    <m/>
    <m/>
    <m/>
    <m/>
    <m/>
    <x v="29"/>
    <x v="22"/>
    <s v="M. TODESCHINI"/>
    <s v="todoschini2@orange.fr"/>
    <n v="476911347"/>
    <s v="-"/>
    <s v="oui"/>
    <d v="2023-06-02T00:00:00"/>
    <s v="-"/>
    <s v="-"/>
    <x v="0"/>
    <x v="1"/>
    <s v="AXIS - ARTENSE"/>
    <s v="MAGELLAN"/>
    <n v="26"/>
    <n v="8"/>
    <n v="78"/>
    <s v="0.09"/>
    <s v="FV7"/>
    <m/>
    <n v="5157"/>
    <m/>
    <m/>
    <m/>
    <n v="77.349999999999994"/>
    <n v="5234.3500000000004"/>
    <n v="287.88925"/>
    <n v="5522.2392500000005"/>
    <m/>
    <s v="non"/>
    <m/>
    <m/>
    <s v="ADEME 2022"/>
    <s v="Facturation AGEDEN 2022"/>
  </r>
  <r>
    <x v="4"/>
    <n v="6"/>
    <x v="3"/>
    <x v="2"/>
    <s v="FZO"/>
    <s v="VRB0443"/>
    <n v="1000"/>
    <d v="2022-05-20T00:00:00"/>
    <d v="2022-05-31T00:00:00"/>
    <d v="2022-06-14T00:00:00"/>
    <s v="RIB"/>
    <d v="2022-06-17T00:00:00"/>
    <d v="2022-06-17T00:00:00"/>
    <d v="2022-07-06T00:00:00"/>
    <m/>
    <m/>
    <m/>
    <m/>
    <m/>
    <m/>
    <m/>
    <m/>
    <m/>
    <m/>
    <s v="BRIZARD"/>
    <s v="Alexandre"/>
    <n v="1"/>
    <n v="12460"/>
    <n v="256"/>
    <s v="Route du Paris Lieu dit Coche"/>
    <n v="38620"/>
    <x v="31"/>
    <n v="630899212"/>
    <s v="brizard.alex30925@yahoo.com"/>
    <s v="PO"/>
    <m/>
    <m/>
    <m/>
    <m/>
    <m/>
    <m/>
    <x v="55"/>
    <x v="47"/>
    <s v="CARRE François"/>
    <s v="accueil@carre-f.com"/>
    <n v="476370350"/>
    <s v="-"/>
    <s v="oui"/>
    <d v="2023-09-17T00:00:00"/>
    <s v="poêle"/>
    <n v="1960"/>
    <x v="0"/>
    <x v="0"/>
    <s v="PALAZZETTI ECOFIRE"/>
    <s v="BIANCA LUX 9 PRO 2"/>
    <n v="8"/>
    <n v="9"/>
    <s v="90.5"/>
    <s v="0.0028"/>
    <s v="FV7"/>
    <m/>
    <n v="6605"/>
    <m/>
    <m/>
    <m/>
    <n v="470"/>
    <n v="7075"/>
    <n v="389.125"/>
    <n v="7464.125"/>
    <m/>
    <s v="oui"/>
    <m/>
    <m/>
    <s v="ADEME 2022"/>
    <s v="Facturation AGEDEN 2022"/>
  </r>
  <r>
    <x v="4"/>
    <n v="7"/>
    <x v="3"/>
    <x v="1"/>
    <s v="FZO"/>
    <s v="VRB0444"/>
    <n v="600"/>
    <d v="2022-05-20T00:00:00"/>
    <d v="2022-05-31T00:00:00"/>
    <d v="2022-06-14T00:00:00"/>
    <s v="Devis details calculs"/>
    <d v="2022-07-21T00:00:00"/>
    <d v="2022-07-21T00:00:00"/>
    <d v="2022-07-26T00:00:00"/>
    <m/>
    <d v="2022-08-09T00:00:00"/>
    <d v="2022-07-27T00:00:00"/>
    <s v="Facture acquittée"/>
    <d v="2022-09-19T00:00:00"/>
    <d v="2022-09-19T00:00:00"/>
    <d v="2022-09-20T00:00:00"/>
    <m/>
    <m/>
    <m/>
    <s v="DEMAZIERE"/>
    <s v="Myriam"/>
    <n v="2"/>
    <n v="31778"/>
    <n v="615"/>
    <s v="Route du Sabot"/>
    <n v="38210"/>
    <x v="3"/>
    <n v="695310319"/>
    <s v="demaziere.m@gmail.com"/>
    <s v="PO"/>
    <m/>
    <m/>
    <m/>
    <m/>
    <m/>
    <m/>
    <x v="34"/>
    <x v="31"/>
    <s v="LA GLACE ET LE FEU"/>
    <s v="laglace-et-lefeu.com"/>
    <m/>
    <s v="L'entrepôt du bricolage"/>
    <s v="oui"/>
    <d v="2023-05-27T00:00:00"/>
    <s v="foyer ouvert"/>
    <n v="1997"/>
    <x v="0"/>
    <x v="1"/>
    <s v="ADURO "/>
    <s v="Aduro 15-2"/>
    <n v="21"/>
    <s v="6.5"/>
    <n v="78"/>
    <s v="0.07"/>
    <s v="FV7"/>
    <m/>
    <n v="1980.9004739336492"/>
    <m/>
    <m/>
    <m/>
    <n v="1066.350710900474"/>
    <n v="3047.2511848341233"/>
    <n v="167.59881516587677"/>
    <n v="3214.85"/>
    <n v="3214.85"/>
    <s v="oui"/>
    <m/>
    <m/>
    <s v="ADEME 2022"/>
    <s v="Facturation AGEDEN 2022"/>
  </r>
  <r>
    <x v="4"/>
    <n v="7"/>
    <x v="3"/>
    <x v="1"/>
    <s v="FZO"/>
    <s v="VRB0445"/>
    <n v="600"/>
    <d v="2022-05-25T00:00:00"/>
    <d v="2022-05-31T00:00:00"/>
    <d v="2022-06-14T00:00:00"/>
    <s v="photo plan large"/>
    <d v="2022-07-21T00:00:00"/>
    <d v="2022-07-21T00:00:00"/>
    <d v="2022-07-26T00:00:00"/>
    <m/>
    <m/>
    <m/>
    <m/>
    <m/>
    <m/>
    <m/>
    <m/>
    <m/>
    <m/>
    <s v="FRAYSSE"/>
    <s v="Richard"/>
    <n v="2"/>
    <n v="64007"/>
    <n v="85"/>
    <s v="Rue des Erables"/>
    <n v="38500"/>
    <x v="18"/>
    <n v="601281324"/>
    <s v="richard.fraysse@semens-energy.com"/>
    <s v="PO"/>
    <m/>
    <m/>
    <m/>
    <m/>
    <m/>
    <m/>
    <x v="14"/>
    <x v="48"/>
    <s v="ESPACE CONFORT VOIRONNAIS"/>
    <s v="contact@ecvoiron.fr"/>
    <n v="476069938"/>
    <s v="-"/>
    <s v="oui"/>
    <d v="2023-09-23T00:00:00"/>
    <s v="insert / foyer fermé"/>
    <n v="2000"/>
    <x v="2"/>
    <x v="1"/>
    <s v="BRUNNER"/>
    <s v="KK 57/67"/>
    <n v="15"/>
    <n v="12.3"/>
    <n v="84.7"/>
    <n v="74.7"/>
    <s v="registre"/>
    <m/>
    <n v="9202"/>
    <m/>
    <m/>
    <m/>
    <n v="690"/>
    <n v="9892"/>
    <n v="544.06000000000006"/>
    <n v="10436.06"/>
    <m/>
    <s v="oui"/>
    <m/>
    <m/>
    <s v="ADEME 2022"/>
    <s v="Facturation AGEDEN 2022"/>
  </r>
  <r>
    <x v="4"/>
    <n v="7"/>
    <x v="3"/>
    <x v="1"/>
    <s v="FZO"/>
    <s v="VRB0446"/>
    <n v="600"/>
    <d v="2022-05-25T00:00:00"/>
    <d v="2022-05-31T00:00:00"/>
    <d v="2022-06-14T00:00:00"/>
    <s v="revoir le nom du material"/>
    <d v="2022-07-21T00:00:00"/>
    <d v="2022-07-21T00:00:00"/>
    <d v="2022-07-26T00:00:00"/>
    <m/>
    <d v="2023-01-25T00:00:00"/>
    <m/>
    <m/>
    <m/>
    <m/>
    <m/>
    <m/>
    <m/>
    <m/>
    <s v="LEMAIGNAN"/>
    <s v="Clément"/>
    <n v="2"/>
    <n v="61744"/>
    <n v="370"/>
    <s v="Rue Jacques Brel"/>
    <n v="38340"/>
    <x v="17"/>
    <n v="674282398"/>
    <s v="clement.lemaignan@orange.fr"/>
    <s v="PO"/>
    <m/>
    <m/>
    <m/>
    <m/>
    <m/>
    <m/>
    <x v="16"/>
    <x v="10"/>
    <s v="ALO"/>
    <s v="jaycheminees@orange.fr"/>
    <n v="476500550"/>
    <s v="-"/>
    <s v="oui"/>
    <d v="2022-06-28T00:00:00"/>
    <s v="foyer ouvert"/>
    <n v="1980"/>
    <x v="0"/>
    <x v="1"/>
    <s v="TURBO FONTE"/>
    <s v="JAZZ 4 kW"/>
    <n v="26"/>
    <n v="4"/>
    <s v="77.3 "/>
    <s v="0.10992"/>
    <s v="FV7"/>
    <m/>
    <n v="5397.9100000000008"/>
    <m/>
    <m/>
    <m/>
    <n v="800"/>
    <n v="5913.5500000000011"/>
    <n v="325.24525000000006"/>
    <n v="6238.795250000001"/>
    <m/>
    <s v="non"/>
    <m/>
    <m/>
    <s v="ADEME 2022"/>
    <s v="Facturation AGEDEN 2022"/>
  </r>
  <r>
    <x v="4"/>
    <n v="8"/>
    <x v="3"/>
    <x v="1"/>
    <s v="FZO"/>
    <s v="VRB0447"/>
    <n v="600"/>
    <d v="2022-05-30T00:00:00"/>
    <d v="2022-05-31T00:00:00"/>
    <d v="2022-06-14T00:00:00"/>
    <s v="tel 19/07 avec installateur materiel non reférene FV - installateur va prendre contact avec le fabricant"/>
    <d v="2022-08-04T00:00:00"/>
    <d v="2022-08-04T00:00:00"/>
    <d v="2022-08-05T00:00:00"/>
    <m/>
    <d v="2022-11-23T00:00:00"/>
    <d v="2022-09-20T00:00:00"/>
    <s v="Appel fait le 20/12 : propriétaire bailleur ? Résidence secondaire ? / Demande de bail locataire"/>
    <d v="2023-01-06T00:00:00"/>
    <d v="2023-01-06T00:00:00"/>
    <m/>
    <m/>
    <m/>
    <m/>
    <s v="SIMOES GOMES"/>
    <s v="Daniela"/>
    <n v="1"/>
    <n v="21420"/>
    <n v="41"/>
    <s v="Impasse des Jonquilles "/>
    <n v="38620"/>
    <x v="16"/>
    <n v="606491068"/>
    <s v="jacques.c.b@free.fr"/>
    <s v="PO"/>
    <m/>
    <m/>
    <m/>
    <m/>
    <m/>
    <m/>
    <x v="39"/>
    <x v="30"/>
    <s v="Mr BARGEL Jonathan"/>
    <s v="contact@philippeisere.fr"/>
    <s v="06 79 53 46 45"/>
    <s v="-"/>
    <s v="oui"/>
    <d v="2022-06-19T00:00:00"/>
    <s v="insert / foyer fermé"/>
    <n v="1992"/>
    <x v="0"/>
    <x v="0"/>
    <s v="CHEMINEES PHILIPPE"/>
    <s v="SOLAIME 9kW"/>
    <n v="16"/>
    <n v="9"/>
    <s v="93.3"/>
    <s v="0.00376 "/>
    <s v="FV7"/>
    <m/>
    <n v="5176.1499999999996"/>
    <m/>
    <m/>
    <m/>
    <n v="500"/>
    <n v="5213.2699999999995"/>
    <n v="286.72985"/>
    <n v="5499.9998499999992"/>
    <n v="5500"/>
    <s v="oui"/>
    <m/>
    <m/>
    <s v="ADEME 2022"/>
    <s v="Facturation AGEDEN 2022"/>
  </r>
  <r>
    <x v="4"/>
    <n v="6"/>
    <x v="3"/>
    <x v="2"/>
    <s v="FZO"/>
    <s v="VRB0448"/>
    <n v="1000"/>
    <d v="2022-05-30T00:00:00"/>
    <d v="2022-05-31T00:00:00"/>
    <s v="-"/>
    <s v="-"/>
    <d v="2022-06-21T00:00:00"/>
    <d v="2022-06-21T00:00:00"/>
    <d v="2022-07-07T00:00:00"/>
    <m/>
    <d v="2022-08-04T00:00:00"/>
    <m/>
    <s v="Facture acquittée"/>
    <m/>
    <m/>
    <m/>
    <m/>
    <m/>
    <m/>
    <s v="MALLEN"/>
    <s v="Gilles"/>
    <n v="1"/>
    <n v="17151"/>
    <n v="718"/>
    <s v="Route du Touvat"/>
    <n v="38850"/>
    <x v="7"/>
    <n v="699233968"/>
    <s v="moirans.nettoyage@orange.fr"/>
    <s v="PO"/>
    <m/>
    <m/>
    <m/>
    <m/>
    <m/>
    <m/>
    <x v="14"/>
    <x v="48"/>
    <s v="ESPACE CONFORT VOIRONNAIS"/>
    <s v="contact@ecvoiron.fr"/>
    <n v="476069938"/>
    <s v="-"/>
    <s v="oui"/>
    <d v="2023-09-23T00:00:00"/>
    <s v="insert / foyer fermé"/>
    <n v="1991"/>
    <x v="0"/>
    <x v="0"/>
    <s v="KLOVER"/>
    <s v="Aura 100"/>
    <n v="14"/>
    <n v="9.5"/>
    <n v="92.58"/>
    <n v="128"/>
    <s v="registre"/>
    <m/>
    <n v="8048"/>
    <m/>
    <m/>
    <m/>
    <n v="690"/>
    <n v="8738"/>
    <n v="480.59"/>
    <n v="9218.59"/>
    <m/>
    <s v="non"/>
    <m/>
    <m/>
    <s v="ADEME 2022"/>
    <s v="Facturation AGEDEN 2022"/>
  </r>
  <r>
    <x v="4"/>
    <n v="9"/>
    <x v="3"/>
    <x v="2"/>
    <s v="FZO"/>
    <s v="VRB0449"/>
    <n v="1000"/>
    <d v="2022-05-30T00:00:00"/>
    <d v="2022-05-31T00:00:00"/>
    <d v="2022-06-21T00:00:00"/>
    <s v="en attende de la réponse d'installateur &amp; materiel  introuvable sur fv7"/>
    <d v="2022-09-28T00:00:00"/>
    <d v="2022-09-28T00:00:00"/>
    <d v="2022-10-03T00:00:00"/>
    <m/>
    <d v="2022-12-06T00:00:00"/>
    <d v="2022-10-17T00:00:00"/>
    <s v="-"/>
    <d v="2022-12-20T00:00:00"/>
    <d v="2022-12-20T00:00:00"/>
    <d v="2023-01-06T00:00:00"/>
    <m/>
    <m/>
    <m/>
    <s v="GAGNIEUX"/>
    <s v="Bruno"/>
    <n v="1"/>
    <n v="15307"/>
    <n v="224"/>
    <s v="Rue de la Manche"/>
    <n v="38430"/>
    <x v="28"/>
    <n v="476058984"/>
    <s v="gagnieux.b@gmail.com"/>
    <s v="PO"/>
    <m/>
    <m/>
    <m/>
    <m/>
    <m/>
    <m/>
    <x v="1"/>
    <x v="1"/>
    <s v="M. LIBER"/>
    <s v="poeleetcuisinierespassion@gmail.com"/>
    <n v="476071461"/>
    <s v="-"/>
    <s v="oui"/>
    <d v="2022-11-03T00:00:00"/>
    <s v="insert / foyer fermé"/>
    <n v="1980"/>
    <x v="0"/>
    <x v="1"/>
    <s v="MORVAN"/>
    <s v="Sol'R"/>
    <n v="22"/>
    <n v="7"/>
    <n v="80"/>
    <s v="0.08"/>
    <s v="FV7"/>
    <m/>
    <n v="4023"/>
    <m/>
    <m/>
    <m/>
    <n v="500"/>
    <n v="3923"/>
    <n v="215.76500000000001"/>
    <n v="4138.7649999999994"/>
    <n v="4138.7700000000004"/>
    <s v="non"/>
    <m/>
    <m/>
    <s v="ADEME 2022"/>
    <s v="Facturation AGEDEN 2022"/>
  </r>
  <r>
    <x v="4"/>
    <n v="7"/>
    <x v="3"/>
    <x v="2"/>
    <s v="FZO"/>
    <s v="VRB0450"/>
    <n v="1000"/>
    <d v="2022-05-30T00:00:00"/>
    <d v="2022-06-03T00:00:00"/>
    <d v="2022-06-21T00:00:00"/>
    <s v="nom de materiel + rib +TH"/>
    <d v="2022-07-28T00:00:00"/>
    <d v="2022-06-28T00:00:00"/>
    <d v="2022-07-07T00:00:00"/>
    <m/>
    <m/>
    <m/>
    <m/>
    <m/>
    <m/>
    <m/>
    <m/>
    <m/>
    <m/>
    <s v="ANDREU"/>
    <s v="Manon"/>
    <n v="3"/>
    <n v="30335"/>
    <n v="20"/>
    <s v="Allée de la Brocadière"/>
    <n v="38490"/>
    <x v="33"/>
    <n v="674410488"/>
    <s v="manonandreu38@gmail.com"/>
    <s v="PO"/>
    <m/>
    <m/>
    <m/>
    <m/>
    <m/>
    <m/>
    <x v="39"/>
    <x v="30"/>
    <s v="M. BARGEL"/>
    <s v="jonathan.bargel@philippeisere.fr"/>
    <n v="476663386"/>
    <s v="-"/>
    <s v="oui"/>
    <d v="2022-06-19T00:00:00"/>
    <s v="poêle"/>
    <s v="-"/>
    <x v="0"/>
    <x v="1"/>
    <s v="CHEMINEES PHILIPPE"/>
    <s v=" EDEN PIED FIXE"/>
    <n v="32"/>
    <s v="8.4 "/>
    <n v="76"/>
    <s v="0.04"/>
    <s v="FV7"/>
    <m/>
    <n v="3776.19"/>
    <m/>
    <m/>
    <m/>
    <n v="400"/>
    <n v="4176.1900000000005"/>
    <n v="229.69045000000003"/>
    <n v="4405.8804500000006"/>
    <m/>
    <s v="non"/>
    <m/>
    <m/>
    <s v="ADEME 2022"/>
    <s v="Facturation AGEDEN 2022"/>
  </r>
  <r>
    <x v="4"/>
    <n v="6"/>
    <x v="3"/>
    <x v="1"/>
    <s v="FZO"/>
    <s v="VRB0451"/>
    <n v="600"/>
    <d v="2022-05-31T00:00:00"/>
    <d v="2022-06-03T00:00:00"/>
    <s v="-"/>
    <s v="-"/>
    <d v="2022-06-21T00:00:00"/>
    <d v="2022-06-21T00:00:00"/>
    <d v="2022-07-07T00:00:00"/>
    <m/>
    <d v="2022-11-24T00:00:00"/>
    <d v="2022-09-28T00:00:00"/>
    <s v="Facture acquittée"/>
    <d v="2022-12-30T00:00:00"/>
    <d v="2022-12-30T00:00:00"/>
    <d v="2023-01-06T00:00:00"/>
    <m/>
    <m/>
    <m/>
    <s v="COUSTURIER &amp; GREGOLIN"/>
    <s v="Richard &amp; Eva"/>
    <n v="3"/>
    <n v="42710"/>
    <n v="2054"/>
    <s v="Route des Mille Martyrs"/>
    <n v="38620"/>
    <x v="31"/>
    <n v="678272171"/>
    <s v="eva.gregolin@gmail.com"/>
    <s v="PO"/>
    <m/>
    <m/>
    <m/>
    <m/>
    <m/>
    <m/>
    <x v="56"/>
    <x v="0"/>
    <s v="M. CARRE"/>
    <s v="accueil@carre-f.com"/>
    <n v="476370350"/>
    <s v="-"/>
    <s v="oui"/>
    <d v="2023-09-03T00:00:00"/>
    <s v="insert / foyer fermé"/>
    <n v="1995"/>
    <x v="0"/>
    <x v="0"/>
    <s v="PALAZZETTI ECOFIRE"/>
    <s v=" LINDA 12 pro 3"/>
    <n v="15"/>
    <n v="12"/>
    <s v="89.6"/>
    <s v="0.00176"/>
    <s v="FV7"/>
    <m/>
    <n v="7593"/>
    <m/>
    <m/>
    <m/>
    <n v="790"/>
    <n v="8383"/>
    <n v="461.065"/>
    <n v="8844.0649999999987"/>
    <n v="8844.06"/>
    <s v="oui"/>
    <m/>
    <m/>
    <s v="ADEME 2022"/>
    <s v="Facturation AGEDEN 2022"/>
  </r>
  <r>
    <x v="4"/>
    <n v="6"/>
    <x v="3"/>
    <x v="1"/>
    <s v="FZO"/>
    <s v="VRB0452"/>
    <n v="600"/>
    <d v="2022-06-03T00:00:00"/>
    <d v="2022-06-08T00:00:00"/>
    <d v="2022-06-21T00:00:00"/>
    <s v="Devis  + RIB"/>
    <d v="2022-06-27T00:00:00"/>
    <d v="2022-06-27T00:00:00"/>
    <d v="2022-07-07T00:00:00"/>
    <m/>
    <m/>
    <m/>
    <m/>
    <m/>
    <m/>
    <m/>
    <m/>
    <m/>
    <m/>
    <s v="LANOE"/>
    <s v="Pierre Henri"/>
    <n v="4"/>
    <n v="70082"/>
    <n v="40"/>
    <s v="Rue des Ecureuils"/>
    <n v="38500"/>
    <x v="18"/>
    <n v="648200239"/>
    <s v="lanoe.ph@gmail.com"/>
    <s v="PO"/>
    <m/>
    <m/>
    <m/>
    <m/>
    <m/>
    <m/>
    <x v="1"/>
    <x v="1"/>
    <s v="LIBER Jean-Christophe"/>
    <s v="jlc.services@orange.fr"/>
    <s v="04 76 07 14 61"/>
    <m/>
    <s v="oui"/>
    <d v="2022-11-03T00:00:00"/>
    <s v="foyer ouvert"/>
    <n v="1990"/>
    <x v="0"/>
    <x v="1"/>
    <s v="FONTE FLAMME "/>
    <s v="MESA, LAHAN, NARA, ILAM SARI, VARNA"/>
    <n v="22"/>
    <n v="7"/>
    <n v="80"/>
    <s v="0.08 "/>
    <s v="FV7"/>
    <m/>
    <n v="4564.68"/>
    <m/>
    <m/>
    <m/>
    <n v="500"/>
    <n v="4482.1100000000006"/>
    <n v="246.51605000000004"/>
    <n v="4728.6260500000008"/>
    <m/>
    <s v="oui"/>
    <m/>
    <m/>
    <s v="ADEME 2022"/>
    <s v="Facturation AGEDEN 2022"/>
  </r>
  <r>
    <x v="4"/>
    <n v="6"/>
    <x v="3"/>
    <x v="1"/>
    <s v="FZO"/>
    <s v="VRB0453"/>
    <n v="600"/>
    <d v="2022-06-06T00:00:00"/>
    <d v="2022-06-08T00:00:00"/>
    <d v="2022-06-21T00:00:00"/>
    <s v="Photo"/>
    <d v="2022-06-24T00:00:00"/>
    <d v="2022-06-24T00:00:00"/>
    <d v="2022-07-07T00:00:00"/>
    <m/>
    <d v="2022-11-14T00:00:00"/>
    <d v="2022-07-18T00:00:00"/>
    <s v="-"/>
    <d v="2022-11-30T00:00:00"/>
    <d v="2022-11-30T00:00:00"/>
    <d v="2022-12-02T00:00:00"/>
    <m/>
    <m/>
    <m/>
    <s v="BOISSIER"/>
    <s v="Julie"/>
    <n v="4"/>
    <n v="50612"/>
    <n v="80"/>
    <s v="Route du Moulin"/>
    <n v="38140"/>
    <x v="6"/>
    <n v="622573714"/>
    <s v="julie.boissier@hotmail.fr"/>
    <s v="PO"/>
    <m/>
    <m/>
    <m/>
    <m/>
    <m/>
    <m/>
    <x v="14"/>
    <x v="48"/>
    <s v="ESPACE CONFORT VOIRONNAIS"/>
    <s v="contact@ecvoiron.fr"/>
    <n v="476069938"/>
    <s v="-"/>
    <s v="oui"/>
    <d v="2023-09-23T00:00:00"/>
    <s v="insert / foyer fermé"/>
    <n v="1987"/>
    <x v="0"/>
    <x v="0"/>
    <s v="KLOVER"/>
    <s v="SOFT 80"/>
    <n v="15"/>
    <n v="7.4"/>
    <n v="92.5"/>
    <n v="153"/>
    <s v="registre"/>
    <m/>
    <n v="5214"/>
    <m/>
    <m/>
    <m/>
    <n v="420"/>
    <n v="5634"/>
    <n v="309.87"/>
    <n v="5943.87"/>
    <n v="5943.88"/>
    <s v="oui"/>
    <m/>
    <m/>
    <s v="ADEME 2022"/>
    <s v="Facturation AGEDEN 2022"/>
  </r>
  <r>
    <x v="4"/>
    <n v="6"/>
    <x v="3"/>
    <x v="1"/>
    <s v="FZO"/>
    <s v="VRB0454"/>
    <n v="600"/>
    <d v="2022-06-07T00:00:00"/>
    <d v="2022-06-08T00:00:00"/>
    <s v="-"/>
    <s v="-"/>
    <d v="2022-06-21T00:00:00"/>
    <d v="2022-06-21T00:00:00"/>
    <d v="2022-07-07T00:00:00"/>
    <m/>
    <d v="2022-10-20T00:00:00"/>
    <d v="2022-10-18T00:00:00"/>
    <s v="-"/>
    <d v="2022-11-09T00:00:00"/>
    <d v="2022-11-09T00:00:00"/>
    <d v="2022-11-14T00:00:00"/>
    <m/>
    <m/>
    <m/>
    <s v="BOERO"/>
    <s v="Mario"/>
    <n v="2"/>
    <n v="54852"/>
    <n v="302"/>
    <s v="Rue du Boutet"/>
    <n v="38340"/>
    <x v="17"/>
    <n v="476500556"/>
    <s v="boeroms@club-internet.fr"/>
    <s v="PO"/>
    <m/>
    <m/>
    <m/>
    <m/>
    <m/>
    <m/>
    <x v="16"/>
    <x v="10"/>
    <s v="ALO"/>
    <s v="cheminees.jay@orange.fr"/>
    <n v="476500550"/>
    <s v="-"/>
    <s v="oui"/>
    <d v="2022-06-28T00:00:00"/>
    <s v="foyer ouvert"/>
    <n v="1972"/>
    <x v="0"/>
    <x v="1"/>
    <s v="TURBO FONTE"/>
    <s v="JAZZ 7 kW"/>
    <n v="32"/>
    <n v="7"/>
    <s v="77.8"/>
    <s v="0.08"/>
    <s v="FV7"/>
    <m/>
    <n v="5793.28"/>
    <m/>
    <m/>
    <m/>
    <n v="750"/>
    <n v="6258.92"/>
    <n v="344.24060000000003"/>
    <n v="6603.1605999999992"/>
    <n v="6368.48"/>
    <s v="oui"/>
    <m/>
    <m/>
    <s v="ADEME 2022"/>
    <s v="Facturation AGEDEN 2022"/>
  </r>
  <r>
    <x v="4"/>
    <n v="6"/>
    <x v="3"/>
    <x v="2"/>
    <s v="FZO"/>
    <s v="VRB0455"/>
    <n v="1000"/>
    <d v="2022-06-07T00:00:00"/>
    <d v="2022-06-08T00:00:00"/>
    <d v="2022-06-21T00:00:00"/>
    <s v="formulaire de demande"/>
    <d v="2022-06-28T00:00:00"/>
    <d v="2022-06-28T00:00:00"/>
    <d v="2022-07-07T00:00:00"/>
    <m/>
    <d v="2022-10-12T00:00:00"/>
    <d v="2022-09-05T00:00:00"/>
    <s v="-"/>
    <d v="2022-11-08T00:00:00"/>
    <d v="2022-11-08T00:00:00"/>
    <d v="2022-11-14T00:00:00"/>
    <m/>
    <m/>
    <m/>
    <s v="JOSSERAND"/>
    <s v="Sandrine"/>
    <n v="4"/>
    <n v="14749"/>
    <n v="126"/>
    <s v="Rue de Criel"/>
    <n v="38500"/>
    <x v="1"/>
    <n v="632395609"/>
    <s v="sandrinejosserand56@gmail.com"/>
    <s v="PO"/>
    <m/>
    <m/>
    <m/>
    <m/>
    <m/>
    <m/>
    <x v="14"/>
    <x v="48"/>
    <s v="ESPACE CONFORT VOIRONNAIS"/>
    <s v="contact@ecvoiron.fr"/>
    <n v="476069938"/>
    <s v="-"/>
    <s v="oui"/>
    <d v="2023-09-23T00:00:00"/>
    <s v="poêle"/>
    <n v="1996"/>
    <x v="0"/>
    <x v="1"/>
    <s v="AUSTROFLAMM "/>
    <s v="Cody"/>
    <n v="28"/>
    <n v="8"/>
    <s v="81.1"/>
    <s v="0.08584"/>
    <s v="FV7"/>
    <m/>
    <n v="5351.65"/>
    <m/>
    <m/>
    <m/>
    <n v="330"/>
    <n v="5681.65"/>
    <n v="312.49074999999999"/>
    <n v="5994.1407499999996"/>
    <n v="5994.16"/>
    <s v="oui"/>
    <m/>
    <m/>
    <s v="ADEME 2022"/>
    <s v="Facturation AGEDEN 2022"/>
  </r>
  <r>
    <x v="4"/>
    <n v="9"/>
    <x v="3"/>
    <x v="1"/>
    <s v="FZO"/>
    <s v="VRB0456"/>
    <n v="600"/>
    <d v="2022-06-14T00:00:00"/>
    <d v="2022-06-16T00:00:00"/>
    <d v="2022-06-21T00:00:00"/>
    <s v=" rib + Attestation ( attestation ok) relance rib 28/09"/>
    <d v="2022-09-28T00:00:00"/>
    <d v="2022-09-28T00:00:00"/>
    <d v="2022-10-03T00:00:00"/>
    <m/>
    <m/>
    <m/>
    <m/>
    <m/>
    <m/>
    <m/>
    <m/>
    <m/>
    <m/>
    <s v="CHAVAND"/>
    <s v="Lucas"/>
    <n v="2"/>
    <n v="40430"/>
    <n v="150"/>
    <s v="Route des Georges"/>
    <n v="38960"/>
    <x v="22"/>
    <n v="699645147"/>
    <s v="lchavand@yahoo.com"/>
    <s v="PO"/>
    <m/>
    <m/>
    <m/>
    <m/>
    <m/>
    <m/>
    <x v="10"/>
    <x v="1"/>
    <s v="M. GILLET"/>
    <s v="bois-soleil-chauffage@orange.fr"/>
    <n v="476323235"/>
    <s v="-"/>
    <s v="oui"/>
    <d v="2022-08-21T00:00:00"/>
    <s v="poêle"/>
    <n v="1980"/>
    <x v="0"/>
    <x v="1"/>
    <s v="JOTUL JOTUL"/>
    <s v="F500 ECO"/>
    <n v="11"/>
    <n v="8.8000000000000007"/>
    <n v="82"/>
    <s v="0.08576"/>
    <s v="FV7"/>
    <m/>
    <n v="3287"/>
    <m/>
    <m/>
    <m/>
    <n v="595"/>
    <n v="3882"/>
    <n v="776.40000000000009"/>
    <n v="4658.3999999999996"/>
    <m/>
    <s v="non"/>
    <m/>
    <m/>
    <s v="ADEME 2022"/>
    <s v="Facturation AGEDEN 2022"/>
  </r>
  <r>
    <x v="4"/>
    <n v="8"/>
    <x v="3"/>
    <x v="1"/>
    <s v="FZO"/>
    <s v="VRB0457"/>
    <n v="600"/>
    <d v="2022-06-04T00:00:00"/>
    <d v="2022-06-16T00:00:00"/>
    <d v="2022-07-20T00:00:00"/>
    <s v="RIB a lbonne adresse"/>
    <d v="2022-08-04T00:00:00"/>
    <d v="2022-08-04T00:00:00"/>
    <d v="2022-08-05T00:00:00"/>
    <m/>
    <d v="2022-11-18T00:00:00"/>
    <d v="2022-09-20T00:00:00"/>
    <s v="-"/>
    <d v="2022-11-30T00:00:00"/>
    <d v="2022-11-30T00:00:00"/>
    <d v="2022-12-02T00:00:00"/>
    <m/>
    <m/>
    <m/>
    <s v="DUPAY"/>
    <s v="Vincent &amp; Anne Sophie"/>
    <n v="5"/>
    <n v="113758"/>
    <n v="1394"/>
    <s v="Boulevard de Charavines"/>
    <n v="38500"/>
    <x v="1"/>
    <n v="680211765"/>
    <s v="anne-sophiedupay@orange.fr"/>
    <s v="PO"/>
    <m/>
    <m/>
    <m/>
    <m/>
    <m/>
    <m/>
    <x v="10"/>
    <x v="1"/>
    <s v="M. GILLET"/>
    <s v="bois-soleil-chauffage@orange.fr"/>
    <n v="476323235"/>
    <s v="-"/>
    <s v="oui"/>
    <d v="2022-08-21T00:00:00"/>
    <s v="foyer ouvert"/>
    <n v="1975"/>
    <x v="0"/>
    <x v="1"/>
    <s v="SCAN"/>
    <s v="Scan 85"/>
    <n v="7"/>
    <n v="8"/>
    <n v="78"/>
    <s v="0.06408 "/>
    <s v="FV7"/>
    <m/>
    <n v="8095"/>
    <m/>
    <m/>
    <m/>
    <n v="410"/>
    <n v="8505"/>
    <n v="467.77499999999998"/>
    <n v="8972.7749999999996"/>
    <n v="8622.5299999999988"/>
    <s v="oui"/>
    <m/>
    <m/>
    <s v="ADEME 2022"/>
    <s v="Facturation AGEDEN 2022"/>
  </r>
  <r>
    <x v="4"/>
    <n v="7"/>
    <x v="3"/>
    <x v="1"/>
    <s v="FZO"/>
    <s v="VRB0458"/>
    <n v="600"/>
    <d v="2022-06-15T00:00:00"/>
    <d v="2022-06-20T00:00:00"/>
    <s v="-"/>
    <s v="-"/>
    <d v="2022-07-19T00:00:00"/>
    <d v="2022-07-19T00:00:00"/>
    <d v="2022-07-26T00:00:00"/>
    <m/>
    <d v="2022-08-09T00:00:00"/>
    <d v="2022-08-01T00:00:00"/>
    <s v="-"/>
    <d v="2022-08-22T00:00:00"/>
    <d v="2022-08-22T00:00:00"/>
    <d v="2022-08-23T00:00:00"/>
    <m/>
    <m/>
    <m/>
    <s v="ROMET"/>
    <s v="Jacques"/>
    <n v="2"/>
    <n v="35756"/>
    <n v="40"/>
    <s v="Rue de Bernardiere"/>
    <n v="38850"/>
    <x v="24"/>
    <n v="476066472"/>
    <s v="jacques.romet@sfr.fr"/>
    <s v="PO"/>
    <m/>
    <m/>
    <m/>
    <m/>
    <m/>
    <m/>
    <x v="39"/>
    <x v="30"/>
    <s v="Mr BARGEL Jonathan"/>
    <s v="contact@philippeisere.fr"/>
    <s v="06 79 53 46 45"/>
    <s v="-"/>
    <s v="oui"/>
    <d v="2022-06-19T00:00:00"/>
    <s v="foyer ouvert"/>
    <n v="1977"/>
    <x v="2"/>
    <x v="1"/>
    <s v="CHEMINEES PHILIPPE"/>
    <s v="ANTHEM 65"/>
    <n v="34"/>
    <s v="7.8"/>
    <s v="76.5 "/>
    <s v="0.1"/>
    <s v="FV7"/>
    <m/>
    <n v="4404.0599999999995"/>
    <m/>
    <m/>
    <m/>
    <n v="750"/>
    <n v="5154.0599999999995"/>
    <n v="283.47329999999999"/>
    <n v="5437.5332999999991"/>
    <n v="5437.53"/>
    <m/>
    <m/>
    <m/>
    <s v="ADEME 2022"/>
    <s v="Facturation AGEDEN 2022"/>
  </r>
  <r>
    <x v="4"/>
    <n v="9"/>
    <x v="3"/>
    <x v="1"/>
    <s v="FZO"/>
    <s v="VRB0459"/>
    <n v="600"/>
    <d v="2022-06-16T00:00:00"/>
    <d v="2022-06-21T00:00:00"/>
    <d v="2022-07-19T00:00:00"/>
    <s v="en attende de mise à jr du materiel sur le site/"/>
    <d v="2022-09-28T00:00:00"/>
    <d v="2022-09-28T00:00:00"/>
    <d v="2022-10-03T00:00:00"/>
    <m/>
    <d v="2023-01-25T00:00:00"/>
    <d v="2022-10-25T00:00:00"/>
    <s v="-"/>
    <d v="2023-02-17T00:00:00"/>
    <d v="2023-02-17T00:00:00"/>
    <m/>
    <m/>
    <m/>
    <m/>
    <s v="VALE"/>
    <s v="Manuel &amp;Laurence"/>
    <n v="3"/>
    <n v="55998"/>
    <n v="2280"/>
    <s v="Avenue du 11 novembre"/>
    <n v="38340"/>
    <x v="17"/>
    <n v="620409310"/>
    <s v="vale.manuel@orange.fr"/>
    <s v="PO"/>
    <m/>
    <m/>
    <m/>
    <m/>
    <m/>
    <m/>
    <x v="5"/>
    <x v="5"/>
    <s v="M. MOCCELIN"/>
    <s v="godin-grenoble@orange.fr"/>
    <n v="474934316"/>
    <s v="-"/>
    <s v="oui"/>
    <d v="2023-03-21T00:00:00"/>
    <s v="poêle"/>
    <n v="2000"/>
    <x v="0"/>
    <x v="0"/>
    <s v="GODIN"/>
    <s v="CONTY 9kW"/>
    <n v="16"/>
    <s v="9.1"/>
    <s v="91.8"/>
    <s v="0.00376"/>
    <s v="FV7"/>
    <m/>
    <n v="6110"/>
    <m/>
    <m/>
    <m/>
    <n v="850"/>
    <n v="6960"/>
    <n v="382.8"/>
    <n v="7342.8"/>
    <n v="7343"/>
    <s v="oui"/>
    <m/>
    <m/>
    <s v="ADEME 2022"/>
    <s v="Facturation AGEDEN 2022"/>
  </r>
  <r>
    <x v="4"/>
    <n v="7"/>
    <x v="3"/>
    <x v="2"/>
    <s v="FZO"/>
    <s v="VRB0460"/>
    <n v="1000"/>
    <d v="2022-06-16T00:00:00"/>
    <d v="2022-06-27T00:00:00"/>
    <d v="2022-07-20T00:00:00"/>
    <s v="RIB a la bonne adresse"/>
    <d v="2022-07-21T00:00:00"/>
    <d v="2022-07-21T00:00:00"/>
    <d v="2022-07-26T00:00:00"/>
    <m/>
    <d v="2022-12-08T00:00:00"/>
    <d v="2022-11-14T00:00:00"/>
    <s v="-"/>
    <d v="2022-12-20T00:00:00"/>
    <d v="2022-12-20T00:00:00"/>
    <d v="2023-01-06T00:00:00"/>
    <m/>
    <m/>
    <m/>
    <s v="GUILLOUD"/>
    <s v="Valentine"/>
    <n v="4"/>
    <n v="31659"/>
    <n v="471"/>
    <s v="Route de Monteuil"/>
    <n v="38500"/>
    <x v="4"/>
    <n v="658814228"/>
    <s v="duyck.valentine@gmail.com"/>
    <s v="PO"/>
    <m/>
    <m/>
    <m/>
    <m/>
    <m/>
    <m/>
    <x v="2"/>
    <x v="2"/>
    <s v="M. DIDIER"/>
    <s v="jcduo@orange.fr"/>
    <n v="438029038"/>
    <s v="-"/>
    <s v="oui"/>
    <d v="2023-08-09T00:00:00"/>
    <s v="foyer ouvert"/>
    <n v="1958"/>
    <x v="0"/>
    <x v="1"/>
    <s v=" CONTURA "/>
    <s v="CONTURA C800STYLE"/>
    <n v="8"/>
    <s v="5.2"/>
    <n v="81"/>
    <s v="0.1164"/>
    <s v="FV7"/>
    <m/>
    <n v="6537"/>
    <m/>
    <m/>
    <m/>
    <n v="915"/>
    <n v="7452"/>
    <n v="409.86"/>
    <n v="7861.86"/>
    <n v="7500"/>
    <s v="oui"/>
    <m/>
    <m/>
    <s v="ADEME 2022"/>
    <s v="Facturation AGEDEN 2022"/>
  </r>
  <r>
    <x v="4"/>
    <n v="7"/>
    <x v="3"/>
    <x v="2"/>
    <s v="FZO"/>
    <s v="VRB0461"/>
    <n v="1000"/>
    <d v="2022-06-20T00:00:00"/>
    <d v="2022-06-29T00:00:00"/>
    <s v="-"/>
    <s v="-"/>
    <d v="2022-07-20T00:00:00"/>
    <d v="2022-07-20T00:00:00"/>
    <d v="2022-07-27T00:00:00"/>
    <m/>
    <d v="2022-11-14T00:00:00"/>
    <d v="2022-10-25T00:00:00"/>
    <s v="Demande de versement"/>
    <d v="2022-12-30T00:00:00"/>
    <d v="2022-12-30T00:00:00"/>
    <d v="2023-01-06T00:00:00"/>
    <m/>
    <m/>
    <m/>
    <s v="NERVESA"/>
    <s v="Michel"/>
    <n v="1"/>
    <n v="2021"/>
    <n v="354"/>
    <s v="Route de Saint Quentin"/>
    <n v="38430"/>
    <x v="2"/>
    <n v="476353571"/>
    <s v="michel.nervesa@neuf.fr"/>
    <s v="PO"/>
    <m/>
    <m/>
    <m/>
    <m/>
    <m/>
    <m/>
    <x v="7"/>
    <x v="35"/>
    <s v="M. PIERRE"/>
    <s v="voiron@techni-nature.com"/>
    <n v="665630048"/>
    <s v="-"/>
    <s v="oui"/>
    <d v="2022-08-25T00:00:00"/>
    <s v="insert / foyer fermé"/>
    <n v="1982"/>
    <x v="0"/>
    <x v="0"/>
    <s v="PIAZZETTA"/>
    <s v="P120 T"/>
    <n v="13"/>
    <s v="8.5"/>
    <s v="90.6"/>
    <s v="0.00232"/>
    <s v="FV7"/>
    <m/>
    <n v="5102.88"/>
    <m/>
    <m/>
    <m/>
    <n v="630"/>
    <n v="4885.75"/>
    <n v="268.71625"/>
    <n v="5154.4662500000004"/>
    <n v="5154.47"/>
    <s v="non"/>
    <m/>
    <m/>
    <s v="ADEME 2022"/>
    <s v="Facturation AGEDEN 2022"/>
  </r>
  <r>
    <x v="4"/>
    <n v="7"/>
    <x v="3"/>
    <x v="1"/>
    <s v="FZO"/>
    <s v="VRB0462"/>
    <n v="600"/>
    <d v="2022-06-24T00:00:00"/>
    <d v="2022-06-29T00:00:00"/>
    <d v="2022-07-20T00:00:00"/>
    <s v="probleme de calculs "/>
    <d v="2022-07-21T00:00:00"/>
    <d v="2022-07-21T00:00:00"/>
    <d v="2022-07-26T00:00:00"/>
    <m/>
    <m/>
    <m/>
    <m/>
    <m/>
    <m/>
    <m/>
    <m/>
    <m/>
    <m/>
    <s v="VASSARD"/>
    <s v="Stéphane"/>
    <n v="4"/>
    <n v="62329"/>
    <n v="57"/>
    <s v="Route des Picottes"/>
    <n v="38140"/>
    <x v="12"/>
    <n v="765735555"/>
    <s v="asar@free.fr"/>
    <s v="PO"/>
    <m/>
    <m/>
    <m/>
    <m/>
    <m/>
    <m/>
    <x v="12"/>
    <x v="49"/>
    <s v="M. AILLOUD BETASSON"/>
    <s v="servicepose.grenoble2@leroymerlin.fr"/>
    <n v="457939338"/>
    <s v="-"/>
    <s v="oui"/>
    <d v="2023-03-13T00:00:00"/>
    <s v="insert / foyer fermé"/>
    <n v="1985"/>
    <x v="0"/>
    <x v="1"/>
    <s v="JUSTUS"/>
    <s v="Agero W+"/>
    <n v="40"/>
    <n v="7"/>
    <s v="75.2 "/>
    <s v="0.09"/>
    <s v="FV7"/>
    <m/>
    <n v="4683.677725118484"/>
    <m/>
    <m/>
    <m/>
    <n v="1173.2788309636651"/>
    <n v="5856.9565560821493"/>
    <n v="335.3"/>
    <n v="6192.2565560821495"/>
    <m/>
    <s v="oui"/>
    <m/>
    <m/>
    <s v="ADEME 2022"/>
    <s v="Facturation AGEDEN 2022"/>
  </r>
  <r>
    <x v="4"/>
    <n v="7"/>
    <x v="3"/>
    <x v="1"/>
    <s v="FZO"/>
    <s v="VRB0463"/>
    <n v="600"/>
    <d v="2022-06-27T00:00:00"/>
    <d v="2022-06-29T00:00:00"/>
    <s v="-"/>
    <s v="-"/>
    <d v="2022-07-20T00:00:00"/>
    <d v="2022-07-20T00:00:00"/>
    <d v="2022-07-27T00:00:00"/>
    <m/>
    <d v="2022-10-20T00:00:00"/>
    <d v="2022-10-06T00:00:00"/>
    <s v="-"/>
    <d v="2022-11-09T00:00:00"/>
    <d v="2022-11-09T00:00:00"/>
    <d v="2022-11-14T00:00:00"/>
    <m/>
    <m/>
    <m/>
    <s v="POULARD"/>
    <s v="Régis"/>
    <n v="3"/>
    <n v="56320"/>
    <n v="20"/>
    <s v="Avenue Edouard Herriot"/>
    <n v="38500"/>
    <x v="1"/>
    <n v="616997410"/>
    <s v="regis.poulard38@orange.fr"/>
    <s v="PO"/>
    <m/>
    <m/>
    <m/>
    <m/>
    <m/>
    <m/>
    <x v="1"/>
    <x v="1"/>
    <s v="M. LIBER"/>
    <s v="jlc.services@orange.fr"/>
    <n v="476071461"/>
    <s v="-"/>
    <s v="oui"/>
    <d v="2022-11-03T00:00:00"/>
    <s v="foyer ouvert"/>
    <n v="1990"/>
    <x v="0"/>
    <x v="1"/>
    <s v="FONTE FLAMME"/>
    <s v="LONA"/>
    <n v="22"/>
    <n v="7"/>
    <n v="80"/>
    <s v="0.08"/>
    <s v="FV7"/>
    <m/>
    <n v="4958.62"/>
    <m/>
    <m/>
    <m/>
    <n v="945"/>
    <n v="5170.62"/>
    <n v="284.38409999999999"/>
    <n v="5455.0041000000001"/>
    <n v="5455"/>
    <s v="oui"/>
    <m/>
    <m/>
    <s v="ADEME 2022"/>
    <s v="Facturation AGEDEN 2022"/>
  </r>
  <r>
    <x v="4"/>
    <n v="7"/>
    <x v="3"/>
    <x v="1"/>
    <s v="FZO"/>
    <s v="VRB0464"/>
    <n v="600"/>
    <d v="2022-06-28T00:00:00"/>
    <d v="2022-06-29T00:00:00"/>
    <s v="-"/>
    <s v="-"/>
    <d v="2022-07-20T00:00:00"/>
    <d v="2022-07-20T00:00:00"/>
    <d v="2022-07-27T00:00:00"/>
    <m/>
    <m/>
    <m/>
    <m/>
    <m/>
    <m/>
    <m/>
    <m/>
    <m/>
    <m/>
    <s v="DOSSMANN"/>
    <s v="Nicolas"/>
    <n v="4"/>
    <n v="82040"/>
    <n v="7"/>
    <s v="Lotissement le montagnier Haut"/>
    <n v="38960"/>
    <x v="22"/>
    <n v="687815852"/>
    <s v="nicodoss@yahoo.fr"/>
    <s v="PO"/>
    <m/>
    <m/>
    <m/>
    <m/>
    <m/>
    <m/>
    <x v="57"/>
    <x v="50"/>
    <s v="M. BOURNAY"/>
    <s v="contact@nordiflam.com"/>
    <n v="479324446"/>
    <s v="-"/>
    <s v="oui"/>
    <d v="2022-10-23T00:00:00"/>
    <s v="insert / foyer fermé"/>
    <n v="1985"/>
    <x v="2"/>
    <x v="1"/>
    <s v="IWONA PELLET"/>
    <s v="LOUIS AIR (pellets)"/>
    <n v="12"/>
    <n v="10"/>
    <n v="87"/>
    <n v="56"/>
    <s v="registre"/>
    <m/>
    <n v="17058.349999999999"/>
    <m/>
    <m/>
    <m/>
    <n v="2500"/>
    <n v="18957.329999999998"/>
    <n v="1042.6531499999999"/>
    <n v="19999.983149999996"/>
    <m/>
    <s v="non"/>
    <m/>
    <m/>
    <s v="ADEME 2022"/>
    <s v="Facturation AGEDEN 2022"/>
  </r>
  <r>
    <x v="4"/>
    <n v="7"/>
    <x v="3"/>
    <x v="1"/>
    <s v="FZO"/>
    <s v="VRB0465"/>
    <n v="600"/>
    <d v="2022-06-29T00:00:00"/>
    <d v="2022-06-29T00:00:00"/>
    <d v="2022-07-20T00:00:00"/>
    <s v="probleme de calculs "/>
    <d v="2022-07-21T00:00:00"/>
    <d v="2022-07-21T00:00:00"/>
    <d v="2022-07-26T00:00:00"/>
    <m/>
    <d v="2022-09-25T00:00:00"/>
    <d v="2022-08-23T00:00:00"/>
    <s v="-"/>
    <d v="2022-11-08T00:00:00"/>
    <d v="2022-11-08T00:00:00"/>
    <d v="2022-11-14T00:00:00"/>
    <m/>
    <m/>
    <m/>
    <s v="FELIX &amp; FERNANDEZ"/>
    <s v="Joelle &amp; Michel"/>
    <n v="2"/>
    <n v="55250"/>
    <n v="400"/>
    <s v="Route des hôpitaux"/>
    <n v="38620"/>
    <x v="31"/>
    <n v="674335954"/>
    <s v="michel.fernandez0793@orange.fr"/>
    <s v="PO"/>
    <m/>
    <m/>
    <m/>
    <m/>
    <m/>
    <m/>
    <x v="2"/>
    <x v="2"/>
    <s v="M. DIDIER"/>
    <s v="jcduo@orange.fr"/>
    <n v="438029038"/>
    <s v="-"/>
    <s v="oui"/>
    <d v="2023-08-09T00:00:00"/>
    <s v="poêle"/>
    <n v="1990"/>
    <x v="0"/>
    <x v="1"/>
    <s v="MAX  BLANK"/>
    <s v="Toulouse BF"/>
    <n v="31"/>
    <n v="6.5"/>
    <n v="87"/>
    <n v="1074"/>
    <s v="registre"/>
    <m/>
    <n v="6076.7772511848343"/>
    <m/>
    <m/>
    <m/>
    <n v="454.97630331753555"/>
    <n v="6531.7535545023702"/>
    <n v="359.24644549763036"/>
    <n v="6891.0000000000009"/>
    <n v="7221"/>
    <s v="oui"/>
    <m/>
    <m/>
    <s v="ADEME 2022"/>
    <s v="Facturation AGEDEN 2022"/>
  </r>
  <r>
    <x v="4"/>
    <n v="7"/>
    <x v="3"/>
    <x v="1"/>
    <s v="FZO"/>
    <s v="VRB0466"/>
    <n v="600"/>
    <d v="2022-06-29T00:00:00"/>
    <d v="2022-07-05T00:00:00"/>
    <s v="-"/>
    <s v="-"/>
    <d v="2022-07-20T00:00:00"/>
    <d v="2022-07-20T00:00:00"/>
    <d v="2022-07-27T00:00:00"/>
    <m/>
    <d v="2022-11-12T00:00:00"/>
    <d v="2022-09-08T00:00:00"/>
    <s v="-"/>
    <d v="2022-11-30T00:00:00"/>
    <d v="2022-11-30T00:00:00"/>
    <d v="2022-12-02T00:00:00"/>
    <m/>
    <m/>
    <m/>
    <s v="CHARBONNIER"/>
    <s v="Julien"/>
    <n v="4"/>
    <n v="50452"/>
    <n v="205"/>
    <s v="Cheemin de petit bon Dieu"/>
    <n v="38210"/>
    <x v="3"/>
    <n v="678721755"/>
    <s v="charbojul@hotmail.com"/>
    <s v="PO"/>
    <m/>
    <m/>
    <m/>
    <m/>
    <m/>
    <m/>
    <x v="31"/>
    <x v="24"/>
    <s v="M. BRUNO"/>
    <s v="-"/>
    <n v="476134004"/>
    <s v="-"/>
    <s v="oui"/>
    <d v="2022-11-14T00:00:00"/>
    <s v="insert / foyer fermé"/>
    <n v="1985"/>
    <x v="0"/>
    <x v="0"/>
    <s v="HOBEN"/>
    <s v="H5"/>
    <n v="20"/>
    <s v="6.3 "/>
    <n v="91"/>
    <s v="0.018"/>
    <s v="FV7"/>
    <m/>
    <n v="5511"/>
    <m/>
    <m/>
    <m/>
    <n v="740"/>
    <n v="5951"/>
    <n v="327.30500000000001"/>
    <n v="6278.3050000000003"/>
    <n v="6278.31"/>
    <s v="oui"/>
    <m/>
    <m/>
    <s v="ADEME 2022"/>
    <s v="Facturation AGEDEN 2022"/>
  </r>
  <r>
    <x v="4"/>
    <n v="7"/>
    <x v="3"/>
    <x v="2"/>
    <s v="FZO"/>
    <s v="VRB0467"/>
    <n v="1000"/>
    <d v="2022-06-30T00:00:00"/>
    <d v="2022-07-05T00:00:00"/>
    <s v="-"/>
    <s v="-"/>
    <d v="2022-07-20T00:00:00"/>
    <d v="2022-07-20T00:00:00"/>
    <d v="2022-07-27T00:00:00"/>
    <m/>
    <d v="2023-01-11T00:00:00"/>
    <m/>
    <m/>
    <m/>
    <m/>
    <m/>
    <m/>
    <m/>
    <m/>
    <s v="FRANCOIS"/>
    <s v="Denis"/>
    <n v="1"/>
    <n v="18700"/>
    <n v="3"/>
    <s v="Lotissement le charmette"/>
    <n v="38360"/>
    <x v="22"/>
    <n v="652353147"/>
    <s v="denycole@free.fr"/>
    <s v="PO"/>
    <m/>
    <m/>
    <m/>
    <m/>
    <m/>
    <m/>
    <x v="7"/>
    <x v="35"/>
    <s v="M. PIERRE"/>
    <s v="voiron@techni-nature.com"/>
    <n v="972179856"/>
    <s v="-"/>
    <s v="oui"/>
    <d v="2022-08-25T00:00:00"/>
    <s v="insert / foyer fermé"/>
    <n v="1979"/>
    <x v="0"/>
    <x v="0"/>
    <s v="PIAZZETTA"/>
    <s v=" P120"/>
    <n v="13"/>
    <s v="8.5"/>
    <s v="90.6 "/>
    <s v="0.00232"/>
    <s v="FV7"/>
    <m/>
    <n v="5611.27"/>
    <m/>
    <m/>
    <m/>
    <n v="830"/>
    <n v="5841.27"/>
    <n v="321.26985000000002"/>
    <n v="6162.5398500000001"/>
    <m/>
    <s v="oui"/>
    <m/>
    <m/>
    <s v="ADEME 2022"/>
    <s v="Facturation AGEDEN 2022"/>
  </r>
  <r>
    <x v="4"/>
    <n v="7"/>
    <x v="3"/>
    <x v="1"/>
    <s v="FZO"/>
    <s v="VRB0468"/>
    <n v="600"/>
    <d v="2022-07-01T00:00:00"/>
    <d v="2022-07-05T00:00:00"/>
    <s v="-"/>
    <s v="-"/>
    <d v="2022-07-20T00:00:00"/>
    <d v="2022-07-20T00:00:00"/>
    <d v="2022-07-27T00:00:00"/>
    <m/>
    <d v="2022-12-02T00:00:00"/>
    <d v="2022-10-24T00:00:00"/>
    <s v="-"/>
    <d v="2022-12-20T00:00:00"/>
    <d v="2022-12-20T00:00:00"/>
    <d v="2023-01-06T00:00:00"/>
    <m/>
    <m/>
    <m/>
    <s v="ACHARD"/>
    <s v="Paulette"/>
    <n v="1"/>
    <n v="20364"/>
    <n v="421"/>
    <s v="Rue du berard"/>
    <n v="38500"/>
    <x v="18"/>
    <n v="673508524"/>
    <s v="patou3342@wanadoo.fr"/>
    <s v="PO"/>
    <m/>
    <m/>
    <m/>
    <m/>
    <m/>
    <m/>
    <x v="39"/>
    <x v="30"/>
    <s v="Mr BARGEL Jonathan"/>
    <s v="contact@philippeisere.fr"/>
    <s v="06 79 53 46 45"/>
    <s v="-"/>
    <s v="oui"/>
    <d v="2022-06-19T00:00:00"/>
    <s v="foyer ouvert"/>
    <n v="1970"/>
    <x v="2"/>
    <x v="1"/>
    <s v="CHEMINEES PHILIPPE "/>
    <s v="ANTHEM 65"/>
    <n v="34"/>
    <s v="7.8"/>
    <s v="76.5 "/>
    <s v="0.1"/>
    <s v="FV7"/>
    <m/>
    <n v="5157.0599999999995"/>
    <m/>
    <m/>
    <m/>
    <n v="750"/>
    <n v="5687.2"/>
    <n v="312.79599999999999"/>
    <n v="5999.9960000000001"/>
    <n v="6000"/>
    <s v="oui"/>
    <m/>
    <m/>
    <s v="ADEME 2022"/>
    <s v="Facturation AGEDEN 2022"/>
  </r>
  <r>
    <x v="4"/>
    <n v="7"/>
    <x v="3"/>
    <x v="2"/>
    <s v="FZO"/>
    <s v="VRB0469"/>
    <n v="1000"/>
    <d v="2022-07-01T00:00:00"/>
    <d v="2022-07-05T00:00:00"/>
    <s v="-"/>
    <s v="-"/>
    <d v="2022-07-20T00:00:00"/>
    <d v="2022-07-20T00:00:00"/>
    <d v="2022-07-27T00:00:00"/>
    <m/>
    <d v="2022-10-05T00:00:00"/>
    <d v="2022-08-03T00:00:00"/>
    <s v="-"/>
    <d v="2022-11-08T00:00:00"/>
    <d v="2022-11-08T00:00:00"/>
    <d v="2022-11-14T00:00:00"/>
    <m/>
    <m/>
    <m/>
    <s v="SANTAMARIA"/>
    <s v="Jean"/>
    <n v="1"/>
    <n v="19267"/>
    <n v="44"/>
    <s v="Impasse dela Garenne"/>
    <n v="38620"/>
    <x v="16"/>
    <n v="476324094"/>
    <s v="santamaria38620@gmail.com"/>
    <s v="PO"/>
    <m/>
    <m/>
    <m/>
    <m/>
    <m/>
    <m/>
    <x v="39"/>
    <x v="30"/>
    <s v="Mr BARGEL Jonathan"/>
    <s v="contact@philippeisere.fr"/>
    <s v="06 79 53 46 45"/>
    <s v="-"/>
    <s v="oui"/>
    <d v="2022-06-19T00:00:00"/>
    <s v="poêle"/>
    <n v="1995"/>
    <x v="0"/>
    <x v="0"/>
    <s v="EXTRAFLAME"/>
    <s v="ANGELA EVO"/>
    <n v="14"/>
    <n v="8"/>
    <s v="91.5"/>
    <s v="0.00792"/>
    <s v="FV7"/>
    <m/>
    <n v="3935.36"/>
    <m/>
    <m/>
    <m/>
    <n v="640"/>
    <n v="4575.3600000000006"/>
    <n v="251.64480000000003"/>
    <n v="4827.0048000000006"/>
    <n v="4827"/>
    <s v="non"/>
    <m/>
    <m/>
    <s v="ADEME 2022"/>
    <s v="Facturation AGEDEN 2022"/>
  </r>
  <r>
    <x v="4"/>
    <n v="7"/>
    <x v="3"/>
    <x v="2"/>
    <s v="FZO"/>
    <s v="VRB0470"/>
    <n v="1000"/>
    <d v="2022-07-07T00:00:00"/>
    <d v="2022-07-12T00:00:00"/>
    <d v="2022-07-20T00:00:00"/>
    <s v="Photo plan large"/>
    <d v="2022-07-21T00:00:00"/>
    <d v="2022-07-21T00:00:00"/>
    <d v="2022-07-26T00:00:00"/>
    <m/>
    <m/>
    <m/>
    <m/>
    <m/>
    <m/>
    <m/>
    <m/>
    <m/>
    <m/>
    <s v="BRUN"/>
    <s v="Jean-François"/>
    <n v="5"/>
    <n v="37051"/>
    <n v="13"/>
    <s v="Impasse des Barraux"/>
    <n v="38850"/>
    <x v="7"/>
    <n v="676335158"/>
    <s v="houda.b@hotmail.fr"/>
    <s v="PO"/>
    <m/>
    <m/>
    <m/>
    <m/>
    <m/>
    <m/>
    <x v="58"/>
    <x v="1"/>
    <s v="CHARAT Jean-Pierre"/>
    <s v="contactprojet@orange.fr"/>
    <n v="685231565"/>
    <s v="-"/>
    <s v="oui"/>
    <d v="2023-03-21T00:00:00"/>
    <s v="poêle"/>
    <n v="2002"/>
    <x v="0"/>
    <x v="0"/>
    <s v="CADEL"/>
    <s v="SHELL 3 UP"/>
    <n v="12"/>
    <s v="9.1 "/>
    <s v="88.7"/>
    <s v="0.00504"/>
    <s v="FV7"/>
    <m/>
    <n v="4823"/>
    <m/>
    <m/>
    <m/>
    <n v="1200"/>
    <n v="6023"/>
    <n v="331.26499999999999"/>
    <n v="6354.2650000000003"/>
    <m/>
    <s v="non"/>
    <m/>
    <m/>
    <s v="ADEME 2022"/>
    <s v="Facturation AGEDEN 2022"/>
  </r>
  <r>
    <x v="4"/>
    <n v="7"/>
    <x v="3"/>
    <x v="1"/>
    <s v="FZO"/>
    <s v="VRB0471"/>
    <n v="600"/>
    <d v="2022-07-07T00:00:00"/>
    <d v="2022-07-12T00:00:00"/>
    <d v="2022-07-20T00:00:00"/>
    <s v="rib à la bonne adresse"/>
    <d v="2022-07-22T00:00:00"/>
    <d v="2022-07-22T00:00:00"/>
    <d v="2022-07-26T00:00:00"/>
    <m/>
    <d v="2022-12-05T00:00:00"/>
    <d v="2022-11-09T00:00:00"/>
    <s v="-"/>
    <d v="2022-12-20T00:00:00"/>
    <d v="2022-12-20T00:00:00"/>
    <d v="2023-01-06T00:00:00"/>
    <m/>
    <m/>
    <m/>
    <s v="TAN"/>
    <s v="Emeline"/>
    <n v="5"/>
    <n v="102089"/>
    <n v="135"/>
    <s v="Chemin du Trincon"/>
    <n v="38430"/>
    <x v="28"/>
    <n v="644268689"/>
    <s v="emeline.v.tan@gmail.com"/>
    <s v="PO"/>
    <m/>
    <m/>
    <m/>
    <m/>
    <m/>
    <m/>
    <x v="16"/>
    <x v="10"/>
    <s v="ALO"/>
    <s v="cheminees.jay@orange.fr"/>
    <n v="476500550"/>
    <s v="-"/>
    <s v="oui"/>
    <d v="2023-07-30T00:00:00"/>
    <s v="insert / foyer fermé"/>
    <n v="1968"/>
    <x v="0"/>
    <x v="1"/>
    <s v="TURBO FONTE"/>
    <s v="KARL 100 F"/>
    <n v="29"/>
    <s v="9.2"/>
    <s v="77.4"/>
    <s v="0.06096"/>
    <s v="FV7"/>
    <m/>
    <n v="4619.3900000000003"/>
    <m/>
    <m/>
    <m/>
    <n v="1020"/>
    <n v="5639.39"/>
    <n v="310.16645"/>
    <n v="5949.55645"/>
    <n v="5901.03"/>
    <s v="non"/>
    <m/>
    <m/>
    <s v="ADEME 2022"/>
    <s v="Facturation AGEDEN 2022"/>
  </r>
  <r>
    <x v="4"/>
    <n v="7"/>
    <x v="3"/>
    <x v="2"/>
    <s v="FZO"/>
    <s v="VRB0472"/>
    <n v="1000"/>
    <d v="2022-07-08T00:00:00"/>
    <d v="2022-07-12T00:00:00"/>
    <s v="-"/>
    <s v="-"/>
    <d v="2022-07-20T00:00:00"/>
    <d v="2022-07-20T00:00:00"/>
    <d v="2022-07-27T00:00:00"/>
    <m/>
    <d v="2022-11-16T00:00:00"/>
    <d v="2022-09-09T00:00:00"/>
    <s v="-"/>
    <d v="2022-11-30T00:00:00"/>
    <d v="2022-11-30T00:00:00"/>
    <d v="2022-12-02T00:00:00"/>
    <m/>
    <m/>
    <m/>
    <s v="ZILLIOX"/>
    <s v="Anny"/>
    <n v="1"/>
    <n v="17869"/>
    <n v="200"/>
    <s v="Rue des arondières"/>
    <n v="38500"/>
    <x v="24"/>
    <n v="766829126"/>
    <s v="zilliox38850@gmail.com"/>
    <s v="PO"/>
    <m/>
    <m/>
    <m/>
    <m/>
    <m/>
    <m/>
    <x v="39"/>
    <x v="30"/>
    <s v="Mr BARGEL Jonathan"/>
    <s v="contact@philippeisere.fr"/>
    <s v="06 79 53 46 45"/>
    <s v="-"/>
    <s v="oui"/>
    <d v="2023-06-19T00:00:00"/>
    <s v="insert / foyer fermé"/>
    <n v="1995"/>
    <x v="0"/>
    <x v="0"/>
    <s v="EXTRAFLAME"/>
    <s v="ANGELA EVO"/>
    <n v="14"/>
    <n v="8"/>
    <s v="91.5"/>
    <s v="0.00792"/>
    <s v="FV7"/>
    <m/>
    <n v="4251"/>
    <m/>
    <m/>
    <m/>
    <n v="750"/>
    <n v="5001"/>
    <n v="275.05500000000001"/>
    <n v="5276.0550000000003"/>
    <n v="5276.06"/>
    <s v="non"/>
    <m/>
    <m/>
    <s v="ADEME 2022"/>
    <s v="Facturation AGEDEN 2022"/>
  </r>
  <r>
    <x v="4"/>
    <n v="7"/>
    <x v="3"/>
    <x v="2"/>
    <s v="FZO"/>
    <s v="VRB0473"/>
    <n v="1000"/>
    <d v="2022-07-08T00:00:00"/>
    <d v="2022-07-12T00:00:00"/>
    <s v="-"/>
    <s v="-"/>
    <d v="2022-07-20T00:00:00"/>
    <d v="2022-07-20T00:00:00"/>
    <d v="2022-07-27T00:00:00"/>
    <m/>
    <m/>
    <m/>
    <m/>
    <m/>
    <m/>
    <m/>
    <m/>
    <m/>
    <m/>
    <s v="GRANGE"/>
    <s v="Philippe"/>
    <n v="1"/>
    <n v="18559"/>
    <n v="74"/>
    <s v="Rue du Tram"/>
    <n v="38620"/>
    <x v="0"/>
    <n v="642554818"/>
    <s v="grange.phil31084@yahoo.com"/>
    <s v="PO"/>
    <m/>
    <m/>
    <m/>
    <m/>
    <m/>
    <m/>
    <x v="0"/>
    <x v="0"/>
    <s v="CARRE François"/>
    <s v="f.carre@carre-f.com"/>
    <s v="04 76 37 03 50"/>
    <s v="-"/>
    <s v="oui  "/>
    <d v="2022-09-17T00:00:00"/>
    <s v="foyer ouvert"/>
    <n v="1990"/>
    <x v="0"/>
    <x v="0"/>
    <s v="PALAZZETTI"/>
    <s v="ECOFIRE ISABEL 9 US PRO 2"/>
    <n v="15"/>
    <n v="9"/>
    <n v="91"/>
    <s v="0.0024 "/>
    <s v="FV7"/>
    <m/>
    <n v="5624.5"/>
    <m/>
    <m/>
    <m/>
    <n v="890"/>
    <n v="6514.5"/>
    <n v="358.29750000000001"/>
    <n v="6872.7974999999997"/>
    <m/>
    <s v="oui"/>
    <m/>
    <m/>
    <s v="ADEME 2022"/>
    <s v="Facturation AGEDEN 2022"/>
  </r>
  <r>
    <x v="4"/>
    <n v="7"/>
    <x v="3"/>
    <x v="1"/>
    <s v="FZO"/>
    <s v="VRB0474"/>
    <n v="600"/>
    <d v="2022-07-09T00:00:00"/>
    <d v="2022-07-12T00:00:00"/>
    <s v="-"/>
    <s v="-"/>
    <d v="2022-07-20T00:00:00"/>
    <d v="2022-07-20T00:00:00"/>
    <d v="2022-07-27T00:00:00"/>
    <m/>
    <d v="2022-11-17T00:00:00"/>
    <d v="2022-11-08T00:00:00"/>
    <s v="-"/>
    <d v="2022-11-30T00:00:00"/>
    <d v="2022-11-30T00:00:00"/>
    <d v="2022-12-02T00:00:00"/>
    <m/>
    <m/>
    <m/>
    <s v="PERNOUD"/>
    <s v="François"/>
    <n v="2"/>
    <n v="37223"/>
    <n v="177"/>
    <s v="Chemin du janin"/>
    <n v="38430"/>
    <x v="28"/>
    <n v="677013042"/>
    <s v="francois@pernoud.eu"/>
    <s v="PO"/>
    <m/>
    <m/>
    <m/>
    <m/>
    <m/>
    <m/>
    <x v="7"/>
    <x v="1"/>
    <s v="PIERRE Emmanuel"/>
    <s v="voiron@techni-nature.com"/>
    <n v="951096343"/>
    <s v="-"/>
    <s v="oui"/>
    <d v="2022-08-25T00:00:00"/>
    <s v="poêle"/>
    <n v="1980"/>
    <x v="0"/>
    <x v="0"/>
    <s v="HOBEN"/>
    <s v="H7 Signature"/>
    <n v="20"/>
    <s v="8.3"/>
    <n v="92"/>
    <s v="0.018"/>
    <s v="FV7"/>
    <m/>
    <n v="7830.75"/>
    <m/>
    <m/>
    <m/>
    <n v="630"/>
    <n v="8460.75"/>
    <n v="465.34125"/>
    <n v="8926.0912499999995"/>
    <n v="8926.09"/>
    <s v="oui"/>
    <m/>
    <m/>
    <s v="ADEME 2022"/>
    <s v="Facturation AGEDEN 2022"/>
  </r>
  <r>
    <x v="4"/>
    <n v="8"/>
    <x v="3"/>
    <x v="2"/>
    <s v="FZO"/>
    <s v="VRB0475"/>
    <n v="1000"/>
    <d v="2022-07-11T00:00:00"/>
    <d v="2022-07-12T00:00:00"/>
    <d v="2022-07-20T00:00:00"/>
    <s v="photo plan large"/>
    <d v="2022-08-29T00:00:00"/>
    <d v="2022-08-29T00:00:00"/>
    <d v="2022-09-20T00:00:00"/>
    <m/>
    <d v="2022-12-08T00:00:00"/>
    <d v="2022-11-23T00:00:00"/>
    <s v="Facture acquittée + photo + attestation destruction"/>
    <d v="2023-01-06T00:00:00"/>
    <d v="2023-01-06T00:00:00"/>
    <m/>
    <m/>
    <m/>
    <m/>
    <s v="ROBERT"/>
    <s v="Christian"/>
    <n v="1"/>
    <n v="19528"/>
    <n v="22"/>
    <s v="Les horizons 2"/>
    <n v="38210"/>
    <x v="15"/>
    <n v="610024236"/>
    <s v="christianlacaisse@gmail"/>
    <s v="PO"/>
    <m/>
    <m/>
    <m/>
    <m/>
    <m/>
    <m/>
    <x v="43"/>
    <x v="33"/>
    <s v="M. ROUBINET"/>
    <s v="contact-chaleurbois38@orange.fr"/>
    <n v="476389584"/>
    <s v="-"/>
    <s v="oui"/>
    <d v="2022-11-02T00:00:00"/>
    <s v="poêle"/>
    <n v="1990"/>
    <x v="0"/>
    <x v="0"/>
    <s v="KLOVER"/>
    <s v="Oblo"/>
    <n v="15"/>
    <n v="7.4"/>
    <n v="92.5"/>
    <n v="0.01"/>
    <s v="registre"/>
    <m/>
    <n v="5495.12"/>
    <m/>
    <m/>
    <m/>
    <n v="713.7"/>
    <n v="6208.82"/>
    <n v="341.48509999999999"/>
    <n v="6550.3050999999996"/>
    <n v="6550.31"/>
    <s v="oui"/>
    <m/>
    <m/>
    <s v="ADEME 2022"/>
    <s v="Facturation AGEDEN 2022"/>
  </r>
  <r>
    <x v="4"/>
    <n v="9"/>
    <x v="3"/>
    <x v="2"/>
    <s v="FZO"/>
    <s v="VRB0476"/>
    <n v="1000"/>
    <d v="2022-07-12T00:00:00"/>
    <d v="2022-07-13T00:00:00"/>
    <d v="2022-07-20T00:00:00"/>
    <s v="materiel non trouvé et vu avec l'installateur  le 20/07"/>
    <d v="2022-09-28T00:00:00"/>
    <d v="2022-09-28T00:00:00"/>
    <d v="2022-10-03T00:00:00"/>
    <m/>
    <m/>
    <m/>
    <m/>
    <m/>
    <m/>
    <m/>
    <m/>
    <m/>
    <m/>
    <s v="UGNON-FLEURY"/>
    <s v="Elise"/>
    <n v="1"/>
    <n v="14196"/>
    <n v="838"/>
    <s v="Route de la Davière"/>
    <n v="38620"/>
    <x v="0"/>
    <n v="476076265"/>
    <s v="brunomicoud@sfr.fr"/>
    <s v="PO"/>
    <m/>
    <m/>
    <m/>
    <m/>
    <m/>
    <m/>
    <x v="10"/>
    <x v="1"/>
    <s v="GILLET Pascal"/>
    <s v="bois-soleil-chauffage@orange.fr"/>
    <n v="476323235"/>
    <s v="-"/>
    <s v="oui"/>
    <d v="2021-08-21T00:00:00"/>
    <s v="cuisinière"/>
    <n v="1996"/>
    <x v="1"/>
    <x v="1"/>
    <s v="CADEL"/>
    <s v="KOOK60 4.0"/>
    <n v="30"/>
    <s v="6.2 "/>
    <s v="84.1"/>
    <s v="0.09672"/>
    <s v="FV7"/>
    <m/>
    <n v="3372"/>
    <m/>
    <m/>
    <m/>
    <n v="335"/>
    <n v="3707"/>
    <n v="203.88499999999999"/>
    <n v="3910.8850000000002"/>
    <m/>
    <s v="non"/>
    <m/>
    <m/>
    <s v="ADEME 2022"/>
    <s v="Facturation AGEDEN 2022"/>
  </r>
  <r>
    <x v="4"/>
    <n v="8"/>
    <x v="3"/>
    <x v="2"/>
    <s v="YC"/>
    <s v="VRB0477"/>
    <n v="1000"/>
    <d v="2022-07-12T00:00:00"/>
    <d v="2022-08-03T00:00:00"/>
    <m/>
    <m/>
    <d v="2022-08-17T00:00:00"/>
    <d v="2022-08-17T00:00:00"/>
    <d v="2022-08-19T00:00:00"/>
    <m/>
    <m/>
    <m/>
    <m/>
    <m/>
    <m/>
    <m/>
    <m/>
    <m/>
    <m/>
    <s v="TERRIER"/>
    <s v="Franck"/>
    <n v="4"/>
    <n v="34906"/>
    <n v="157"/>
    <s v="Chemin en brie"/>
    <n v="38850"/>
    <x v="5"/>
    <n v="680255505"/>
    <s v="franck.terrier@laposte.net"/>
    <s v="PO"/>
    <m/>
    <m/>
    <m/>
    <m/>
    <m/>
    <m/>
    <x v="5"/>
    <x v="5"/>
    <s v="MOCELLIN"/>
    <s v="godin-grenoble@orange.fr"/>
    <n v="474934316"/>
    <s v=" "/>
    <s v="oui"/>
    <d v="2023-03-21T00:00:00"/>
    <s v="insert / foyer fermé"/>
    <n v="1985"/>
    <x v="0"/>
    <x v="1"/>
    <s v="GODIN"/>
    <s v="Eclipse"/>
    <n v="29"/>
    <n v="8"/>
    <n v="77"/>
    <n v="0.05"/>
    <s v="FV7"/>
    <m/>
    <n v="3150"/>
    <m/>
    <m/>
    <m/>
    <n v="892"/>
    <n v="4042"/>
    <n v="222.31"/>
    <n v="4264.3100000000004"/>
    <m/>
    <s v="oui"/>
    <m/>
    <m/>
    <s v="ADEME 2022"/>
    <s v="Facturation AGEDEN 2022"/>
  </r>
  <r>
    <x v="3"/>
    <n v="1"/>
    <x v="3"/>
    <x v="1"/>
    <s v="YC"/>
    <s v="VRB0478"/>
    <n v="600"/>
    <d v="2022-07-18T00:00:00"/>
    <d v="2022-08-03T00:00:00"/>
    <d v="2022-08-26T00:00:00"/>
    <s v="attente infos sur matériel / mail 17/08"/>
    <m/>
    <m/>
    <m/>
    <m/>
    <m/>
    <m/>
    <m/>
    <m/>
    <m/>
    <m/>
    <m/>
    <m/>
    <m/>
    <s v="GILLES"/>
    <s v="Olivier"/>
    <n v="3"/>
    <n v="108177"/>
    <n v="6"/>
    <s v="Allée des vignes"/>
    <n v="38500"/>
    <x v="1"/>
    <n v="633329393"/>
    <s v="olivier-gilles@hotmail.fr"/>
    <s v="PO"/>
    <m/>
    <m/>
    <m/>
    <m/>
    <m/>
    <m/>
    <x v="1"/>
    <x v="1"/>
    <s v="LIBER Jean-Christophe"/>
    <s v="poelesetcuisinierespassion@gmail.com"/>
    <s v="04 76 07 14 61"/>
    <m/>
    <s v="oui"/>
    <d v="2022-11-03T00:00:00"/>
    <s v="foyer ouvert"/>
    <n v="2001"/>
    <x v="4"/>
    <x v="2"/>
    <m/>
    <m/>
    <m/>
    <m/>
    <m/>
    <m/>
    <m/>
    <m/>
    <m/>
    <m/>
    <m/>
    <m/>
    <m/>
    <m/>
    <m/>
    <m/>
    <m/>
    <s v="oui"/>
    <m/>
    <m/>
    <s v="ADEME 2022"/>
    <m/>
  </r>
  <r>
    <x v="4"/>
    <n v="8"/>
    <x v="3"/>
    <x v="2"/>
    <s v="YC"/>
    <s v="VRB0479"/>
    <n v="1000"/>
    <d v="2022-07-21T00:00:00"/>
    <d v="2022-08-03T00:00:00"/>
    <d v="2022-08-17T00:00:00"/>
    <s v="photo plan large"/>
    <d v="2022-08-25T00:00:00"/>
    <d v="2022-08-25T00:00:00"/>
    <d v="2022-09-19T00:00:00"/>
    <m/>
    <d v="2022-10-31T00:00:00"/>
    <d v="2022-10-03T00:00:00"/>
    <s v="-"/>
    <d v="2022-11-09T00:00:00"/>
    <d v="2022-11-09T00:00:00"/>
    <d v="2022-11-14T00:00:00"/>
    <m/>
    <m/>
    <m/>
    <s v="ZIAT &amp;BOURBON"/>
    <s v="Jawad &amp; Sonia"/>
    <n v="5"/>
    <n v="45718"/>
    <n v="108"/>
    <s v="Impasse des 3 cedres"/>
    <n v="38850"/>
    <x v="9"/>
    <n v="627990892"/>
    <s v="j.ziat@cg38.fr"/>
    <s v="PO"/>
    <m/>
    <m/>
    <m/>
    <m/>
    <m/>
    <m/>
    <x v="52"/>
    <x v="9"/>
    <s v="Mr MICHEL"/>
    <s v="enerlogis@orange.fr"/>
    <s v="04 79 75 09 79"/>
    <m/>
    <s v="oui"/>
    <d v="2023-08-25T00:00:00"/>
    <s v="foyer ouvert"/>
    <n v="1983"/>
    <x v="0"/>
    <x v="0"/>
    <s v="MCZ"/>
    <s v="DOC COMFORT AIR 9kW"/>
    <n v="20"/>
    <n v="8.8000000000000007"/>
    <n v="90.9"/>
    <n v="6.0000000000000001E-3"/>
    <s v="FV7"/>
    <m/>
    <n v="6277.45"/>
    <m/>
    <m/>
    <m/>
    <n v="925"/>
    <n v="7202.45"/>
    <n v="396.13475"/>
    <n v="7598.58475"/>
    <n v="7598.58"/>
    <s v="oui"/>
    <m/>
    <m/>
    <s v="ADEME 2022"/>
    <s v="Facturation AGEDEN 2022"/>
  </r>
  <r>
    <x v="4"/>
    <n v="8"/>
    <x v="3"/>
    <x v="2"/>
    <s v="YC"/>
    <s v="VRB0480"/>
    <n v="1000"/>
    <d v="2022-07-22T00:00:00"/>
    <d v="2022-08-03T00:00:00"/>
    <m/>
    <m/>
    <d v="2022-08-17T00:00:00"/>
    <d v="2022-08-17T00:00:00"/>
    <d v="2022-08-19T00:00:00"/>
    <m/>
    <m/>
    <m/>
    <m/>
    <m/>
    <m/>
    <m/>
    <m/>
    <m/>
    <m/>
    <s v="FERRERO"/>
    <s v="Daniel"/>
    <n v="2"/>
    <n v="26355"/>
    <n v="163"/>
    <s v="Rue du petit clos"/>
    <n v="38850"/>
    <x v="24"/>
    <n v="667999770"/>
    <s v="daniel.ferrero@orange.fr"/>
    <s v="PO"/>
    <m/>
    <m/>
    <m/>
    <m/>
    <m/>
    <m/>
    <x v="9"/>
    <x v="37"/>
    <s v="Mr REGAZZONI"/>
    <s v="jeanfrancois@passionflamme.fr"/>
    <s v="06 31 07 71 33"/>
    <m/>
    <s v="oui"/>
    <d v="2023-05-06T00:00:00"/>
    <s v="insert / foyer fermé"/>
    <n v="2000"/>
    <x v="2"/>
    <x v="1"/>
    <s v="ROCAL"/>
    <s v="ARC 80 Graffiti"/>
    <n v="24"/>
    <n v="10"/>
    <n v="77"/>
    <n v="9.9000000000000005E-2"/>
    <s v="registre"/>
    <m/>
    <n v="4841.2"/>
    <m/>
    <m/>
    <m/>
    <n v="800"/>
    <n v="5641.2"/>
    <n v="310.26600000000002"/>
    <n v="5951.4659999999994"/>
    <m/>
    <s v="oui"/>
    <m/>
    <m/>
    <s v="ADEME 2022"/>
    <s v="Facturation AGEDEN 2022"/>
  </r>
  <r>
    <x v="4"/>
    <n v="8"/>
    <x v="3"/>
    <x v="1"/>
    <s v="YC"/>
    <s v="VRB0481"/>
    <n v="600"/>
    <d v="2022-07-22T00:00:00"/>
    <d v="2022-08-03T00:00:00"/>
    <d v="2022-08-17T00:00:00"/>
    <s v="Lettre sollicitation "/>
    <d v="2022-08-25T00:00:00"/>
    <d v="2022-08-25T00:00:00"/>
    <d v="2022-09-19T00:00:00"/>
    <m/>
    <d v="2022-10-31T00:00:00"/>
    <d v="2022-10-26T00:00:00"/>
    <s v="-"/>
    <d v="2022-11-09T00:00:00"/>
    <d v="2022-11-09T00:00:00"/>
    <d v="2022-11-14T00:00:00"/>
    <m/>
    <m/>
    <m/>
    <s v="APPERT"/>
    <s v="Marc"/>
    <n v="2"/>
    <n v="102076"/>
    <n v="348"/>
    <s v="Route du Gros Bois"/>
    <n v="38500"/>
    <x v="4"/>
    <n v="789543024"/>
    <s v="appertmarc@orange.fr"/>
    <s v="PO"/>
    <m/>
    <m/>
    <m/>
    <m/>
    <m/>
    <m/>
    <x v="14"/>
    <x v="1"/>
    <s v="Mr SIMON"/>
    <s v="contact@ecvoiron.fr"/>
    <s v="04 76 06 99 38"/>
    <m/>
    <s v="oui"/>
    <d v="2022-09-18T00:00:00"/>
    <s v="foyer ouvert"/>
    <n v="1991"/>
    <x v="0"/>
    <x v="0"/>
    <s v="AUSTROFLAMM "/>
    <s v="CLOU 8"/>
    <n v="15"/>
    <n v="8"/>
    <n v="90"/>
    <n v="1.92E-3"/>
    <s v="FV7"/>
    <m/>
    <n v="7331"/>
    <m/>
    <m/>
    <m/>
    <n v="1600"/>
    <n v="8931"/>
    <n v="491.20499999999998"/>
    <n v="9422.2049999999999"/>
    <n v="9422.2199999999993"/>
    <s v="oui"/>
    <m/>
    <m/>
    <s v="ADEME 2022"/>
    <s v="Facturation AGEDEN 2022"/>
  </r>
  <r>
    <x v="4"/>
    <n v="9"/>
    <x v="3"/>
    <x v="1"/>
    <s v="YC"/>
    <s v="VRB0482"/>
    <n v="600"/>
    <d v="2022-07-26T00:00:00"/>
    <d v="2022-08-03T00:00:00"/>
    <d v="2022-08-17T00:00:00"/>
    <s v="Adresse RIB / dernier avis impot / taxe habitation"/>
    <d v="2022-09-05T00:00:00"/>
    <d v="2022-09-05T00:00:00"/>
    <d v="2022-09-26T00:00:00"/>
    <m/>
    <d v="2022-11-19T00:00:00"/>
    <d v="2022-10-18T00:00:00"/>
    <s v="Demande de versement"/>
    <d v="2022-12-02T00:00:00"/>
    <d v="2022-12-02T00:00:00"/>
    <d v="2022-12-05T00:00:00"/>
    <m/>
    <m/>
    <m/>
    <s v="HENNER"/>
    <s v="Nathalie"/>
    <n v="1"/>
    <n v="23475"/>
    <n v="59"/>
    <s v="Montée de la savoyère"/>
    <n v="38620"/>
    <x v="0"/>
    <n v="650302119"/>
    <s v="nath.henner@gmail.com"/>
    <s v="PO"/>
    <m/>
    <m/>
    <m/>
    <m/>
    <m/>
    <m/>
    <x v="13"/>
    <x v="1"/>
    <s v="Mr CHARREL"/>
    <s v="contact@fer-et-feu.fr"/>
    <s v="04 76 05 94 44"/>
    <m/>
    <s v="oui"/>
    <d v="2023-08-16T00:00:00"/>
    <s v="foyer ouvert"/>
    <n v="1984"/>
    <x v="0"/>
    <x v="1"/>
    <s v="RIKA"/>
    <s v="NEX"/>
    <n v="25"/>
    <n v="8"/>
    <n v="83.2"/>
    <n v="793"/>
    <s v="registre"/>
    <m/>
    <n v="4919.45"/>
    <m/>
    <m/>
    <m/>
    <n v="1647"/>
    <n v="6566.45"/>
    <n v="361.15474999999998"/>
    <n v="6927.6047499999995"/>
    <n v="7237.61"/>
    <s v="oui"/>
    <m/>
    <m/>
    <s v="ADEME 2022"/>
    <s v="Facturation AGEDEN 2022"/>
  </r>
  <r>
    <x v="4"/>
    <n v="8"/>
    <x v="3"/>
    <x v="1"/>
    <s v="YC"/>
    <s v="VRB0483"/>
    <n v="600"/>
    <d v="2022-07-26T00:00:00"/>
    <d v="2022-08-03T00:00:00"/>
    <m/>
    <m/>
    <d v="2022-08-17T00:00:00"/>
    <d v="2022-08-17T00:00:00"/>
    <d v="2022-08-19T00:00:00"/>
    <m/>
    <d v="2022-10-27T00:00:00"/>
    <d v="2022-10-21T00:00:00"/>
    <s v="-"/>
    <d v="2022-11-09T00:00:00"/>
    <d v="2022-11-09T00:00:00"/>
    <d v="2022-11-14T00:00:00"/>
    <m/>
    <m/>
    <m/>
    <s v="AUDEMARD"/>
    <s v="Stéphanie &amp; Julien"/>
    <n v="4"/>
    <n v="53299"/>
    <n v="160"/>
    <s v="Le penon"/>
    <n v="38140"/>
    <x v="12"/>
    <n v="638545957"/>
    <s v="pereirasteph@hotmail.fr"/>
    <s v="PO"/>
    <m/>
    <m/>
    <m/>
    <m/>
    <m/>
    <m/>
    <x v="6"/>
    <x v="6"/>
    <s v="Mr FAURE"/>
    <s v="jacques.faure24@wanadoo.fr"/>
    <s v="04 76 35 56 05"/>
    <m/>
    <s v="oui"/>
    <d v="2022-11-18T00:00:00"/>
    <s v="insert / foyer fermé"/>
    <n v="1985"/>
    <x v="2"/>
    <x v="1"/>
    <s v="FONTE FLAMME"/>
    <s v="Vision 775 - 10"/>
    <n v="23"/>
    <n v="11"/>
    <n v="78"/>
    <n v="7.0000000000000007E-2"/>
    <s v="FV7"/>
    <m/>
    <n v="3831.3700000000003"/>
    <m/>
    <m/>
    <m/>
    <n v="1540.0900000000001"/>
    <n v="5371.4600000000009"/>
    <n v="295.43030000000005"/>
    <n v="5666.8903000000009"/>
    <n v="5666.89"/>
    <s v="oui"/>
    <m/>
    <m/>
    <s v="ADEME 2022"/>
    <s v="Facturation AGEDEN 2022"/>
  </r>
  <r>
    <x v="3"/>
    <n v="1"/>
    <x v="4"/>
    <x v="0"/>
    <s v="YC"/>
    <s v="VRB0484"/>
    <n v="600"/>
    <d v="2022-07-26T00:00:00"/>
    <d v="2022-08-03T00:00:00"/>
    <m/>
    <m/>
    <m/>
    <m/>
    <m/>
    <m/>
    <m/>
    <m/>
    <m/>
    <m/>
    <m/>
    <m/>
    <m/>
    <d v="2022-08-17T00:00:00"/>
    <s v="chgt poele à fioul"/>
    <s v="LORIEAU"/>
    <s v="Thièrry"/>
    <n v="2"/>
    <n v="35034"/>
    <n v="1723"/>
    <s v="Route d'Oyeu"/>
    <n v="38850"/>
    <x v="24"/>
    <n v="681657173"/>
    <s v="lorieau.thierry30854@hotmail.com"/>
    <s v="PO"/>
    <m/>
    <m/>
    <m/>
    <m/>
    <m/>
    <m/>
    <x v="46"/>
    <x v="38"/>
    <m/>
    <m/>
    <m/>
    <m/>
    <m/>
    <m/>
    <m/>
    <m/>
    <x v="4"/>
    <x v="2"/>
    <m/>
    <m/>
    <m/>
    <m/>
    <m/>
    <m/>
    <m/>
    <m/>
    <m/>
    <m/>
    <m/>
    <m/>
    <m/>
    <n v="0"/>
    <n v="0"/>
    <n v="0"/>
    <m/>
    <m/>
    <m/>
    <m/>
    <n v="0"/>
    <s v="Refusé phase initiale"/>
  </r>
  <r>
    <x v="4"/>
    <n v="9"/>
    <x v="3"/>
    <x v="1"/>
    <s v="YC"/>
    <s v="VRB0485"/>
    <n v="600"/>
    <d v="2022-07-28T00:00:00"/>
    <d v="2022-08-03T00:00:00"/>
    <d v="2022-08-17T00:00:00"/>
    <s v="photo lisible et en plan plus large"/>
    <d v="2022-09-05T00:00:00"/>
    <d v="2022-09-05T00:00:00"/>
    <d v="2022-09-26T00:00:00"/>
    <m/>
    <d v="2022-11-16T00:00:00"/>
    <d v="2022-11-09T00:00:00"/>
    <s v="-"/>
    <d v="2022-11-30T00:00:00"/>
    <d v="2022-11-30T00:00:00"/>
    <d v="2022-12-02T00:00:00"/>
    <m/>
    <m/>
    <m/>
    <s v="MAIN"/>
    <s v="Bernadette"/>
    <n v="1"/>
    <n v="23376"/>
    <n v="1346"/>
    <s v="Route sous le mont"/>
    <n v="38620"/>
    <x v="29"/>
    <n v="641288955"/>
    <s v="main.bernadette13589@hotmail.com"/>
    <s v="PO"/>
    <m/>
    <m/>
    <m/>
    <m/>
    <m/>
    <m/>
    <x v="55"/>
    <x v="0"/>
    <s v="Mr CARRE"/>
    <s v="marketing@carre-f.com"/>
    <s v="04 76 37 03 50"/>
    <m/>
    <s v="oui"/>
    <d v="2022-09-17T00:00:00"/>
    <s v="insert / foyer fermé"/>
    <n v="1980"/>
    <x v="1"/>
    <x v="1"/>
    <s v="LACUNZA"/>
    <s v="ETNA 5T"/>
    <n v="20"/>
    <n v="8"/>
    <n v="78"/>
    <n v="0.1"/>
    <s v="FV7"/>
    <m/>
    <n v="5913"/>
    <m/>
    <m/>
    <m/>
    <n v="690"/>
    <n v="6603"/>
    <n v="363.16500000000002"/>
    <n v="6966.165"/>
    <n v="6966.16"/>
    <s v="oui"/>
    <m/>
    <m/>
    <s v="ADEME 2022"/>
    <s v="Facturation AGEDEN 2022"/>
  </r>
  <r>
    <x v="4"/>
    <n v="8"/>
    <x v="3"/>
    <x v="2"/>
    <s v="YC"/>
    <s v="VRB0486"/>
    <n v="1000"/>
    <d v="2022-07-29T00:00:00"/>
    <d v="2022-08-03T00:00:00"/>
    <d v="2022-08-17T00:00:00"/>
    <s v="attestation notariée"/>
    <d v="2022-08-25T00:00:00"/>
    <d v="2022-08-25T00:00:00"/>
    <d v="2022-09-19T00:00:00"/>
    <m/>
    <m/>
    <m/>
    <m/>
    <m/>
    <m/>
    <m/>
    <m/>
    <m/>
    <m/>
    <s v="BELMAIN"/>
    <s v="Jean-Jacques"/>
    <n v="3"/>
    <n v="2848"/>
    <n v="350"/>
    <s v="Rue du bourg"/>
    <n v="38620"/>
    <x v="16"/>
    <n v="768380032"/>
    <s v="jjbelmain@gmail.com"/>
    <s v="PO"/>
    <m/>
    <m/>
    <m/>
    <m/>
    <m/>
    <m/>
    <x v="39"/>
    <x v="30"/>
    <s v="Mr BARGEL"/>
    <s v="jonathan.bargel@philippeisere.fr"/>
    <s v="04 76 66 33 86"/>
    <m/>
    <s v="oui"/>
    <d v="2023-06-19T00:00:00"/>
    <s v="poêle"/>
    <n v="2000"/>
    <x v="0"/>
    <x v="0"/>
    <s v="EXTRAFLAMME"/>
    <s v="DEBBY"/>
    <n v="14"/>
    <n v="9"/>
    <n v="92.7"/>
    <n v="6.8799999999999998E-3"/>
    <s v="FV7"/>
    <m/>
    <n v="4947.63"/>
    <m/>
    <m/>
    <m/>
    <n v="550"/>
    <n v="5497.63"/>
    <n v="302.36965000000004"/>
    <n v="5799.9996499999997"/>
    <m/>
    <s v="non"/>
    <m/>
    <m/>
    <s v="ADEME 2022"/>
    <s v="Facturation AGEDEN 2022"/>
  </r>
  <r>
    <x v="4"/>
    <n v="8"/>
    <x v="3"/>
    <x v="1"/>
    <s v="YC"/>
    <s v="VRB0487"/>
    <n v="600"/>
    <d v="2022-08-01T00:00:00"/>
    <d v="2022-08-03T00:00:00"/>
    <m/>
    <m/>
    <d v="2022-08-17T00:00:00"/>
    <d v="2022-08-17T00:00:00"/>
    <d v="2022-08-19T00:00:00"/>
    <m/>
    <m/>
    <m/>
    <m/>
    <m/>
    <m/>
    <m/>
    <m/>
    <m/>
    <m/>
    <s v="DUCHEMIN"/>
    <s v="Ivan"/>
    <n v="4"/>
    <n v="76028"/>
    <n v="8"/>
    <s v="Chemin du Neyroud"/>
    <n v="38500"/>
    <x v="4"/>
    <n v="670681068"/>
    <s v="ivan.duchemin@gmail.com"/>
    <s v="PO"/>
    <m/>
    <m/>
    <m/>
    <m/>
    <m/>
    <m/>
    <x v="30"/>
    <x v="23"/>
    <s v="MR GERENTE PAQUET"/>
    <s v="expertise.ramonage.paquet@gmail.com"/>
    <s v="04 76 55 49 22"/>
    <m/>
    <s v="non"/>
    <d v="2023-06-15T00:00:00"/>
    <s v="poêle"/>
    <n v="2000"/>
    <x v="0"/>
    <x v="1"/>
    <s v="RHEA FLAM"/>
    <s v="EDESSA"/>
    <n v="26"/>
    <n v="5.6"/>
    <n v="82.8"/>
    <n v="5.0160000000000003E-2"/>
    <s v="FV7"/>
    <m/>
    <n v="5749.4"/>
    <m/>
    <m/>
    <m/>
    <n v="1410"/>
    <n v="7159.4"/>
    <n v="393.767"/>
    <n v="7553.1669999999995"/>
    <m/>
    <s v="oui"/>
    <m/>
    <m/>
    <s v="ADEME 2022"/>
    <s v="Facturation AGEDEN 2022"/>
  </r>
  <r>
    <x v="4"/>
    <n v="8"/>
    <x v="3"/>
    <x v="1"/>
    <s v="YC"/>
    <s v="VRB0488"/>
    <n v="600"/>
    <d v="2022-08-04T00:00:00"/>
    <d v="2022-08-08T00:00:00"/>
    <d v="2022-08-17T00:00:00"/>
    <s v="adresse RIB / photo plan large"/>
    <d v="2022-08-25T00:00:00"/>
    <d v="2022-08-25T00:00:00"/>
    <d v="2022-09-19T00:00:00"/>
    <m/>
    <d v="2022-12-08T00:00:00"/>
    <d v="2022-11-29T00:00:00"/>
    <s v="-"/>
    <d v="2022-12-20T00:00:00"/>
    <d v="2022-12-20T00:00:00"/>
    <d v="2023-01-06T00:00:00"/>
    <m/>
    <m/>
    <m/>
    <s v="WLOCH"/>
    <s v="Bernard"/>
    <n v="2"/>
    <n v="43251"/>
    <n v="71"/>
    <s v="Chemin rené Cassin"/>
    <n v="38240"/>
    <x v="17"/>
    <n v="661054926"/>
    <s v="bernard.wloch@hotmail.fr"/>
    <s v="PO"/>
    <m/>
    <m/>
    <m/>
    <m/>
    <m/>
    <m/>
    <x v="2"/>
    <x v="2"/>
    <s v="M. DIDIER"/>
    <s v="jcduo@orange.fr"/>
    <n v="438029038"/>
    <s v="-"/>
    <s v="oui"/>
    <d v="2023-08-09T00:00:00"/>
    <s v="foyer ouvert"/>
    <s v="&lt;2002"/>
    <x v="2"/>
    <x v="1"/>
    <s v="TOTEM FIRE"/>
    <s v="ISM Technika 700"/>
    <n v="21"/>
    <n v="11.9"/>
    <n v="80.8"/>
    <m/>
    <s v="registre"/>
    <m/>
    <n v="6394.6"/>
    <m/>
    <m/>
    <m/>
    <n v="1180"/>
    <n v="7574.6"/>
    <n v="416.60300000000001"/>
    <n v="7991.2030000000004"/>
    <n v="7800"/>
    <s v="oui"/>
    <m/>
    <m/>
    <s v="ADEME 2022"/>
    <s v="Facturation AGEDEN 2022"/>
  </r>
  <r>
    <x v="3"/>
    <n v="1"/>
    <x v="4"/>
    <x v="0"/>
    <s v="YC"/>
    <s v="VRB0489"/>
    <n v="1000"/>
    <d v="2022-08-05T00:00:00"/>
    <d v="2022-08-08T00:00:00"/>
    <s v=" "/>
    <m/>
    <m/>
    <m/>
    <m/>
    <m/>
    <m/>
    <m/>
    <m/>
    <m/>
    <m/>
    <m/>
    <m/>
    <d v="2022-08-17T00:00:00"/>
    <s v="Ancienne installation trop récente"/>
    <s v="MARTIN-DHERMONT"/>
    <s v="Stéphane"/>
    <n v="4"/>
    <n v="26152"/>
    <n v="18"/>
    <s v="Allée du tisserand"/>
    <n v="38340"/>
    <x v="17"/>
    <n v="641381086"/>
    <s v="stefanou@laposte.net"/>
    <s v="PO"/>
    <m/>
    <m/>
    <m/>
    <m/>
    <m/>
    <m/>
    <x v="46"/>
    <x v="38"/>
    <m/>
    <m/>
    <m/>
    <m/>
    <m/>
    <m/>
    <m/>
    <m/>
    <x v="4"/>
    <x v="2"/>
    <m/>
    <m/>
    <m/>
    <m/>
    <m/>
    <m/>
    <m/>
    <m/>
    <m/>
    <m/>
    <m/>
    <m/>
    <m/>
    <n v="0"/>
    <n v="0"/>
    <n v="0"/>
    <m/>
    <m/>
    <m/>
    <m/>
    <n v="0"/>
    <s v="Refusé phase initiale"/>
  </r>
  <r>
    <x v="3"/>
    <n v="1"/>
    <x v="3"/>
    <x v="2"/>
    <s v="YC"/>
    <s v="VRB0490"/>
    <n v="1000"/>
    <d v="2022-08-09T00:00:00"/>
    <d v="2022-08-10T00:00:00"/>
    <d v="2022-08-17T00:00:00"/>
    <s v="RIB illisible / photo avec feu et en plan large"/>
    <m/>
    <m/>
    <m/>
    <m/>
    <m/>
    <m/>
    <m/>
    <m/>
    <m/>
    <m/>
    <m/>
    <m/>
    <m/>
    <s v="FITOUSSI"/>
    <s v="Marie-Claude"/>
    <n v="1"/>
    <n v="6228"/>
    <n v="276"/>
    <s v="Route de la Bougentiere"/>
    <n v="38490"/>
    <x v="33"/>
    <m/>
    <s v="fitoussi38490@gmail.com"/>
    <s v="PO"/>
    <m/>
    <m/>
    <m/>
    <m/>
    <m/>
    <m/>
    <x v="39"/>
    <x v="30"/>
    <s v="MR BARGEL"/>
    <s v="jonathan.bargel@philippeisere.fr"/>
    <s v="04 76 66 33 86"/>
    <m/>
    <s v="oui"/>
    <d v="2023-06-19T00:00:00"/>
    <s v="poêle"/>
    <s v="&lt;2002"/>
    <x v="0"/>
    <x v="1"/>
    <s v="PHILIPPE"/>
    <s v="Eden Pied Fixe"/>
    <n v="32"/>
    <n v="8.4"/>
    <n v="76"/>
    <n v="0.04"/>
    <s v="FV7"/>
    <m/>
    <n v="3947.2"/>
    <m/>
    <m/>
    <m/>
    <n v="700"/>
    <n v="4647.2"/>
    <n v="255.596"/>
    <n v="4902.7960000000003"/>
    <m/>
    <s v="NC"/>
    <m/>
    <m/>
    <m/>
    <m/>
  </r>
  <r>
    <x v="4"/>
    <n v="8"/>
    <x v="3"/>
    <x v="2"/>
    <s v="YC"/>
    <s v="VRB0491"/>
    <n v="1000"/>
    <d v="2022-08-08T00:00:00"/>
    <d v="2022-08-10T00:00:00"/>
    <d v="2022-08-17T00:00:00"/>
    <s v="adresse RIB"/>
    <d v="2022-08-25T00:00:00"/>
    <d v="2022-08-25T00:00:00"/>
    <d v="2022-09-19T00:00:00"/>
    <m/>
    <d v="2022-10-21T00:00:00"/>
    <d v="2022-10-04T00:00:00"/>
    <s v="-"/>
    <d v="2022-11-09T00:00:00"/>
    <d v="2022-11-09T00:00:00"/>
    <d v="2022-11-14T00:00:00"/>
    <m/>
    <m/>
    <m/>
    <s v="PECHU"/>
    <s v="Christophe"/>
    <n v="5"/>
    <n v="44878"/>
    <n v="104"/>
    <s v="Chemin du Bessey"/>
    <n v="38620"/>
    <x v="34"/>
    <n v="688615701"/>
    <s v="christophe.pechu@gmail.com"/>
    <s v="PO"/>
    <m/>
    <m/>
    <m/>
    <m/>
    <m/>
    <m/>
    <x v="14"/>
    <x v="1"/>
    <s v="MR SIMON"/>
    <s v="contact@ecvoiron.fr"/>
    <s v="04 76 06 99 38"/>
    <m/>
    <s v="oui"/>
    <d v="2022-09-18T00:00:00"/>
    <s v="foyer ouvert"/>
    <n v="1983"/>
    <x v="0"/>
    <x v="1"/>
    <s v="ROMOTOP"/>
    <s v="Ovalis T"/>
    <n v="40"/>
    <n v="6"/>
    <n v="83.6"/>
    <n v="7.3599999999999999E-2"/>
    <s v="FV7"/>
    <m/>
    <n v="3980"/>
    <m/>
    <m/>
    <m/>
    <n v="490"/>
    <n v="4470"/>
    <n v="245.85"/>
    <n v="4715.8500000000004"/>
    <n v="4715.8599999999997"/>
    <s v="oui"/>
    <m/>
    <m/>
    <s v="ADEME 2022"/>
    <s v="Facturation AGEDEN 2022"/>
  </r>
  <r>
    <x v="4"/>
    <n v="8"/>
    <x v="3"/>
    <x v="1"/>
    <s v="YC"/>
    <s v="VRB0492"/>
    <n v="600"/>
    <d v="2022-08-08T00:00:00"/>
    <d v="2022-08-10T00:00:00"/>
    <d v="2022-08-17T00:00:00"/>
    <s v="Adresse RIB / devis (manque l'entête)"/>
    <d v="2022-08-25T00:00:00"/>
    <d v="2022-08-25T00:00:00"/>
    <d v="2022-09-19T00:00:00"/>
    <m/>
    <d v="2022-10-12T00:00:00"/>
    <d v="2022-09-20T00:00:00"/>
    <s v="-"/>
    <d v="2022-11-08T00:00:00"/>
    <d v="2022-11-08T00:00:00"/>
    <d v="2022-11-14T00:00:00"/>
    <m/>
    <m/>
    <m/>
    <s v="BERTRAND"/>
    <s v="Mathieu &amp;Laurie"/>
    <n v="5"/>
    <n v="181799"/>
    <n v="380"/>
    <s v="Chemin de la faverge"/>
    <n v="38960"/>
    <x v="22"/>
    <n v="771164948"/>
    <s v="laurie.rague@gmail.com"/>
    <s v="PO"/>
    <m/>
    <m/>
    <m/>
    <m/>
    <m/>
    <m/>
    <x v="2"/>
    <x v="2"/>
    <s v="MR DIDIER"/>
    <s v="jcduo@orange.fr"/>
    <s v="04 38 02 90 38"/>
    <s v="ZAPPONE Thierry"/>
    <s v="oui"/>
    <d v="2023-08-09T00:00:00"/>
    <s v="foyer ouvert"/>
    <s v="&lt;2002"/>
    <x v="2"/>
    <x v="1"/>
    <s v="TOTEM FIRE"/>
    <s v="ISM Technika"/>
    <n v="20"/>
    <n v="16"/>
    <n v="76"/>
    <m/>
    <s v="registre"/>
    <m/>
    <n v="5355.45"/>
    <m/>
    <m/>
    <m/>
    <n v="796.21"/>
    <n v="6151.66"/>
    <n v="338.34129999999999"/>
    <n v="6490.0012999999999"/>
    <n v="6766"/>
    <s v="oui"/>
    <m/>
    <m/>
    <s v="ADEME 2022"/>
    <s v="Facturation AGEDEN 2022"/>
  </r>
  <r>
    <x v="4"/>
    <n v="9"/>
    <x v="3"/>
    <x v="1"/>
    <s v="YC"/>
    <s v="VRB0493"/>
    <n v="600"/>
    <d v="2022-08-22T00:00:00"/>
    <d v="2022-08-22T00:00:00"/>
    <d v="2022-09-14T00:00:00"/>
    <s v="Avis d'imposition Mr"/>
    <d v="2022-09-27T00:00:00"/>
    <d v="2022-09-27T00:00:00"/>
    <d v="2022-09-30T00:00:00"/>
    <m/>
    <d v="2022-12-16T00:00:00"/>
    <d v="2022-11-19T00:00:00"/>
    <s v="-"/>
    <d v="2022-12-20T00:00:00"/>
    <d v="2022-12-20T00:00:00"/>
    <d v="2023-01-06T00:00:00"/>
    <m/>
    <m/>
    <m/>
    <s v="LABORIE"/>
    <s v="Bastien"/>
    <n v="2"/>
    <n v="41419"/>
    <n v="736"/>
    <s v="Route du Grand Rocher"/>
    <n v="38960"/>
    <x v="22"/>
    <n v="632900189"/>
    <s v="laborie.bastien@gmail.com"/>
    <s v="PO"/>
    <m/>
    <m/>
    <m/>
    <m/>
    <m/>
    <m/>
    <x v="5"/>
    <x v="5"/>
    <s v="Mr MOCELLIN"/>
    <s v="godin-grenoble@orange.fr"/>
    <s v="04 74 93 43 16"/>
    <m/>
    <s v="oui"/>
    <d v="2023-03-21T00:00:00"/>
    <s v="insert / foyer fermé"/>
    <s v="&lt;2002"/>
    <x v="0"/>
    <x v="1"/>
    <s v="GODIN"/>
    <s v="Chinon"/>
    <n v="38"/>
    <n v="8.5"/>
    <n v="75.400000000000006"/>
    <n v="0.08"/>
    <s v="FV7"/>
    <m/>
    <n v="4975"/>
    <m/>
    <m/>
    <m/>
    <n v="995"/>
    <n v="5970"/>
    <n v="328.35"/>
    <n v="6298.35"/>
    <n v="6000"/>
    <s v="oui"/>
    <m/>
    <m/>
    <s v="ADEME 2022"/>
    <s v="Facturation AGEDEN 2022"/>
  </r>
  <r>
    <x v="4"/>
    <n v="9"/>
    <x v="3"/>
    <x v="2"/>
    <s v="YC"/>
    <s v="VRB0494"/>
    <n v="1000"/>
    <d v="2022-08-22T00:00:00"/>
    <d v="2022-08-22T00:00:00"/>
    <m/>
    <m/>
    <d v="2022-09-14T00:00:00"/>
    <d v="2022-09-14T00:00:00"/>
    <d v="2022-09-26T00:00:00"/>
    <m/>
    <d v="2022-10-18T00:00:00"/>
    <d v="2022-09-30T00:00:00"/>
    <s v="-"/>
    <d v="2022-11-09T00:00:00"/>
    <d v="2022-11-09T00:00:00"/>
    <d v="2022-11-14T00:00:00"/>
    <m/>
    <m/>
    <m/>
    <s v="CANEPARO"/>
    <s v="Stéphane"/>
    <n v="3"/>
    <n v="14607"/>
    <n v="80"/>
    <s v="Lotissement Bellevue"/>
    <n v="38140"/>
    <x v="8"/>
    <n v="670044484"/>
    <s v="sandrine.boukrara@orange.fr"/>
    <s v="PO"/>
    <m/>
    <m/>
    <m/>
    <m/>
    <m/>
    <m/>
    <x v="10"/>
    <x v="1"/>
    <s v="Mr GILLET"/>
    <s v="bois-soleil-chauffage@orange.fr"/>
    <s v="04 76 32 32 35"/>
    <m/>
    <s v="oui"/>
    <d v="2023-08-21T00:00:00"/>
    <s v="insert / foyer fermé"/>
    <d v="1905-06-17T00:00:00"/>
    <x v="0"/>
    <x v="1"/>
    <s v="ILD"/>
    <s v="13 Eco"/>
    <n v="22"/>
    <n v="8.5"/>
    <n v="78"/>
    <n v="5.04E-2"/>
    <s v="FV7"/>
    <m/>
    <n v="4808"/>
    <m/>
    <m/>
    <m/>
    <n v="428"/>
    <n v="5236"/>
    <n v="287.98"/>
    <n v="5523.98"/>
    <n v="5422.7"/>
    <s v="oui"/>
    <m/>
    <m/>
    <s v="ADEME 2022"/>
    <s v="Facturation AGEDEN 2022"/>
  </r>
  <r>
    <x v="4"/>
    <n v="9"/>
    <x v="3"/>
    <x v="1"/>
    <s v="YC"/>
    <s v="VRB0495"/>
    <n v="600"/>
    <d v="2022-08-23T00:00:00"/>
    <d v="2022-08-25T00:00:00"/>
    <d v="2022-09-14T00:00:00"/>
    <s v="Taxe habitation "/>
    <d v="2022-09-27T00:00:00"/>
    <d v="2022-09-27T00:00:00"/>
    <d v="2022-09-30T00:00:00"/>
    <m/>
    <m/>
    <m/>
    <m/>
    <m/>
    <m/>
    <m/>
    <m/>
    <m/>
    <m/>
    <s v="COLLIN"/>
    <s v="Séverine"/>
    <n v="3"/>
    <n v="81442"/>
    <n v="26"/>
    <s v="Rue de la procession"/>
    <n v="38500"/>
    <x v="4"/>
    <n v="687167368"/>
    <s v="severine.collin@gmail.com"/>
    <m/>
    <m/>
    <m/>
    <m/>
    <m/>
    <m/>
    <m/>
    <x v="59"/>
    <x v="10"/>
    <s v="Mr ALBANET"/>
    <s v="contact@alpp-plomberie.fr"/>
    <s v="04 76 53 00 02"/>
    <m/>
    <s v="non"/>
    <d v="2023-06-25T00:00:00"/>
    <s v="foyer ouvert"/>
    <s v="&lt;2002"/>
    <x v="0"/>
    <x v="1"/>
    <s v="SKANDERBORG"/>
    <s v="Veron"/>
    <n v="21"/>
    <n v="6"/>
    <n v="80"/>
    <n v="0.04"/>
    <s v="FV7"/>
    <m/>
    <n v="5159.5"/>
    <m/>
    <m/>
    <m/>
    <n v="1440"/>
    <n v="6599.5"/>
    <n v="362.97250000000003"/>
    <n v="6962.4724999999999"/>
    <m/>
    <s v="oui"/>
    <m/>
    <m/>
    <s v="ADEME 2022"/>
    <s v="Facturation AGEDEN 2022"/>
  </r>
  <r>
    <x v="4"/>
    <n v="9"/>
    <x v="3"/>
    <x v="1"/>
    <s v="YC"/>
    <s v="VRB0496"/>
    <n v="600"/>
    <d v="2022-08-29T00:00:00"/>
    <d v="2022-08-29T00:00:00"/>
    <d v="2022-09-14T00:00:00"/>
    <s v="photo + large "/>
    <d v="2022-09-27T00:00:00"/>
    <d v="2022-09-27T00:00:00"/>
    <d v="2022-09-30T00:00:00"/>
    <m/>
    <d v="2023-01-06T00:00:00"/>
    <m/>
    <s v="Facture acquittée + Demande de versement complète + Attestation destruction"/>
    <m/>
    <m/>
    <m/>
    <m/>
    <m/>
    <m/>
    <s v="PROTIN"/>
    <s v="Simon"/>
    <n v="2"/>
    <n v="71078"/>
    <n v="1431"/>
    <s v="Route du grand Vivier"/>
    <n v="38960"/>
    <x v="11"/>
    <n v="695457598"/>
    <s v="simonprotin@gmail.com"/>
    <s v="PO"/>
    <m/>
    <m/>
    <m/>
    <m/>
    <m/>
    <m/>
    <x v="60"/>
    <x v="51"/>
    <s v="Mr LA MONICA"/>
    <s v="jonathan.lamonica010388@gmail.com"/>
    <s v="06 89 36 86 14"/>
    <m/>
    <s v="oui"/>
    <d v="2022-10-10T00:00:00"/>
    <s v="poêle"/>
    <s v="&lt;2002"/>
    <x v="0"/>
    <x v="1"/>
    <s v="AXIS"/>
    <s v="Artense Tradition"/>
    <n v="15"/>
    <n v="11"/>
    <n v="78"/>
    <n v="0.09"/>
    <s v="FV7"/>
    <m/>
    <n v="5166.8230000000003"/>
    <m/>
    <m/>
    <m/>
    <n v="800"/>
    <n v="5966.8230000000003"/>
    <n v="328.17526500000002"/>
    <n v="6294.9982650000002"/>
    <m/>
    <s v="oui"/>
    <m/>
    <m/>
    <s v="ADEME 2022"/>
    <s v="Facturation AGEDEN 2022"/>
  </r>
  <r>
    <x v="4"/>
    <n v="9"/>
    <x v="3"/>
    <x v="2"/>
    <s v="YC"/>
    <s v="VRB0497"/>
    <n v="1000"/>
    <d v="2022-08-30T00:00:00"/>
    <d v="2022-08-30T00:00:00"/>
    <d v="2022-09-14T00:00:00"/>
    <s v="Adresse RIB / photo illisible / formulaire de demande signé"/>
    <d v="2022-09-27T00:00:00"/>
    <d v="2022-09-27T00:00:00"/>
    <d v="2022-09-30T00:00:00"/>
    <m/>
    <d v="2022-10-21T00:00:00"/>
    <d v="2022-10-05T00:00:00"/>
    <s v="-"/>
    <d v="2022-11-09T00:00:00"/>
    <d v="2022-11-09T00:00:00"/>
    <d v="2022-11-14T00:00:00"/>
    <m/>
    <m/>
    <m/>
    <s v="BANCOD"/>
    <s v="Fabrice"/>
    <n v="4"/>
    <n v="39107"/>
    <n v="312"/>
    <s v="312 Route de la Garangère / 10 Lot Les Rivoires"/>
    <n v="38850"/>
    <x v="7"/>
    <n v="609124235"/>
    <s v="fabrice.bancod@gmail.com"/>
    <s v="PO"/>
    <m/>
    <m/>
    <m/>
    <m/>
    <m/>
    <m/>
    <x v="9"/>
    <x v="37"/>
    <s v="MR DURANTON"/>
    <s v="jeanfrancois@passionflamme.fr"/>
    <s v="04 12 04 25 25"/>
    <m/>
    <s v="oui"/>
    <d v="2023-05-06T00:00:00"/>
    <s v="poêle"/>
    <s v="&lt;2002"/>
    <x v="0"/>
    <x v="1"/>
    <s v="NOBIS"/>
    <s v="A8V Quadra Top"/>
    <n v="15"/>
    <n v="7.3"/>
    <n v="91.9"/>
    <n v="5.4400000000000004E-3"/>
    <s v="FV7"/>
    <m/>
    <n v="5019"/>
    <m/>
    <m/>
    <m/>
    <n v="730"/>
    <n v="5749"/>
    <n v="316.19499999999999"/>
    <n v="6065.1949999999997"/>
    <n v="6065.2"/>
    <s v="oui"/>
    <m/>
    <m/>
    <s v="ADEME 2022"/>
    <s v="Facturation AGEDEN 2022"/>
  </r>
  <r>
    <x v="4"/>
    <n v="10"/>
    <x v="3"/>
    <x v="1"/>
    <s v="YC"/>
    <s v="VRB0498"/>
    <n v="600"/>
    <d v="2022-09-06T00:00:00"/>
    <d v="2022-09-09T00:00:00"/>
    <d v="2022-09-14T00:00:00"/>
    <s v="photo illisible / adresse RIB / Taxe Habitation"/>
    <d v="2022-10-03T00:00:00"/>
    <d v="2022-10-03T00:00:00"/>
    <d v="2022-10-06T00:00:00"/>
    <m/>
    <m/>
    <m/>
    <m/>
    <m/>
    <m/>
    <m/>
    <m/>
    <m/>
    <m/>
    <s v="NAVE"/>
    <s v="Henri"/>
    <n v="2"/>
    <n v="37106"/>
    <n v="429"/>
    <s v="Chemin de la Rochette"/>
    <n v="38490"/>
    <x v="33"/>
    <n v="610023393"/>
    <s v="orelanaveva@me.com"/>
    <m/>
    <m/>
    <m/>
    <m/>
    <m/>
    <m/>
    <m/>
    <x v="9"/>
    <x v="37"/>
    <s v="MR DURANTON"/>
    <s v="ericgedeon@passionflamme.fr"/>
    <s v="04 12 04 25 25"/>
    <m/>
    <s v="oui"/>
    <d v="2023-05-06T00:00:00"/>
    <s v="foyer ouvert"/>
    <s v="&lt;2002"/>
    <x v="0"/>
    <x v="0"/>
    <s v="NOBIS"/>
    <s v="A9V Classic"/>
    <n v="15"/>
    <n v="7.9"/>
    <n v="91.4"/>
    <n v="4.5599999999999998E-3"/>
    <s v="FV7"/>
    <m/>
    <n v="4929"/>
    <m/>
    <m/>
    <m/>
    <n v="365"/>
    <n v="5294"/>
    <n v="291.17"/>
    <n v="5585.17"/>
    <m/>
    <s v="oui"/>
    <m/>
    <m/>
    <s v="ADEME 2022"/>
    <s v="Facturation AGEDEN 2022"/>
  </r>
  <r>
    <x v="4"/>
    <n v="9"/>
    <x v="3"/>
    <x v="1"/>
    <s v="YC"/>
    <s v="VRB0499"/>
    <n v="600"/>
    <d v="2022-09-07T00:00:00"/>
    <d v="2022-09-09T00:00:00"/>
    <d v="2022-09-14T00:00:00"/>
    <s v="IR complet"/>
    <d v="2022-09-28T00:00:00"/>
    <d v="2022-09-28T00:00:00"/>
    <d v="2022-09-30T00:00:00"/>
    <m/>
    <d v="2022-11-28T00:00:00"/>
    <d v="2022-11-22T00:00:00"/>
    <s v="-"/>
    <d v="2022-12-20T00:00:00"/>
    <d v="2022-12-20T00:00:00"/>
    <d v="2023-01-06T00:00:00"/>
    <m/>
    <m/>
    <m/>
    <s v="IRIGARAY"/>
    <s v="Xavier"/>
    <n v="3"/>
    <n v="53953"/>
    <n v="284"/>
    <s v="Chemin de Barbassard"/>
    <n v="38960"/>
    <x v="22"/>
    <n v="672159033"/>
    <s v="x.irigaray@orange.fr"/>
    <m/>
    <m/>
    <m/>
    <m/>
    <m/>
    <m/>
    <m/>
    <x v="14"/>
    <x v="1"/>
    <s v="MR SIMON"/>
    <s v="contact@ecvoiron.fr"/>
    <s v="04 76 06 99 38"/>
    <m/>
    <s v="oui"/>
    <d v="2022-09-18T00:00:00"/>
    <s v="foyer ouvert"/>
    <s v="&lt;2002"/>
    <x v="0"/>
    <x v="1"/>
    <s v="CHARNWOOD"/>
    <s v="Aire 7"/>
    <n v="22"/>
    <n v="7"/>
    <n v="82"/>
    <n v="0.08"/>
    <s v="FV7"/>
    <m/>
    <n v="8230"/>
    <m/>
    <m/>
    <m/>
    <n v="860"/>
    <n v="9090"/>
    <n v="499.95"/>
    <n v="9589.9500000000007"/>
    <n v="9589.9599999999991"/>
    <s v="oui"/>
    <m/>
    <m/>
    <s v="ADEME 2022"/>
    <s v="Facturation AGEDEN 2022"/>
  </r>
  <r>
    <x v="4"/>
    <n v="10"/>
    <x v="3"/>
    <x v="2"/>
    <s v="FZO"/>
    <s v="VRB0500"/>
    <n v="1000"/>
    <d v="2022-09-11T00:00:00"/>
    <d v="2022-09-21T00:00:00"/>
    <d v="2022-10-18T00:00:00"/>
    <s v="Rib a la bonne adresse/ RIB OK"/>
    <d v="2022-10-25T00:00:00"/>
    <d v="2022-10-25T00:00:00"/>
    <d v="2022-11-14T00:00:00"/>
    <m/>
    <d v="2022-12-30T00:00:00"/>
    <d v="2022-11-30T00:00:00"/>
    <s v="-"/>
    <d v="2023-01-06T00:00:00"/>
    <d v="2023-01-06T00:00:00"/>
    <m/>
    <m/>
    <m/>
    <m/>
    <s v="CESMAT"/>
    <s v="Johan"/>
    <n v="4"/>
    <n v="38110"/>
    <n v="110"/>
    <s v="Route de Grenoble"/>
    <n v="38500"/>
    <x v="1"/>
    <n v="676814213"/>
    <s v="johan.cesmat@gmail.com"/>
    <s v="PO"/>
    <m/>
    <m/>
    <m/>
    <m/>
    <m/>
    <m/>
    <x v="14"/>
    <x v="1"/>
    <s v="MR SIMON"/>
    <s v="contact@ecvoiron.fr"/>
    <s v="04 76 06 99 38"/>
    <m/>
    <s v="oui"/>
    <s v=" 18/09/2023"/>
    <s v="insert / foyer fermé"/>
    <s v="&lt;2002"/>
    <x v="0"/>
    <x v="0"/>
    <s v="KLOVER"/>
    <s v="SOFT 80"/>
    <n v="15"/>
    <n v="7.4"/>
    <n v="92.5"/>
    <n v="153"/>
    <s v="registre"/>
    <m/>
    <n v="5432"/>
    <m/>
    <m/>
    <m/>
    <n v="72.260000000000005"/>
    <n v="5504.26"/>
    <n v="302.73430000000002"/>
    <n v="5806.9943000000003"/>
    <n v="6039.1"/>
    <s v="oui"/>
    <m/>
    <m/>
    <s v="ADEME 2022"/>
    <s v="Facturation AGEDEN 2022"/>
  </r>
  <r>
    <x v="4"/>
    <n v="10"/>
    <x v="3"/>
    <x v="2"/>
    <s v="FZO"/>
    <s v="VRB0501"/>
    <n v="1000"/>
    <d v="2022-09-12T00:00:00"/>
    <d v="2022-09-21T00:00:00"/>
    <s v="-"/>
    <s v="-"/>
    <d v="2022-10-18T00:00:00"/>
    <d v="2022-10-18T00:00:00"/>
    <d v="2022-10-21T00:00:00"/>
    <m/>
    <m/>
    <m/>
    <m/>
    <m/>
    <m/>
    <m/>
    <m/>
    <m/>
    <m/>
    <s v="BINEAU"/>
    <s v="Jean Michel"/>
    <n v="4"/>
    <n v="38075"/>
    <n v="71"/>
    <s v="Voie des michauds"/>
    <n v="38620"/>
    <x v="31"/>
    <n v="609161179"/>
    <s v="jeanmib34@gmail.com"/>
    <s v="PO"/>
    <m/>
    <m/>
    <m/>
    <m/>
    <m/>
    <m/>
    <x v="39"/>
    <x v="30"/>
    <s v="MR BARGEL"/>
    <s v="jonathan.bargel@philippeisere.fr"/>
    <s v="04 76 66 33 86"/>
    <m/>
    <s v="oui"/>
    <d v="2023-06-19T00:00:00"/>
    <s v="insert / foyer fermé"/>
    <s v="&lt;1990"/>
    <x v="0"/>
    <x v="1"/>
    <s v="CHEMINEES PHILIPPE "/>
    <s v=" LIGNAC 8kW"/>
    <n v="29"/>
    <s v="7.5 "/>
    <n v="75"/>
    <s v="0.0756"/>
    <s v="FV7"/>
    <m/>
    <n v="8361.2000000000007"/>
    <m/>
    <m/>
    <m/>
    <n v="750"/>
    <n v="8341.2300000000014"/>
    <n v="458.76765000000006"/>
    <n v="8799.9976500000012"/>
    <m/>
    <s v="non"/>
    <m/>
    <m/>
    <s v="ADEME 2022"/>
    <s v="Facturation AGEDEN 2022"/>
  </r>
  <r>
    <x v="3"/>
    <n v="1"/>
    <x v="3"/>
    <x v="3"/>
    <s v="FZO"/>
    <s v="VRB0502"/>
    <m/>
    <d v="2022-09-14T00:00:00"/>
    <d v="2022-09-21T00:00:00"/>
    <d v="2022-10-18T00:00:00"/>
    <s v="problème de labellit° / eu artisan 19/10 en cours d'agrément chez le fabricant/ mail 19/10"/>
    <m/>
    <m/>
    <m/>
    <m/>
    <m/>
    <m/>
    <m/>
    <m/>
    <m/>
    <m/>
    <m/>
    <m/>
    <m/>
    <s v="LAHERTE &amp; SORANZO"/>
    <s v="Chloé &amp;Nicolas"/>
    <n v="5"/>
    <n v="45647"/>
    <n v="455"/>
    <s v="Route de Monteuil"/>
    <n v="38500"/>
    <x v="4"/>
    <n v="678091498"/>
    <s v="chloelaherte@hotmail.com"/>
    <s v="PO"/>
    <m/>
    <m/>
    <m/>
    <m/>
    <m/>
    <m/>
    <x v="59"/>
    <x v="10"/>
    <s v="Mr ALBANET"/>
    <s v="contact@alpp-plomberie.fr"/>
    <s v="04 76 53 00 02"/>
    <m/>
    <s v="oui"/>
    <d v="2023-06-25T00:00:00"/>
    <s v="insert / foyer fermé"/>
    <n v="1973"/>
    <x v="0"/>
    <x v="1"/>
    <m/>
    <m/>
    <m/>
    <m/>
    <m/>
    <m/>
    <m/>
    <m/>
    <m/>
    <m/>
    <m/>
    <m/>
    <m/>
    <m/>
    <m/>
    <m/>
    <m/>
    <m/>
    <m/>
    <m/>
    <m/>
    <m/>
  </r>
  <r>
    <x v="4"/>
    <n v="10"/>
    <x v="3"/>
    <x v="2"/>
    <s v="FZO"/>
    <s v="VRB0503"/>
    <n v="1000"/>
    <d v="2022-09-14T00:00:00"/>
    <d v="2022-09-21T00:00:00"/>
    <d v="2022-10-18T00:00:00"/>
    <s v="AI/ TF"/>
    <d v="2022-10-19T00:00:00"/>
    <d v="2022-10-19T00:00:00"/>
    <d v="2022-10-21T00:00:00"/>
    <m/>
    <d v="2022-11-14T00:00:00"/>
    <d v="2022-11-03T00:00:00"/>
    <s v="-"/>
    <d v="2022-11-30T00:00:00"/>
    <d v="2022-11-30T00:00:00"/>
    <d v="2022-12-02T00:00:00"/>
    <m/>
    <m/>
    <m/>
    <s v="BRET"/>
    <s v="Elisabeth"/>
    <n v="1"/>
    <n v="17747"/>
    <n v="44"/>
    <s v="Chemin du savchet"/>
    <n v="38850"/>
    <x v="7"/>
    <n v="671958230"/>
    <s v="elisabeth.bret@orange.fr"/>
    <s v="PO"/>
    <m/>
    <m/>
    <m/>
    <m/>
    <m/>
    <m/>
    <x v="14"/>
    <x v="1"/>
    <s v="MR SIMON"/>
    <s v="contact@ecvoiron.fr"/>
    <s v="04 76 06 99 38"/>
    <m/>
    <s v="oui"/>
    <s v=" 18/09/2023"/>
    <s v="insert / foyer fermé"/>
    <n v="1980"/>
    <x v="0"/>
    <x v="1"/>
    <s v="ROMOTOP"/>
    <s v="Riano"/>
    <n v="17"/>
    <n v="9"/>
    <n v="79.5"/>
    <s v="0.08408 "/>
    <s v="FV7"/>
    <m/>
    <n v="5809"/>
    <m/>
    <m/>
    <m/>
    <n v="330"/>
    <n v="6139"/>
    <n v="337.64499999999998"/>
    <n v="6476.6450000000004"/>
    <n v="6476.66"/>
    <s v="oui"/>
    <m/>
    <m/>
    <s v="ADEME 2022"/>
    <s v="Facturation AGEDEN 2022"/>
  </r>
  <r>
    <x v="4"/>
    <n v="11"/>
    <x v="3"/>
    <x v="1"/>
    <s v="FZO"/>
    <s v="VRB0504"/>
    <n v="600"/>
    <d v="2022-09-14T00:00:00"/>
    <d v="2022-09-21T00:00:00"/>
    <d v="2022-10-18T00:00:00"/>
    <s v="problème de labellit°/ Mail demande de confirmat° 19/10 ok"/>
    <d v="2022-11-02T00:00:00"/>
    <d v="2022-11-02T00:00:00"/>
    <d v="2022-11-14T00:00:00"/>
    <m/>
    <m/>
    <m/>
    <m/>
    <m/>
    <m/>
    <m/>
    <m/>
    <m/>
    <m/>
    <s v="GLENAT"/>
    <s v="Robert"/>
    <n v="1"/>
    <n v="25075"/>
    <n v="215"/>
    <s v="Route du saquet"/>
    <n v="38134"/>
    <x v="23"/>
    <n v="647932773"/>
    <s v="marleneglenat@orange.fr"/>
    <s v="PO"/>
    <m/>
    <m/>
    <m/>
    <m/>
    <m/>
    <m/>
    <x v="58"/>
    <x v="1"/>
    <s v="CHARAT Jean-Pierre"/>
    <s v="contactprojet@orange.fr"/>
    <n v="685231565"/>
    <s v="-"/>
    <s v="oui"/>
    <d v="2023-03-21T00:00:00"/>
    <s v="poêle"/>
    <n v="2000"/>
    <x v="0"/>
    <x v="0"/>
    <s v="KLOVER"/>
    <s v="ThermoAura"/>
    <n v="14"/>
    <n v="15"/>
    <n v="95.9"/>
    <n v="92"/>
    <s v="registre"/>
    <m/>
    <n v="6505"/>
    <m/>
    <m/>
    <m/>
    <n v="1450"/>
    <n v="7955"/>
    <n v="437.52499999999998"/>
    <n v="8392.5249999999996"/>
    <m/>
    <s v="non"/>
    <m/>
    <m/>
    <s v="ADEME 2022"/>
    <s v="Facturation AGEDEN 2022"/>
  </r>
  <r>
    <x v="4"/>
    <n v="10"/>
    <x v="3"/>
    <x v="2"/>
    <s v="FZO"/>
    <s v="VRB0505"/>
    <n v="1000"/>
    <d v="2022-09-16T00:00:00"/>
    <d v="2022-09-21T00:00:00"/>
    <s v="-"/>
    <s v="-"/>
    <d v="2022-10-18T00:00:00"/>
    <d v="2022-10-18T00:00:00"/>
    <d v="2022-10-21T00:00:00"/>
    <m/>
    <m/>
    <m/>
    <m/>
    <m/>
    <m/>
    <m/>
    <m/>
    <m/>
    <m/>
    <s v="MILLEQUANT"/>
    <s v="Matthieu"/>
    <n v="5"/>
    <n v="39448"/>
    <n v="8"/>
    <s v="Avenue du Vercors"/>
    <n v="38210"/>
    <x v="15"/>
    <n v="683176639"/>
    <s v="matthieu.millequant@m4x.org"/>
    <s v="PO"/>
    <m/>
    <m/>
    <m/>
    <m/>
    <m/>
    <m/>
    <x v="14"/>
    <x v="1"/>
    <s v="MR SIMON"/>
    <s v="contact@ecvoiron.fr"/>
    <s v="04 76 06 99 38"/>
    <m/>
    <s v="oui"/>
    <s v=" 18/09/2023"/>
    <s v="foyer ouvert"/>
    <s v="&lt;2002"/>
    <x v="2"/>
    <x v="1"/>
    <s v="ROMOTOP"/>
    <s v="IMPRESSION L/R 2GS 71.60.34.21"/>
    <n v="28"/>
    <n v="10"/>
    <n v="81"/>
    <s v="0.08472 "/>
    <s v="FV7"/>
    <m/>
    <n v="7609"/>
    <m/>
    <m/>
    <m/>
    <n v="840"/>
    <n v="8449"/>
    <n v="464.69499999999999"/>
    <n v="8913.6949999999997"/>
    <m/>
    <s v="oui"/>
    <m/>
    <m/>
    <s v="ADEME 2022"/>
    <s v="Facturation AGEDEN 2022"/>
  </r>
  <r>
    <x v="4"/>
    <n v="10"/>
    <x v="3"/>
    <x v="1"/>
    <s v="FZO"/>
    <s v="VRB0506"/>
    <n v="600"/>
    <d v="2022-09-19T00:00:00"/>
    <d v="2022-09-21T00:00:00"/>
    <d v="2022-10-18T00:00:00"/>
    <s v="rib à la bonne adresse / RIB OK"/>
    <d v="2022-10-25T00:00:00"/>
    <d v="2022-10-25T00:00:00"/>
    <d v="2022-11-14T00:00:00"/>
    <m/>
    <m/>
    <m/>
    <m/>
    <m/>
    <m/>
    <m/>
    <m/>
    <m/>
    <m/>
    <s v="GUIMARD"/>
    <s v="Lenaic"/>
    <n v="2"/>
    <n v="37573"/>
    <n v="275"/>
    <s v="Rue de la caserne"/>
    <n v="38850"/>
    <x v="24"/>
    <n v="699797111"/>
    <s v="lguimard38@gmail.com"/>
    <s v="PO"/>
    <m/>
    <m/>
    <m/>
    <m/>
    <m/>
    <m/>
    <x v="1"/>
    <x v="1"/>
    <s v="LIBER Jean-Christophe"/>
    <s v="poelesetcuisinierespassion@gmail.com"/>
    <s v="04 76 07 14 61"/>
    <m/>
    <s v="oui"/>
    <d v="2022-11-03T00:00:00"/>
    <s v="poêle"/>
    <n v="1985"/>
    <x v="0"/>
    <x v="0"/>
    <s v="MCZ"/>
    <s v="MUSA COMFORT AIR 12 UP! M1"/>
    <n v="14"/>
    <s v="11.9"/>
    <n v="90.8"/>
    <s v="0.00704"/>
    <s v="FV7"/>
    <m/>
    <n v="5626.98"/>
    <m/>
    <m/>
    <m/>
    <n v="490"/>
    <n v="6116.98"/>
    <n v="336.43389999999999"/>
    <n v="6453.4138999999996"/>
    <m/>
    <s v="non"/>
    <m/>
    <m/>
    <s v="ADEME 2022"/>
    <s v="Facturation AGEDEN 2022"/>
  </r>
  <r>
    <x v="4"/>
    <n v="10"/>
    <x v="3"/>
    <x v="1"/>
    <s v="FZO"/>
    <s v="VRB0507"/>
    <n v="600"/>
    <d v="2022-09-21T00:00:00"/>
    <d v="2022-09-27T00:00:00"/>
    <d v="2022-10-18T00:00:00"/>
    <s v="rib à la bonne adresse ( rib ok)"/>
    <d v="2022-10-25T00:00:00"/>
    <d v="2022-10-25T00:00:00"/>
    <d v="2022-11-14T00:00:00"/>
    <m/>
    <d v="2023-01-26T00:00:00"/>
    <d v="2022-11-30T00:00:00"/>
    <s v="-"/>
    <d v="2023-02-17T00:00:00"/>
    <d v="2023-02-17T00:00:00"/>
    <m/>
    <m/>
    <m/>
    <m/>
    <s v="BALESTRIERI"/>
    <s v="Guillaume"/>
    <n v="3"/>
    <n v="62310"/>
    <n v="5"/>
    <s v="Chemin des bouleaux"/>
    <n v="38500"/>
    <x v="30"/>
    <n v="608306833"/>
    <s v="guillaume.bales@hotmail.fr"/>
    <s v="PO"/>
    <m/>
    <m/>
    <m/>
    <m/>
    <m/>
    <m/>
    <x v="10"/>
    <x v="1"/>
    <s v="Mr GILLET"/>
    <s v="bois-soleil-chauffage@orange.fr"/>
    <s v="04 76 32 32 35"/>
    <m/>
    <s v="oui"/>
    <d v="2023-08-21T00:00:00"/>
    <s v="foyer ouvert"/>
    <n v="1981"/>
    <x v="0"/>
    <x v="1"/>
    <s v="ILD "/>
    <s v="LD 12 -13 ECO"/>
    <n v="22"/>
    <s v="8.5 "/>
    <n v="78"/>
    <s v="0.0504"/>
    <s v="FV7"/>
    <m/>
    <n v="6357"/>
    <m/>
    <m/>
    <m/>
    <n v="400"/>
    <n v="6757"/>
    <n v="371.63499999999999"/>
    <n v="7128.6350000000002"/>
    <n v="3420.31"/>
    <s v="non"/>
    <m/>
    <m/>
    <s v="ADEME 2022"/>
    <s v="Facturation AGEDEN 2022"/>
  </r>
  <r>
    <x v="4"/>
    <n v="11"/>
    <x v="3"/>
    <x v="1"/>
    <s v="FZO"/>
    <s v="VRB0508"/>
    <n v="600"/>
    <d v="2022-09-22T00:00:00"/>
    <d v="2022-09-27T00:00:00"/>
    <d v="2022-10-18T00:00:00"/>
    <s v="AI"/>
    <d v="2022-11-14T00:00:00"/>
    <d v="2022-11-14T00:00:00"/>
    <d v="2022-11-21T00:00:00"/>
    <m/>
    <d v="2023-01-05T00:00:00"/>
    <d v="2022-12-13T00:00:00"/>
    <s v="-"/>
    <d v="2023-01-30T00:00:00"/>
    <d v="2023-01-30T00:00:00"/>
    <m/>
    <m/>
    <m/>
    <m/>
    <s v="COLLY"/>
    <s v="Josette"/>
    <n v="2"/>
    <n v="35945"/>
    <n v="230"/>
    <s v="Route des Bruyères"/>
    <n v="38140"/>
    <x v="12"/>
    <n v="625531084"/>
    <s v="jocolly06@gmail.com"/>
    <s v="PO"/>
    <m/>
    <m/>
    <m/>
    <m/>
    <m/>
    <m/>
    <x v="14"/>
    <x v="1"/>
    <s v="MR SIMON"/>
    <s v="contact@ecvoiron.fr"/>
    <s v="04 76 06 99 38"/>
    <m/>
    <s v="oui"/>
    <s v=" 18/09/2023"/>
    <s v="insert / foyer fermé"/>
    <n v="1992"/>
    <x v="2"/>
    <x v="1"/>
    <s v="AUSTROFLAMM"/>
    <s v="80x64 S"/>
    <n v="24"/>
    <s v="10.6"/>
    <s v="80.5"/>
    <s v="0.1 "/>
    <s v="FV7"/>
    <m/>
    <n v="10335"/>
    <m/>
    <m/>
    <m/>
    <n v="840"/>
    <n v="11175"/>
    <n v="614.625"/>
    <n v="11789.625"/>
    <d v="1932-05-09T02:52:48"/>
    <s v="oui"/>
    <m/>
    <m/>
    <s v="ADEME 2022"/>
    <s v="Facturation AGEDEN 2022"/>
  </r>
  <r>
    <x v="4"/>
    <n v="10"/>
    <x v="3"/>
    <x v="1"/>
    <s v="FZO"/>
    <s v="VRB0509"/>
    <n v="600"/>
    <d v="2022-09-22T00:00:00"/>
    <d v="2022-09-27T00:00:00"/>
    <s v="-"/>
    <s v="-"/>
    <d v="2022-10-18T00:00:00"/>
    <d v="2022-10-18T00:00:00"/>
    <d v="2022-10-21T00:00:00"/>
    <m/>
    <m/>
    <m/>
    <m/>
    <m/>
    <m/>
    <m/>
    <m/>
    <m/>
    <m/>
    <s v="REBECCHI"/>
    <s v="Monique"/>
    <n v="1"/>
    <n v="38674"/>
    <n v="62"/>
    <s v="Route du Touvat"/>
    <n v="38850"/>
    <x v="7"/>
    <n v="645109066"/>
    <s v="monique.rebecchi@orange.fr"/>
    <s v="PO"/>
    <m/>
    <m/>
    <m/>
    <m/>
    <m/>
    <m/>
    <x v="35"/>
    <x v="3"/>
    <s v="CARUANA Anthony"/>
    <s v="contact.echirolles@alp-confort.fr"/>
    <s v="04 38 92 02 20"/>
    <s v="-"/>
    <s v="oui"/>
    <d v="2023-04-17T00:00:00"/>
    <s v="insert / foyer fermé"/>
    <n v="2001"/>
    <x v="0"/>
    <x v="1"/>
    <s v="SCAN"/>
    <s v="SCAN 68"/>
    <n v="14"/>
    <s v="6.1"/>
    <n v="80"/>
    <s v="0.04448"/>
    <s v="FV7"/>
    <m/>
    <n v="6663.93"/>
    <m/>
    <m/>
    <m/>
    <n v="1198"/>
    <n v="7545.02"/>
    <n v="414.97610000000003"/>
    <n v="7959.9961000000003"/>
    <m/>
    <s v="oui"/>
    <m/>
    <m/>
    <s v="ADEME 2022"/>
    <s v="Facturation AGEDEN 2022"/>
  </r>
  <r>
    <x v="4"/>
    <n v="10"/>
    <x v="3"/>
    <x v="1"/>
    <s v="FZO"/>
    <s v="VRB0510"/>
    <n v="600"/>
    <d v="2022-09-22T00:00:00"/>
    <d v="2022-09-27T00:00:00"/>
    <s v="-"/>
    <s v="-"/>
    <d v="2022-10-18T00:00:00"/>
    <d v="2022-10-18T00:00:00"/>
    <d v="2022-11-08T00:00:00"/>
    <m/>
    <d v="2023-02-06T00:00:00"/>
    <d v="2022-12-19T00:00:00"/>
    <s v="-"/>
    <d v="2023-02-17T00:00:00"/>
    <d v="2023-02-17T00:00:00"/>
    <m/>
    <m/>
    <m/>
    <m/>
    <s v="DOMEJEAN"/>
    <s v="Eric"/>
    <n v="3"/>
    <n v="87395"/>
    <n v="106"/>
    <s v="Rue du coteau"/>
    <n v="38340"/>
    <x v="17"/>
    <n v="784520334"/>
    <s v="eric.domejean38@gmail.com"/>
    <s v="PO"/>
    <m/>
    <m/>
    <m/>
    <m/>
    <m/>
    <m/>
    <x v="2"/>
    <x v="2"/>
    <s v="MR DIDIER"/>
    <s v="jcduo@orange.fr"/>
    <s v="04 38 02 90 38"/>
    <s v="ZAPPONE Thierry"/>
    <s v="oui"/>
    <d v="2023-08-09T00:00:00"/>
    <s v="poêle"/>
    <s v="&lt;1996"/>
    <x v="0"/>
    <x v="1"/>
    <s v="LORFLAM"/>
    <s v="OFEN 19"/>
    <n v="28"/>
    <s v="7.6"/>
    <n v="80"/>
    <s v="0.1"/>
    <s v="FV7"/>
    <m/>
    <n v="4459.7156398104271"/>
    <m/>
    <m/>
    <m/>
    <n v="710.90047393364932"/>
    <n v="5170.6161137440768"/>
    <n v="284.38388625592421"/>
    <n v="5455.0000000000009"/>
    <n v="5455"/>
    <s v="non"/>
    <m/>
    <m/>
    <s v="ADEME 2022"/>
    <s v="Facturation AGEDEN 2022"/>
  </r>
  <r>
    <x v="3"/>
    <n v="1"/>
    <x v="3"/>
    <x v="1"/>
    <s v="DC / LS"/>
    <s v="VRB0511"/>
    <n v="600"/>
    <d v="2022-09-22T00:00:00"/>
    <d v="2022-09-27T00:00:00"/>
    <d v="2022-10-24T00:00:00"/>
    <s v="Acte de vente , RIB et Photo, artisan non RGE"/>
    <m/>
    <m/>
    <m/>
    <m/>
    <m/>
    <m/>
    <m/>
    <m/>
    <m/>
    <m/>
    <m/>
    <m/>
    <m/>
    <s v="CARRAUD"/>
    <s v="Alain"/>
    <n v="2"/>
    <n v="28893"/>
    <n v="185"/>
    <s v="Impasse du Mollard"/>
    <n v="38140"/>
    <x v="26"/>
    <n v="632850794"/>
    <s v="valerie.carraud@sfr.fr"/>
    <s v="PO"/>
    <m/>
    <m/>
    <m/>
    <m/>
    <m/>
    <m/>
    <x v="1"/>
    <x v="1"/>
    <s v="LIBER Jean-Christophe"/>
    <s v="poelesetcuisinierespassion@gmail.com"/>
    <s v="04 76 07 14 61"/>
    <m/>
    <s v="oui"/>
    <d v="2022-11-03T00:00:00"/>
    <s v="insert / foyer fermé"/>
    <s v="&lt;1985"/>
    <x v="0"/>
    <x v="0"/>
    <s v="MCZ"/>
    <s v="LOOP AIR 8 M1"/>
    <n v="17"/>
    <n v="8"/>
    <n v="90.4"/>
    <n v="38"/>
    <s v="FV7"/>
    <m/>
    <n v="4978.0000000000009"/>
    <m/>
    <m/>
    <m/>
    <n v="520"/>
    <n v="5498.0000000000009"/>
    <n v="302.39000000000004"/>
    <n v="5800.3900000000012"/>
    <m/>
    <s v="oui"/>
    <m/>
    <m/>
    <m/>
    <m/>
  </r>
  <r>
    <x v="4"/>
    <n v="11"/>
    <x v="3"/>
    <x v="2"/>
    <s v="FZO"/>
    <s v="VRB0512"/>
    <n v="1000"/>
    <d v="2022-09-22T00:00:00"/>
    <d v="2022-09-27T00:00:00"/>
    <d v="2022-10-27T00:00:00"/>
    <s v="photo +lettre / demande de confirmat° materiel"/>
    <d v="2022-11-02T00:00:00"/>
    <d v="2022-11-02T00:00:00"/>
    <d v="2022-11-14T00:00:00"/>
    <m/>
    <d v="2023-02-06T00:00:00"/>
    <d v="2023-01-31T00:00:00"/>
    <s v="-"/>
    <d v="2023-02-17T00:00:00"/>
    <d v="2023-02-17T00:00:00"/>
    <m/>
    <m/>
    <m/>
    <m/>
    <s v="GOUJON"/>
    <s v="Pascal"/>
    <n v="3"/>
    <n v="32398"/>
    <n v="719"/>
    <s v="Chemin des combes"/>
    <n v="38500"/>
    <x v="4"/>
    <n v="614555359"/>
    <s v="pascal.goujon719@gmail.com"/>
    <s v="PO"/>
    <m/>
    <m/>
    <m/>
    <m/>
    <m/>
    <m/>
    <x v="16"/>
    <x v="10"/>
    <s v="ALO"/>
    <s v="cheminees.jay@orange.fr"/>
    <n v="476500550"/>
    <s v="-"/>
    <s v="oui"/>
    <d v="2023-07-30T00:00:00"/>
    <s v="foyer ouvert"/>
    <n v="1870"/>
    <x v="0"/>
    <x v="1"/>
    <s v="TURBO FONTE"/>
    <s v="JAZZ 4 Kw"/>
    <n v="26"/>
    <n v="4"/>
    <s v="77.3"/>
    <s v="0.10992 "/>
    <s v="FV7"/>
    <m/>
    <n v="3628.1699999999996"/>
    <m/>
    <m/>
    <m/>
    <n v="850"/>
    <n v="4478.17"/>
    <n v="246.29935"/>
    <n v="4724.4693500000003"/>
    <n v="4636.12"/>
    <s v="oui"/>
    <m/>
    <m/>
    <s v="ADEME 2022"/>
    <s v="Facturation AGEDEN 2022"/>
  </r>
  <r>
    <x v="4"/>
    <n v="11"/>
    <x v="3"/>
    <x v="1"/>
    <s v="DC / LS /FZO"/>
    <s v="VRB0513"/>
    <n v="600"/>
    <d v="2022-09-23T00:00:00"/>
    <d v="2022-09-27T00:00:00"/>
    <d v="2022-10-24T00:00:00"/>
    <s v="RIB/ RIB OK"/>
    <d v="2022-11-02T00:00:00"/>
    <d v="2022-11-02T00:00:00"/>
    <d v="2022-11-14T00:00:00"/>
    <m/>
    <m/>
    <m/>
    <m/>
    <m/>
    <m/>
    <m/>
    <m/>
    <m/>
    <m/>
    <s v="DELAHAIE"/>
    <s v="Christine &amp; Frédéric"/>
    <n v="2"/>
    <n v="80489"/>
    <n v="305"/>
    <s v="Chemin de chamoussière"/>
    <n v="38340"/>
    <x v="17"/>
    <n v="682220374"/>
    <s v="christinedelahaie@hotmail.fr"/>
    <s v="PO"/>
    <m/>
    <m/>
    <m/>
    <m/>
    <m/>
    <m/>
    <x v="16"/>
    <x v="10"/>
    <s v="ALO"/>
    <s v="cheminees.jay@orange.fr"/>
    <n v="476500550"/>
    <s v="-"/>
    <s v="oui"/>
    <d v="2023-07-30T00:00:00"/>
    <s v="foyer ouvert"/>
    <s v="1996 - 2002"/>
    <x v="0"/>
    <x v="1"/>
    <s v="DOVRE"/>
    <s v="425GM"/>
    <n v="28"/>
    <n v="8"/>
    <n v="80"/>
    <n v="1125"/>
    <s v="FV7"/>
    <m/>
    <n v="2744.5299999999997"/>
    <m/>
    <m/>
    <m/>
    <n v="700"/>
    <n v="3099.5299999999997"/>
    <n v="170.47414999999998"/>
    <n v="3270.0041499999998"/>
    <m/>
    <s v="oui"/>
    <m/>
    <m/>
    <s v="ADEME 2022"/>
    <s v="Facturation AGEDEN 2022"/>
  </r>
  <r>
    <x v="4"/>
    <n v="11"/>
    <x v="3"/>
    <x v="2"/>
    <s v="DC / LS/FZO"/>
    <s v="VRB0514"/>
    <n v="1000"/>
    <d v="2022-09-25T00:00:00"/>
    <d v="2022-09-27T00:00:00"/>
    <d v="2022-10-24T00:00:00"/>
    <s v="Confirmation poele &lt;2002"/>
    <d v="2022-11-09T00:00:00"/>
    <d v="2022-11-09T00:00:00"/>
    <d v="2022-11-21T00:00:00"/>
    <m/>
    <m/>
    <m/>
    <m/>
    <m/>
    <m/>
    <m/>
    <m/>
    <m/>
    <m/>
    <s v="CARRE"/>
    <s v="Laurence"/>
    <n v="1"/>
    <n v="17802"/>
    <n v="78"/>
    <s v="Montée du Pilet"/>
    <n v="38500"/>
    <x v="18"/>
    <n v="687442324"/>
    <s v="lolo-carre@hotmail.fr"/>
    <s v="PO"/>
    <m/>
    <m/>
    <m/>
    <m/>
    <m/>
    <m/>
    <x v="10"/>
    <x v="1"/>
    <s v="Mr GILLET"/>
    <s v="bois-soleil-chauffage@orange.fr"/>
    <s v="04 76 32 32 35"/>
    <m/>
    <s v="oui"/>
    <d v="2023-08-21T00:00:00"/>
    <s v="poêle"/>
    <m/>
    <x v="0"/>
    <x v="1"/>
    <s v="JOTUL"/>
    <s v="Jøtul F 305"/>
    <n v="7"/>
    <n v="7.5"/>
    <n v="79"/>
    <n v="786"/>
    <s v="FV7"/>
    <m/>
    <n v="3514"/>
    <m/>
    <m/>
    <m/>
    <n v="360"/>
    <n v="3874"/>
    <n v="213.07"/>
    <n v="4087.07"/>
    <m/>
    <s v="oui"/>
    <m/>
    <m/>
    <s v="ADEME 2022"/>
    <s v="Facturation AGEDEN 2022"/>
  </r>
  <r>
    <x v="4"/>
    <n v="11"/>
    <x v="3"/>
    <x v="1"/>
    <s v="FZO"/>
    <s v="VRB0515"/>
    <n v="600"/>
    <d v="2022-09-28T00:00:00"/>
    <d v="2022-09-28T00:00:00"/>
    <d v="2022-10-27T00:00:00"/>
    <s v="demande de confirmat° materiel  OK/ rib a la bonne adresse + Photo plan large"/>
    <d v="2022-11-28T00:00:00"/>
    <d v="2022-11-28T00:00:00"/>
    <d v="2022-12-05T00:00:00"/>
    <m/>
    <d v="2023-02-08T00:00:00"/>
    <d v="2022-12-10T00:00:00"/>
    <s v="-"/>
    <d v="2023-02-17T00:00:00"/>
    <d v="2023-02-17T00:00:00"/>
    <m/>
    <m/>
    <m/>
    <m/>
    <s v="DELAFON"/>
    <s v="Pauline"/>
    <n v="1"/>
    <n v="40100"/>
    <n v="800"/>
    <s v="Route de Chateaubourg"/>
    <n v="38140"/>
    <x v="6"/>
    <n v="626354409"/>
    <s v="delafon.savoie@gmail.com"/>
    <s v="PO"/>
    <m/>
    <m/>
    <m/>
    <m/>
    <m/>
    <m/>
    <x v="6"/>
    <x v="6"/>
    <s v="Mr FAURE"/>
    <s v="jacques.faure24@wanadoo.fr"/>
    <s v="04 76 35 56 05"/>
    <m/>
    <s v="oui"/>
    <d v="2022-11-18T00:00:00"/>
    <s v="foyer ouvert"/>
    <n v="1874"/>
    <x v="0"/>
    <x v="1"/>
    <s v="DIK GEURTS par FONTE FLAMME"/>
    <s v="VIDAR TRIPLE et VIDAR WALL"/>
    <n v="18"/>
    <s v="10.6"/>
    <n v="88"/>
    <s v="0.06504 "/>
    <s v="FV7"/>
    <m/>
    <n v="5215.93"/>
    <m/>
    <m/>
    <m/>
    <n v="720.6"/>
    <n v="5936.5300000000007"/>
    <n v="326.50915000000003"/>
    <n v="6263.0391500000005"/>
    <n v="6263.04"/>
    <s v="oui"/>
    <m/>
    <m/>
    <s v="ADEME 2022"/>
    <s v="Facturation AGEDEN 2022"/>
  </r>
  <r>
    <x v="4"/>
    <n v="11"/>
    <x v="3"/>
    <x v="1"/>
    <s v="FZO"/>
    <s v="VRB0516"/>
    <n v="600"/>
    <d v="2022-09-29T00:00:00"/>
    <d v="2022-10-04T00:00:00"/>
    <d v="2022-10-27T00:00:00"/>
    <s v="AI 22-21 /OK"/>
    <d v="2022-11-02T00:00:00"/>
    <d v="2022-11-02T00:00:00"/>
    <d v="2022-11-14T00:00:00"/>
    <m/>
    <m/>
    <m/>
    <m/>
    <m/>
    <m/>
    <m/>
    <m/>
    <m/>
    <m/>
    <s v="PUGLIESE"/>
    <s v="Pietro"/>
    <n v="3"/>
    <n v="74526"/>
    <n v="97"/>
    <s v="Le grand chemin"/>
    <n v="38140"/>
    <x v="12"/>
    <n v="674289642"/>
    <s v="Pietro.Pugliese@40-30.fr"/>
    <s v="PO"/>
    <m/>
    <m/>
    <m/>
    <m/>
    <m/>
    <m/>
    <x v="14"/>
    <x v="1"/>
    <s v="MR SIMON"/>
    <s v="contact@ecvoiron.fr"/>
    <s v="04 76 06 99 38"/>
    <m/>
    <s v="oui"/>
    <s v=" 18/09/2023"/>
    <s v="poêle"/>
    <n v="2000"/>
    <x v="0"/>
    <x v="1"/>
    <s v="ROMOTOP "/>
    <s v="Ovalis"/>
    <n v="40"/>
    <n v="6"/>
    <s v="83.6 "/>
    <s v="0.0736 "/>
    <s v="FV7"/>
    <m/>
    <n v="4809"/>
    <m/>
    <m/>
    <m/>
    <n v="200"/>
    <n v="5009"/>
    <n v="275.495"/>
    <n v="5284.4949999999999"/>
    <m/>
    <s v="oui"/>
    <m/>
    <m/>
    <s v="ADEME 2022"/>
    <s v="Facturation AGEDEN 2022"/>
  </r>
  <r>
    <x v="4"/>
    <n v="11"/>
    <x v="3"/>
    <x v="1"/>
    <s v="FZO"/>
    <s v="VRB0517"/>
    <n v="600"/>
    <d v="2022-09-30T00:00:00"/>
    <d v="2022-10-04T00:00:00"/>
    <d v="2022-10-27T00:00:00"/>
    <s v="demande de confirmat° materiel / AI / TF / RIB a la bonne adresse"/>
    <d v="2022-11-02T00:00:00"/>
    <d v="2022-11-02T00:00:00"/>
    <d v="2022-11-14T00:00:00"/>
    <m/>
    <d v="2023-01-23T00:00:00"/>
    <d v="2022-12-05T00:00:00"/>
    <s v="-"/>
    <d v="2023-02-17T00:00:00"/>
    <d v="2023-02-17T00:00:00"/>
    <m/>
    <m/>
    <m/>
    <m/>
    <s v="BARTHES"/>
    <s v="Jacques"/>
    <n v="2"/>
    <n v="31256"/>
    <n v="21"/>
    <s v="Impasse des lauriers"/>
    <n v="38960"/>
    <x v="11"/>
    <n v="682832993"/>
    <s v="colette.barthes@free.fr"/>
    <s v="PO"/>
    <m/>
    <m/>
    <m/>
    <m/>
    <m/>
    <m/>
    <x v="61"/>
    <x v="52"/>
    <s v="M. CASTAN"/>
    <s v="chemineescastan.commercial@gmail.com"/>
    <n v="476132200"/>
    <m/>
    <s v="oui"/>
    <d v="2023-05-31T00:00:00"/>
    <s v="foyer ouvert"/>
    <n v="1975"/>
    <x v="2"/>
    <x v="1"/>
    <s v="FONDIS "/>
    <s v="V60LDF"/>
    <n v="36"/>
    <s v="11.5"/>
    <s v="77.8"/>
    <s v="0.068"/>
    <s v="FV7"/>
    <m/>
    <n v="5746.87"/>
    <m/>
    <m/>
    <m/>
    <n v="1200"/>
    <n v="6696.87"/>
    <n v="368.32785000000001"/>
    <n v="7065.1978499999996"/>
    <n v="1633.45"/>
    <s v="oui"/>
    <m/>
    <m/>
    <s v="ADEME 2022"/>
    <s v="Facturation AGEDEN 2022"/>
  </r>
  <r>
    <x v="4"/>
    <n v="11"/>
    <x v="3"/>
    <x v="2"/>
    <s v="FZO"/>
    <s v="VRB0518"/>
    <n v="1000"/>
    <d v="2022-09-30T00:00:00"/>
    <d v="2022-10-04T00:00:00"/>
    <d v="2022-10-27T00:00:00"/>
    <s v="AI/ Attestation"/>
    <d v="2022-11-02T00:00:00"/>
    <d v="2022-11-02T00:00:00"/>
    <d v="2022-11-14T00:00:00"/>
    <m/>
    <m/>
    <m/>
    <m/>
    <m/>
    <m/>
    <m/>
    <m/>
    <m/>
    <m/>
    <s v="BEL"/>
    <s v="André"/>
    <n v="2"/>
    <n v="3928"/>
    <n v="72"/>
    <s v="Rue Dode de  la brunerie"/>
    <n v="38620"/>
    <x v="31"/>
    <n v="642591942"/>
    <s v="mickaelbel38@gmail.com"/>
    <s v="PB"/>
    <m/>
    <m/>
    <m/>
    <m/>
    <m/>
    <m/>
    <x v="9"/>
    <x v="3"/>
    <s v="DURANTON Patrick"/>
    <s v=" "/>
    <n v="474432868"/>
    <s v="-"/>
    <s v="oui"/>
    <d v="2023-05-06T00:00:00"/>
    <s v="insert / foyer fermé"/>
    <n v="1998"/>
    <x v="0"/>
    <x v="1"/>
    <s v="LORFLAM "/>
    <s v=" OFEN 19"/>
    <n v="28"/>
    <s v="7.6"/>
    <n v="80"/>
    <s v="0.1"/>
    <s v="FV7"/>
    <m/>
    <d v="1910-08-13T00:00:00"/>
    <m/>
    <m/>
    <m/>
    <d v="1902-09-16T00:00:00"/>
    <n v="4868"/>
    <n v="267.74"/>
    <n v="5135.74"/>
    <m/>
    <s v="oui"/>
    <m/>
    <m/>
    <s v="ADEME 2022"/>
    <s v="Facturation AGEDEN 2022"/>
  </r>
  <r>
    <x v="4"/>
    <n v="11"/>
    <x v="3"/>
    <x v="2"/>
    <s v="LS / DC"/>
    <s v="VRB0519"/>
    <n v="1000"/>
    <d v="2022-10-04T00:00:00"/>
    <d v="2022-10-04T00:00:00"/>
    <s v="-"/>
    <s v="-"/>
    <d v="2022-11-15T00:00:00"/>
    <d v="2022-11-15T00:00:00"/>
    <d v="2022-11-28T00:00:00"/>
    <m/>
    <d v="2023-01-04T00:00:00"/>
    <d v="2022-12-05T00:00:00"/>
    <s v="-"/>
    <d v="2023-01-30T00:00:00"/>
    <d v="2023-01-30T00:00:00"/>
    <m/>
    <m/>
    <m/>
    <m/>
    <s v="REY"/>
    <s v="Stéphane"/>
    <n v="4"/>
    <n v="37099"/>
    <n v="21"/>
    <s v="Rue des Jonquilles"/>
    <n v="38620"/>
    <x v="16"/>
    <n v="649374457"/>
    <s v="evalapetiteprincesse@gmail.com"/>
    <s v="PO"/>
    <m/>
    <m/>
    <m/>
    <m/>
    <m/>
    <m/>
    <x v="39"/>
    <x v="30"/>
    <s v="BARGEL Jonathan"/>
    <s v="jonathan.barguel@philippeisere.fr"/>
    <n v="476663386"/>
    <s v="-"/>
    <s v="oui"/>
    <d v="2023-06-19T00:00:00"/>
    <s v="insert / foyer fermé"/>
    <n v="2000"/>
    <x v="2"/>
    <x v="1"/>
    <s v="CHEMINEES PHILIPPE"/>
    <s v=" ANTHEM 75"/>
    <n v="32"/>
    <n v="10"/>
    <n v="81.099999999999994"/>
    <n v="1125"/>
    <s v="FV7"/>
    <m/>
    <n v="4407.46"/>
    <m/>
    <m/>
    <m/>
    <n v="0"/>
    <n v="4407.46"/>
    <n v="242.41030000000001"/>
    <n v="4649.8703000000005"/>
    <n v="4649.87"/>
    <s v="oui"/>
    <m/>
    <m/>
    <s v="ADEME 2022"/>
    <s v="Facturation AGEDEN 2022"/>
  </r>
  <r>
    <x v="4"/>
    <n v="12"/>
    <x v="3"/>
    <x v="3"/>
    <s v="LS"/>
    <s v="VRB0520"/>
    <m/>
    <d v="2022-09-28T00:00:00"/>
    <d v="2022-10-04T00:00:00"/>
    <d v="2022-11-03T00:00:00"/>
    <s v="Avis d'imposition ; justificatif de proprété ; devis ; RIB ; photo"/>
    <d v="2022-12-15T00:00:00"/>
    <d v="2022-12-15T00:00:00"/>
    <d v="2023-01-05T00:00:00"/>
    <m/>
    <m/>
    <m/>
    <m/>
    <m/>
    <m/>
    <m/>
    <m/>
    <m/>
    <m/>
    <s v="PERRIN"/>
    <s v="Jérôme"/>
    <n v="5"/>
    <n v="44779"/>
    <n v="8"/>
    <s v="Rue Alfred de Vigny"/>
    <n v="38430"/>
    <x v="2"/>
    <n v="626272208"/>
    <s v="jfs.perrin@free.fr"/>
    <s v="PO"/>
    <m/>
    <m/>
    <m/>
    <m/>
    <m/>
    <m/>
    <x v="46"/>
    <x v="38"/>
    <m/>
    <m/>
    <m/>
    <m/>
    <m/>
    <m/>
    <s v="insert / foyer fermé"/>
    <n v="2001"/>
    <x v="0"/>
    <x v="0"/>
    <s v="MCZ"/>
    <s v="DOC COMFORT AIR 9 M1"/>
    <n v="20"/>
    <n v="8.8000000000000007"/>
    <n v="90.9"/>
    <n v="75"/>
    <s v="FV7"/>
    <m/>
    <m/>
    <m/>
    <m/>
    <m/>
    <m/>
    <n v="0"/>
    <n v="0"/>
    <n v="0"/>
    <m/>
    <s v="oui"/>
    <m/>
    <m/>
    <m/>
    <s v="Facturation AGEDEN 2022"/>
  </r>
  <r>
    <x v="4"/>
    <n v="10"/>
    <x v="3"/>
    <x v="1"/>
    <s v="LS / DC"/>
    <s v="VRB0521"/>
    <n v="600"/>
    <d v="2022-10-05T00:00:00"/>
    <d v="2022-10-10T00:00:00"/>
    <s v="-"/>
    <s v="-"/>
    <d v="2022-10-25T00:00:00"/>
    <d v="2022-10-25T00:00:00"/>
    <d v="2022-11-14T00:00:00"/>
    <m/>
    <d v="2023-01-12T00:00:00"/>
    <m/>
    <m/>
    <m/>
    <m/>
    <m/>
    <m/>
    <m/>
    <m/>
    <s v="JACOB"/>
    <s v="Denis"/>
    <n v="5"/>
    <n v="58636"/>
    <n v="18"/>
    <s v="Avenue Edouard Herriot"/>
    <n v="38500"/>
    <x v="1"/>
    <n v="678450960"/>
    <s v="florencejacob@laposte.net"/>
    <s v="PO"/>
    <m/>
    <m/>
    <m/>
    <m/>
    <m/>
    <m/>
    <x v="7"/>
    <x v="1"/>
    <s v="PIERRE Emmanuel"/>
    <s v="voiron@techni-nature.com"/>
    <s v="09 72 17 98 56"/>
    <s v="-"/>
    <s v="oui"/>
    <d v="2022-08-25T00:00:00"/>
    <s v="foyer ouvert"/>
    <n v="1989"/>
    <x v="0"/>
    <x v="1"/>
    <s v="HWAM / WIKING"/>
    <s v="MIRO 6"/>
    <n v="18"/>
    <n v="4.9000000000000004"/>
    <n v="78"/>
    <n v="1125"/>
    <s v="FV7"/>
    <m/>
    <n v="6330.8099999999995"/>
    <m/>
    <m/>
    <m/>
    <n v="1110"/>
    <n v="7440.8099999999995"/>
    <n v="409.24454999999995"/>
    <n v="7850.0545499999998"/>
    <m/>
    <s v="non"/>
    <m/>
    <m/>
    <s v="ADEME 2022"/>
    <s v="Facturation AGEDEN 2022"/>
  </r>
  <r>
    <x v="4"/>
    <n v="10"/>
    <x v="3"/>
    <x v="2"/>
    <s v="LS / DC"/>
    <s v="VRB0522"/>
    <n v="1000"/>
    <d v="2022-10-06T00:00:00"/>
    <d v="2022-10-10T00:00:00"/>
    <s v="-"/>
    <s v="-"/>
    <d v="2022-10-25T00:00:00"/>
    <d v="2022-10-25T00:00:00"/>
    <d v="2022-11-14T00:00:00"/>
    <m/>
    <m/>
    <m/>
    <m/>
    <m/>
    <m/>
    <m/>
    <m/>
    <m/>
    <m/>
    <s v="ROUGER"/>
    <s v="Guillaume"/>
    <n v="3"/>
    <n v="11444"/>
    <n v="487"/>
    <s v="Route de nouvelliere"/>
    <n v="38620"/>
    <x v="32"/>
    <n v="674439478"/>
    <s v="guillaume.rouger38@gmail.com"/>
    <s v="PO"/>
    <m/>
    <m/>
    <m/>
    <m/>
    <m/>
    <m/>
    <x v="2"/>
    <x v="2"/>
    <s v="MR DIDIER"/>
    <s v="jcduo@orange.fr"/>
    <s v="04 38 02 90 38"/>
    <s v="ZAPPONE Thierry"/>
    <s v="oui"/>
    <d v="2023-08-09T00:00:00"/>
    <s v="insert / foyer fermé"/>
    <n v="1983"/>
    <x v="0"/>
    <x v="0"/>
    <s v="MORETTI"/>
    <s v="RELAX BIJOU 8"/>
    <n v="9"/>
    <n v="8"/>
    <n v="89.7"/>
    <n v="30"/>
    <s v="registre"/>
    <m/>
    <n v="5247.3933649289093"/>
    <m/>
    <m/>
    <m/>
    <n v="853.08056872037912"/>
    <n v="6100.4739336492885"/>
    <n v="335.52606635071089"/>
    <n v="6435.9999999999991"/>
    <m/>
    <s v="non"/>
    <m/>
    <m/>
    <s v="ADEME 2022"/>
    <s v="Facturation AGEDEN 2022"/>
  </r>
  <r>
    <x v="4"/>
    <n v="10"/>
    <x v="3"/>
    <x v="1"/>
    <s v="LS / DC"/>
    <s v="VRB0523"/>
    <n v="600"/>
    <d v="2022-10-07T00:00:00"/>
    <d v="2022-10-10T00:00:00"/>
    <d v="2022-10-26T00:00:00"/>
    <s v="RIB"/>
    <d v="2022-10-25T00:00:00"/>
    <d v="2022-10-25T00:00:00"/>
    <d v="2022-11-14T00:00:00"/>
    <m/>
    <d v="2022-12-01T00:00:00"/>
    <d v="2022-11-26T00:00:00"/>
    <s v="-"/>
    <d v="2022-12-20T00:00:00"/>
    <d v="2022-12-20T00:00:00"/>
    <d v="2023-01-06T00:00:00"/>
    <m/>
    <m/>
    <m/>
    <s v="DE PALO"/>
    <s v="Jean"/>
    <n v="2"/>
    <n v="37277"/>
    <n v="213"/>
    <s v="Chemin du Delphin"/>
    <n v="38960"/>
    <x v="11"/>
    <n v="689682722"/>
    <s v="davidmonique047@gmail.com"/>
    <s v="PO"/>
    <m/>
    <m/>
    <m/>
    <m/>
    <m/>
    <m/>
    <x v="7"/>
    <x v="1"/>
    <s v="PIERRE Emmanuel"/>
    <s v="voiron@techni-nature.com"/>
    <s v="09 72 17 98 56"/>
    <s v="-"/>
    <s v="oui"/>
    <d v="2022-08-25T00:00:00"/>
    <s v="foyer ouvert"/>
    <n v="1986"/>
    <x v="0"/>
    <x v="1"/>
    <s v="PIAZZETTA"/>
    <s v="E228 A - M"/>
    <n v="20"/>
    <n v="8"/>
    <n v="87"/>
    <n v="40"/>
    <s v="FV7"/>
    <m/>
    <n v="10444.049999999999"/>
    <m/>
    <m/>
    <m/>
    <n v="-1538.29"/>
    <n v="8905.7599999999984"/>
    <n v="489.81679999999989"/>
    <n v="9395.5767999999989"/>
    <n v="9395.58"/>
    <s v="oui"/>
    <m/>
    <m/>
    <s v="ADEME 2022"/>
    <s v="Facturation AGEDEN 2022"/>
  </r>
  <r>
    <x v="4"/>
    <n v="11"/>
    <x v="3"/>
    <x v="2"/>
    <s v="LS/FZO"/>
    <s v="VRB0524"/>
    <n v="1000"/>
    <d v="2022-10-07T00:00:00"/>
    <d v="2022-10-10T00:00:00"/>
    <d v="2022-10-25T00:00:00"/>
    <s v="RIB ok"/>
    <d v="2022-11-09T00:00:00"/>
    <d v="2022-11-09T00:00:00"/>
    <d v="2022-11-21T00:00:00"/>
    <m/>
    <d v="2022-11-25T00:00:00"/>
    <d v="2022-11-24T00:00:00"/>
    <s v="-"/>
    <d v="2022-11-30T00:00:00"/>
    <d v="2022-11-30T00:00:00"/>
    <d v="2022-12-02T00:00:00"/>
    <m/>
    <m/>
    <m/>
    <s v="DOUKALI"/>
    <s v="Maamar"/>
    <n v="5"/>
    <n v="40616"/>
    <s v="3B"/>
    <s v="Rue Auguste Sonnier"/>
    <n v="38430"/>
    <x v="2"/>
    <n v="619635773"/>
    <s v="amar38100@yahoo.fr"/>
    <s v="PO"/>
    <m/>
    <m/>
    <m/>
    <m/>
    <m/>
    <m/>
    <x v="6"/>
    <x v="6"/>
    <s v="Mr FAURE"/>
    <s v="jacques.faure24@wanadoo.fr"/>
    <s v="04 76 35 56 05"/>
    <m/>
    <s v="oui"/>
    <d v="2022-11-18T00:00:00"/>
    <s v="foyer ouvert"/>
    <n v="2000"/>
    <x v="2"/>
    <x v="1"/>
    <s v="FONTE FLAMME"/>
    <s v="VISION 700-8K"/>
    <n v="16"/>
    <n v="9"/>
    <n v="81"/>
    <n v="813"/>
    <s v="FV7"/>
    <m/>
    <n v="4392.0400000000009"/>
    <m/>
    <m/>
    <m/>
    <n v="1425"/>
    <n v="5817.0400000000009"/>
    <n v="319.93720000000008"/>
    <n v="6136.9772000000012"/>
    <n v="6136.98"/>
    <s v="non"/>
    <m/>
    <m/>
    <s v="ADEME 2022"/>
    <s v="Facturation AGEDEN 2022"/>
  </r>
  <r>
    <x v="4"/>
    <n v="12"/>
    <x v="3"/>
    <x v="1"/>
    <s v="LS"/>
    <s v="VRB0525"/>
    <n v="600"/>
    <d v="2022-10-08T00:00:00"/>
    <d v="2022-10-10T00:00:00"/>
    <d v="2022-10-25T00:00:00"/>
    <s v="Formulaire de demande, questionnaire, devis,justificatif de propriété"/>
    <d v="2022-12-15T00:00:00"/>
    <d v="2022-12-15T00:00:00"/>
    <d v="2023-01-05T00:00:00"/>
    <m/>
    <m/>
    <m/>
    <m/>
    <m/>
    <m/>
    <m/>
    <m/>
    <m/>
    <m/>
    <s v="JOURNET &amp; CENCHERLE"/>
    <s v="Michel &amp;Françoise"/>
    <n v="2"/>
    <n v="46283"/>
    <n v="565"/>
    <s v="Route de Grenoble"/>
    <n v="38430"/>
    <x v="28"/>
    <n v="476356115"/>
    <s v="francoise.cencherle@orange.fr"/>
    <m/>
    <m/>
    <m/>
    <m/>
    <m/>
    <m/>
    <m/>
    <x v="5"/>
    <x v="5"/>
    <s v="Mr MOCELLIN"/>
    <s v="godin-grenoble@orange.fr"/>
    <s v="04 74 93 43 16"/>
    <m/>
    <s v="oui"/>
    <d v="2023-03-21T00:00:00"/>
    <s v="insert / foyer fermé"/>
    <s v="&lt;2002"/>
    <x v="0"/>
    <x v="1"/>
    <s v="GODIN"/>
    <s v="Grand Chinon étuve"/>
    <n v="13"/>
    <n v="11"/>
    <n v="75.8"/>
    <n v="750"/>
    <s v="FV7"/>
    <m/>
    <n v="7970"/>
    <m/>
    <m/>
    <m/>
    <n v="1990"/>
    <n v="9960"/>
    <n v="547.79999999999995"/>
    <n v="10507.8"/>
    <m/>
    <m/>
    <m/>
    <m/>
    <m/>
    <s v="Facturation AGEDEN 2022"/>
  </r>
  <r>
    <x v="3"/>
    <n v="1"/>
    <x v="5"/>
    <x v="4"/>
    <m/>
    <m/>
    <m/>
    <m/>
    <m/>
    <m/>
    <m/>
    <m/>
    <m/>
    <m/>
    <m/>
    <m/>
    <m/>
    <m/>
    <m/>
    <m/>
    <m/>
    <m/>
    <m/>
    <m/>
    <m/>
    <m/>
    <m/>
    <m/>
    <m/>
    <m/>
    <m/>
    <x v="37"/>
    <m/>
    <m/>
    <m/>
    <m/>
    <m/>
    <m/>
    <m/>
    <m/>
    <m/>
    <x v="16"/>
    <x v="38"/>
    <m/>
    <m/>
    <m/>
    <m/>
    <m/>
    <m/>
    <s v="cuisinière"/>
    <m/>
    <x v="0"/>
    <x v="1"/>
    <m/>
    <m/>
    <m/>
    <m/>
    <m/>
    <m/>
    <m/>
    <m/>
    <m/>
    <m/>
    <m/>
    <m/>
    <m/>
    <m/>
    <m/>
    <m/>
    <m/>
    <m/>
    <m/>
    <m/>
    <m/>
    <m/>
  </r>
  <r>
    <x v="4"/>
    <n v="11"/>
    <x v="3"/>
    <x v="2"/>
    <s v="LS / DC"/>
    <s v="VRB0527"/>
    <n v="1000"/>
    <d v="2022-10-12T00:00:00"/>
    <d v="2022-10-18T00:00:00"/>
    <s v="-"/>
    <s v="-"/>
    <d v="2022-11-15T00:00:00"/>
    <d v="2022-11-15T00:00:00"/>
    <d v="2022-11-28T00:00:00"/>
    <m/>
    <m/>
    <m/>
    <m/>
    <m/>
    <m/>
    <m/>
    <m/>
    <m/>
    <m/>
    <s v="BONNET"/>
    <s v="Francis"/>
    <n v="1"/>
    <n v="14974"/>
    <n v="50"/>
    <s v="Place de la Sauge"/>
    <n v="38620"/>
    <x v="27"/>
    <n v="669789262"/>
    <s v="bonnet.francis31515@hotmail.com"/>
    <s v="PO"/>
    <m/>
    <m/>
    <m/>
    <m/>
    <m/>
    <m/>
    <x v="56"/>
    <x v="0"/>
    <s v="CARRE François"/>
    <s v="f.carre@carre-f.com"/>
    <s v="04 76 37 03 50"/>
    <s v="-"/>
    <s v="oui  "/>
    <d v="2023-11-17T00:00:00"/>
    <s v="cuisinière"/>
    <n v="1970"/>
    <x v="0"/>
    <x v="0"/>
    <s v=" PALAZZETTI "/>
    <s v=" ECOFIRE ISABEL 9 US"/>
    <n v="15"/>
    <n v="9"/>
    <n v="91"/>
    <n v="30"/>
    <s v="FV7"/>
    <m/>
    <n v="6069.8"/>
    <m/>
    <m/>
    <m/>
    <n v="890"/>
    <n v="6959.8"/>
    <n v="382.78899999999999"/>
    <n v="7342.5889999999999"/>
    <m/>
    <s v="oui"/>
    <m/>
    <m/>
    <s v="ADEME 2022"/>
    <s v="Facturation AGEDEN 2022"/>
  </r>
  <r>
    <x v="4"/>
    <n v="11"/>
    <x v="3"/>
    <x v="1"/>
    <s v="LS / DC"/>
    <s v="VRB0528"/>
    <n v="600"/>
    <d v="2022-10-20T00:00:00"/>
    <d v="2022-10-25T00:00:00"/>
    <s v="-"/>
    <s v="-"/>
    <d v="2022-11-15T00:00:00"/>
    <d v="2022-11-15T00:00:00"/>
    <d v="2022-11-28T00:00:00"/>
    <m/>
    <m/>
    <m/>
    <m/>
    <m/>
    <m/>
    <m/>
    <m/>
    <m/>
    <m/>
    <s v="SERAFIN"/>
    <s v="Christian"/>
    <n v="2"/>
    <n v="29736"/>
    <n v="224"/>
    <s v="Les jardins de la Buisse/Traverse du Pirot"/>
    <n v="38500"/>
    <x v="4"/>
    <s v="06 75 59 92 10"/>
    <s v="cserafin38@orange.fr"/>
    <s v="PO"/>
    <m/>
    <m/>
    <m/>
    <m/>
    <m/>
    <m/>
    <x v="14"/>
    <x v="1"/>
    <s v="MR SIMON"/>
    <s v="contact@ecvoiron.fr"/>
    <s v="04 76 06 99 38"/>
    <m/>
    <s v="oui"/>
    <s v=" 18/09/2023"/>
    <s v="foyer ouvert"/>
    <n v="1987"/>
    <x v="0"/>
    <x v="1"/>
    <s v=" ROMOTOP"/>
    <s v="Evora"/>
    <n v="15"/>
    <n v="4"/>
    <n v="80.5"/>
    <n v="1192"/>
    <s v="FV7"/>
    <m/>
    <n v="4104"/>
    <m/>
    <m/>
    <m/>
    <n v="2120"/>
    <n v="6224"/>
    <n v="342.32"/>
    <n v="6566.32"/>
    <m/>
    <s v="non"/>
    <m/>
    <m/>
    <s v="ADEME 2022"/>
    <s v="Facturation AGEDEN 2022"/>
  </r>
  <r>
    <x v="4"/>
    <n v="11"/>
    <x v="3"/>
    <x v="1"/>
    <s v="LS / DC"/>
    <s v="VRB0529"/>
    <n v="600"/>
    <d v="2022-10-22T00:00:00"/>
    <d v="2022-10-25T00:00:00"/>
    <d v="2022-11-03T00:00:00"/>
    <s v="RIB"/>
    <d v="2022-11-15T00:00:00"/>
    <d v="2022-11-15T00:00:00"/>
    <d v="2022-11-28T00:00:00"/>
    <m/>
    <m/>
    <m/>
    <m/>
    <m/>
    <m/>
    <m/>
    <m/>
    <m/>
    <m/>
    <s v="ZOCZEK"/>
    <s v="Guillaume"/>
    <n v="4"/>
    <n v="43486"/>
    <n v="10"/>
    <s v="montée pinet"/>
    <n v="38210"/>
    <x v="15"/>
    <s v="06 50 93 09 47"/>
    <s v="guillaumezoczek@yahoo.fr"/>
    <s v="PO"/>
    <m/>
    <m/>
    <m/>
    <m/>
    <m/>
    <m/>
    <x v="59"/>
    <x v="10"/>
    <s v="Mr ALBANET"/>
    <s v="contact@alpp-plomberie.fr"/>
    <s v="04 76 53 00 02"/>
    <m/>
    <s v="oui"/>
    <d v="2023-06-25T00:00:00"/>
    <s v="foyer ouvert"/>
    <n v="1980"/>
    <x v="0"/>
    <x v="1"/>
    <s v=" MORVAN"/>
    <s v="Horizon'L"/>
    <n v="19"/>
    <n v="8.1"/>
    <n v="80"/>
    <n v="750"/>
    <s v="FV7"/>
    <m/>
    <n v="5096.71"/>
    <m/>
    <m/>
    <m/>
    <n v="1120"/>
    <n v="6216.71"/>
    <n v="341.91905000000003"/>
    <n v="6558.6290500000005"/>
    <m/>
    <s v="oui"/>
    <m/>
    <m/>
    <s v="ADEME 2022"/>
    <s v="Facturation AGEDEN 2022"/>
  </r>
  <r>
    <x v="4"/>
    <n v="11"/>
    <x v="3"/>
    <x v="1"/>
    <s v="LS / DC"/>
    <s v="VRB0530"/>
    <n v="600"/>
    <d v="2022-10-23T00:00:00"/>
    <d v="2022-10-25T00:00:00"/>
    <s v="-"/>
    <s v="-"/>
    <d v="2022-11-15T00:00:00"/>
    <d v="2022-11-15T00:00:00"/>
    <d v="2022-11-28T00:00:00"/>
    <m/>
    <m/>
    <m/>
    <m/>
    <m/>
    <m/>
    <m/>
    <m/>
    <m/>
    <m/>
    <s v="Mr MONIN et Mme CALVAYRAC"/>
    <s v="Sébastien et Julie"/>
    <n v="3"/>
    <n v="59701"/>
    <n v="1512"/>
    <s v="Route de Tolvon"/>
    <n v="38960"/>
    <x v="22"/>
    <s v="06 31 60 19 55"/>
    <s v="seb.monin@gmail.com"/>
    <s v="PO"/>
    <m/>
    <m/>
    <m/>
    <m/>
    <m/>
    <m/>
    <x v="5"/>
    <x v="5"/>
    <s v="Mr MOCELLIN"/>
    <s v="godin-grenoble@orange.fr"/>
    <s v="04 74 93 43 16"/>
    <m/>
    <s v="oui"/>
    <d v="2023-03-21T00:00:00"/>
    <s v="foyer ouvert"/>
    <s v="&lt;2002"/>
    <x v="0"/>
    <x v="1"/>
    <s v="GODIN"/>
    <s v="Montany"/>
    <m/>
    <n v="7.5"/>
    <n v="75"/>
    <m/>
    <s v="FV7"/>
    <m/>
    <n v="9430"/>
    <m/>
    <m/>
    <m/>
    <n v="995"/>
    <n v="10425"/>
    <n v="573.375"/>
    <n v="10998.375"/>
    <m/>
    <s v="NC"/>
    <m/>
    <m/>
    <s v="ADEME 2022"/>
    <s v="Facturation AGEDEN 2022"/>
  </r>
  <r>
    <x v="4"/>
    <n v="11"/>
    <x v="3"/>
    <x v="1"/>
    <s v="LS / DC"/>
    <s v="VRB0531"/>
    <n v="600"/>
    <d v="2022-10-24T00:00:00"/>
    <d v="2022-10-25T00:00:00"/>
    <d v="2022-11-03T00:00:00"/>
    <s v="RIB"/>
    <d v="2022-11-15T00:00:00"/>
    <d v="2022-11-15T00:00:00"/>
    <d v="2022-11-28T00:00:00"/>
    <m/>
    <d v="2023-01-30T00:00:00"/>
    <d v="2022-12-20T00:00:00"/>
    <s v="attestation de destruction"/>
    <d v="2023-02-17T00:00:00"/>
    <d v="2023-02-17T00:00:00"/>
    <m/>
    <m/>
    <m/>
    <m/>
    <s v="BONAPFEL"/>
    <s v="Stephane"/>
    <n v="3"/>
    <n v="56369"/>
    <n v="60"/>
    <s v="Allée des Treilles"/>
    <n v="38340"/>
    <x v="17"/>
    <s v="06 72 69 07 81"/>
    <s v="stephane.bonapfel@gmail.com"/>
    <s v="PO"/>
    <m/>
    <m/>
    <m/>
    <m/>
    <m/>
    <m/>
    <x v="26"/>
    <x v="19"/>
    <s v="FARVELLI Renato"/>
    <s v="renatofarvelli@poelesgranules.fr"/>
    <s v="06 64 56 69 78"/>
    <m/>
    <s v="oui"/>
    <d v="2023-06-30T00:00:00"/>
    <s v="foyer ouvert"/>
    <n v="1980"/>
    <x v="0"/>
    <x v="0"/>
    <s v="EDILKAMIN"/>
    <s v="Cherie 9 Evo"/>
    <n v="14"/>
    <n v="9.3000000000000007"/>
    <n v="92.5"/>
    <n v="15"/>
    <s v="FV7"/>
    <m/>
    <n v="6601"/>
    <m/>
    <m/>
    <m/>
    <n v="687"/>
    <n v="7288"/>
    <n v="400.84"/>
    <n v="7688.84"/>
    <n v="5000"/>
    <s v="non"/>
    <m/>
    <m/>
    <s v="ADEME 2022"/>
    <s v="Facturation AGEDEN 2022"/>
  </r>
  <r>
    <x v="4"/>
    <n v="11"/>
    <x v="3"/>
    <x v="1"/>
    <s v="LS / DC"/>
    <s v="VRB0532"/>
    <n v="600"/>
    <d v="2022-10-25T00:00:00"/>
    <d v="2022-11-02T00:00:00"/>
    <s v="-"/>
    <s v="-"/>
    <d v="2022-11-15T00:00:00"/>
    <d v="2022-11-15T00:00:00"/>
    <d v="2022-11-28T00:00:00"/>
    <m/>
    <d v="2022-12-29T00:00:00"/>
    <d v="2022-12-08T00:00:00"/>
    <s v="-"/>
    <d v="2023-01-06T00:00:00"/>
    <d v="2023-01-06T00:00:00"/>
    <m/>
    <m/>
    <m/>
    <m/>
    <s v="TORINESI"/>
    <s v="Fabien"/>
    <n v="6"/>
    <n v="133235"/>
    <n v="111"/>
    <s v="Chemin du petit ture"/>
    <n v="38960"/>
    <x v="11"/>
    <n v="660036509"/>
    <s v="fto38@orange.fr"/>
    <s v="PO"/>
    <m/>
    <m/>
    <m/>
    <m/>
    <m/>
    <m/>
    <x v="14"/>
    <x v="1"/>
    <s v="MR SIMON"/>
    <s v="contact@ecvoiron.fr"/>
    <s v="04 76 06 99 38"/>
    <m/>
    <s v="oui"/>
    <d v="2023-09-18T00:00:00"/>
    <s v="foyer ouvert"/>
    <n v="1996"/>
    <x v="2"/>
    <x v="1"/>
    <s v="Panorama"/>
    <s v=" Kamine 57/40/85/40"/>
    <n v="13"/>
    <n v="13.4"/>
    <n v="81.099999999999994"/>
    <n v="911"/>
    <s v="registre"/>
    <m/>
    <n v="7582"/>
    <m/>
    <m/>
    <m/>
    <n v="0"/>
    <n v="7582"/>
    <n v="417.01"/>
    <n v="7999.01"/>
    <n v="7999.01"/>
    <s v="non"/>
    <m/>
    <m/>
    <s v="ADEME 2022"/>
    <s v="Facturation AGEDEN 2022"/>
  </r>
  <r>
    <x v="4"/>
    <n v="11"/>
    <x v="3"/>
    <x v="1"/>
    <s v="LS / DC"/>
    <s v="VRB0533"/>
    <n v="600"/>
    <d v="2022-10-25T00:00:00"/>
    <d v="2022-11-02T00:00:00"/>
    <s v="-"/>
    <s v="-"/>
    <d v="2022-11-15T00:00:00"/>
    <d v="2022-11-15T00:00:00"/>
    <d v="2022-11-28T00:00:00"/>
    <m/>
    <m/>
    <m/>
    <m/>
    <m/>
    <m/>
    <m/>
    <m/>
    <m/>
    <m/>
    <s v="SAGE"/>
    <s v="Jean-Louis &amp; Christiane"/>
    <n v="2"/>
    <n v="76410"/>
    <n v="62"/>
    <s v="Allée des lauriers"/>
    <n v="38340"/>
    <x v="17"/>
    <n v="631610264"/>
    <s v="jeanlouis.sage@gmail.com"/>
    <s v="PO"/>
    <m/>
    <m/>
    <m/>
    <m/>
    <m/>
    <m/>
    <x v="16"/>
    <x v="10"/>
    <s v="ALO Lorenzo"/>
    <s v="cheminees.jay@orange.fr"/>
    <s v="04 76 50 05 50"/>
    <s v="-"/>
    <s v="oui"/>
    <d v="2023-07-30T00:00:00"/>
    <s v="foyer ouvert"/>
    <n v="1980"/>
    <x v="0"/>
    <x v="1"/>
    <s v="TURBO FONTE"/>
    <s v="KARL 100 F"/>
    <n v="29"/>
    <n v="9.1999999999999993"/>
    <n v="77.400000000000006"/>
    <n v="762"/>
    <s v="FV7"/>
    <m/>
    <n v="4692.1900000000005"/>
    <m/>
    <m/>
    <m/>
    <n v="1021.34"/>
    <n v="5713.5300000000007"/>
    <n v="314.24415000000005"/>
    <n v="6027.7741500000011"/>
    <m/>
    <s v="oui"/>
    <m/>
    <m/>
    <s v="ADEME 2022"/>
    <s v="Facturation AGEDEN 2022"/>
  </r>
  <r>
    <x v="4"/>
    <n v="11"/>
    <x v="3"/>
    <x v="1"/>
    <s v="FZO"/>
    <s v="VRB0534"/>
    <n v="600"/>
    <d v="2022-10-29T00:00:00"/>
    <d v="2022-11-02T00:00:00"/>
    <s v="-"/>
    <s v="-"/>
    <d v="2022-11-22T00:00:00"/>
    <d v="2022-11-22T00:00:00"/>
    <d v="2022-12-05T00:00:00"/>
    <m/>
    <d v="2023-01-04T00:00:00"/>
    <d v="2022-12-24T00:00:00"/>
    <s v="-"/>
    <d v="2023-01-30T00:00:00"/>
    <d v="2023-01-30T00:00:00"/>
    <m/>
    <m/>
    <m/>
    <m/>
    <s v="MARTINETTO"/>
    <s v="Alain"/>
    <n v="2"/>
    <n v="81738"/>
    <n v="110"/>
    <s v="Impasse du mollard de la sauge"/>
    <n v="38620"/>
    <x v="27"/>
    <n v="682617086"/>
    <s v="monique.martinetto@orange.fr"/>
    <s v="PO"/>
    <m/>
    <m/>
    <m/>
    <m/>
    <m/>
    <m/>
    <x v="55"/>
    <x v="0"/>
    <s v="Mr CARRE"/>
    <s v="marketing@carre-f.com"/>
    <s v="04 76 37 03 50"/>
    <m/>
    <s v="oui"/>
    <d v="2023-09-17T00:00:00"/>
    <s v="foyer ouvert"/>
    <n v="1980"/>
    <x v="2"/>
    <x v="1"/>
    <s v="LACUNZA"/>
    <s v="ADOUR-600"/>
    <m/>
    <m/>
    <m/>
    <m/>
    <s v="FV7"/>
    <m/>
    <n v="3253.6"/>
    <m/>
    <m/>
    <m/>
    <n v="790"/>
    <n v="4043.6"/>
    <n v="222.398"/>
    <n v="4265.9979999999996"/>
    <n v="4266"/>
    <s v="oui"/>
    <m/>
    <m/>
    <s v="ADEME 2022"/>
    <s v="Facturation AGEDEN 2022"/>
  </r>
  <r>
    <x v="3"/>
    <n v="1"/>
    <x v="5"/>
    <x v="4"/>
    <m/>
    <m/>
    <m/>
    <m/>
    <m/>
    <m/>
    <m/>
    <m/>
    <m/>
    <m/>
    <m/>
    <m/>
    <m/>
    <m/>
    <m/>
    <m/>
    <m/>
    <m/>
    <m/>
    <m/>
    <m/>
    <m/>
    <m/>
    <m/>
    <m/>
    <m/>
    <m/>
    <x v="37"/>
    <m/>
    <m/>
    <m/>
    <m/>
    <m/>
    <m/>
    <m/>
    <m/>
    <m/>
    <x v="41"/>
    <x v="38"/>
    <m/>
    <m/>
    <m/>
    <m/>
    <m/>
    <m/>
    <s v="poêle"/>
    <m/>
    <x v="0"/>
    <x v="1"/>
    <m/>
    <m/>
    <m/>
    <m/>
    <m/>
    <m/>
    <m/>
    <m/>
    <m/>
    <m/>
    <m/>
    <m/>
    <m/>
    <m/>
    <m/>
    <m/>
    <m/>
    <m/>
    <m/>
    <m/>
    <m/>
    <m/>
  </r>
  <r>
    <x v="4"/>
    <n v="11"/>
    <x v="3"/>
    <x v="1"/>
    <s v="FZO"/>
    <s v="VRB0536"/>
    <n v="600"/>
    <d v="2022-11-14T00:00:00"/>
    <d v="2022-11-14T00:00:00"/>
    <d v="2022-11-18T00:00:00"/>
    <s v="TF"/>
    <d v="2022-11-22T00:00:00"/>
    <d v="2022-11-22T00:00:00"/>
    <d v="2022-12-05T00:00:00"/>
    <m/>
    <m/>
    <m/>
    <m/>
    <m/>
    <m/>
    <m/>
    <m/>
    <m/>
    <m/>
    <s v="BRISSE"/>
    <s v="Christian"/>
    <n v="2"/>
    <n v="36956"/>
    <n v="66"/>
    <s v="Allée des lauriers"/>
    <n v="38340"/>
    <x v="17"/>
    <n v="781661015"/>
    <s v="christian.brisse@gmail.com"/>
    <s v="PO"/>
    <m/>
    <m/>
    <m/>
    <m/>
    <m/>
    <m/>
    <x v="16"/>
    <x v="10"/>
    <s v="ALO Lorenzo"/>
    <s v="cheminees.jay@orange.fr"/>
    <s v="04 76 50 05 50"/>
    <s v="-"/>
    <s v="oui"/>
    <d v="2023-07-30T00:00:00"/>
    <s v="insert / foyer fermé"/>
    <n v="1997"/>
    <x v="0"/>
    <x v="1"/>
    <s v="TURBO FONTE"/>
    <s v=" JAZZ 4 kW"/>
    <m/>
    <m/>
    <m/>
    <m/>
    <s v="FV7"/>
    <m/>
    <n v="5314.38"/>
    <m/>
    <m/>
    <m/>
    <n v="900"/>
    <n v="5829.38"/>
    <n v="320.61590000000001"/>
    <n v="6149.9958999999999"/>
    <m/>
    <s v="oui"/>
    <m/>
    <m/>
    <s v="ADEME 2022"/>
    <s v="Facturation AGEDEN 2022"/>
  </r>
  <r>
    <x v="4"/>
    <n v="11"/>
    <x v="3"/>
    <x v="2"/>
    <s v="FZO"/>
    <s v="VRB0537"/>
    <n v="1000"/>
    <d v="2022-11-15T00:00:00"/>
    <d v="2022-11-17T00:00:00"/>
    <s v="-"/>
    <s v="-"/>
    <d v="2022-11-22T00:00:00"/>
    <d v="2022-11-22T00:00:00"/>
    <m/>
    <m/>
    <m/>
    <m/>
    <m/>
    <m/>
    <m/>
    <m/>
    <m/>
    <m/>
    <m/>
    <s v="LE NEOL"/>
    <s v="Pascal"/>
    <n v="2"/>
    <n v="28450"/>
    <n v="75"/>
    <s v="Impasse la truitière"/>
    <n v="38850"/>
    <x v="5"/>
    <n v="768096417"/>
    <s v="pascal.le-neol@orange.fr"/>
    <s v="PO"/>
    <m/>
    <m/>
    <m/>
    <m/>
    <m/>
    <m/>
    <x v="55"/>
    <x v="0"/>
    <s v="Mr CARRE"/>
    <s v="marketing@carre-f.com"/>
    <s v="04 76 37 03 50"/>
    <m/>
    <s v="oui"/>
    <d v="2023-09-17T00:00:00"/>
    <s v="poêle"/>
    <n v="1985"/>
    <x v="0"/>
    <x v="0"/>
    <s v="PALAZZETTI"/>
    <s v="MARIANNE 6 KW"/>
    <m/>
    <m/>
    <m/>
    <m/>
    <s v="FV7"/>
    <m/>
    <n v="6183"/>
    <m/>
    <m/>
    <m/>
    <n v="890"/>
    <n v="7073"/>
    <n v="389.01499999999999"/>
    <n v="7462.0150000000003"/>
    <m/>
    <s v="oui"/>
    <m/>
    <m/>
    <s v="ADEME 2022"/>
    <s v="Facturation AGEDEN 2022"/>
  </r>
  <r>
    <x v="4"/>
    <n v="12"/>
    <x v="3"/>
    <x v="2"/>
    <s v="FZO"/>
    <s v="VRB0538"/>
    <n v="1000"/>
    <d v="2022-11-16T00:00:00"/>
    <d v="2022-11-17T00:00:00"/>
    <d v="2022-11-22T00:00:00"/>
    <s v="rib a la bonne adresse"/>
    <d v="2022-12-05T00:00:00"/>
    <d v="2022-12-05T00:00:00"/>
    <d v="2022-12-14T00:00:00"/>
    <m/>
    <m/>
    <m/>
    <m/>
    <m/>
    <m/>
    <m/>
    <m/>
    <m/>
    <m/>
    <s v="VELLA"/>
    <s v="Jean Pierre"/>
    <n v="2"/>
    <n v="21850"/>
    <s v="481 B"/>
    <s v="Rue du Bruisson Rond"/>
    <n v="38730"/>
    <x v="5"/>
    <n v="622824490"/>
    <s v="elisa.haussmann@isere.fr"/>
    <s v="PO"/>
    <m/>
    <m/>
    <m/>
    <m/>
    <m/>
    <m/>
    <x v="39"/>
    <x v="30"/>
    <s v="BARGEL Jonathan"/>
    <s v="jonathan.barguel@philippeisere.fr"/>
    <n v="476663386"/>
    <s v="-"/>
    <s v="oui"/>
    <d v="2023-06-19T00:00:00"/>
    <s v="insert / foyer fermé"/>
    <n v="1987"/>
    <x v="2"/>
    <x v="1"/>
    <s v="CHEMINEES PHILIPPE"/>
    <s v="ANTHEM 75"/>
    <m/>
    <m/>
    <m/>
    <m/>
    <s v="FV7"/>
    <m/>
    <n v="5636.6"/>
    <m/>
    <m/>
    <m/>
    <n v="550"/>
    <n v="6186.6"/>
    <n v="340.26300000000003"/>
    <n v="6526.8630000000003"/>
    <m/>
    <s v="oui"/>
    <m/>
    <m/>
    <s v="ADEME 2022"/>
    <s v="Facturation AGEDEN 2022"/>
  </r>
  <r>
    <x v="3"/>
    <n v="1"/>
    <x v="3"/>
    <x v="2"/>
    <s v="FZO"/>
    <s v="VRB0539"/>
    <n v="1000"/>
    <d v="2022-11-16T00:00:00"/>
    <d v="2022-11-17T00:00:00"/>
    <d v="2022-11-22T00:00:00"/>
    <s v="rib à la bonne adresse + photo plan large/ Mail certificat RGE 09/12/22"/>
    <m/>
    <m/>
    <m/>
    <m/>
    <m/>
    <m/>
    <m/>
    <m/>
    <m/>
    <m/>
    <m/>
    <m/>
    <m/>
    <s v="MENON"/>
    <s v="Jacqueline"/>
    <n v="1"/>
    <n v="17007"/>
    <n v="103"/>
    <s v="Chemin de la cote querre"/>
    <n v="38960"/>
    <x v="22"/>
    <n v="476060465"/>
    <s v="geo130590@hotmail.com"/>
    <s v="PO"/>
    <m/>
    <m/>
    <m/>
    <m/>
    <m/>
    <m/>
    <x v="1"/>
    <x v="1"/>
    <s v="LIBER Jean-Christophe"/>
    <s v="poelesetcuisinierespassion@gmail.com"/>
    <s v="04 76 07 14 61"/>
    <m/>
    <s v="oui"/>
    <d v="2022-11-03T00:00:00"/>
    <s v="foyer ouvert"/>
    <n v="1974"/>
    <x v="0"/>
    <x v="0"/>
    <s v="MCZ"/>
    <s v="SUITE AIR 10 M2"/>
    <m/>
    <m/>
    <m/>
    <m/>
    <s v="FV7"/>
    <m/>
    <n v="6478"/>
    <m/>
    <m/>
    <m/>
    <n v="460"/>
    <n v="5728"/>
    <n v="315.04000000000002"/>
    <n v="6043.04"/>
    <m/>
    <m/>
    <m/>
    <m/>
    <m/>
    <m/>
  </r>
  <r>
    <x v="3"/>
    <n v="1"/>
    <x v="4"/>
    <x v="0"/>
    <s v="FZO"/>
    <s v="VRB0540"/>
    <n v="600"/>
    <d v="2022-11-18T00:00:00"/>
    <s v="-"/>
    <d v="2022-11-24T00:00:00"/>
    <s v="photo plan large"/>
    <m/>
    <m/>
    <m/>
    <m/>
    <m/>
    <m/>
    <m/>
    <m/>
    <m/>
    <m/>
    <m/>
    <d v="2022-12-05T00:00:00"/>
    <s v="l'appareil pas en foncion /pas de tubage dans le conduit de cheminée"/>
    <s v="GERGAUD"/>
    <s v="Patrice et Myrian"/>
    <n v="5"/>
    <n v="72229"/>
    <n v="64"/>
    <s v="Rue de la grande montée"/>
    <n v="38500"/>
    <x v="4"/>
    <n v="670764697"/>
    <s v="patrice.gergaud@orange.fr"/>
    <s v="PO"/>
    <m/>
    <m/>
    <m/>
    <m/>
    <m/>
    <m/>
    <x v="49"/>
    <x v="2"/>
    <s v="M. CALVET"/>
    <s v="grenoble@hase-boutique.fr"/>
    <n v="476452433"/>
    <s v="-"/>
    <s v="oui"/>
    <d v="2023-01-28T00:00:00"/>
    <s v="foyer ouvert"/>
    <s v="&gt;100 ans"/>
    <x v="0"/>
    <x v="0"/>
    <s v="JOLLY MEC"/>
    <s v="I-Dea2 Angolare 9 kW UP"/>
    <m/>
    <m/>
    <m/>
    <m/>
    <s v="registre"/>
    <m/>
    <n v="7832.7"/>
    <m/>
    <m/>
    <m/>
    <n v="130"/>
    <n v="7962.7"/>
    <n v="437.94849999999997"/>
    <n v="8400.6484999999993"/>
    <m/>
    <s v="non"/>
    <m/>
    <m/>
    <n v="0"/>
    <s v="Refusé phase initiale"/>
  </r>
  <r>
    <x v="4"/>
    <n v="11"/>
    <x v="3"/>
    <x v="2"/>
    <s v="FZO"/>
    <s v="VRB0541"/>
    <n v="1000"/>
    <d v="2022-11-18T00:00:00"/>
    <s v="-"/>
    <s v="-"/>
    <s v="-"/>
    <d v="2022-11-24T00:00:00"/>
    <d v="2022-11-24T00:00:00"/>
    <d v="2022-12-05T00:00:00"/>
    <m/>
    <m/>
    <m/>
    <m/>
    <m/>
    <m/>
    <m/>
    <m/>
    <m/>
    <m/>
    <s v="CAMERON"/>
    <s v="James"/>
    <n v="4"/>
    <n v="7330"/>
    <n v="71"/>
    <s v="Chemin de simandre"/>
    <n v="38850"/>
    <x v="5"/>
    <n v="760944017"/>
    <s v="cameron2507@gmail.com"/>
    <s v="PO"/>
    <m/>
    <m/>
    <m/>
    <m/>
    <m/>
    <m/>
    <x v="3"/>
    <x v="3"/>
    <s v="TROUBA"/>
    <s v="commerciale@flammeiseroise.com"/>
    <s v="04 74 43 04 11"/>
    <s v="-"/>
    <s v="oui"/>
    <d v="2023-04-28T00:00:00"/>
    <s v="poêle"/>
    <n v="2000"/>
    <x v="0"/>
    <x v="1"/>
    <s v="ROMOTOP"/>
    <s v="Ovalis Accum"/>
    <m/>
    <m/>
    <m/>
    <m/>
    <s v="FV7"/>
    <m/>
    <n v="3755"/>
    <m/>
    <m/>
    <m/>
    <n v="1150"/>
    <n v="4905"/>
    <n v="269.77499999999998"/>
    <n v="5174.7749999999996"/>
    <m/>
    <s v="oui"/>
    <m/>
    <m/>
    <s v="ADEME 2022"/>
    <s v="Facturation AGEDEN 2022"/>
  </r>
  <r>
    <x v="4"/>
    <n v="11"/>
    <x v="3"/>
    <x v="1"/>
    <s v="FZO"/>
    <s v="VRB0542"/>
    <n v="600"/>
    <d v="2022-11-20T00:00:00"/>
    <s v="-"/>
    <s v="-"/>
    <s v="-"/>
    <d v="2022-11-24T00:00:00"/>
    <d v="2022-11-24T00:00:00"/>
    <d v="2022-12-05T00:00:00"/>
    <m/>
    <m/>
    <m/>
    <m/>
    <m/>
    <m/>
    <m/>
    <m/>
    <m/>
    <m/>
    <s v="DA COSTA"/>
    <s v="Marcio"/>
    <n v="4"/>
    <n v="50092"/>
    <s v="171 E"/>
    <s v="Chemin des vignes"/>
    <n v="38140"/>
    <x v="6"/>
    <n v="622272694"/>
    <s v="mars3810@hotmail.fr"/>
    <s v="PO"/>
    <m/>
    <m/>
    <m/>
    <m/>
    <m/>
    <m/>
    <x v="59"/>
    <x v="10"/>
    <s v="M. ALBANET"/>
    <s v="contact@alpp-plomberie.fr"/>
    <n v="768823714"/>
    <s v="-"/>
    <s v="oui"/>
    <d v="2023-06-25T00:00:00"/>
    <s v="foyer ouvert"/>
    <n v="1990"/>
    <x v="0"/>
    <x v="0"/>
    <s v="CHEMINEES DE CHAZELLES"/>
    <s v="ELANCE FULL GLASS"/>
    <m/>
    <m/>
    <m/>
    <m/>
    <s v="FV7"/>
    <m/>
    <n v="4774.91"/>
    <m/>
    <m/>
    <m/>
    <n v="1560"/>
    <n v="6334.91"/>
    <n v="348.42005"/>
    <n v="6683.3300499999996"/>
    <m/>
    <s v="oui"/>
    <m/>
    <m/>
    <s v="ADEME 2022"/>
    <s v="Facturation AGEDEN 2022"/>
  </r>
  <r>
    <x v="4"/>
    <n v="12"/>
    <x v="3"/>
    <x v="2"/>
    <s v="FZO"/>
    <s v="VRB0543"/>
    <n v="1000"/>
    <d v="2022-11-24T00:00:00"/>
    <d v="2022-11-29T00:00:00"/>
    <s v="-"/>
    <s v="-"/>
    <d v="2022-12-02T00:00:00"/>
    <d v="2022-12-02T00:00:00"/>
    <d v="2022-12-14T00:00:00"/>
    <m/>
    <m/>
    <m/>
    <m/>
    <m/>
    <m/>
    <m/>
    <m/>
    <m/>
    <m/>
    <s v="REYNAUD DULAURIER"/>
    <s v="René"/>
    <n v="2"/>
    <n v="10018"/>
    <n v="41"/>
    <s v="Impasse des Tilleuls La Davière"/>
    <n v="38620"/>
    <x v="0"/>
    <n v="688352065"/>
    <s v="rd.rene30624@hotmail.com"/>
    <s v="PO"/>
    <m/>
    <m/>
    <m/>
    <m/>
    <m/>
    <m/>
    <x v="55"/>
    <x v="0"/>
    <s v="Mr CARRE"/>
    <s v="marketing@carre-f.com"/>
    <s v="04 76 37 03 50"/>
    <m/>
    <s v="oui"/>
    <d v="2023-09-17T00:00:00"/>
    <s v="cuisinière"/>
    <n v="1980"/>
    <x v="1"/>
    <x v="1"/>
    <s v="GODIN"/>
    <s v="Chatelaine"/>
    <m/>
    <m/>
    <m/>
    <m/>
    <s v="FV7"/>
    <m/>
    <n v="8870"/>
    <m/>
    <m/>
    <m/>
    <n v="590"/>
    <n v="9460"/>
    <n v="520.29999999999995"/>
    <n v="9980.2999999999993"/>
    <m/>
    <s v="oui"/>
    <m/>
    <m/>
    <s v="ADEME 2022"/>
    <s v="Facturation AGEDEN 2022"/>
  </r>
  <r>
    <x v="4"/>
    <n v="12"/>
    <x v="3"/>
    <x v="1"/>
    <s v="FZO"/>
    <s v="VRB0544"/>
    <n v="600"/>
    <d v="2022-11-24T00:00:00"/>
    <d v="2022-11-29T00:00:00"/>
    <s v="-"/>
    <s v="-"/>
    <d v="2022-12-02T00:00:00"/>
    <d v="2022-12-02T00:00:00"/>
    <d v="2022-12-14T00:00:00"/>
    <m/>
    <m/>
    <m/>
    <m/>
    <m/>
    <m/>
    <m/>
    <m/>
    <m/>
    <m/>
    <s v="MERIAUDEAU"/>
    <s v="Frédéric"/>
    <n v="5"/>
    <n v="156112"/>
    <n v="16"/>
    <s v="Allée des Soupirs"/>
    <n v="38210"/>
    <x v="15"/>
    <n v="627542614"/>
    <s v="fmeriaudeau@gmail.com"/>
    <s v="PO"/>
    <m/>
    <m/>
    <m/>
    <m/>
    <m/>
    <m/>
    <x v="5"/>
    <x v="5"/>
    <s v="M. MOCCELIN"/>
    <s v="godin-grenoble@orange.fr"/>
    <n v="627542614"/>
    <s v="-"/>
    <s v="oui"/>
    <s v=" 21/03/2023"/>
    <s v="foyer ouvert"/>
    <s v="&lt;2002"/>
    <x v="0"/>
    <x v="1"/>
    <s v="CHEMINÉES GODIN"/>
    <s v="CAUCOURT"/>
    <m/>
    <m/>
    <m/>
    <m/>
    <s v="FV7"/>
    <m/>
    <n v="5799"/>
    <m/>
    <m/>
    <m/>
    <n v="750"/>
    <n v="6549"/>
    <n v="360.19499999999999"/>
    <n v="6909.1949999999997"/>
    <m/>
    <s v="oui"/>
    <m/>
    <m/>
    <s v="ADEME 2022"/>
    <s v="Facturation AGEDEN 2022"/>
  </r>
  <r>
    <x v="4"/>
    <n v="12"/>
    <x v="3"/>
    <x v="1"/>
    <s v="FZO"/>
    <s v="VRB0545"/>
    <n v="600"/>
    <d v="2022-11-29T00:00:00"/>
    <d v="2022-11-29T00:00:00"/>
    <d v="2022-12-02T00:00:00"/>
    <s v="Justificatif de domicil + rib à la bn adresse"/>
    <d v="2022-12-05T00:00:00"/>
    <d v="2022-12-05T00:00:00"/>
    <d v="2022-12-14T00:00:00"/>
    <m/>
    <m/>
    <m/>
    <m/>
    <m/>
    <m/>
    <m/>
    <m/>
    <m/>
    <m/>
    <s v="BLANCHIN"/>
    <s v="Christophe"/>
    <n v="4"/>
    <n v="45006"/>
    <n v="9"/>
    <s v="Chemin de Mont Bessey Le Pin"/>
    <n v="38730"/>
    <x v="5"/>
    <n v="685684028"/>
    <s v="bblandech@gmail.com"/>
    <s v="PO"/>
    <m/>
    <m/>
    <m/>
    <m/>
    <m/>
    <m/>
    <x v="39"/>
    <x v="30"/>
    <s v="BARGEL Jonathan"/>
    <s v="jonathan.barguel@philippeisere.fr"/>
    <n v="476663386"/>
    <s v="-"/>
    <s v="oui"/>
    <d v="2023-06-19T00:00:00"/>
    <s v="insert / foyer fermé"/>
    <n v="1983"/>
    <x v="2"/>
    <x v="1"/>
    <s v="CHEMINEES PHILIPPE"/>
    <s v="ANTHEM 75"/>
    <m/>
    <m/>
    <m/>
    <m/>
    <s v="FV7"/>
    <m/>
    <n v="4802.88"/>
    <m/>
    <m/>
    <m/>
    <n v="600"/>
    <n v="5402.88"/>
    <n v="297.15840000000003"/>
    <n v="5700.0384000000004"/>
    <m/>
    <s v="non"/>
    <m/>
    <m/>
    <s v="ADEME 2022"/>
    <s v="Facturation AGEDEN 2022"/>
  </r>
  <r>
    <x v="4"/>
    <n v="12"/>
    <x v="3"/>
    <x v="2"/>
    <s v="FZO"/>
    <s v="VRB0546"/>
    <n v="1000"/>
    <d v="2022-11-30T00:00:00"/>
    <d v="2022-12-05T00:00:00"/>
    <d v="2022-12-09T00:00:00"/>
    <s v="Justificatif de domicil "/>
    <d v="2022-12-15T00:00:00"/>
    <d v="2022-12-15T00:00:00"/>
    <d v="2023-01-05T00:00:00"/>
    <m/>
    <m/>
    <m/>
    <m/>
    <m/>
    <m/>
    <m/>
    <m/>
    <m/>
    <m/>
    <s v="GERENTE"/>
    <s v="Michel"/>
    <n v="1"/>
    <n v="14696"/>
    <n v="36"/>
    <s v="Chemin du Sabot"/>
    <n v="38134"/>
    <x v="23"/>
    <n v="787867894"/>
    <s v="michel.gerente@orange.fr"/>
    <m/>
    <m/>
    <m/>
    <m/>
    <m/>
    <m/>
    <m/>
    <x v="49"/>
    <x v="2"/>
    <s v="M. CALVET"/>
    <s v="grenoble@hase-boutique.fr"/>
    <n v="476452433"/>
    <s v="-"/>
    <s v="oui"/>
    <d v="2023-01-28T00:00:00"/>
    <s v="insert / foyer fermé"/>
    <s v="&lt;1990"/>
    <x v="0"/>
    <x v="1"/>
    <s v="HASE"/>
    <s v="COMO B.20"/>
    <m/>
    <m/>
    <m/>
    <m/>
    <s v="FV7"/>
    <m/>
    <n v="6122.66"/>
    <m/>
    <m/>
    <m/>
    <n v="961.01"/>
    <n v="6613.67"/>
    <n v="363.75184999999999"/>
    <n v="6977.4218499999997"/>
    <m/>
    <s v="non"/>
    <m/>
    <m/>
    <m/>
    <s v="Facturation AGEDEN 2022"/>
  </r>
  <r>
    <x v="3"/>
    <n v="1"/>
    <x v="3"/>
    <x v="1"/>
    <s v="FZO"/>
    <s v="VRB0547"/>
    <n v="600"/>
    <d v="2022-11-30T00:00:00"/>
    <d v="2022-12-05T00:00:00"/>
    <d v="2022-12-09T00:00:00"/>
    <s v=" Certification RGE expirée"/>
    <m/>
    <m/>
    <m/>
    <m/>
    <m/>
    <m/>
    <m/>
    <m/>
    <m/>
    <m/>
    <m/>
    <m/>
    <m/>
    <s v="TIRARD-GATEL"/>
    <s v="Lucien"/>
    <n v="1"/>
    <n v="39174"/>
    <n v="230"/>
    <s v="Route du Trousseau"/>
    <n v="38140"/>
    <x v="12"/>
    <n v="607337565"/>
    <s v="lucien.tirardgatel@gmail.com"/>
    <s v="PO"/>
    <m/>
    <m/>
    <m/>
    <m/>
    <m/>
    <m/>
    <x v="1"/>
    <x v="1"/>
    <s v="LIBER Jean-Christophe"/>
    <s v="poelesetcuisinierespassion@gmail.com"/>
    <s v="04 76 07 14 61"/>
    <m/>
    <s v="oui"/>
    <d v="2022-11-03T00:00:00"/>
    <s v="insert / foyer fermé"/>
    <n v="1998"/>
    <x v="0"/>
    <x v="1"/>
    <s v="FONTE FLAMME"/>
    <s v="Magma"/>
    <m/>
    <m/>
    <m/>
    <m/>
    <s v="FV7"/>
    <m/>
    <n v="4603.71"/>
    <m/>
    <m/>
    <m/>
    <n v="500"/>
    <n v="5103.71"/>
    <n v="280.70405"/>
    <n v="5384.4140500000003"/>
    <m/>
    <s v="oui"/>
    <m/>
    <m/>
    <m/>
    <m/>
  </r>
  <r>
    <x v="4"/>
    <n v="12"/>
    <x v="3"/>
    <x v="1"/>
    <s v="FZO"/>
    <s v="VRB0548"/>
    <n v="600"/>
    <d v="2022-12-01T00:00:00"/>
    <d v="2022-12-05T00:00:00"/>
    <d v="2022-12-09T00:00:00"/>
    <s v="Phto plan large"/>
    <d v="2022-12-12T00:00:00"/>
    <d v="2022-12-12T00:00:00"/>
    <d v="2022-12-14T00:00:00"/>
    <m/>
    <m/>
    <m/>
    <m/>
    <m/>
    <m/>
    <m/>
    <m/>
    <m/>
    <m/>
    <s v="BUCHOU"/>
    <s v="Thièrry"/>
    <n v="2"/>
    <n v="90531"/>
    <n v="35"/>
    <s v="Allée de la Chenaie"/>
    <n v="38340"/>
    <x v="17"/>
    <n v="686932941"/>
    <s v="buchou@club-internet.fr"/>
    <s v="PO"/>
    <m/>
    <m/>
    <m/>
    <m/>
    <m/>
    <m/>
    <x v="16"/>
    <x v="10"/>
    <s v="ALO Lorenzo"/>
    <s v="cheminees.jay@orange.fr"/>
    <s v="04 76 50 05 50"/>
    <s v="-"/>
    <s v="oui"/>
    <d v="2023-07-30T00:00:00"/>
    <s v="foyer ouvert"/>
    <s v="&lt;1996"/>
    <x v="2"/>
    <x v="1"/>
    <s v="TURBO FONTE"/>
    <s v="ELISEO 700 EFFICIENS I"/>
    <m/>
    <m/>
    <m/>
    <m/>
    <s v="FV7"/>
    <m/>
    <n v="5522.46"/>
    <m/>
    <m/>
    <m/>
    <n v="282.27999999999997"/>
    <n v="5804.74"/>
    <n v="319.26069999999999"/>
    <n v="6124.0006999999996"/>
    <m/>
    <s v="oui"/>
    <m/>
    <m/>
    <s v="ADEME 2022"/>
    <s v="Facturation AGEDEN 2022"/>
  </r>
  <r>
    <x v="4"/>
    <n v="12"/>
    <x v="3"/>
    <x v="1"/>
    <s v="FZO"/>
    <s v="VRB0549"/>
    <n v="600"/>
    <d v="2022-12-06T00:00:00"/>
    <d v="2022-12-07T00:00:00"/>
    <s v="-"/>
    <s v="-"/>
    <d v="2022-12-09T00:00:00"/>
    <d v="2022-12-09T00:00:00"/>
    <d v="2022-12-14T00:00:00"/>
    <m/>
    <m/>
    <m/>
    <m/>
    <m/>
    <m/>
    <m/>
    <m/>
    <m/>
    <m/>
    <s v="KRUGER"/>
    <s v="Nicole"/>
    <n v="2"/>
    <n v="45275"/>
    <n v="40"/>
    <s v="Rue Marcel Pagnol"/>
    <n v="38340"/>
    <x v="17"/>
    <n v="476501906"/>
    <s v="nicolekrueger008@gmail.com"/>
    <s v="PO"/>
    <m/>
    <m/>
    <m/>
    <m/>
    <m/>
    <m/>
    <x v="39"/>
    <x v="30"/>
    <s v="BARGEL Jonathan"/>
    <s v="jonathan.bargel@philippeisere.fr"/>
    <n v="476663386"/>
    <s v="-"/>
    <s v="oui"/>
    <d v="2023-06-19T00:00:00"/>
    <s v="foyer ouvert"/>
    <n v="1981"/>
    <x v="2"/>
    <x v="1"/>
    <s v="CHEMINEES PHILIPPE "/>
    <s v="ANTHEM 75"/>
    <m/>
    <m/>
    <m/>
    <m/>
    <s v="FV7"/>
    <m/>
    <n v="4849.7199999999993"/>
    <m/>
    <m/>
    <m/>
    <n v="1250"/>
    <n v="6099.7199999999993"/>
    <n v="335.48459999999994"/>
    <n v="6435.2045999999991"/>
    <m/>
    <s v="oui"/>
    <m/>
    <m/>
    <s v="ADEME 2022"/>
    <s v="Facturation AGEDEN 2022"/>
  </r>
  <r>
    <x v="3"/>
    <n v="1"/>
    <x v="5"/>
    <x v="4"/>
    <m/>
    <m/>
    <m/>
    <m/>
    <m/>
    <m/>
    <m/>
    <m/>
    <m/>
    <m/>
    <m/>
    <m/>
    <m/>
    <m/>
    <m/>
    <m/>
    <m/>
    <m/>
    <m/>
    <m/>
    <m/>
    <m/>
    <m/>
    <m/>
    <m/>
    <m/>
    <m/>
    <x v="37"/>
    <m/>
    <m/>
    <m/>
    <m/>
    <m/>
    <m/>
    <m/>
    <m/>
    <m/>
    <x v="7"/>
    <x v="38"/>
    <m/>
    <m/>
    <m/>
    <m/>
    <m/>
    <m/>
    <s v="insert / foyer fermé"/>
    <m/>
    <x v="0"/>
    <x v="0"/>
    <m/>
    <m/>
    <m/>
    <m/>
    <m/>
    <m/>
    <m/>
    <m/>
    <m/>
    <m/>
    <m/>
    <m/>
    <m/>
    <m/>
    <m/>
    <m/>
    <m/>
    <m/>
    <m/>
    <m/>
    <m/>
    <m/>
  </r>
  <r>
    <x v="4"/>
    <n v="12"/>
    <x v="3"/>
    <x v="1"/>
    <s v="FZO"/>
    <s v="VRB0551"/>
    <n v="600"/>
    <d v="2022-12-12T00:00:00"/>
    <d v="2022-12-15T00:00:00"/>
    <s v="-"/>
    <s v="-"/>
    <d v="2022-12-15T00:00:00"/>
    <d v="2022-12-15T00:00:00"/>
    <d v="2023-01-05T00:00:00"/>
    <m/>
    <m/>
    <m/>
    <m/>
    <m/>
    <m/>
    <m/>
    <m/>
    <m/>
    <m/>
    <s v="MARTINEZ"/>
    <s v="Roger"/>
    <n v="1"/>
    <n v="19645"/>
    <n v="3"/>
    <s v="Lotissement les rivoirs"/>
    <n v="38140"/>
    <x v="12"/>
    <n v="650128259"/>
    <s v="roger.3@hotmail.fr"/>
    <s v="PO"/>
    <m/>
    <m/>
    <m/>
    <m/>
    <m/>
    <m/>
    <x v="14"/>
    <x v="1"/>
    <s v="MR SIMON"/>
    <s v="contact@ecvoiron.fr"/>
    <s v="04 76 06 99 38"/>
    <m/>
    <s v="oui"/>
    <d v="2023-09-18T00:00:00"/>
    <s v="insert / foyer fermé"/>
    <n v="1990"/>
    <x v="0"/>
    <x v="1"/>
    <s v="ROMOTOP"/>
    <s v="Ovalis T"/>
    <m/>
    <m/>
    <m/>
    <m/>
    <s v="FV7"/>
    <m/>
    <n v="3915.84"/>
    <m/>
    <m/>
    <m/>
    <n v="330"/>
    <n v="4245.84"/>
    <n v="233.52120000000002"/>
    <n v="4479.3612000000003"/>
    <m/>
    <m/>
    <m/>
    <m/>
    <s v="ADEME 2023"/>
    <s v="Facturation AGEDEN 2022"/>
  </r>
  <r>
    <x v="3"/>
    <n v="1"/>
    <x v="3"/>
    <x v="1"/>
    <s v="FZO"/>
    <s v="VRB0552"/>
    <n v="600"/>
    <d v="2022-12-15T00:00:00"/>
    <d v="2022-12-16T00:00:00"/>
    <d v="2022-12-16T00:00:00"/>
    <s v="materiel non trouvé/ en attente de labellisation/ eu le 05/01/23"/>
    <m/>
    <m/>
    <m/>
    <m/>
    <m/>
    <m/>
    <m/>
    <m/>
    <m/>
    <m/>
    <m/>
    <m/>
    <m/>
    <s v="DECLOEDT &amp; MONCENIS"/>
    <s v="Anais &amp;Maxime"/>
    <n v="2"/>
    <n v="66004"/>
    <n v="78"/>
    <s v="Chemin du Grifond"/>
    <n v="38620"/>
    <x v="16"/>
    <n v="610646948"/>
    <s v="anais.decloedt@outlook.com"/>
    <s v="PO"/>
    <m/>
    <m/>
    <m/>
    <m/>
    <m/>
    <m/>
    <x v="9"/>
    <x v="3"/>
    <s v="DURANTON Patrick"/>
    <s v=" "/>
    <n v="474432868"/>
    <s v="-"/>
    <s v="oui"/>
    <d v="2023-05-06T00:00:00"/>
    <s v="insert / foyer fermé"/>
    <s v="&lt;1996"/>
    <x v="0"/>
    <x v="0"/>
    <m/>
    <m/>
    <m/>
    <m/>
    <m/>
    <m/>
    <m/>
    <m/>
    <n v="7219"/>
    <m/>
    <m/>
    <m/>
    <n v="800"/>
    <n v="8019"/>
    <n v="441.04500000000002"/>
    <n v="8460.0450000000001"/>
    <m/>
    <s v="oui"/>
    <m/>
    <m/>
    <m/>
    <m/>
  </r>
  <r>
    <x v="3"/>
    <n v="1"/>
    <x v="5"/>
    <x v="4"/>
    <m/>
    <m/>
    <m/>
    <m/>
    <m/>
    <m/>
    <m/>
    <m/>
    <m/>
    <m/>
    <m/>
    <m/>
    <m/>
    <m/>
    <m/>
    <m/>
    <m/>
    <m/>
    <m/>
    <m/>
    <m/>
    <m/>
    <m/>
    <m/>
    <m/>
    <m/>
    <m/>
    <x v="37"/>
    <m/>
    <m/>
    <m/>
    <m/>
    <m/>
    <m/>
    <m/>
    <m/>
    <m/>
    <x v="6"/>
    <x v="38"/>
    <m/>
    <m/>
    <m/>
    <m/>
    <m/>
    <m/>
    <s v="insert / foyer fermé"/>
    <m/>
    <x v="0"/>
    <x v="1"/>
    <m/>
    <m/>
    <m/>
    <m/>
    <m/>
    <m/>
    <m/>
    <m/>
    <m/>
    <m/>
    <m/>
    <m/>
    <m/>
    <m/>
    <m/>
    <m/>
    <m/>
    <m/>
    <m/>
    <m/>
    <m/>
    <m/>
  </r>
  <r>
    <x v="4"/>
    <n v="12"/>
    <x v="3"/>
    <x v="1"/>
    <s v="FZO"/>
    <s v="VRB0554"/>
    <n v="600"/>
    <d v="2022-12-20T00:00:00"/>
    <d v="2022-12-21T00:00:00"/>
    <s v="-"/>
    <s v="-"/>
    <d v="2022-12-21T00:00:00"/>
    <d v="2022-12-21T00:00:00"/>
    <d v="2023-01-05T00:00:00"/>
    <m/>
    <d v="2023-01-30T00:00:00"/>
    <d v="2023-01-11T00:00:00"/>
    <s v="-"/>
    <d v="2023-02-17T00:00:00"/>
    <d v="2023-02-17T00:00:00"/>
    <m/>
    <m/>
    <m/>
    <m/>
    <s v="MARILLAT "/>
    <s v="Yves &amp; Marie Cecile"/>
    <n v="2"/>
    <n v="46454"/>
    <n v="141"/>
    <s v="Chemin des vignes"/>
    <n v="38430"/>
    <x v="28"/>
    <s v="06 43 40 22 83"/>
    <s v="marillat.yves@neuf.fr"/>
    <s v="PO"/>
    <m/>
    <m/>
    <m/>
    <m/>
    <m/>
    <m/>
    <x v="6"/>
    <x v="6"/>
    <s v="Mr FAURE"/>
    <s v="jacques.faure24@wanadoo.fr"/>
    <s v="04 76 35 56 05"/>
    <m/>
    <s v="oui"/>
    <d v="2023-11-18T00:00:00"/>
    <s v="foyer ouvert"/>
    <n v="1985"/>
    <x v="2"/>
    <x v="1"/>
    <s v="FONTE FLAMME "/>
    <s v="VISION 700-8K"/>
    <m/>
    <m/>
    <m/>
    <m/>
    <s v="FV7"/>
    <m/>
    <n v="4492.6899999999996"/>
    <m/>
    <m/>
    <m/>
    <n v="1078.99"/>
    <n v="5571.6799999999994"/>
    <n v="306.44239999999996"/>
    <n v="5878.1223999999993"/>
    <n v="5878.1223999999993"/>
    <s v="non"/>
    <m/>
    <m/>
    <m/>
    <s v="Facturation AGEDEN 2022"/>
  </r>
  <r>
    <x v="3"/>
    <n v="1"/>
    <x v="5"/>
    <x v="4"/>
    <m/>
    <m/>
    <m/>
    <m/>
    <m/>
    <m/>
    <m/>
    <m/>
    <m/>
    <m/>
    <m/>
    <m/>
    <m/>
    <m/>
    <m/>
    <m/>
    <m/>
    <m/>
    <m/>
    <m/>
    <m/>
    <m/>
    <m/>
    <m/>
    <m/>
    <m/>
    <m/>
    <x v="37"/>
    <m/>
    <m/>
    <m/>
    <m/>
    <m/>
    <m/>
    <m/>
    <m/>
    <m/>
    <x v="6"/>
    <x v="38"/>
    <m/>
    <m/>
    <m/>
    <m/>
    <m/>
    <m/>
    <s v="insert / foyer fermé"/>
    <m/>
    <x v="0"/>
    <x v="1"/>
    <m/>
    <m/>
    <m/>
    <m/>
    <m/>
    <m/>
    <m/>
    <m/>
    <m/>
    <m/>
    <m/>
    <m/>
    <m/>
    <m/>
    <m/>
    <m/>
    <m/>
    <m/>
    <m/>
    <m/>
    <m/>
    <m/>
  </r>
  <r>
    <x v="3"/>
    <n v="1"/>
    <x v="3"/>
    <x v="1"/>
    <s v="FZO"/>
    <s v="VRB0556"/>
    <n v="600"/>
    <d v="2022-12-29T00:00:00"/>
    <d v="2023-01-03T00:00:00"/>
    <d v="2023-01-05T00:00:00"/>
    <s v="AI + TF"/>
    <m/>
    <m/>
    <m/>
    <m/>
    <m/>
    <m/>
    <m/>
    <m/>
    <m/>
    <m/>
    <m/>
    <m/>
    <m/>
    <s v="DESPIERRE-CORPORON"/>
    <s v="Gilbert &amp; Colette"/>
    <n v="2"/>
    <n v="32561"/>
    <s v="315C"/>
    <s v="Route des Forges"/>
    <n v="38140"/>
    <x v="6"/>
    <n v="476914359"/>
    <s v="g.c.despierre@aliceadsl.fr"/>
    <s v="PO"/>
    <m/>
    <m/>
    <m/>
    <m/>
    <m/>
    <m/>
    <x v="16"/>
    <x v="10"/>
    <s v="ALO Lorenzo"/>
    <s v="cheminees.jay@orange.fr"/>
    <s v="04 76 50 05 50"/>
    <s v="-"/>
    <s v="oui"/>
    <d v="2023-07-30T00:00:00"/>
    <s v="foyer ouvert"/>
    <n v="1978"/>
    <x v="2"/>
    <x v="1"/>
    <s v="TURBO FONTE"/>
    <s v="ELISEO 700 EFFICIENS I"/>
    <m/>
    <m/>
    <m/>
    <m/>
    <s v="FV7"/>
    <m/>
    <n v="4316.3499999999995"/>
    <m/>
    <m/>
    <m/>
    <n v="1820"/>
    <n v="5676.3499999999995"/>
    <n v="312.19924999999995"/>
    <n v="5988.5492499999991"/>
    <m/>
    <s v="non"/>
    <m/>
    <m/>
    <m/>
    <m/>
  </r>
  <r>
    <x v="3"/>
    <n v="1"/>
    <x v="5"/>
    <x v="4"/>
    <m/>
    <m/>
    <m/>
    <m/>
    <m/>
    <m/>
    <m/>
    <m/>
    <m/>
    <m/>
    <m/>
    <m/>
    <m/>
    <m/>
    <m/>
    <m/>
    <m/>
    <m/>
    <m/>
    <m/>
    <m/>
    <m/>
    <m/>
    <m/>
    <m/>
    <m/>
    <m/>
    <x v="37"/>
    <m/>
    <m/>
    <m/>
    <m/>
    <m/>
    <m/>
    <m/>
    <m/>
    <m/>
    <x v="5"/>
    <x v="38"/>
    <m/>
    <m/>
    <m/>
    <m/>
    <m/>
    <m/>
    <s v="foyer ouvert"/>
    <m/>
    <x v="2"/>
    <x v="1"/>
    <m/>
    <m/>
    <m/>
    <m/>
    <m/>
    <m/>
    <m/>
    <m/>
    <m/>
    <m/>
    <m/>
    <m/>
    <m/>
    <m/>
    <m/>
    <m/>
    <m/>
    <m/>
    <m/>
    <m/>
    <m/>
    <m/>
  </r>
  <r>
    <x v="3"/>
    <n v="1"/>
    <x v="5"/>
    <x v="4"/>
    <m/>
    <m/>
    <m/>
    <m/>
    <m/>
    <m/>
    <m/>
    <m/>
    <m/>
    <m/>
    <m/>
    <m/>
    <m/>
    <m/>
    <m/>
    <m/>
    <m/>
    <m/>
    <m/>
    <m/>
    <m/>
    <m/>
    <m/>
    <m/>
    <m/>
    <m/>
    <m/>
    <x v="37"/>
    <m/>
    <m/>
    <m/>
    <m/>
    <m/>
    <m/>
    <m/>
    <m/>
    <m/>
    <x v="12"/>
    <x v="38"/>
    <m/>
    <m/>
    <m/>
    <m/>
    <m/>
    <m/>
    <s v="foyer ouvert"/>
    <m/>
    <x v="0"/>
    <x v="1"/>
    <m/>
    <m/>
    <m/>
    <m/>
    <m/>
    <m/>
    <m/>
    <m/>
    <m/>
    <m/>
    <m/>
    <m/>
    <m/>
    <m/>
    <m/>
    <m/>
    <m/>
    <m/>
    <m/>
    <m/>
    <m/>
    <m/>
  </r>
  <r>
    <x v="3"/>
    <n v="1"/>
    <x v="5"/>
    <x v="4"/>
    <m/>
    <m/>
    <m/>
    <m/>
    <m/>
    <m/>
    <m/>
    <m/>
    <m/>
    <m/>
    <m/>
    <m/>
    <m/>
    <m/>
    <m/>
    <m/>
    <m/>
    <m/>
    <m/>
    <m/>
    <m/>
    <m/>
    <m/>
    <m/>
    <m/>
    <m/>
    <m/>
    <x v="37"/>
    <m/>
    <m/>
    <m/>
    <m/>
    <m/>
    <m/>
    <m/>
    <m/>
    <m/>
    <x v="7"/>
    <x v="38"/>
    <m/>
    <m/>
    <m/>
    <m/>
    <m/>
    <m/>
    <s v="poêle"/>
    <m/>
    <x v="0"/>
    <x v="1"/>
    <m/>
    <m/>
    <m/>
    <m/>
    <m/>
    <m/>
    <m/>
    <m/>
    <m/>
    <m/>
    <m/>
    <m/>
    <m/>
    <m/>
    <m/>
    <m/>
    <m/>
    <m/>
    <m/>
    <m/>
    <m/>
    <m/>
  </r>
  <r>
    <x v="3"/>
    <n v="1"/>
    <x v="5"/>
    <x v="4"/>
    <m/>
    <m/>
    <m/>
    <m/>
    <m/>
    <m/>
    <m/>
    <m/>
    <m/>
    <m/>
    <m/>
    <m/>
    <m/>
    <m/>
    <m/>
    <m/>
    <m/>
    <m/>
    <m/>
    <m/>
    <m/>
    <m/>
    <m/>
    <m/>
    <m/>
    <m/>
    <m/>
    <x v="37"/>
    <m/>
    <m/>
    <m/>
    <m/>
    <m/>
    <m/>
    <m/>
    <m/>
    <m/>
    <x v="6"/>
    <x v="38"/>
    <m/>
    <m/>
    <m/>
    <m/>
    <m/>
    <m/>
    <s v="insert / foyer fermé"/>
    <m/>
    <x v="0"/>
    <x v="1"/>
    <m/>
    <m/>
    <m/>
    <m/>
    <m/>
    <m/>
    <m/>
    <m/>
    <m/>
    <m/>
    <m/>
    <m/>
    <m/>
    <m/>
    <m/>
    <m/>
    <m/>
    <m/>
    <m/>
    <m/>
    <m/>
    <m/>
  </r>
  <r>
    <x v="3"/>
    <n v="1"/>
    <x v="5"/>
    <x v="4"/>
    <m/>
    <m/>
    <m/>
    <m/>
    <m/>
    <m/>
    <m/>
    <m/>
    <m/>
    <m/>
    <m/>
    <m/>
    <m/>
    <m/>
    <m/>
    <m/>
    <m/>
    <m/>
    <m/>
    <m/>
    <m/>
    <m/>
    <m/>
    <m/>
    <m/>
    <m/>
    <m/>
    <x v="37"/>
    <m/>
    <m/>
    <m/>
    <m/>
    <m/>
    <m/>
    <m/>
    <m/>
    <m/>
    <x v="9"/>
    <x v="38"/>
    <m/>
    <m/>
    <m/>
    <m/>
    <m/>
    <m/>
    <s v="insert / foyer fermé"/>
    <m/>
    <x v="0"/>
    <x v="1"/>
    <m/>
    <m/>
    <m/>
    <m/>
    <m/>
    <m/>
    <m/>
    <m/>
    <m/>
    <m/>
    <m/>
    <m/>
    <m/>
    <m/>
    <m/>
    <m/>
    <m/>
    <m/>
    <m/>
    <m/>
    <m/>
    <m/>
  </r>
  <r>
    <x v="3"/>
    <n v="1"/>
    <x v="5"/>
    <x v="4"/>
    <m/>
    <m/>
    <m/>
    <m/>
    <m/>
    <m/>
    <m/>
    <m/>
    <m/>
    <m/>
    <m/>
    <m/>
    <m/>
    <m/>
    <m/>
    <m/>
    <m/>
    <m/>
    <m/>
    <m/>
    <m/>
    <m/>
    <m/>
    <m/>
    <m/>
    <m/>
    <m/>
    <x v="37"/>
    <m/>
    <m/>
    <m/>
    <m/>
    <m/>
    <m/>
    <m/>
    <m/>
    <m/>
    <x v="39"/>
    <x v="38"/>
    <m/>
    <m/>
    <m/>
    <m/>
    <m/>
    <m/>
    <s v="foyer ouvert"/>
    <m/>
    <x v="0"/>
    <x v="1"/>
    <m/>
    <m/>
    <m/>
    <m/>
    <m/>
    <m/>
    <m/>
    <m/>
    <m/>
    <m/>
    <m/>
    <m/>
    <m/>
    <m/>
    <m/>
    <m/>
    <m/>
    <m/>
    <m/>
    <m/>
    <m/>
    <m/>
  </r>
  <r>
    <x v="3"/>
    <n v="1"/>
    <x v="5"/>
    <x v="4"/>
    <m/>
    <m/>
    <m/>
    <m/>
    <m/>
    <m/>
    <m/>
    <m/>
    <m/>
    <m/>
    <m/>
    <m/>
    <m/>
    <m/>
    <m/>
    <m/>
    <m/>
    <m/>
    <m/>
    <m/>
    <m/>
    <m/>
    <m/>
    <m/>
    <m/>
    <m/>
    <m/>
    <x v="37"/>
    <m/>
    <m/>
    <m/>
    <m/>
    <m/>
    <m/>
    <m/>
    <m/>
    <m/>
    <x v="49"/>
    <x v="38"/>
    <m/>
    <m/>
    <m/>
    <m/>
    <m/>
    <m/>
    <s v="foyer ouvert"/>
    <m/>
    <x v="0"/>
    <x v="1"/>
    <m/>
    <m/>
    <m/>
    <m/>
    <m/>
    <m/>
    <m/>
    <m/>
    <m/>
    <m/>
    <m/>
    <m/>
    <m/>
    <m/>
    <m/>
    <m/>
    <m/>
    <m/>
    <m/>
    <m/>
    <m/>
    <m/>
  </r>
  <r>
    <x v="3"/>
    <n v="1"/>
    <x v="5"/>
    <x v="4"/>
    <m/>
    <m/>
    <m/>
    <m/>
    <m/>
    <m/>
    <m/>
    <m/>
    <m/>
    <m/>
    <m/>
    <m/>
    <m/>
    <m/>
    <m/>
    <m/>
    <m/>
    <m/>
    <m/>
    <m/>
    <m/>
    <m/>
    <m/>
    <m/>
    <m/>
    <m/>
    <m/>
    <x v="37"/>
    <m/>
    <m/>
    <m/>
    <m/>
    <m/>
    <m/>
    <m/>
    <m/>
    <m/>
    <x v="6"/>
    <x v="38"/>
    <m/>
    <m/>
    <m/>
    <m/>
    <m/>
    <m/>
    <s v="poêle"/>
    <m/>
    <x v="0"/>
    <x v="0"/>
    <m/>
    <m/>
    <m/>
    <m/>
    <m/>
    <m/>
    <m/>
    <m/>
    <m/>
    <m/>
    <m/>
    <m/>
    <m/>
    <m/>
    <m/>
    <m/>
    <m/>
    <m/>
    <m/>
    <m/>
    <m/>
    <m/>
  </r>
  <r>
    <x v="3"/>
    <n v="1"/>
    <x v="5"/>
    <x v="4"/>
    <m/>
    <m/>
    <m/>
    <m/>
    <m/>
    <m/>
    <m/>
    <m/>
    <m/>
    <m/>
    <m/>
    <m/>
    <m/>
    <m/>
    <m/>
    <m/>
    <m/>
    <m/>
    <m/>
    <m/>
    <m/>
    <m/>
    <m/>
    <m/>
    <m/>
    <m/>
    <m/>
    <x v="37"/>
    <m/>
    <m/>
    <m/>
    <m/>
    <m/>
    <m/>
    <m/>
    <m/>
    <m/>
    <x v="2"/>
    <x v="38"/>
    <m/>
    <m/>
    <m/>
    <m/>
    <m/>
    <m/>
    <s v="foyer ouvert"/>
    <m/>
    <x v="0"/>
    <x v="1"/>
    <m/>
    <m/>
    <m/>
    <m/>
    <m/>
    <m/>
    <m/>
    <m/>
    <m/>
    <m/>
    <m/>
    <m/>
    <m/>
    <m/>
    <m/>
    <m/>
    <m/>
    <m/>
    <m/>
    <m/>
    <m/>
    <m/>
  </r>
  <r>
    <x v="3"/>
    <n v="1"/>
    <x v="5"/>
    <x v="4"/>
    <m/>
    <m/>
    <m/>
    <m/>
    <m/>
    <m/>
    <m/>
    <m/>
    <m/>
    <m/>
    <m/>
    <m/>
    <m/>
    <m/>
    <m/>
    <m/>
    <m/>
    <m/>
    <m/>
    <m/>
    <m/>
    <m/>
    <m/>
    <m/>
    <m/>
    <m/>
    <m/>
    <x v="37"/>
    <m/>
    <m/>
    <m/>
    <m/>
    <m/>
    <m/>
    <m/>
    <m/>
    <m/>
    <x v="9"/>
    <x v="38"/>
    <m/>
    <m/>
    <m/>
    <m/>
    <m/>
    <m/>
    <s v="foyer ouvert"/>
    <m/>
    <x v="0"/>
    <x v="1"/>
    <m/>
    <m/>
    <m/>
    <m/>
    <m/>
    <m/>
    <m/>
    <m/>
    <m/>
    <m/>
    <m/>
    <m/>
    <m/>
    <m/>
    <m/>
    <m/>
    <m/>
    <m/>
    <m/>
    <m/>
    <m/>
    <m/>
  </r>
  <r>
    <x v="3"/>
    <n v="1"/>
    <x v="5"/>
    <x v="4"/>
    <m/>
    <m/>
    <m/>
    <m/>
    <m/>
    <m/>
    <m/>
    <m/>
    <m/>
    <m/>
    <m/>
    <m/>
    <m/>
    <m/>
    <m/>
    <m/>
    <m/>
    <m/>
    <m/>
    <m/>
    <m/>
    <m/>
    <m/>
    <m/>
    <m/>
    <m/>
    <m/>
    <x v="37"/>
    <m/>
    <m/>
    <m/>
    <m/>
    <m/>
    <m/>
    <m/>
    <m/>
    <m/>
    <x v="39"/>
    <x v="38"/>
    <m/>
    <m/>
    <m/>
    <m/>
    <m/>
    <m/>
    <s v="cuisinière"/>
    <m/>
    <x v="1"/>
    <x v="1"/>
    <m/>
    <m/>
    <m/>
    <m/>
    <m/>
    <m/>
    <m/>
    <m/>
    <m/>
    <m/>
    <m/>
    <m/>
    <m/>
    <m/>
    <m/>
    <m/>
    <m/>
    <m/>
    <m/>
    <m/>
    <m/>
    <m/>
  </r>
  <r>
    <x v="3"/>
    <n v="1"/>
    <x v="5"/>
    <x v="4"/>
    <m/>
    <m/>
    <m/>
    <m/>
    <m/>
    <m/>
    <m/>
    <m/>
    <m/>
    <m/>
    <m/>
    <m/>
    <m/>
    <m/>
    <m/>
    <m/>
    <m/>
    <m/>
    <m/>
    <m/>
    <m/>
    <m/>
    <m/>
    <m/>
    <m/>
    <m/>
    <m/>
    <x v="37"/>
    <m/>
    <m/>
    <m/>
    <m/>
    <m/>
    <m/>
    <m/>
    <m/>
    <m/>
    <x v="2"/>
    <x v="38"/>
    <m/>
    <m/>
    <m/>
    <m/>
    <m/>
    <m/>
    <s v="foyer ouvert"/>
    <m/>
    <x v="0"/>
    <x v="1"/>
    <m/>
    <m/>
    <m/>
    <m/>
    <m/>
    <m/>
    <m/>
    <m/>
    <m/>
    <m/>
    <m/>
    <m/>
    <m/>
    <m/>
    <m/>
    <m/>
    <m/>
    <m/>
    <m/>
    <m/>
    <m/>
    <m/>
  </r>
  <r>
    <x v="3"/>
    <n v="1"/>
    <x v="3"/>
    <x v="1"/>
    <s v="FZO"/>
    <s v="VRB0569"/>
    <n v="600"/>
    <d v="2023-01-24T00:00:00"/>
    <d v="2023-01-26T00:00:00"/>
    <d v="2023-02-14T00:00:00"/>
    <s v="probleme de labellisat°"/>
    <m/>
    <m/>
    <m/>
    <m/>
    <m/>
    <m/>
    <m/>
    <m/>
    <m/>
    <m/>
    <m/>
    <m/>
    <m/>
    <s v="PELLET"/>
    <s v="Maurice"/>
    <n v="2"/>
    <n v="32945"/>
    <n v="653"/>
    <s v="Route de l'Ayat"/>
    <n v="38340"/>
    <x v="23"/>
    <n v="607696361"/>
    <s v="pellet.maurice@gmail.com"/>
    <s v="PO"/>
    <m/>
    <m/>
    <m/>
    <m/>
    <m/>
    <m/>
    <x v="59"/>
    <x v="10"/>
    <s v="M. ALBANET"/>
    <s v="contact@alpp-plomberie.fr"/>
    <n v="768823714"/>
    <s v="-"/>
    <s v="oui"/>
    <d v="2023-06-25T00:00:00"/>
    <s v="foyer ouvert"/>
    <n v="1973"/>
    <x v="0"/>
    <x v="1"/>
    <s v="CHEMINEES DE CHAZELLES"/>
    <s v="RUSTIQUE"/>
    <m/>
    <m/>
    <m/>
    <m/>
    <s v="FV7"/>
    <m/>
    <n v="4930.3"/>
    <m/>
    <m/>
    <m/>
    <n v="990"/>
    <n v="5920.3"/>
    <n v="325.61650000000003"/>
    <n v="6245.9165000000003"/>
    <m/>
    <s v="oui"/>
    <m/>
    <m/>
    <m/>
    <m/>
  </r>
  <r>
    <x v="3"/>
    <n v="1"/>
    <x v="3"/>
    <x v="1"/>
    <s v="FZO"/>
    <s v="VRB0570"/>
    <n v="600"/>
    <d v="2023-02-02T00:00:00"/>
    <d v="2023-02-13T00:00:00"/>
    <d v="2023-02-14T00:00:00"/>
    <s v="Rib à la bonne adresse"/>
    <m/>
    <m/>
    <m/>
    <m/>
    <m/>
    <m/>
    <m/>
    <m/>
    <m/>
    <m/>
    <m/>
    <m/>
    <m/>
    <s v="POIRIER &amp; CHENG"/>
    <s v="Delphine &amp; Kevin "/>
    <n v="2"/>
    <n v="87105"/>
    <n v="185"/>
    <s v="Route de Cerveloup"/>
    <n v="38210"/>
    <x v="3"/>
    <n v="667222307"/>
    <s v="poirier.delphine1@gmail.com"/>
    <s v="PO"/>
    <m/>
    <m/>
    <m/>
    <m/>
    <m/>
    <m/>
    <x v="6"/>
    <x v="6"/>
    <s v="Mr FAURE"/>
    <s v="jacques.faure24@wanadoo.fr"/>
    <s v="04 76 35 56 05"/>
    <s v="-"/>
    <s v="oui"/>
    <d v="2023-11-18T00:00:00"/>
    <s v="insert / foyer fermé"/>
    <s v="&lt;2002"/>
    <x v="2"/>
    <x v="1"/>
    <s v="FONTE FLAMME"/>
    <s v="VISION 775-10K"/>
    <m/>
    <m/>
    <m/>
    <m/>
    <s v="FV7"/>
    <m/>
    <n v="5227.83"/>
    <m/>
    <m/>
    <m/>
    <n v="1175"/>
    <n v="6402.83"/>
    <n v="352.15564999999998"/>
    <n v="6754.9856499999996"/>
    <m/>
    <s v="oui"/>
    <m/>
    <m/>
    <m/>
    <m/>
  </r>
  <r>
    <x v="3"/>
    <n v="1"/>
    <x v="5"/>
    <x v="4"/>
    <m/>
    <m/>
    <m/>
    <m/>
    <m/>
    <m/>
    <m/>
    <m/>
    <m/>
    <m/>
    <m/>
    <m/>
    <m/>
    <m/>
    <m/>
    <m/>
    <m/>
    <m/>
    <m/>
    <m/>
    <m/>
    <m/>
    <m/>
    <m/>
    <m/>
    <m/>
    <m/>
    <x v="37"/>
    <m/>
    <m/>
    <m/>
    <m/>
    <m/>
    <m/>
    <m/>
    <m/>
    <m/>
    <x v="7"/>
    <x v="38"/>
    <m/>
    <m/>
    <m/>
    <m/>
    <m/>
    <m/>
    <s v="foyer ouvert"/>
    <m/>
    <x v="0"/>
    <x v="1"/>
    <m/>
    <m/>
    <m/>
    <m/>
    <m/>
    <m/>
    <m/>
    <m/>
    <m/>
    <m/>
    <m/>
    <m/>
    <m/>
    <m/>
    <m/>
    <m/>
    <m/>
    <m/>
    <m/>
    <m/>
    <m/>
    <m/>
  </r>
  <r>
    <x v="3"/>
    <n v="1"/>
    <x v="3"/>
    <x v="1"/>
    <s v="FZO"/>
    <s v="VRB0572"/>
    <n v="600"/>
    <d v="2023-02-09T00:00:00"/>
    <d v="2023-02-13T00:00:00"/>
    <d v="2023-02-14T00:00:00"/>
    <s v="AI + Photo plan large"/>
    <m/>
    <m/>
    <m/>
    <m/>
    <m/>
    <m/>
    <m/>
    <m/>
    <m/>
    <m/>
    <m/>
    <m/>
    <m/>
    <s v="LESIRE"/>
    <s v="Pauline"/>
    <n v="4"/>
    <n v="78772"/>
    <n v="179"/>
    <s v="Chemin des vachonnes"/>
    <n v="38960"/>
    <x v="22"/>
    <n v="615992693"/>
    <s v="Lesire.pauline@hotmail.fr"/>
    <s v="PO"/>
    <m/>
    <m/>
    <m/>
    <m/>
    <m/>
    <m/>
    <x v="14"/>
    <x v="1"/>
    <s v="MR SIMON"/>
    <s v="contact@ecvoiron.fr"/>
    <s v="04 76 06 99 38"/>
    <s v="-"/>
    <s v="oui"/>
    <d v="2023-09-18T00:00:00"/>
    <s v="foyer ouvert"/>
    <n v="1990"/>
    <x v="0"/>
    <x v="0"/>
    <s v="AUSTROFLAMM"/>
    <s v="CLOU 8 KW"/>
    <m/>
    <m/>
    <m/>
    <m/>
    <s v="FV7"/>
    <m/>
    <n v="9375"/>
    <m/>
    <m/>
    <m/>
    <n v="420"/>
    <n v="9795"/>
    <n v="538.72500000000002"/>
    <n v="10333.725"/>
    <m/>
    <s v="oui"/>
    <m/>
    <m/>
    <m/>
    <m/>
  </r>
  <r>
    <x v="3"/>
    <n v="1"/>
    <x v="5"/>
    <x v="4"/>
    <m/>
    <m/>
    <m/>
    <m/>
    <m/>
    <m/>
    <m/>
    <m/>
    <m/>
    <m/>
    <m/>
    <m/>
    <m/>
    <m/>
    <m/>
    <m/>
    <m/>
    <m/>
    <m/>
    <m/>
    <m/>
    <m/>
    <m/>
    <m/>
    <m/>
    <m/>
    <m/>
    <x v="37"/>
    <m/>
    <m/>
    <m/>
    <m/>
    <m/>
    <m/>
    <m/>
    <m/>
    <m/>
    <x v="2"/>
    <x v="38"/>
    <m/>
    <m/>
    <m/>
    <m/>
    <m/>
    <m/>
    <s v="foyer ouvert"/>
    <m/>
    <x v="0"/>
    <x v="1"/>
    <m/>
    <m/>
    <m/>
    <m/>
    <m/>
    <m/>
    <m/>
    <m/>
    <m/>
    <m/>
    <m/>
    <m/>
    <m/>
    <m/>
    <m/>
    <m/>
    <m/>
    <m/>
    <m/>
    <m/>
    <m/>
    <m/>
  </r>
  <r>
    <x v="5"/>
    <m/>
    <x v="5"/>
    <x v="4"/>
    <m/>
    <m/>
    <m/>
    <m/>
    <m/>
    <m/>
    <m/>
    <m/>
    <m/>
    <m/>
    <m/>
    <m/>
    <m/>
    <m/>
    <m/>
    <m/>
    <m/>
    <m/>
    <m/>
    <m/>
    <m/>
    <m/>
    <m/>
    <m/>
    <m/>
    <m/>
    <m/>
    <x v="37"/>
    <m/>
    <m/>
    <m/>
    <m/>
    <m/>
    <m/>
    <m/>
    <m/>
    <m/>
    <x v="1"/>
    <x v="38"/>
    <m/>
    <m/>
    <m/>
    <m/>
    <m/>
    <m/>
    <s v="foyer ouvert"/>
    <m/>
    <x v="0"/>
    <x v="1"/>
    <m/>
    <m/>
    <m/>
    <m/>
    <m/>
    <m/>
    <m/>
    <m/>
    <m/>
    <m/>
    <m/>
    <m/>
    <m/>
    <m/>
    <m/>
    <m/>
    <m/>
    <m/>
    <m/>
    <m/>
    <m/>
    <m/>
  </r>
  <r>
    <x v="5"/>
    <m/>
    <x v="5"/>
    <x v="4"/>
    <m/>
    <m/>
    <m/>
    <m/>
    <m/>
    <m/>
    <m/>
    <m/>
    <m/>
    <m/>
    <m/>
    <m/>
    <m/>
    <m/>
    <m/>
    <m/>
    <m/>
    <m/>
    <m/>
    <m/>
    <m/>
    <m/>
    <m/>
    <m/>
    <m/>
    <m/>
    <m/>
    <x v="37"/>
    <m/>
    <m/>
    <m/>
    <m/>
    <m/>
    <m/>
    <m/>
    <m/>
    <m/>
    <x v="39"/>
    <x v="38"/>
    <m/>
    <m/>
    <m/>
    <m/>
    <m/>
    <m/>
    <s v="foyer ouvert"/>
    <m/>
    <x v="2"/>
    <x v="1"/>
    <m/>
    <m/>
    <m/>
    <m/>
    <m/>
    <m/>
    <m/>
    <m/>
    <m/>
    <m/>
    <m/>
    <m/>
    <m/>
    <m/>
    <m/>
    <m/>
    <m/>
    <m/>
    <m/>
    <m/>
    <m/>
    <m/>
  </r>
  <r>
    <x v="5"/>
    <m/>
    <x v="5"/>
    <x v="4"/>
    <m/>
    <m/>
    <m/>
    <m/>
    <m/>
    <m/>
    <m/>
    <m/>
    <m/>
    <m/>
    <m/>
    <m/>
    <m/>
    <m/>
    <m/>
    <m/>
    <m/>
    <m/>
    <m/>
    <m/>
    <m/>
    <m/>
    <m/>
    <m/>
    <m/>
    <m/>
    <m/>
    <x v="37"/>
    <m/>
    <m/>
    <m/>
    <m/>
    <m/>
    <m/>
    <m/>
    <m/>
    <m/>
    <x v="39"/>
    <x v="38"/>
    <m/>
    <m/>
    <m/>
    <m/>
    <m/>
    <m/>
    <s v="insert / foyer fermé"/>
    <m/>
    <x v="0"/>
    <x v="0"/>
    <m/>
    <m/>
    <m/>
    <m/>
    <m/>
    <m/>
    <m/>
    <m/>
    <m/>
    <m/>
    <m/>
    <m/>
    <m/>
    <m/>
    <m/>
    <m/>
    <m/>
    <m/>
    <m/>
    <m/>
    <m/>
    <m/>
  </r>
  <r>
    <x v="5"/>
    <m/>
    <x v="5"/>
    <x v="4"/>
    <m/>
    <m/>
    <m/>
    <m/>
    <m/>
    <m/>
    <m/>
    <m/>
    <m/>
    <m/>
    <m/>
    <m/>
    <m/>
    <m/>
    <m/>
    <m/>
    <m/>
    <m/>
    <m/>
    <m/>
    <m/>
    <m/>
    <m/>
    <m/>
    <m/>
    <m/>
    <m/>
    <x v="37"/>
    <m/>
    <m/>
    <m/>
    <m/>
    <m/>
    <m/>
    <m/>
    <m/>
    <m/>
    <x v="9"/>
    <x v="38"/>
    <m/>
    <m/>
    <m/>
    <m/>
    <m/>
    <m/>
    <s v="insert / foyer fermé"/>
    <m/>
    <x v="2"/>
    <x v="1"/>
    <m/>
    <m/>
    <m/>
    <m/>
    <m/>
    <m/>
    <m/>
    <m/>
    <m/>
    <m/>
    <m/>
    <m/>
    <m/>
    <m/>
    <m/>
    <m/>
    <m/>
    <m/>
    <m/>
    <m/>
    <m/>
    <m/>
  </r>
  <r>
    <x v="5"/>
    <m/>
    <x v="5"/>
    <x v="4"/>
    <m/>
    <m/>
    <m/>
    <m/>
    <m/>
    <m/>
    <m/>
    <m/>
    <m/>
    <m/>
    <m/>
    <m/>
    <m/>
    <m/>
    <m/>
    <m/>
    <m/>
    <m/>
    <m/>
    <m/>
    <m/>
    <m/>
    <m/>
    <m/>
    <m/>
    <m/>
    <m/>
    <x v="37"/>
    <m/>
    <m/>
    <m/>
    <m/>
    <m/>
    <m/>
    <m/>
    <m/>
    <m/>
    <x v="55"/>
    <x v="38"/>
    <m/>
    <m/>
    <m/>
    <m/>
    <m/>
    <m/>
    <s v="foyer ouvert"/>
    <m/>
    <x v="0"/>
    <x v="1"/>
    <m/>
    <m/>
    <m/>
    <m/>
    <m/>
    <m/>
    <m/>
    <m/>
    <m/>
    <m/>
    <m/>
    <m/>
    <m/>
    <m/>
    <m/>
    <m/>
    <m/>
    <m/>
    <m/>
    <m/>
    <m/>
    <m/>
  </r>
  <r>
    <x v="5"/>
    <m/>
    <x v="5"/>
    <x v="4"/>
    <m/>
    <m/>
    <m/>
    <m/>
    <m/>
    <m/>
    <m/>
    <m/>
    <m/>
    <m/>
    <m/>
    <m/>
    <m/>
    <m/>
    <m/>
    <m/>
    <m/>
    <m/>
    <m/>
    <m/>
    <m/>
    <m/>
    <m/>
    <m/>
    <m/>
    <m/>
    <m/>
    <x v="37"/>
    <m/>
    <m/>
    <m/>
    <m/>
    <m/>
    <m/>
    <m/>
    <m/>
    <m/>
    <x v="10"/>
    <x v="38"/>
    <m/>
    <m/>
    <m/>
    <m/>
    <m/>
    <m/>
    <s v="cuisinière"/>
    <m/>
    <x v="0"/>
    <x v="1"/>
    <m/>
    <m/>
    <m/>
    <m/>
    <m/>
    <m/>
    <m/>
    <m/>
    <m/>
    <m/>
    <m/>
    <m/>
    <m/>
    <m/>
    <m/>
    <m/>
    <m/>
    <m/>
    <m/>
    <m/>
    <m/>
    <m/>
  </r>
  <r>
    <x v="5"/>
    <m/>
    <x v="5"/>
    <x v="4"/>
    <m/>
    <m/>
    <m/>
    <m/>
    <m/>
    <m/>
    <m/>
    <m/>
    <m/>
    <m/>
    <m/>
    <m/>
    <m/>
    <m/>
    <m/>
    <m/>
    <m/>
    <m/>
    <m/>
    <m/>
    <m/>
    <m/>
    <m/>
    <m/>
    <m/>
    <m/>
    <m/>
    <x v="37"/>
    <m/>
    <m/>
    <m/>
    <m/>
    <m/>
    <m/>
    <m/>
    <m/>
    <m/>
    <x v="62"/>
    <x v="38"/>
    <m/>
    <m/>
    <m/>
    <m/>
    <m/>
    <m/>
    <s v="insert / foyer fermé"/>
    <m/>
    <x v="0"/>
    <x v="1"/>
    <m/>
    <m/>
    <m/>
    <m/>
    <m/>
    <m/>
    <m/>
    <m/>
    <m/>
    <m/>
    <m/>
    <m/>
    <m/>
    <m/>
    <m/>
    <m/>
    <m/>
    <m/>
    <m/>
    <m/>
    <m/>
    <m/>
  </r>
  <r>
    <x v="5"/>
    <m/>
    <x v="5"/>
    <x v="4"/>
    <m/>
    <m/>
    <m/>
    <m/>
    <m/>
    <m/>
    <m/>
    <m/>
    <m/>
    <m/>
    <m/>
    <m/>
    <m/>
    <m/>
    <m/>
    <m/>
    <m/>
    <m/>
    <m/>
    <m/>
    <m/>
    <m/>
    <m/>
    <m/>
    <m/>
    <m/>
    <m/>
    <x v="37"/>
    <m/>
    <m/>
    <m/>
    <m/>
    <m/>
    <m/>
    <m/>
    <m/>
    <m/>
    <x v="10"/>
    <x v="38"/>
    <m/>
    <m/>
    <m/>
    <m/>
    <m/>
    <m/>
    <s v="foyer ouvert"/>
    <m/>
    <x v="0"/>
    <x v="1"/>
    <m/>
    <m/>
    <m/>
    <m/>
    <m/>
    <m/>
    <m/>
    <m/>
    <m/>
    <m/>
    <m/>
    <m/>
    <m/>
    <m/>
    <m/>
    <m/>
    <m/>
    <m/>
    <m/>
    <m/>
    <m/>
    <m/>
  </r>
  <r>
    <x v="5"/>
    <m/>
    <x v="5"/>
    <x v="4"/>
    <m/>
    <m/>
    <m/>
    <m/>
    <m/>
    <m/>
    <m/>
    <m/>
    <m/>
    <m/>
    <m/>
    <m/>
    <m/>
    <m/>
    <m/>
    <m/>
    <m/>
    <m/>
    <m/>
    <m/>
    <m/>
    <m/>
    <m/>
    <m/>
    <m/>
    <m/>
    <m/>
    <x v="37"/>
    <m/>
    <m/>
    <m/>
    <m/>
    <m/>
    <m/>
    <m/>
    <m/>
    <m/>
    <x v="46"/>
    <x v="38"/>
    <m/>
    <m/>
    <m/>
    <m/>
    <m/>
    <m/>
    <m/>
    <m/>
    <x v="4"/>
    <x v="2"/>
    <m/>
    <m/>
    <m/>
    <m/>
    <m/>
    <m/>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Tableau croisé dynamique1" cacheId="1" applyNumberFormats="0" applyBorderFormats="0" applyFontFormats="0" applyPatternFormats="0" applyAlignmentFormats="0" applyWidthHeightFormats="1" dataCaption="Valeurs" updatedVersion="5" minRefreshableVersion="3" useAutoFormatting="1" itemPrintTitles="1" createdVersion="5" indent="0" outline="1" outlineData="1" multipleFieldFilters="0" chartFormat="25">
  <location ref="A24:B30" firstHeaderRow="1" firstDataRow="1" firstDataCol="1"/>
  <pivotFields count="36">
    <pivotField multipleItemSelectionAllowed="1" showAll="0"/>
    <pivotField showAll="0" defaultSubtotal="0"/>
    <pivotField showAll="0"/>
    <pivotField showAll="0"/>
    <pivotField showAll="0" defaultSubtotal="0"/>
    <pivotField showAll="0" defaultSubtotal="0"/>
    <pivotField showAll="0"/>
    <pivotField showAll="0"/>
    <pivotField showAll="0" defaultSubtotal="0"/>
    <pivotField showAll="0"/>
    <pivotField showAll="0"/>
    <pivotField showAll="0"/>
    <pivotField showAll="0"/>
    <pivotField showAll="0"/>
    <pivotField axis="axisRow" dataField="1" showAll="0">
      <items count="7">
        <item x="1"/>
        <item m="1" x="5"/>
        <item x="0"/>
        <item x="3"/>
        <item x="2"/>
        <item x="4"/>
        <item t="default"/>
      </items>
    </pivotField>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pivotField showAll="0"/>
  </pivotFields>
  <rowFields count="1">
    <field x="14"/>
  </rowFields>
  <rowItems count="6">
    <i>
      <x/>
    </i>
    <i>
      <x v="2"/>
    </i>
    <i>
      <x v="3"/>
    </i>
    <i>
      <x v="4"/>
    </i>
    <i>
      <x v="5"/>
    </i>
    <i t="grand">
      <x/>
    </i>
  </rowItems>
  <colItems count="1">
    <i/>
  </colItems>
  <dataFields count="1">
    <dataField name="Nombre de Usage ancien materiel.Usage ancien matériel" fld="14" subtotal="count" baseField="0" baseItem="0"/>
  </dataFields>
  <formats count="2">
    <format dxfId="41">
      <pivotArea outline="0" collapsedLevelsAreSubtotals="1" fieldPosition="0"/>
    </format>
    <format dxfId="40">
      <pivotArea dataOnly="0" labelOnly="1" grandRow="1" outline="0" fieldPosition="0"/>
    </format>
  </formats>
  <chartFormats count="2">
    <chartFormat chart="0" format="52" series="1">
      <pivotArea type="data" outline="0" fieldPosition="0">
        <references count="1">
          <reference field="4294967294" count="1" selected="0">
            <x v="0"/>
          </reference>
        </references>
      </pivotArea>
    </chartFormat>
    <chartFormat chart="24" format="5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Tableau croisé dynamique9" cacheId="1" applyNumberFormats="0" applyBorderFormats="0" applyFontFormats="0" applyPatternFormats="0" applyAlignmentFormats="0" applyWidthHeightFormats="1" dataCaption="Valeurs" updatedVersion="5" minRefreshableVersion="3" useAutoFormatting="1" itemPrintTitles="1" createdVersion="5" indent="0" outline="1" outlineData="1" multipleFieldFilters="0" chartFormat="25">
  <location ref="G82:G83" firstHeaderRow="1" firstDataRow="1" firstDataCol="0"/>
  <pivotFields count="36">
    <pivotField dataField="1" multipleItemSelectionAllowed="1" showAll="0"/>
    <pivotField showAll="0" defaultSubtotal="0"/>
    <pivotField showAll="0"/>
    <pivotField showAll="0"/>
    <pivotField showAll="0" defaultSubtotal="0"/>
    <pivotField showAll="0" defaultSubtotal="0"/>
    <pivotField showAll="0"/>
    <pivotField showAl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pivotField showAll="0"/>
  </pivotFields>
  <rowItems count="1">
    <i/>
  </rowItems>
  <colItems count="1">
    <i/>
  </colItems>
  <dataFields count="1">
    <dataField name="Nombre de Questionnaire.N° dossier" fld="0" subtotal="count" baseField="0" baseItem="0"/>
  </dataFields>
  <formats count="2">
    <format dxfId="35">
      <pivotArea outline="0" collapsedLevelsAreSubtotals="1" fieldPosition="0"/>
    </format>
    <format dxfId="34">
      <pivotArea dataOnly="0" labelOnly="1" grandRow="1" outline="0" fieldPosition="0"/>
    </format>
  </formats>
  <chartFormats count="2">
    <chartFormat chart="24" format="55" series="1">
      <pivotArea type="data" outline="0" fieldPosition="0">
        <references count="1">
          <reference field="4294967294" count="1" selected="0">
            <x v="0"/>
          </reference>
        </references>
      </pivotArea>
    </chartFormat>
    <chartFormat chart="0" format="5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Tableau croisé dynamique8" cacheId="1" applyNumberFormats="0" applyBorderFormats="0" applyFontFormats="0" applyPatternFormats="0" applyAlignmentFormats="0" applyWidthHeightFormats="1" dataCaption="Valeurs" updatedVersion="5" minRefreshableVersion="3" useAutoFormatting="1" itemPrintTitles="1" createdVersion="5" indent="0" outline="1" outlineData="1" multipleFieldFilters="0" chartFormat="25">
  <location ref="A82:B94" firstHeaderRow="1" firstDataRow="1" firstDataCol="1"/>
  <pivotFields count="36">
    <pivotField dataField="1" multipleItemSelectionAllowed="1" showAll="0"/>
    <pivotField showAll="0" defaultSubtotal="0"/>
    <pivotField showAll="0"/>
    <pivotField showAll="0"/>
    <pivotField showAll="0" defaultSubtotal="0"/>
    <pivotField showAll="0" defaultSubtotal="0"/>
    <pivotField axis="axisRow" showAll="0">
      <items count="12">
        <item x="5"/>
        <item x="1"/>
        <item x="6"/>
        <item x="2"/>
        <item x="7"/>
        <item x="8"/>
        <item x="9"/>
        <item x="3"/>
        <item x="0"/>
        <item x="4"/>
        <item x="10"/>
        <item t="default"/>
      </items>
    </pivotField>
    <pivotField showAl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pivotField showAll="0"/>
  </pivotFields>
  <rowFields count="1">
    <field x="6"/>
  </rowFields>
  <rowItems count="12">
    <i>
      <x/>
    </i>
    <i>
      <x v="1"/>
    </i>
    <i>
      <x v="2"/>
    </i>
    <i>
      <x v="3"/>
    </i>
    <i>
      <x v="4"/>
    </i>
    <i>
      <x v="5"/>
    </i>
    <i>
      <x v="6"/>
    </i>
    <i>
      <x v="7"/>
    </i>
    <i>
      <x v="8"/>
    </i>
    <i>
      <x v="9"/>
    </i>
    <i>
      <x v="10"/>
    </i>
    <i t="grand">
      <x/>
    </i>
  </rowItems>
  <colItems count="1">
    <i/>
  </colItems>
  <dataFields count="1">
    <dataField name="Nombre de Questionnaire.N° dossier" fld="0" subtotal="count" baseField="0" baseItem="0"/>
  </dataFields>
  <formats count="2">
    <format dxfId="37">
      <pivotArea outline="0" collapsedLevelsAreSubtotals="1" fieldPosition="0"/>
    </format>
    <format dxfId="36">
      <pivotArea dataOnly="0" labelOnly="1" grandRow="1" outline="0" fieldPosition="0"/>
    </format>
  </formats>
  <chartFormats count="2">
    <chartFormat chart="24" format="55" series="1">
      <pivotArea type="data" outline="0" fieldPosition="0">
        <references count="1">
          <reference field="4294967294" count="1" selected="0">
            <x v="0"/>
          </reference>
        </references>
      </pivotArea>
    </chartFormat>
    <chartFormat chart="0" format="5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Tableau croisé dynamique7" cacheId="1" applyNumberFormats="0" applyBorderFormats="0" applyFontFormats="0" applyPatternFormats="0" applyAlignmentFormats="0" applyWidthHeightFormats="1" dataCaption="Valeurs" updatedVersion="5" minRefreshableVersion="3" useAutoFormatting="1" itemPrintTitles="1" createdVersion="5" indent="0" outline="1" outlineData="1" multipleFieldFilters="0" chartFormat="25">
  <location ref="D82:E87" firstHeaderRow="1" firstDataRow="1" firstDataCol="1"/>
  <pivotFields count="36">
    <pivotField dataField="1" multipleItemSelectionAllowed="1" showAll="0"/>
    <pivotField showAll="0" defaultSubtotal="0"/>
    <pivotField showAll="0"/>
    <pivotField showAll="0"/>
    <pivotField showAll="0" defaultSubtotal="0"/>
    <pivotField showAll="0" defaultSubtotal="0"/>
    <pivotField showAll="0"/>
    <pivotField showAll="0"/>
    <pivotField showAll="0" defaultSubtotal="0"/>
    <pivotField showAll="0"/>
    <pivotField showAll="0"/>
    <pivotField showAll="0"/>
    <pivotField axis="axisRow" showAll="0">
      <items count="7">
        <item m="1" x="5"/>
        <item x="2"/>
        <item m="1" x="4"/>
        <item x="1"/>
        <item x="0"/>
        <item x="3"/>
        <item t="default"/>
      </items>
    </pivotField>
    <pivotField showAl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pivotField showAll="0"/>
  </pivotFields>
  <rowFields count="1">
    <field x="12"/>
  </rowFields>
  <rowItems count="5">
    <i>
      <x v="1"/>
    </i>
    <i>
      <x v="3"/>
    </i>
    <i>
      <x v="4"/>
    </i>
    <i>
      <x v="5"/>
    </i>
    <i t="grand">
      <x/>
    </i>
  </rowItems>
  <colItems count="1">
    <i/>
  </colItems>
  <dataFields count="1">
    <dataField name="Nombre de Questionnaire.N° dossier" fld="0" subtotal="count" baseField="0" baseItem="0"/>
  </dataFields>
  <formats count="2">
    <format dxfId="39">
      <pivotArea outline="0" collapsedLevelsAreSubtotals="1" fieldPosition="0"/>
    </format>
    <format dxfId="38">
      <pivotArea dataOnly="0" labelOnly="1" grandRow="1" outline="0" fieldPosition="0"/>
    </format>
  </formats>
  <chartFormats count="2">
    <chartFormat chart="24" format="55" series="1">
      <pivotArea type="data" outline="0" fieldPosition="0">
        <references count="1">
          <reference field="4294967294" count="1" selected="0">
            <x v="0"/>
          </reference>
        </references>
      </pivotArea>
    </chartFormat>
    <chartFormat chart="0" format="5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Tableau croisé dynamique10" cacheId="1" applyNumberFormats="0" applyBorderFormats="0" applyFontFormats="0" applyPatternFormats="0" applyAlignmentFormats="0" applyWidthHeightFormats="1" dataCaption="Valeurs" updatedVersion="5" minRefreshableVersion="3" useAutoFormatting="1" itemPrintTitles="1" createdVersion="5" indent="0" outline="1" outlineData="1" multipleFieldFilters="0" chartFormat="25">
  <location ref="A84:A85" firstHeaderRow="1" firstDataRow="1" firstDataCol="0"/>
  <pivotFields count="36">
    <pivotField dataField="1" multipleItemSelectionAllowed="1" showAll="0"/>
    <pivotField showAll="0" defaultSubtotal="0"/>
    <pivotField showAll="0"/>
    <pivotField showAll="0"/>
    <pivotField showAll="0" defaultSubtotal="0"/>
    <pivotField showAll="0" defaultSubtotal="0"/>
    <pivotField showAll="0"/>
    <pivotField showAl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pivotField showAll="0"/>
  </pivotFields>
  <rowItems count="1">
    <i/>
  </rowItems>
  <colItems count="1">
    <i/>
  </colItems>
  <dataFields count="1">
    <dataField name="Nombre de Questionnaire.N° dossier" fld="0" subtotal="count" baseField="0" baseItem="0"/>
  </dataFields>
  <formats count="2">
    <format dxfId="33">
      <pivotArea outline="0" collapsedLevelsAreSubtotals="1" fieldPosition="0"/>
    </format>
    <format dxfId="32">
      <pivotArea dataOnly="0" labelOnly="1" grandRow="1" outline="0" fieldPosition="0"/>
    </format>
  </formats>
  <chartFormats count="1">
    <chartFormat chart="0" format="5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Tableau croisé dynamique2" cacheId="1" applyNumberFormats="0" applyBorderFormats="0" applyFontFormats="0" applyPatternFormats="0" applyAlignmentFormats="0" applyWidthHeightFormats="1" dataCaption="Valeurs" updatedVersion="5" minRefreshableVersion="3" useAutoFormatting="1" itemPrintTitles="1" createdVersion="5" indent="0" outline="1" outlineData="1" multipleFieldFilters="0" chartFormat="25">
  <location ref="C106:C107" firstHeaderRow="1" firstDataRow="1" firstDataCol="0"/>
  <pivotFields count="36">
    <pivotField dataField="1" multipleItemSelectionAllowed="1" showAll="0"/>
    <pivotField showAll="0" defaultSubtotal="0"/>
    <pivotField showAll="0"/>
    <pivotField showAll="0"/>
    <pivotField showAll="0" defaultSubtotal="0"/>
    <pivotField showAll="0" defaultSubtotal="0"/>
    <pivotField showAll="0"/>
    <pivotField showAl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pivotField showAll="0"/>
  </pivotFields>
  <rowItems count="1">
    <i/>
  </rowItems>
  <colItems count="1">
    <i/>
  </colItems>
  <dataFields count="1">
    <dataField name="Nombre de Questionnaire.N° dossier" fld="0" subtotal="count" baseField="0" baseItem="0"/>
  </dataFields>
  <formats count="2">
    <format dxfId="31">
      <pivotArea outline="0" collapsedLevelsAreSubtotals="1" fieldPosition="0"/>
    </format>
    <format dxfId="30">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Tableau croisé dynamique10" cacheId="3" dataOnRows="1" applyNumberFormats="0" applyBorderFormats="0" applyFontFormats="0" applyPatternFormats="0" applyAlignmentFormats="0" applyWidthHeightFormats="1" dataCaption="Valeurs" updatedVersion="5" minRefreshableVersion="3" useAutoFormatting="1" itemPrintTitles="1" createdVersion="5" indent="0" outline="1" outlineData="1" multipleFieldFilters="0" chartFormat="61">
  <location ref="J38:J42" firstHeaderRow="1" firstDataRow="1" firstDataCol="1" rowPageCount="1" colPageCount="1"/>
  <pivotFields count="75">
    <pivotField axis="axisRow" multipleItemSelectionAllowed="1" showAll="0">
      <items count="13">
        <item sd="0" m="1" x="6"/>
        <item sd="0" m="1" x="9"/>
        <item sd="0" m="1" x="11"/>
        <item sd="0" m="1" x="7"/>
        <item sd="0" m="1" x="10"/>
        <item sd="0" x="1"/>
        <item h="1" x="5"/>
        <item sd="0" x="2"/>
        <item sd="0" x="4"/>
        <item h="1" x="3"/>
        <item h="1" m="1" x="8"/>
        <item h="1" x="0"/>
        <item t="default"/>
      </items>
    </pivotField>
    <pivotField showAll="0" defaultSubtotal="0"/>
    <pivotField showAll="0" defaultSubtotal="0"/>
    <pivotField multipleItemSelectionAllowe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pivotField showAll="0"/>
    <pivotField showAll="0" defaultSubtotal="0"/>
    <pivotField showAll="0" maxSubtotal="1" minSubtotal="1"/>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axis="axisPage" multipleItemSelectionAllowed="1" showAll="0">
      <items count="8">
        <item h="1" x="5"/>
        <item m="1" x="6"/>
        <item h="1" x="4"/>
        <item x="0"/>
        <item x="1"/>
        <item h="1" x="3"/>
        <item h="1" x="2"/>
        <item t="default"/>
      </items>
    </pivotField>
    <pivotField axis="axisRow" multipleItemSelectionAllowed="1" showAll="0">
      <items count="6">
        <item h="1" x="3"/>
        <item h="1" x="2"/>
        <item x="1"/>
        <item x="0"/>
        <item h="1" m="1" x="4"/>
        <item t="default"/>
      </items>
    </pivotField>
    <pivotField showAll="0"/>
    <pivotField showAll="0"/>
    <pivotField showAll="0"/>
    <pivotField showAll="0"/>
    <pivotField showAll="0"/>
    <pivotField showAl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pivotField showAll="0" defaultSubtotal="0"/>
    <pivotField showAll="0" defaultSubtotal="0"/>
    <pivotField showAll="0" defaultSubtotal="0"/>
    <pivotField showAll="0" defaultSubtotal="0"/>
  </pivotFields>
  <rowFields count="2">
    <field x="0"/>
    <field x="52"/>
  </rowFields>
  <rowItems count="4">
    <i>
      <x v="5"/>
    </i>
    <i>
      <x v="7"/>
    </i>
    <i>
      <x v="8"/>
    </i>
    <i t="grand">
      <x/>
    </i>
  </rowItems>
  <colItems count="1">
    <i/>
  </colItems>
  <pageFields count="1">
    <pageField fld="51" hier="-1"/>
  </page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Tableau croisé dynamique9" cacheId="3" dataOnRows="1" applyNumberFormats="0" applyBorderFormats="0" applyFontFormats="0" applyPatternFormats="0" applyAlignmentFormats="0" applyWidthHeightFormats="1" dataCaption="Valeurs" updatedVersion="5" minRefreshableVersion="3" useAutoFormatting="1" itemPrintTitles="1" createdVersion="5" indent="0" outline="1" outlineData="1" multipleFieldFilters="0" chartFormat="61">
  <location ref="D38:D42" firstHeaderRow="1" firstDataRow="1" firstDataCol="1" rowPageCount="1" colPageCount="1"/>
  <pivotFields count="75">
    <pivotField axis="axisRow" multipleItemSelectionAllowed="1" showAll="0">
      <items count="13">
        <item sd="0" m="1" x="6"/>
        <item sd="0" m="1" x="9"/>
        <item sd="0" m="1" x="11"/>
        <item sd="0" m="1" x="7"/>
        <item sd="0" m="1" x="10"/>
        <item sd="0" x="1"/>
        <item h="1" x="5"/>
        <item sd="0" x="2"/>
        <item sd="0" x="4"/>
        <item h="1" x="3"/>
        <item h="1" m="1" x="8"/>
        <item h="1" x="0"/>
        <item t="default"/>
      </items>
    </pivotField>
    <pivotField showAll="0" defaultSubtotal="0"/>
    <pivotField showAll="0" defaultSubtotal="0"/>
    <pivotField multipleItemSelectionAllowe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pivotField showAll="0"/>
    <pivotField showAll="0" defaultSubtotal="0"/>
    <pivotField showAll="0" maxSubtotal="1" minSubtotal="1"/>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axis="axisPage" multipleItemSelectionAllowed="1" showAll="0">
      <items count="8">
        <item h="1" x="5"/>
        <item m="1" x="6"/>
        <item h="1" x="4"/>
        <item x="0"/>
        <item x="1"/>
        <item h="1" x="3"/>
        <item h="1" x="2"/>
        <item t="default"/>
      </items>
    </pivotField>
    <pivotField axis="axisRow" multipleItemSelectionAllowed="1" showAll="0">
      <items count="6">
        <item h="1" x="3"/>
        <item h="1" x="2"/>
        <item x="1"/>
        <item x="0"/>
        <item h="1" m="1" x="4"/>
        <item t="default"/>
      </items>
    </pivotField>
    <pivotField showAll="0"/>
    <pivotField showAll="0"/>
    <pivotField showAll="0"/>
    <pivotField showAll="0"/>
    <pivotField showAll="0"/>
    <pivotField showAl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pivotField showAll="0" defaultSubtotal="0"/>
    <pivotField showAll="0" defaultSubtotal="0"/>
    <pivotField showAll="0" defaultSubtotal="0"/>
    <pivotField showAll="0" defaultSubtotal="0"/>
  </pivotFields>
  <rowFields count="2">
    <field x="0"/>
    <field x="52"/>
  </rowFields>
  <rowItems count="4">
    <i>
      <x v="5"/>
    </i>
    <i>
      <x v="7"/>
    </i>
    <i>
      <x v="8"/>
    </i>
    <i t="grand">
      <x/>
    </i>
  </rowItems>
  <colItems count="1">
    <i/>
  </colItems>
  <pageFields count="1">
    <pageField fld="51" hier="-1"/>
  </pageFields>
  <formats count="1">
    <format dxfId="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Tableau croisé dynamique5" cacheId="3" dataOnRows="1" applyNumberFormats="0" applyBorderFormats="0" applyFontFormats="0" applyPatternFormats="0" applyAlignmentFormats="0" applyWidthHeightFormats="1" dataCaption="Valeurs" updatedVersion="5" minRefreshableVersion="3" useAutoFormatting="1" itemPrintTitles="1" createdVersion="5" indent="0" outline="1" outlineData="1" multipleFieldFilters="0" chartFormat="61">
  <location ref="M38:M43" firstHeaderRow="1" firstDataRow="1" firstDataCol="1"/>
  <pivotFields count="75">
    <pivotField axis="axisRow" multipleItemSelectionAllowed="1" showAll="0">
      <items count="13">
        <item m="1" x="6"/>
        <item m="1" x="9"/>
        <item m="1" x="11"/>
        <item m="1" x="7"/>
        <item m="1" x="10"/>
        <item x="1"/>
        <item h="1" x="5"/>
        <item x="2"/>
        <item x="4"/>
        <item h="1" x="3"/>
        <item h="1" m="1" x="8"/>
        <item h="1" x="0"/>
        <item t="default"/>
      </items>
    </pivotField>
    <pivotField showAll="0" defaultSubtotal="0"/>
    <pivotField showAll="0" defaultSubtotal="0"/>
    <pivotField multipleItemSelectionAllowe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pivotField showAll="0"/>
    <pivotField showAll="0" defaultSubtotal="0"/>
    <pivotField showAll="0" maxSubtotal="1" minSubtotal="1"/>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axis="axisRow" multipleItemSelectionAllowed="1" showAll="0">
      <items count="8">
        <item h="1" x="5"/>
        <item m="1" x="6"/>
        <item h="1" x="4"/>
        <item x="0"/>
        <item h="1" x="1"/>
        <item h="1" x="3"/>
        <item h="1" x="2"/>
        <item t="default"/>
      </items>
    </pivotField>
    <pivotField multipleItemSelectionAllowed="1" showAll="0"/>
    <pivotField showAll="0"/>
    <pivotField showAll="0"/>
    <pivotField showAll="0"/>
    <pivotField showAll="0"/>
    <pivotField showAll="0"/>
    <pivotField showAl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pivotField showAll="0" defaultSubtotal="0"/>
    <pivotField showAll="0" defaultSubtotal="0"/>
    <pivotField showAll="0" defaultSubtotal="0"/>
    <pivotField showAll="0" defaultSubtotal="0"/>
  </pivotFields>
  <rowFields count="2">
    <field x="51"/>
    <field x="0"/>
  </rowFields>
  <rowItems count="5">
    <i>
      <x v="3"/>
    </i>
    <i r="1">
      <x v="5"/>
    </i>
    <i r="1">
      <x v="7"/>
    </i>
    <i r="1">
      <x v="8"/>
    </i>
    <i t="grand">
      <x/>
    </i>
  </rowItems>
  <colItems count="1">
    <i/>
  </colItems>
  <formats count="1">
    <format dxfId="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Tableau croisé dynamique3" cacheId="3" dataOnRows="1" applyNumberFormats="0" applyBorderFormats="0" applyFontFormats="0" applyPatternFormats="0" applyAlignmentFormats="0" applyWidthHeightFormats="1" dataCaption="Valeurs" updatedVersion="5" minRefreshableVersion="3" useAutoFormatting="1" itemPrintTitles="1" createdVersion="5" indent="0" outline="1" outlineData="1" multipleFieldFilters="0" chartFormat="61">
  <location ref="G38:G47" firstHeaderRow="1" firstDataRow="1" firstDataCol="1" rowPageCount="1" colPageCount="1"/>
  <pivotFields count="75">
    <pivotField axis="axisRow" multipleItemSelectionAllowed="1" showAll="0">
      <items count="13">
        <item sd="0" m="1" x="6"/>
        <item m="1" x="9"/>
        <item m="1" x="11"/>
        <item m="1" x="7"/>
        <item sd="0" m="1" x="10"/>
        <item x="1"/>
        <item h="1" x="5"/>
        <item x="2"/>
        <item x="4"/>
        <item h="1" x="3"/>
        <item h="1" m="1" x="8"/>
        <item h="1" x="0"/>
        <item t="default"/>
      </items>
    </pivotField>
    <pivotField showAll="0" defaultSubtotal="0"/>
    <pivotField showAll="0" defaultSubtotal="0"/>
    <pivotField axis="axisRow" multipleItemSelectionAllowed="1" showAll="0" defaultSubtotal="0">
      <items count="5">
        <item x="2"/>
        <item h="1" x="0"/>
        <item x="1"/>
        <item h="1" x="4"/>
        <item h="1" x="3"/>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pivotField showAll="0"/>
    <pivotField showAll="0" defaultSubtotal="0"/>
    <pivotField showAll="0" maxSubtotal="1" minSubtotal="1"/>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axis="axisPage" multipleItemSelectionAllowed="1" showAll="0">
      <items count="8">
        <item h="1" x="5"/>
        <item m="1" x="6"/>
        <item h="1" x="4"/>
        <item x="0"/>
        <item x="1"/>
        <item h="1" x="3"/>
        <item h="1" x="2"/>
        <item t="default"/>
      </items>
    </pivotField>
    <pivotField multipleItemSelectionAllowed="1" showAll="0"/>
    <pivotField showAll="0"/>
    <pivotField showAll="0"/>
    <pivotField showAll="0"/>
    <pivotField showAll="0"/>
    <pivotField showAll="0"/>
    <pivotField showAl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pivotField showAll="0" defaultSubtotal="0"/>
    <pivotField showAll="0" defaultSubtotal="0"/>
    <pivotField showAll="0" defaultSubtotal="0"/>
    <pivotField showAll="0" defaultSubtotal="0"/>
  </pivotFields>
  <rowFields count="2">
    <field x="3"/>
    <field x="0"/>
  </rowFields>
  <rowItems count="9">
    <i>
      <x/>
    </i>
    <i r="1">
      <x v="5"/>
    </i>
    <i r="1">
      <x v="7"/>
    </i>
    <i r="1">
      <x v="8"/>
    </i>
    <i>
      <x v="2"/>
    </i>
    <i r="1">
      <x v="5"/>
    </i>
    <i r="1">
      <x v="7"/>
    </i>
    <i r="1">
      <x v="8"/>
    </i>
    <i t="grand">
      <x/>
    </i>
  </rowItems>
  <colItems count="1">
    <i/>
  </colItems>
  <pageFields count="1">
    <pageField fld="51" hier="-1"/>
  </pageFields>
  <formats count="1">
    <format dxfId="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Tableau croisé dynamique2" cacheId="3" dataOnRows="1" applyNumberFormats="0" applyBorderFormats="0" applyFontFormats="0" applyPatternFormats="0" applyAlignmentFormats="0" applyWidthHeightFormats="1" dataCaption="Valeurs" updatedVersion="5" minRefreshableVersion="3" useAutoFormatting="1" itemPrintTitles="1" createdVersion="5" indent="0" outline="1" outlineData="1" multipleFieldFilters="0" chartFormat="61">
  <location ref="P38:P44" firstHeaderRow="1" firstDataRow="1" firstDataCol="1" rowPageCount="1" colPageCount="1"/>
  <pivotFields count="75">
    <pivotField axis="axisRow" multipleItemSelectionAllowed="1" showAll="0">
      <items count="13">
        <item m="1" x="6"/>
        <item m="1" x="9"/>
        <item m="1" x="11"/>
        <item m="1" x="7"/>
        <item m="1" x="10"/>
        <item x="1"/>
        <item h="1" x="5"/>
        <item x="2"/>
        <item x="4"/>
        <item h="1" x="3"/>
        <item h="1" m="1" x="8"/>
        <item h="1" x="0"/>
        <item t="default"/>
      </items>
    </pivotField>
    <pivotField showAll="0" defaultSubtotal="0"/>
    <pivotField showAll="0" defaultSubtotal="0"/>
    <pivotField multipleItemSelectionAllowe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pivotField showAll="0"/>
    <pivotField showAll="0" defaultSubtotal="0"/>
    <pivotField showAll="0" maxSubtotal="1" minSubtotal="1"/>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axis="axisPage" multipleItemSelectionAllowed="1" showAll="0">
      <items count="8">
        <item h="1" x="5"/>
        <item m="1" x="6"/>
        <item h="1" x="4"/>
        <item x="0"/>
        <item x="1"/>
        <item h="1" x="3"/>
        <item h="1" x="2"/>
        <item t="default"/>
      </items>
    </pivotField>
    <pivotField axis="axisRow" multipleItemSelectionAllowed="1" showAll="0">
      <items count="6">
        <item h="1" x="3"/>
        <item h="1" x="2"/>
        <item x="1"/>
        <item sd="0" x="0"/>
        <item h="1" m="1" x="4"/>
        <item t="default"/>
      </items>
    </pivotField>
    <pivotField showAll="0"/>
    <pivotField showAll="0"/>
    <pivotField showAll="0"/>
    <pivotField showAll="0"/>
    <pivotField showAll="0"/>
    <pivotField showAl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pivotField showAll="0" defaultSubtotal="0"/>
    <pivotField showAll="0" defaultSubtotal="0"/>
    <pivotField showAll="0" defaultSubtotal="0"/>
    <pivotField showAll="0" defaultSubtotal="0"/>
  </pivotFields>
  <rowFields count="2">
    <field x="52"/>
    <field x="0"/>
  </rowFields>
  <rowItems count="6">
    <i>
      <x v="2"/>
    </i>
    <i r="1">
      <x v="5"/>
    </i>
    <i r="1">
      <x v="7"/>
    </i>
    <i r="1">
      <x v="8"/>
    </i>
    <i>
      <x v="3"/>
    </i>
    <i t="grand">
      <x/>
    </i>
  </rowItems>
  <colItems count="1">
    <i/>
  </colItems>
  <pageFields count="1">
    <pageField fld="51" hier="-1"/>
  </pageFields>
  <formats count="1">
    <format dxfId="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Tableau croisé dynamique1" cacheId="3" dataOnRows="1" applyNumberFormats="0" applyBorderFormats="0" applyFontFormats="0" applyPatternFormats="0" applyAlignmentFormats="0" applyWidthHeightFormats="1" dataCaption="Valeurs" updatedVersion="5" minRefreshableVersion="3" useAutoFormatting="1" itemPrintTitles="1" createdVersion="5" indent="0" outline="1" outlineData="1" multipleFieldFilters="0" chartFormat="61">
  <location ref="A38:A42" firstHeaderRow="1" firstDataRow="1" firstDataCol="1"/>
  <pivotFields count="75">
    <pivotField axis="axisRow" multipleItemSelectionAllowed="1" showAll="0">
      <items count="13">
        <item sd="0" m="1" x="6"/>
        <item sd="0" m="1" x="9"/>
        <item sd="0" m="1" x="11"/>
        <item sd="0" m="1" x="7"/>
        <item sd="0" m="1" x="10"/>
        <item sd="0" x="1"/>
        <item h="1" x="5"/>
        <item sd="0" x="2"/>
        <item sd="0" x="4"/>
        <item h="1" sd="0" x="3"/>
        <item h="1" sd="0" m="1" x="8"/>
        <item h="1" x="0"/>
        <item t="default"/>
      </items>
    </pivotField>
    <pivotField showAll="0" defaultSubtotal="0"/>
    <pivotField showAll="0" defaultSubtotal="0"/>
    <pivotField multipleItemSelectionAllowe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pivotField showAll="0"/>
    <pivotField showAll="0" defaultSubtotal="0"/>
    <pivotField showAll="0" maxSubtotal="1" minSubtotal="1"/>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axis="axisRow" multipleItemSelectionAllowed="1" showAll="0">
      <items count="8">
        <item h="1" x="5"/>
        <item m="1" x="6"/>
        <item h="1" x="4"/>
        <item x="0"/>
        <item x="1"/>
        <item x="3"/>
        <item h="1" x="2"/>
        <item t="default"/>
      </items>
    </pivotField>
    <pivotField axis="axisRow" multipleItemSelectionAllowed="1" showAll="0">
      <items count="6">
        <item h="1" x="3"/>
        <item h="1" x="2"/>
        <item x="1"/>
        <item x="0"/>
        <item m="1" x="4"/>
        <item t="default"/>
      </items>
    </pivotField>
    <pivotField showAll="0"/>
    <pivotField showAll="0"/>
    <pivotField showAll="0"/>
    <pivotField showAll="0"/>
    <pivotField showAll="0"/>
    <pivotField showAl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pivotField showAll="0" defaultSubtotal="0"/>
    <pivotField showAll="0" defaultSubtotal="0"/>
    <pivotField showAll="0" defaultSubtotal="0"/>
    <pivotField showAll="0" defaultSubtotal="0"/>
  </pivotFields>
  <rowFields count="3">
    <field x="0"/>
    <field x="52"/>
    <field x="51"/>
  </rowFields>
  <rowItems count="4">
    <i>
      <x v="5"/>
    </i>
    <i>
      <x v="7"/>
    </i>
    <i>
      <x v="8"/>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3.xml><?xml version="1.0" encoding="utf-8"?>
<pivotTableDefinition xmlns="http://schemas.openxmlformats.org/spreadsheetml/2006/main" name="Tableau croisé dynamique11" cacheId="3" dataOnRows="1" applyNumberFormats="0" applyBorderFormats="0" applyFontFormats="0" applyPatternFormats="0" applyAlignmentFormats="0" applyWidthHeightFormats="1" dataCaption="Valeurs" updatedVersion="5" minRefreshableVersion="3" useAutoFormatting="1" itemPrintTitles="1" createdVersion="5" indent="0" outline="1" outlineData="1" multipleFieldFilters="0" chartFormat="63">
  <location ref="B12:C21" firstHeaderRow="1" firstDataRow="1" firstDataCol="1"/>
  <pivotFields count="75">
    <pivotField axis="axisRow" multipleItemSelectionAllowed="1" showAll="0">
      <items count="13">
        <item m="1" x="6"/>
        <item m="1" x="9"/>
        <item m="1" x="11"/>
        <item m="1" x="7"/>
        <item m="1" x="10"/>
        <item x="1"/>
        <item h="1" x="5"/>
        <item x="2"/>
        <item x="4"/>
        <item h="1" x="3"/>
        <item h="1" m="1" x="8"/>
        <item h="1" x="0"/>
        <item t="default"/>
      </items>
    </pivotField>
    <pivotField showAll="0" defaultSubtotal="0"/>
    <pivotField showAll="0" defaultSubtotal="0"/>
    <pivotField axis="axisRow" dataField="1" multipleItemSelectionAllowed="1" showAll="0" defaultSubtotal="0">
      <items count="5">
        <item x="2"/>
        <item x="1"/>
        <item h="1" x="4"/>
        <item h="1" x="0"/>
        <item h="1" x="3"/>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pivotField showAll="0"/>
    <pivotField showAll="0" defaultSubtotal="0"/>
    <pivotField showAll="0" maxSubtotal="1" minSubtotal="1"/>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multipleItemSelectionAllowed="1" showAll="0"/>
    <pivotField multipleItemSelectionAllowed="1" showAll="0"/>
    <pivotField showAll="0"/>
    <pivotField showAll="0"/>
    <pivotField showAll="0"/>
    <pivotField showAll="0"/>
    <pivotField showAll="0"/>
    <pivotField showAl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pivotField showAll="0" defaultSubtotal="0"/>
    <pivotField showAll="0" defaultSubtotal="0"/>
    <pivotField showAll="0" defaultSubtotal="0"/>
    <pivotField showAll="0" defaultSubtotal="0"/>
  </pivotFields>
  <rowFields count="2">
    <field x="3"/>
    <field x="0"/>
  </rowFields>
  <rowItems count="9">
    <i>
      <x/>
    </i>
    <i r="1">
      <x v="5"/>
    </i>
    <i r="1">
      <x v="7"/>
    </i>
    <i r="1">
      <x v="8"/>
    </i>
    <i>
      <x v="1"/>
    </i>
    <i r="1">
      <x v="5"/>
    </i>
    <i r="1">
      <x v="7"/>
    </i>
    <i r="1">
      <x v="8"/>
    </i>
    <i t="grand">
      <x/>
    </i>
  </rowItems>
  <colItems count="1">
    <i/>
  </colItems>
  <dataFields count="1">
    <dataField name="Nombre de maj / non_maj"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4.xml><?xml version="1.0" encoding="utf-8"?>
<pivotTableDefinition xmlns="http://schemas.openxmlformats.org/spreadsheetml/2006/main" name="Tableau croisé dynamique1" cacheId="3" dataOnRows="1" applyNumberFormats="0" applyBorderFormats="0" applyFontFormats="0" applyPatternFormats="0" applyAlignmentFormats="0" applyWidthHeightFormats="1" dataCaption="Valeurs" updatedVersion="5" minRefreshableVersion="3" useAutoFormatting="1" itemPrintTitles="1" createdVersion="5" indent="0" outline="1" outlineData="1" multipleFieldFilters="0" chartFormat="63">
  <location ref="D4:E82" firstHeaderRow="1" firstDataRow="1" firstDataCol="1" rowPageCount="1" colPageCount="1"/>
  <pivotFields count="75">
    <pivotField axis="axisRow" multipleItemSelectionAllowed="1" showAll="0" sortType="ascending">
      <items count="13">
        <item h="1" x="3"/>
        <item h="1" m="1" x="6"/>
        <item h="1" m="1" x="9"/>
        <item h="1" m="1" x="11"/>
        <item h="1" m="1" x="7"/>
        <item h="1" m="1" x="10"/>
        <item x="1"/>
        <item x="2"/>
        <item x="4"/>
        <item h="1" m="1" x="8"/>
        <item h="1" x="0"/>
        <item h="1" x="5"/>
        <item t="default"/>
      </items>
    </pivotField>
    <pivotField showAll="0" defaultSubtotal="0"/>
    <pivotField axis="axisPage" multipleItemSelectionAllowed="1" showAll="0" defaultSubtotal="0">
      <items count="6">
        <item x="3"/>
        <item h="1" x="4"/>
        <item h="1" x="2"/>
        <item h="1" x="5"/>
        <item h="1" x="0"/>
        <item h="1" x="1"/>
      </items>
    </pivotField>
    <pivotField multipleItemSelectionAllowe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pivotField showAll="0"/>
    <pivotField showAll="0" defaultSubtotal="0"/>
    <pivotField showAll="0" maxSubtotal="1" minSubtotal="1"/>
    <pivotField showAll="0" defaultSubtotal="0"/>
    <pivotField showAll="0" defaultSubtotal="0"/>
    <pivotField showAll="0" defaultSubtotal="0"/>
    <pivotField axis="axisRow" dataField="1" showAll="0" defaultSubtotal="0">
      <items count="39">
        <item x="9"/>
        <item x="33"/>
        <item x="24"/>
        <item x="12"/>
        <item x="7"/>
        <item x="18"/>
        <item x="20"/>
        <item x="4"/>
        <item x="8"/>
        <item x="23"/>
        <item x="19"/>
        <item x="35"/>
        <item x="0"/>
        <item x="32"/>
        <item x="2"/>
        <item x="16"/>
        <item x="36"/>
        <item x="10"/>
        <item x="6"/>
        <item m="1" x="38"/>
        <item x="11"/>
        <item x="26"/>
        <item x="14"/>
        <item x="30"/>
        <item x="22"/>
        <item x="31"/>
        <item x="28"/>
        <item x="21"/>
        <item x="13"/>
        <item x="25"/>
        <item x="34"/>
        <item x="15"/>
        <item x="27"/>
        <item x="5"/>
        <item x="1"/>
        <item x="29"/>
        <item x="17"/>
        <item x="3"/>
        <item x="37"/>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multipleItemSelectionAllowed="1" showAll="0"/>
    <pivotField multipleItemSelectionAllowed="1" showAll="0"/>
    <pivotField showAll="0"/>
    <pivotField showAll="0"/>
    <pivotField showAll="0"/>
    <pivotField showAll="0"/>
    <pivotField showAll="0"/>
    <pivotField showAl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pivotField showAll="0" defaultSubtotal="0"/>
    <pivotField showAll="0" defaultSubtotal="0"/>
    <pivotField showAll="0" defaultSubtotal="0"/>
    <pivotField showAll="0" defaultSubtotal="0"/>
  </pivotFields>
  <rowFields count="2">
    <field x="0"/>
    <field x="31"/>
  </rowFields>
  <rowItems count="78">
    <i>
      <x v="6"/>
    </i>
    <i r="1">
      <x/>
    </i>
    <i r="1">
      <x v="8"/>
    </i>
    <i r="1">
      <x v="14"/>
    </i>
    <i r="1">
      <x v="15"/>
    </i>
    <i r="1">
      <x v="17"/>
    </i>
    <i r="1">
      <x v="20"/>
    </i>
    <i r="1">
      <x v="24"/>
    </i>
    <i r="1">
      <x v="27"/>
    </i>
    <i r="1">
      <x v="33"/>
    </i>
    <i r="1">
      <x v="34"/>
    </i>
    <i>
      <x v="7"/>
    </i>
    <i r="1">
      <x/>
    </i>
    <i r="1">
      <x v="1"/>
    </i>
    <i r="1">
      <x v="2"/>
    </i>
    <i r="1">
      <x v="3"/>
    </i>
    <i r="1">
      <x v="4"/>
    </i>
    <i r="1">
      <x v="5"/>
    </i>
    <i r="1">
      <x v="7"/>
    </i>
    <i r="1">
      <x v="8"/>
    </i>
    <i r="1">
      <x v="9"/>
    </i>
    <i r="1">
      <x v="10"/>
    </i>
    <i r="1">
      <x v="12"/>
    </i>
    <i r="1">
      <x v="13"/>
    </i>
    <i r="1">
      <x v="14"/>
    </i>
    <i r="1">
      <x v="15"/>
    </i>
    <i r="1">
      <x v="17"/>
    </i>
    <i r="1">
      <x v="18"/>
    </i>
    <i r="1">
      <x v="20"/>
    </i>
    <i r="1">
      <x v="22"/>
    </i>
    <i r="1">
      <x v="23"/>
    </i>
    <i r="1">
      <x v="24"/>
    </i>
    <i r="1">
      <x v="25"/>
    </i>
    <i r="1">
      <x v="26"/>
    </i>
    <i r="1">
      <x v="28"/>
    </i>
    <i r="1">
      <x v="30"/>
    </i>
    <i r="1">
      <x v="31"/>
    </i>
    <i r="1">
      <x v="33"/>
    </i>
    <i r="1">
      <x v="34"/>
    </i>
    <i r="1">
      <x v="35"/>
    </i>
    <i r="1">
      <x v="36"/>
    </i>
    <i r="1">
      <x v="37"/>
    </i>
    <i>
      <x v="8"/>
    </i>
    <i r="1">
      <x/>
    </i>
    <i r="1">
      <x v="1"/>
    </i>
    <i r="1">
      <x v="2"/>
    </i>
    <i r="1">
      <x v="3"/>
    </i>
    <i r="1">
      <x v="4"/>
    </i>
    <i r="1">
      <x v="5"/>
    </i>
    <i r="1">
      <x v="7"/>
    </i>
    <i r="1">
      <x v="8"/>
    </i>
    <i r="1">
      <x v="9"/>
    </i>
    <i r="1">
      <x v="10"/>
    </i>
    <i r="1">
      <x v="11"/>
    </i>
    <i r="1">
      <x v="12"/>
    </i>
    <i r="1">
      <x v="13"/>
    </i>
    <i r="1">
      <x v="14"/>
    </i>
    <i r="1">
      <x v="15"/>
    </i>
    <i r="1">
      <x v="16"/>
    </i>
    <i r="1">
      <x v="17"/>
    </i>
    <i r="1">
      <x v="18"/>
    </i>
    <i r="1">
      <x v="20"/>
    </i>
    <i r="1">
      <x v="21"/>
    </i>
    <i r="1">
      <x v="22"/>
    </i>
    <i r="1">
      <x v="23"/>
    </i>
    <i r="1">
      <x v="24"/>
    </i>
    <i r="1">
      <x v="25"/>
    </i>
    <i r="1">
      <x v="26"/>
    </i>
    <i r="1">
      <x v="28"/>
    </i>
    <i r="1">
      <x v="30"/>
    </i>
    <i r="1">
      <x v="31"/>
    </i>
    <i r="1">
      <x v="32"/>
    </i>
    <i r="1">
      <x v="33"/>
    </i>
    <i r="1">
      <x v="34"/>
    </i>
    <i r="1">
      <x v="35"/>
    </i>
    <i r="1">
      <x v="36"/>
    </i>
    <i r="1">
      <x v="37"/>
    </i>
    <i t="grand">
      <x/>
    </i>
  </rowItems>
  <colItems count="1">
    <i/>
  </colItems>
  <pageFields count="1">
    <pageField fld="2" hier="-1"/>
  </pageFields>
  <dataFields count="1">
    <dataField name="Nombre de adresse ville" fld="3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5.xml><?xml version="1.0" encoding="utf-8"?>
<pivotTableDefinition xmlns="http://schemas.openxmlformats.org/spreadsheetml/2006/main" name="Tableau croisé dynamique13" cacheId="3" applyNumberFormats="0" applyBorderFormats="0" applyFontFormats="0" applyPatternFormats="0" applyAlignmentFormats="0" applyWidthHeightFormats="1" dataCaption="Valeurs" updatedVersion="5" minRefreshableVersion="3" useAutoFormatting="1" itemPrintTitles="1" createdVersion="5" indent="0" outline="1" outlineData="1" multipleFieldFilters="0" chartFormat="3">
  <location ref="P5:Q41" firstHeaderRow="1" firstDataRow="1" firstDataCol="1" rowPageCount="2" colPageCount="1"/>
  <pivotFields count="75">
    <pivotField axis="axisPage" multipleItemSelectionAllowed="1" showAll="0">
      <items count="13">
        <item h="1" x="3"/>
        <item m="1" x="6"/>
        <item m="1" x="9"/>
        <item m="1" x="11"/>
        <item m="1" x="7"/>
        <item m="1" x="10"/>
        <item x="1"/>
        <item x="2"/>
        <item x="4"/>
        <item h="1" m="1" x="8"/>
        <item h="1" x="5"/>
        <item h="1" x="0"/>
        <item t="default"/>
      </items>
    </pivotField>
    <pivotField showAll="0" defaultSubtotal="0"/>
    <pivotField axis="axisPage" showAll="0" defaultSubtotal="0">
      <items count="6">
        <item x="3"/>
        <item x="4"/>
        <item x="2"/>
        <item x="5"/>
        <item x="0"/>
        <item x="1"/>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pivotField showAll="0"/>
    <pivotField showAll="0" defaultSubtotal="0"/>
    <pivotField showAll="0" defaultSubtotal="0"/>
    <pivotField showAll="0" defaultSubtotal="0"/>
    <pivotField showAll="0" defaultSubtotal="0"/>
    <pivotField showAll="0" defaultSubtotal="0"/>
    <pivotField axis="axisRow" dataField="1" showAll="0" sortType="descending" defaultSubtotal="0">
      <items count="39">
        <item x="9"/>
        <item x="33"/>
        <item x="24"/>
        <item x="12"/>
        <item x="7"/>
        <item x="18"/>
        <item x="20"/>
        <item x="4"/>
        <item x="8"/>
        <item x="23"/>
        <item x="19"/>
        <item x="35"/>
        <item x="0"/>
        <item x="32"/>
        <item x="2"/>
        <item x="16"/>
        <item x="36"/>
        <item x="10"/>
        <item x="6"/>
        <item m="1" x="38"/>
        <item x="11"/>
        <item x="26"/>
        <item x="14"/>
        <item x="30"/>
        <item x="22"/>
        <item x="31"/>
        <item x="28"/>
        <item x="21"/>
        <item x="13"/>
        <item x="25"/>
        <item x="34"/>
        <item x="15"/>
        <item x="27"/>
        <item x="5"/>
        <item x="1"/>
        <item x="29"/>
        <item x="17"/>
        <item x="3"/>
        <item x="37"/>
      </items>
      <autoSortScope>
        <pivotArea dataOnly="0" outline="0" fieldPosition="0">
          <references count="1">
            <reference field="4294967294" count="1" selected="0">
              <x v="0"/>
            </reference>
          </references>
        </pivotArea>
      </autoSortScope>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multipleItemSelectionAllowed="1" showAll="0"/>
    <pivotField showAll="0"/>
    <pivotField showAll="0"/>
    <pivotField showAll="0"/>
    <pivotField showAll="0"/>
    <pivotField showAll="0"/>
    <pivotField showAll="0"/>
    <pivotField showAl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pivotField showAll="0" defaultSubtotal="0"/>
    <pivotField showAll="0" defaultSubtotal="0"/>
    <pivotField showAll="0" defaultSubtotal="0"/>
    <pivotField showAll="0" defaultSubtotal="0"/>
  </pivotFields>
  <rowFields count="1">
    <field x="31"/>
  </rowFields>
  <rowItems count="36">
    <i>
      <x v="36"/>
    </i>
    <i>
      <x v="33"/>
    </i>
    <i>
      <x v="34"/>
    </i>
    <i>
      <x v="31"/>
    </i>
    <i>
      <x v="14"/>
    </i>
    <i>
      <x v="7"/>
    </i>
    <i>
      <x v="5"/>
    </i>
    <i>
      <x v="24"/>
    </i>
    <i>
      <x v="2"/>
    </i>
    <i>
      <x v="4"/>
    </i>
    <i>
      <x v="18"/>
    </i>
    <i>
      <x v="25"/>
    </i>
    <i>
      <x/>
    </i>
    <i>
      <x v="26"/>
    </i>
    <i>
      <x v="8"/>
    </i>
    <i>
      <x v="37"/>
    </i>
    <i>
      <x v="20"/>
    </i>
    <i>
      <x v="15"/>
    </i>
    <i>
      <x v="12"/>
    </i>
    <i>
      <x v="3"/>
    </i>
    <i>
      <x v="17"/>
    </i>
    <i>
      <x v="9"/>
    </i>
    <i>
      <x v="28"/>
    </i>
    <i>
      <x v="1"/>
    </i>
    <i>
      <x v="30"/>
    </i>
    <i>
      <x v="23"/>
    </i>
    <i>
      <x v="13"/>
    </i>
    <i>
      <x v="35"/>
    </i>
    <i>
      <x v="10"/>
    </i>
    <i>
      <x v="11"/>
    </i>
    <i>
      <x v="22"/>
    </i>
    <i>
      <x v="21"/>
    </i>
    <i>
      <x v="32"/>
    </i>
    <i>
      <x v="16"/>
    </i>
    <i>
      <x v="27"/>
    </i>
    <i t="grand">
      <x/>
    </i>
  </rowItems>
  <colItems count="1">
    <i/>
  </colItems>
  <pageFields count="2">
    <pageField fld="0" hier="-1"/>
    <pageField fld="2" item="0" hier="-1"/>
  </pageFields>
  <dataFields count="1">
    <dataField name="Nombre de adresse ville" fld="3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6.xml><?xml version="1.0" encoding="utf-8"?>
<pivotTableDefinition xmlns="http://schemas.openxmlformats.org/spreadsheetml/2006/main" name="Tableau croisé dynamique15" cacheId="3" applyNumberFormats="0" applyBorderFormats="0" applyFontFormats="0" applyPatternFormats="0" applyAlignmentFormats="0" applyWidthHeightFormats="1" dataCaption="Valeurs" updatedVersion="5" minRefreshableVersion="3" useAutoFormatting="1" itemPrintTitles="1" createdVersion="5" indent="0" outline="1" outlineData="1" multipleFieldFilters="0" chartFormat="56">
  <location ref="R18:S73" firstHeaderRow="1" firstDataRow="1" firstDataCol="1" rowPageCount="2" colPageCount="1"/>
  <pivotFields count="75">
    <pivotField axis="axisPage" multipleItemSelectionAllowed="1" showAll="0">
      <items count="13">
        <item h="1" x="3"/>
        <item m="1" x="6"/>
        <item m="1" x="9"/>
        <item m="1" x="11"/>
        <item m="1" x="7"/>
        <item m="1" x="10"/>
        <item x="1"/>
        <item x="2"/>
        <item x="4"/>
        <item m="1" x="8"/>
        <item h="1" x="5"/>
        <item h="1" x="0"/>
        <item t="default"/>
      </items>
    </pivotField>
    <pivotField showAll="0" defaultSubtotal="0"/>
    <pivotField axis="axisPage" multipleItemSelectionAllowed="1" showAll="0" defaultSubtotal="0">
      <items count="6">
        <item x="3"/>
        <item h="1" x="4"/>
        <item h="1" x="2"/>
        <item h="1" x="5"/>
        <item h="1" x="0"/>
        <item h="1" x="1"/>
      </items>
    </pivotField>
    <pivotField multipleItemSelectionAllowe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pivotField showAl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axis="axisRow" dataField="1" showAll="0" sortType="descending" defaultSubtotal="0">
      <items count="76">
        <item x="46"/>
        <item x="8"/>
        <item x="13"/>
        <item m="1" x="67"/>
        <item x="38"/>
        <item x="7"/>
        <item x="19"/>
        <item x="49"/>
        <item x="58"/>
        <item x="0"/>
        <item x="21"/>
        <item x="47"/>
        <item x="9"/>
        <item x="12"/>
        <item x="3"/>
        <item x="52"/>
        <item m="1" x="72"/>
        <item x="2"/>
        <item m="1" x="73"/>
        <item x="29"/>
        <item x="25"/>
        <item m="1" x="65"/>
        <item x="26"/>
        <item m="1" x="71"/>
        <item m="1" x="70"/>
        <item x="4"/>
        <item x="57"/>
        <item x="22"/>
        <item x="53"/>
        <item x="50"/>
        <item x="33"/>
        <item x="34"/>
        <item m="1" x="66"/>
        <item m="1" x="75"/>
        <item x="23"/>
        <item x="6"/>
        <item x="39"/>
        <item x="45"/>
        <item x="11"/>
        <item x="17"/>
        <item x="56"/>
        <item x="30"/>
        <item m="1" x="69"/>
        <item x="1"/>
        <item m="1" x="68"/>
        <item x="60"/>
        <item x="24"/>
        <item x="18"/>
        <item x="36"/>
        <item x="14"/>
        <item m="1" x="63"/>
        <item x="42"/>
        <item x="54"/>
        <item x="15"/>
        <item m="1" x="64"/>
        <item x="61"/>
        <item x="40"/>
        <item x="16"/>
        <item x="37"/>
        <item x="44"/>
        <item x="43"/>
        <item x="48"/>
        <item x="55"/>
        <item x="10"/>
        <item m="1" x="74"/>
        <item x="28"/>
        <item x="27"/>
        <item x="5"/>
        <item x="31"/>
        <item x="59"/>
        <item x="32"/>
        <item x="35"/>
        <item x="51"/>
        <item x="20"/>
        <item x="41"/>
        <item x="62"/>
      </items>
      <autoSortScope>
        <pivotArea dataOnly="0" outline="0" fieldPosition="0">
          <references count="1">
            <reference field="4294967294" count="1" selected="0">
              <x v="0"/>
            </reference>
          </references>
        </pivotArea>
      </autoSortScope>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multipleItemSelectionAllowed="1" showAll="0"/>
    <pivotField multipleItemSelectionAllowed="1" showAll="0"/>
    <pivotField showAll="0"/>
    <pivotField showAll="0"/>
    <pivotField showAll="0"/>
    <pivotField showAll="0"/>
    <pivotField showAll="0"/>
    <pivotField showAl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pivotField showAll="0" defaultSubtotal="0"/>
    <pivotField showAll="0" defaultSubtotal="0"/>
    <pivotField showAll="0" defaultSubtotal="0"/>
    <pivotField showAll="0" defaultSubtotal="0"/>
  </pivotFields>
  <rowFields count="1">
    <field x="41"/>
  </rowFields>
  <rowItems count="55">
    <i>
      <x v="49"/>
    </i>
    <i>
      <x v="43"/>
    </i>
    <i>
      <x v="9"/>
    </i>
    <i>
      <x v="57"/>
    </i>
    <i>
      <x v="35"/>
    </i>
    <i>
      <x v="36"/>
    </i>
    <i>
      <x v="5"/>
    </i>
    <i>
      <x v="63"/>
    </i>
    <i>
      <x v="17"/>
    </i>
    <i>
      <x v="67"/>
    </i>
    <i>
      <x v="12"/>
    </i>
    <i>
      <x v="71"/>
    </i>
    <i>
      <x v="13"/>
    </i>
    <i>
      <x v="38"/>
    </i>
    <i>
      <x v="30"/>
    </i>
    <i>
      <x v="53"/>
    </i>
    <i>
      <x v="31"/>
    </i>
    <i>
      <x v="1"/>
    </i>
    <i>
      <x v="62"/>
    </i>
    <i>
      <x v="22"/>
    </i>
    <i>
      <x v="2"/>
    </i>
    <i>
      <x v="60"/>
    </i>
    <i>
      <x v="68"/>
    </i>
    <i>
      <x v="59"/>
    </i>
    <i>
      <x v="14"/>
    </i>
    <i>
      <x v="66"/>
    </i>
    <i>
      <x v="7"/>
    </i>
    <i>
      <x v="6"/>
    </i>
    <i>
      <x v="69"/>
    </i>
    <i>
      <x v="8"/>
    </i>
    <i>
      <x v="19"/>
    </i>
    <i>
      <x v="58"/>
    </i>
    <i>
      <x v="47"/>
    </i>
    <i>
      <x v="29"/>
    </i>
    <i>
      <x v="41"/>
    </i>
    <i>
      <x v="15"/>
    </i>
    <i>
      <x v="51"/>
    </i>
    <i>
      <x v="40"/>
    </i>
    <i>
      <x v="20"/>
    </i>
    <i>
      <x v="56"/>
    </i>
    <i>
      <x v="55"/>
    </i>
    <i>
      <x v="4"/>
    </i>
    <i>
      <x v="73"/>
    </i>
    <i>
      <x v="45"/>
    </i>
    <i>
      <x v="52"/>
    </i>
    <i>
      <x v="46"/>
    </i>
    <i>
      <x v="70"/>
    </i>
    <i>
      <x v="37"/>
    </i>
    <i>
      <x v="72"/>
    </i>
    <i>
      <x v="26"/>
    </i>
    <i>
      <x v="74"/>
    </i>
    <i>
      <x v="65"/>
    </i>
    <i>
      <x v="39"/>
    </i>
    <i>
      <x/>
    </i>
    <i t="grand">
      <x/>
    </i>
  </rowItems>
  <colItems count="1">
    <i/>
  </colItems>
  <pageFields count="2">
    <pageField fld="0" hier="-1"/>
    <pageField fld="2" hier="-1"/>
  </pageFields>
  <dataFields count="1">
    <dataField name="Nombre de entreprise nom" fld="4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7.xml><?xml version="1.0" encoding="utf-8"?>
<pivotTableDefinition xmlns="http://schemas.openxmlformats.org/spreadsheetml/2006/main" name="Tableau croisé dynamique14" cacheId="3" applyNumberFormats="0" applyBorderFormats="0" applyFontFormats="0" applyPatternFormats="0" applyAlignmentFormats="0" applyWidthHeightFormats="1" dataCaption="Valeurs" updatedVersion="5" minRefreshableVersion="3" useAutoFormatting="1" itemPrintTitles="1" createdVersion="5" indent="0" outline="1" outlineData="1" multipleFieldFilters="0" chartFormat="56">
  <location ref="F18:G92" firstHeaderRow="1" firstDataRow="1" firstDataCol="1" rowPageCount="1" colPageCount="1"/>
  <pivotFields count="75">
    <pivotField axis="axisRow" multipleItemSelectionAllowed="1" showAll="0">
      <items count="13">
        <item h="1" m="1" x="6"/>
        <item h="1" m="1" x="9"/>
        <item h="1" m="1" x="11"/>
        <item h="1" m="1" x="7"/>
        <item h="1" m="1" x="10"/>
        <item x="1"/>
        <item x="2"/>
        <item x="4"/>
        <item h="1" x="3"/>
        <item h="1" m="1" x="8"/>
        <item h="1" x="5"/>
        <item h="1" x="0"/>
        <item t="default"/>
      </items>
    </pivotField>
    <pivotField showAll="0" defaultSubtotal="0"/>
    <pivotField axis="axisPage" showAll="0" defaultSubtotal="0">
      <items count="6">
        <item x="3"/>
        <item x="4"/>
        <item x="2"/>
        <item x="5"/>
        <item x="0"/>
        <item x="1"/>
      </items>
    </pivotField>
    <pivotField multipleItemSelectionAllowe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pivotField showAl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axis="axisRow" dataField="1" showAll="0" defaultSubtotal="0">
      <items count="53">
        <item x="47"/>
        <item x="46"/>
        <item x="48"/>
        <item x="49"/>
        <item x="42"/>
        <item x="3"/>
        <item x="9"/>
        <item x="32"/>
        <item x="30"/>
        <item x="33"/>
        <item x="28"/>
        <item x="29"/>
        <item x="43"/>
        <item x="25"/>
        <item x="13"/>
        <item x="35"/>
        <item x="19"/>
        <item x="27"/>
        <item x="50"/>
        <item x="37"/>
        <item x="36"/>
        <item x="52"/>
        <item x="0"/>
        <item x="15"/>
        <item x="16"/>
        <item x="21"/>
        <item x="6"/>
        <item x="22"/>
        <item x="12"/>
        <item x="5"/>
        <item x="8"/>
        <item x="14"/>
        <item x="34"/>
        <item x="11"/>
        <item x="2"/>
        <item x="26"/>
        <item x="44"/>
        <item x="18"/>
        <item x="23"/>
        <item x="4"/>
        <item x="20"/>
        <item x="51"/>
        <item x="17"/>
        <item x="40"/>
        <item x="45"/>
        <item x="39"/>
        <item x="41"/>
        <item x="24"/>
        <item x="7"/>
        <item x="31"/>
        <item x="1"/>
        <item x="10"/>
        <item x="38"/>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multipleItemSelectionAllowed="1" showAll="0"/>
    <pivotField multipleItemSelectionAllowed="1" showAll="0"/>
    <pivotField showAll="0"/>
    <pivotField showAll="0"/>
    <pivotField showAll="0"/>
    <pivotField showAll="0"/>
    <pivotField showAll="0"/>
    <pivotField showAl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pivotField showAll="0" defaultSubtotal="0"/>
    <pivotField showAll="0" defaultSubtotal="0"/>
    <pivotField showAll="0" defaultSubtotal="0"/>
    <pivotField showAll="0" defaultSubtotal="0"/>
  </pivotFields>
  <rowFields count="2">
    <field x="0"/>
    <field x="42"/>
  </rowFields>
  <rowItems count="74">
    <i>
      <x v="5"/>
    </i>
    <i r="1">
      <x v="33"/>
    </i>
    <i r="1">
      <x v="34"/>
    </i>
    <i r="1">
      <x v="50"/>
    </i>
    <i r="1">
      <x v="51"/>
    </i>
    <i>
      <x v="6"/>
    </i>
    <i r="1">
      <x v="5"/>
    </i>
    <i r="1">
      <x v="6"/>
    </i>
    <i r="1">
      <x v="7"/>
    </i>
    <i r="1">
      <x v="8"/>
    </i>
    <i r="1">
      <x v="9"/>
    </i>
    <i r="1">
      <x v="11"/>
    </i>
    <i r="1">
      <x v="13"/>
    </i>
    <i r="1">
      <x v="15"/>
    </i>
    <i r="1">
      <x v="16"/>
    </i>
    <i r="1">
      <x v="17"/>
    </i>
    <i r="1">
      <x v="20"/>
    </i>
    <i r="1">
      <x v="22"/>
    </i>
    <i r="1">
      <x v="25"/>
    </i>
    <i r="1">
      <x v="26"/>
    </i>
    <i r="1">
      <x v="27"/>
    </i>
    <i r="1">
      <x v="28"/>
    </i>
    <i r="1">
      <x v="29"/>
    </i>
    <i r="1">
      <x v="30"/>
    </i>
    <i r="1">
      <x v="32"/>
    </i>
    <i r="1">
      <x v="33"/>
    </i>
    <i r="1">
      <x v="34"/>
    </i>
    <i r="1">
      <x v="35"/>
    </i>
    <i r="1">
      <x v="38"/>
    </i>
    <i r="1">
      <x v="40"/>
    </i>
    <i r="1">
      <x v="42"/>
    </i>
    <i r="1">
      <x v="47"/>
    </i>
    <i r="1">
      <x v="48"/>
    </i>
    <i r="1">
      <x v="50"/>
    </i>
    <i r="1">
      <x v="51"/>
    </i>
    <i>
      <x v="7"/>
    </i>
    <i r="1">
      <x/>
    </i>
    <i r="1">
      <x v="1"/>
    </i>
    <i r="1">
      <x v="2"/>
    </i>
    <i r="1">
      <x v="3"/>
    </i>
    <i r="1">
      <x v="5"/>
    </i>
    <i r="1">
      <x v="6"/>
    </i>
    <i r="1">
      <x v="8"/>
    </i>
    <i r="1">
      <x v="9"/>
    </i>
    <i r="1">
      <x v="12"/>
    </i>
    <i r="1">
      <x v="14"/>
    </i>
    <i r="1">
      <x v="15"/>
    </i>
    <i r="1">
      <x v="16"/>
    </i>
    <i r="1">
      <x v="17"/>
    </i>
    <i r="1">
      <x v="18"/>
    </i>
    <i r="1">
      <x v="19"/>
    </i>
    <i r="1">
      <x v="21"/>
    </i>
    <i r="1">
      <x v="22"/>
    </i>
    <i r="1">
      <x v="26"/>
    </i>
    <i r="1">
      <x v="27"/>
    </i>
    <i r="1">
      <x v="28"/>
    </i>
    <i r="1">
      <x v="29"/>
    </i>
    <i r="1">
      <x v="30"/>
    </i>
    <i r="1">
      <x v="32"/>
    </i>
    <i r="1">
      <x v="34"/>
    </i>
    <i r="1">
      <x v="35"/>
    </i>
    <i r="1">
      <x v="36"/>
    </i>
    <i r="1">
      <x v="38"/>
    </i>
    <i r="1">
      <x v="41"/>
    </i>
    <i r="1">
      <x v="43"/>
    </i>
    <i r="1">
      <x v="44"/>
    </i>
    <i r="1">
      <x v="45"/>
    </i>
    <i r="1">
      <x v="47"/>
    </i>
    <i r="1">
      <x v="48"/>
    </i>
    <i r="1">
      <x v="49"/>
    </i>
    <i r="1">
      <x v="50"/>
    </i>
    <i r="1">
      <x v="51"/>
    </i>
    <i r="1">
      <x v="52"/>
    </i>
    <i t="grand">
      <x/>
    </i>
  </rowItems>
  <colItems count="1">
    <i/>
  </colItems>
  <pageFields count="1">
    <pageField fld="2" item="0" hier="-1"/>
  </pageFields>
  <dataFields count="1">
    <dataField name="Nombre de entreprise commune" fld="4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8.xml><?xml version="1.0" encoding="utf-8"?>
<pivotTableDefinition xmlns="http://schemas.openxmlformats.org/spreadsheetml/2006/main" name="Tableau croisé dynamique1" cacheId="2" applyNumberFormats="0" applyBorderFormats="0" applyFontFormats="0" applyPatternFormats="0" applyAlignmentFormats="0" applyWidthHeightFormats="1" dataCaption="Valeurs" updatedVersion="5" minRefreshableVersion="3" useAutoFormatting="1" itemPrintTitles="1" createdVersion="5" indent="0" outline="1" outlineData="1" multipleFieldFilters="0" chartFormat="1">
  <location ref="M1:N6" firstHeaderRow="1" firstDataRow="1" firstDataCol="1"/>
  <pivotFields count="9">
    <pivotField numFmtId="22" showAll="0"/>
    <pivotField showAll="0"/>
    <pivotField showAll="0"/>
    <pivotField showAll="0"/>
    <pivotField showAll="0"/>
    <pivotField showAll="0"/>
    <pivotField axis="axisRow" dataField="1" showAll="0">
      <items count="5">
        <item x="0"/>
        <item x="1"/>
        <item x="2"/>
        <item x="3"/>
        <item t="default"/>
      </items>
    </pivotField>
    <pivotField showAll="0"/>
    <pivotField showAll="0"/>
  </pivotFields>
  <rowFields count="1">
    <field x="6"/>
  </rowFields>
  <rowItems count="5">
    <i>
      <x/>
    </i>
    <i>
      <x v="1"/>
    </i>
    <i>
      <x v="2"/>
    </i>
    <i>
      <x v="3"/>
    </i>
    <i t="grand">
      <x/>
    </i>
  </rowItems>
  <colItems count="1">
    <i/>
  </colItems>
  <dataFields count="1">
    <dataField name="Nombre de La présentation était :" fld="6" subtotal="count" baseField="0" baseItem="0"/>
  </dataFields>
  <chartFormats count="1">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9.xml><?xml version="1.0" encoding="utf-8"?>
<pivotTableDefinition xmlns="http://schemas.openxmlformats.org/spreadsheetml/2006/main" name="Tableau croisé dynamique2" cacheId="0" applyNumberFormats="0" applyBorderFormats="0" applyFontFormats="0" applyPatternFormats="0" applyAlignmentFormats="0" applyWidthHeightFormats="1" dataCaption="Valeurs" updatedVersion="5" minRefreshableVersion="3" useAutoFormatting="1" itemPrintTitles="1" createdVersion="5" indent="0" outline="1" outlineData="1" multipleFieldFilters="0" chartFormat="3">
  <location ref="G3:H10" firstHeaderRow="1" firstDataRow="1" firstDataCol="1"/>
  <pivotFields count="4">
    <pivotField showAll="0"/>
    <pivotField showAll="0"/>
    <pivotField axis="axisRow" dataField="1" showAll="0">
      <items count="107">
        <item x="0"/>
        <item x="1"/>
        <item x="2"/>
        <item x="4"/>
        <item x="5"/>
        <item x="7"/>
        <item x="10"/>
        <item x="11"/>
        <item x="13"/>
        <item x="14"/>
        <item x="16"/>
        <item x="82"/>
        <item x="18"/>
        <item x="20"/>
        <item x="21"/>
        <item x="22"/>
        <item x="23"/>
        <item x="24"/>
        <item x="25"/>
        <item x="27"/>
        <item x="28"/>
        <item x="86"/>
        <item x="29"/>
        <item x="30"/>
        <item x="94"/>
        <item x="95"/>
        <item x="33"/>
        <item x="35"/>
        <item x="36"/>
        <item x="37"/>
        <item x="40"/>
        <item x="93"/>
        <item x="41"/>
        <item x="42"/>
        <item x="44"/>
        <item x="46"/>
        <item x="47"/>
        <item x="48"/>
        <item x="51"/>
        <item x="52"/>
        <item x="53"/>
        <item x="104"/>
        <item x="55"/>
        <item x="56"/>
        <item x="58"/>
        <item x="59"/>
        <item x="60"/>
        <item x="64"/>
        <item x="105"/>
        <item x="89"/>
        <item x="65"/>
        <item x="67"/>
        <item x="72"/>
        <item x="73"/>
        <item x="91"/>
        <item x="75"/>
        <item x="76"/>
        <item x="78"/>
        <item x="79"/>
        <item x="81"/>
        <item x="83"/>
        <item x="6"/>
        <item x="97"/>
        <item x="19"/>
        <item x="26"/>
        <item x="103"/>
        <item x="98"/>
        <item x="31"/>
        <item x="34"/>
        <item x="87"/>
        <item x="43"/>
        <item x="49"/>
        <item x="50"/>
        <item x="57"/>
        <item x="62"/>
        <item x="88"/>
        <item x="99"/>
        <item x="100"/>
        <item x="74"/>
        <item x="85"/>
        <item x="101"/>
        <item x="102"/>
        <item x="69"/>
        <item x="77"/>
        <item x="3"/>
        <item x="8"/>
        <item x="9"/>
        <item x="12"/>
        <item x="15"/>
        <item x="17"/>
        <item x="32"/>
        <item x="38"/>
        <item x="39"/>
        <item x="45"/>
        <item x="54"/>
        <item x="61"/>
        <item x="63"/>
        <item x="66"/>
        <item x="68"/>
        <item x="70"/>
        <item x="71"/>
        <item x="80"/>
        <item x="84"/>
        <item x="90"/>
        <item x="92"/>
        <item x="96"/>
        <item t="default"/>
      </items>
    </pivotField>
    <pivotField axis="axisRow" showAll="0" sortType="descending" defaultSubtotal="0">
      <items count="6">
        <item sd="0" x="2"/>
        <item sd="0" x="0"/>
        <item sd="0" x="1"/>
        <item sd="0" x="3"/>
        <item sd="0" x="4"/>
        <item sd="0" x="5"/>
      </items>
      <autoSortScope>
        <pivotArea dataOnly="0" outline="0" fieldPosition="0">
          <references count="1">
            <reference field="4294967294" count="1" selected="0">
              <x v="0"/>
            </reference>
          </references>
        </pivotArea>
      </autoSortScope>
    </pivotField>
  </pivotFields>
  <rowFields count="2">
    <field x="3"/>
    <field x="2"/>
  </rowFields>
  <rowItems count="7">
    <i>
      <x v="1"/>
    </i>
    <i>
      <x v="4"/>
    </i>
    <i>
      <x/>
    </i>
    <i>
      <x v="2"/>
    </i>
    <i>
      <x v="5"/>
    </i>
    <i>
      <x v="3"/>
    </i>
    <i t="grand">
      <x/>
    </i>
  </rowItems>
  <colItems count="1">
    <i/>
  </colItems>
  <dataFields count="1">
    <dataField name="Nombre de ENTREPRISES" fld="2" subtotal="count" baseField="0" baseItem="0"/>
  </dataFields>
  <chartFormats count="1">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5.bin"/><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4.xml"/><Relationship Id="rId7" Type="http://schemas.openxmlformats.org/officeDocument/2006/relationships/comments" Target="../comments2.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vmlDrawing" Target="../drawings/vmlDrawing2.vml"/><Relationship Id="rId5" Type="http://schemas.openxmlformats.org/officeDocument/2006/relationships/drawing" Target="../drawings/drawing2.xml"/><Relationship Id="rId4"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17" Type="http://schemas.openxmlformats.org/officeDocument/2006/relationships/hyperlink" Target="mailto:cheminees.jay@orange.fr" TargetMode="External"/><Relationship Id="rId671" Type="http://schemas.openxmlformats.org/officeDocument/2006/relationships/hyperlink" Target="mailto:jlc.services@orange.fr" TargetMode="External"/><Relationship Id="rId769" Type="http://schemas.openxmlformats.org/officeDocument/2006/relationships/hyperlink" Target="mailto:quentinbedejus@gmail.com" TargetMode="External"/><Relationship Id="rId976" Type="http://schemas.openxmlformats.org/officeDocument/2006/relationships/hyperlink" Target="mailto:poelesetcuisinierespassion@gmail.com" TargetMode="External"/><Relationship Id="rId21" Type="http://schemas.openxmlformats.org/officeDocument/2006/relationships/hyperlink" Target="https://www.qualit-enr.org/sarl-passion-flamme" TargetMode="External"/><Relationship Id="rId324" Type="http://schemas.openxmlformats.org/officeDocument/2006/relationships/hyperlink" Target="mailto:bois-soleil.chauffage@orange.fr" TargetMode="External"/><Relationship Id="rId531" Type="http://schemas.openxmlformats.org/officeDocument/2006/relationships/hyperlink" Target="https://www.qualypso.fr/download_file.php?id=021a3e1f-f16d-4577-ac80-f3806107cc38" TargetMode="External"/><Relationship Id="rId629" Type="http://schemas.openxmlformats.org/officeDocument/2006/relationships/hyperlink" Target="mailto:enerlogis@orange.fr" TargetMode="External"/><Relationship Id="rId170" Type="http://schemas.openxmlformats.org/officeDocument/2006/relationships/hyperlink" Target="https://www.qualit-enr.org/jacqu-cheminees" TargetMode="External"/><Relationship Id="rId836" Type="http://schemas.openxmlformats.org/officeDocument/2006/relationships/hyperlink" Target="mailto:manonandreu38@gmail.com" TargetMode="External"/><Relationship Id="rId1021" Type="http://schemas.openxmlformats.org/officeDocument/2006/relationships/hyperlink" Target="mailto:geo130590@hotmail.com" TargetMode="External"/><Relationship Id="rId268" Type="http://schemas.openxmlformats.org/officeDocument/2006/relationships/hyperlink" Target="mailto:cheminees.jay@orange.fr" TargetMode="External"/><Relationship Id="rId475" Type="http://schemas.openxmlformats.org/officeDocument/2006/relationships/hyperlink" Target="https://www.qualit-enr.org/jacqu-cheminees" TargetMode="External"/><Relationship Id="rId682" Type="http://schemas.openxmlformats.org/officeDocument/2006/relationships/hyperlink" Target="mailto:ahcene.boucenna@free.fr" TargetMode="External"/><Relationship Id="rId903" Type="http://schemas.openxmlformats.org/officeDocument/2006/relationships/hyperlink" Target="mailto:diebolt.didier60@free.fr" TargetMode="External"/><Relationship Id="rId32" Type="http://schemas.openxmlformats.org/officeDocument/2006/relationships/hyperlink" Target="https://www.qualit-enr.org/sasu-ignis-design-hase-la-boutique" TargetMode="External"/><Relationship Id="rId128" Type="http://schemas.openxmlformats.org/officeDocument/2006/relationships/hyperlink" Target="https://www.qualit-enr.org/bois-soleil-chauffage-sarl" TargetMode="External"/><Relationship Id="rId335" Type="http://schemas.openxmlformats.org/officeDocument/2006/relationships/hyperlink" Target="https://www.qualit-enr.org/carre" TargetMode="External"/><Relationship Id="rId542" Type="http://schemas.openxmlformats.org/officeDocument/2006/relationships/hyperlink" Target="mailto:godin-grenoble@orange.fr" TargetMode="External"/><Relationship Id="rId987" Type="http://schemas.openxmlformats.org/officeDocument/2006/relationships/hyperlink" Target="mailto:cserafin38@orange.fr" TargetMode="External"/><Relationship Id="rId181" Type="http://schemas.openxmlformats.org/officeDocument/2006/relationships/hyperlink" Target="mailto:marie-brossard@femsynergie.fr" TargetMode="External"/><Relationship Id="rId402" Type="http://schemas.openxmlformats.org/officeDocument/2006/relationships/hyperlink" Target="mailto:enerlogis@orange.fr" TargetMode="External"/><Relationship Id="rId847" Type="http://schemas.openxmlformats.org/officeDocument/2006/relationships/hyperlink" Target="mailto:contact@ecvoiron.fr" TargetMode="External"/><Relationship Id="rId1032" Type="http://schemas.openxmlformats.org/officeDocument/2006/relationships/hyperlink" Target="mailto:grenoble@hase-boutique.fr" TargetMode="External"/><Relationship Id="rId279" Type="http://schemas.openxmlformats.org/officeDocument/2006/relationships/hyperlink" Target="mailto:laglaceetlefeu38@gmail.com" TargetMode="External"/><Relationship Id="rId486" Type="http://schemas.openxmlformats.org/officeDocument/2006/relationships/hyperlink" Target="https://www.qualit-enr.org/sarl-enerlogis" TargetMode="External"/><Relationship Id="rId693" Type="http://schemas.openxmlformats.org/officeDocument/2006/relationships/hyperlink" Target="mailto:cheminees.jay@orange.fr" TargetMode="External"/><Relationship Id="rId707" Type="http://schemas.openxmlformats.org/officeDocument/2006/relationships/hyperlink" Target="mailto:philippraymond999@gmail.com" TargetMode="External"/><Relationship Id="rId914" Type="http://schemas.openxmlformats.org/officeDocument/2006/relationships/hyperlink" Target="mailto:main.bernadette13589@hotmail.com" TargetMode="External"/><Relationship Id="rId43" Type="http://schemas.openxmlformats.org/officeDocument/2006/relationships/hyperlink" Target="mailto:contact@ecvoiron.fr" TargetMode="External"/><Relationship Id="rId139" Type="http://schemas.openxmlformats.org/officeDocument/2006/relationships/hyperlink" Target="https://www.qualit-enr.org/carre" TargetMode="External"/><Relationship Id="rId346" Type="http://schemas.openxmlformats.org/officeDocument/2006/relationships/hyperlink" Target="https://www.qualit-enr.org/carre" TargetMode="External"/><Relationship Id="rId553" Type="http://schemas.openxmlformats.org/officeDocument/2006/relationships/hyperlink" Target="https://www.qualypso.fr/download_file.php?id=1214672b-53ac-4982-88f9-0d520d89179c" TargetMode="External"/><Relationship Id="rId760" Type="http://schemas.openxmlformats.org/officeDocument/2006/relationships/hyperlink" Target="https://www.qualit-enr.org/atre-decoration" TargetMode="External"/><Relationship Id="rId998" Type="http://schemas.openxmlformats.org/officeDocument/2006/relationships/hyperlink" Target="mailto:jacques.faure24@wanadoo.fr" TargetMode="External"/><Relationship Id="rId192" Type="http://schemas.openxmlformats.org/officeDocument/2006/relationships/hyperlink" Target="https://www.qualit-enr.org/ramonage-tubage-pros" TargetMode="External"/><Relationship Id="rId206" Type="http://schemas.openxmlformats.org/officeDocument/2006/relationships/hyperlink" Target="https://www.qualit-enr.org/watthome" TargetMode="External"/><Relationship Id="rId413" Type="http://schemas.openxmlformats.org/officeDocument/2006/relationships/hyperlink" Target="https://www.qualit-enr.org/atre-decoration" TargetMode="External"/><Relationship Id="rId858" Type="http://schemas.openxmlformats.org/officeDocument/2006/relationships/hyperlink" Target="https://www.qualit-enr.org/cheminees-jay" TargetMode="External"/><Relationship Id="rId1043" Type="http://schemas.openxmlformats.org/officeDocument/2006/relationships/hyperlink" Target="mailto:jonathan.barguel@philippeisere.fr" TargetMode="External"/><Relationship Id="rId497" Type="http://schemas.openxmlformats.org/officeDocument/2006/relationships/hyperlink" Target="https://www.qualit-enr.org/sarl-enerlogis" TargetMode="External"/><Relationship Id="rId620" Type="http://schemas.openxmlformats.org/officeDocument/2006/relationships/hyperlink" Target="https://www.qualit-enr.org/entreprises/espace-confort-voironnais/" TargetMode="External"/><Relationship Id="rId718" Type="http://schemas.openxmlformats.org/officeDocument/2006/relationships/hyperlink" Target="https://www.qualit-enr.org/cheminees-jay" TargetMode="External"/><Relationship Id="rId925" Type="http://schemas.openxmlformats.org/officeDocument/2006/relationships/hyperlink" Target="mailto:contact@ecvoiron.fr" TargetMode="External"/><Relationship Id="rId357" Type="http://schemas.openxmlformats.org/officeDocument/2006/relationships/hyperlink" Target="https://cloud.ageden38.org/webdav/Shared/Arborescence/03_Territoires/CA%20Pays%20Voironnais/nextcloud/remote.php/webdav/Shared/Arborescence/03_Territoires/CA%20Pays%20Voironnais/0-Interco/2_Actions/2017_instruction%20aides%20CAPV/PABVRB/1_Archives" TargetMode="External"/><Relationship Id="rId1110" Type="http://schemas.openxmlformats.org/officeDocument/2006/relationships/hyperlink" Target="mailto:contact@ecvoiron.fr" TargetMode="External"/><Relationship Id="rId54" Type="http://schemas.openxmlformats.org/officeDocument/2006/relationships/hyperlink" Target="https://www.qualit-enr.org/bois-soleil-chauffage-sarl" TargetMode="External"/><Relationship Id="rId217" Type="http://schemas.openxmlformats.org/officeDocument/2006/relationships/hyperlink" Target="mailto:cheminees.jay@orange.fr" TargetMode="External"/><Relationship Id="rId564" Type="http://schemas.openxmlformats.org/officeDocument/2006/relationships/hyperlink" Target="mailto:latredauphinois@gmail.com" TargetMode="External"/><Relationship Id="rId771" Type="http://schemas.openxmlformats.org/officeDocument/2006/relationships/hyperlink" Target="mailto:contact@latredauphinois.fr" TargetMode="External"/><Relationship Id="rId869" Type="http://schemas.openxmlformats.org/officeDocument/2006/relationships/hyperlink" Target="mailto:michel.fernandez0793@orange.fr" TargetMode="External"/><Relationship Id="rId424" Type="http://schemas.openxmlformats.org/officeDocument/2006/relationships/hyperlink" Target="mailto:voiron@techni-nature.com" TargetMode="External"/><Relationship Id="rId631" Type="http://schemas.openxmlformats.org/officeDocument/2006/relationships/hyperlink" Target="mailto:giuseppeitalo.bruno@sfr.fr" TargetMode="External"/><Relationship Id="rId729" Type="http://schemas.openxmlformats.org/officeDocument/2006/relationships/hyperlink" Target="https://www.qualypso.fr/download_file.php?id=021a3e1f-f16d-4577-ac80-f3806107cc38" TargetMode="External"/><Relationship Id="rId1054" Type="http://schemas.openxmlformats.org/officeDocument/2006/relationships/hyperlink" Target="https://www.qualit-enr.org/entreprises/j3l-agencements/" TargetMode="External"/><Relationship Id="rId270" Type="http://schemas.openxmlformats.org/officeDocument/2006/relationships/hyperlink" Target="mailto:godin-grenoble@orange.fr" TargetMode="External"/><Relationship Id="rId936" Type="http://schemas.openxmlformats.org/officeDocument/2006/relationships/hyperlink" Target="mailto:simonprotin@gmail.com" TargetMode="External"/><Relationship Id="rId65" Type="http://schemas.openxmlformats.org/officeDocument/2006/relationships/hyperlink" Target="mailto:voiron@techni-nature.com" TargetMode="External"/><Relationship Id="rId130" Type="http://schemas.openxmlformats.org/officeDocument/2006/relationships/hyperlink" Target="mailto:voiron@techni-nature.com" TargetMode="External"/><Relationship Id="rId368" Type="http://schemas.openxmlformats.org/officeDocument/2006/relationships/hyperlink" Target="mailto:laglaceetlefeu38@gmail.com" TargetMode="External"/><Relationship Id="rId575" Type="http://schemas.openxmlformats.org/officeDocument/2006/relationships/hyperlink" Target="mailto:tardy.florent38620@gmail.com" TargetMode="External"/><Relationship Id="rId782" Type="http://schemas.openxmlformats.org/officeDocument/2006/relationships/hyperlink" Target="mailto:pasgog@free.fr" TargetMode="External"/><Relationship Id="rId228" Type="http://schemas.openxmlformats.org/officeDocument/2006/relationships/hyperlink" Target="https://www.qualit-enr.org/jacqu-cheminees" TargetMode="External"/><Relationship Id="rId435" Type="http://schemas.openxmlformats.org/officeDocument/2006/relationships/hyperlink" Target="https://www.qualit-enr.org/entreprises/j3l-agencements/" TargetMode="External"/><Relationship Id="rId642" Type="http://schemas.openxmlformats.org/officeDocument/2006/relationships/hyperlink" Target="https://www.qualypso.fr/download_file.php?id=0ac6bbaa-cb24-4926-9d7f-8e6b0d1f9099" TargetMode="External"/><Relationship Id="rId1065" Type="http://schemas.openxmlformats.org/officeDocument/2006/relationships/hyperlink" Target="mailto:francois.meny@yahoo.fr" TargetMode="External"/><Relationship Id="rId281" Type="http://schemas.openxmlformats.org/officeDocument/2006/relationships/hyperlink" Target="mailto:contact@ecvoiron.fr" TargetMode="External"/><Relationship Id="rId502" Type="http://schemas.openxmlformats.org/officeDocument/2006/relationships/hyperlink" Target="https://www.qualit-enr.org/fralor-poeles-et-cuisinieres-passion" TargetMode="External"/><Relationship Id="rId947" Type="http://schemas.openxmlformats.org/officeDocument/2006/relationships/hyperlink" Target="mailto:elisabeth.bret@orange.fr" TargetMode="External"/><Relationship Id="rId76" Type="http://schemas.openxmlformats.org/officeDocument/2006/relationships/hyperlink" Target="mailto:accueil@sbidaud.fr" TargetMode="External"/><Relationship Id="rId141" Type="http://schemas.openxmlformats.org/officeDocument/2006/relationships/hyperlink" Target="https://www.qualit-enr.org/espace-confort-voironnais" TargetMode="External"/><Relationship Id="rId379" Type="http://schemas.openxmlformats.org/officeDocument/2006/relationships/hyperlink" Target="mailto:latredauphinois@gmail.com" TargetMode="External"/><Relationship Id="rId586" Type="http://schemas.openxmlformats.org/officeDocument/2006/relationships/hyperlink" Target="mailto:laglaceetlefeu38@gmail.com" TargetMode="External"/><Relationship Id="rId793" Type="http://schemas.openxmlformats.org/officeDocument/2006/relationships/hyperlink" Target="https://www.qualit-enr.org/cheminees-jay" TargetMode="External"/><Relationship Id="rId807" Type="http://schemas.openxmlformats.org/officeDocument/2006/relationships/hyperlink" Target="mailto:correardc@free.fr" TargetMode="External"/><Relationship Id="rId7" Type="http://schemas.openxmlformats.org/officeDocument/2006/relationships/hyperlink" Target="https://www.qualit-enr.org/flamme-iseroise" TargetMode="External"/><Relationship Id="rId239" Type="http://schemas.openxmlformats.org/officeDocument/2006/relationships/hyperlink" Target="mailto:contact@ecvoiron.fr" TargetMode="External"/><Relationship Id="rId446" Type="http://schemas.openxmlformats.org/officeDocument/2006/relationships/hyperlink" Target="https://www.qualit-enr.org/jacqu-cheminees" TargetMode="External"/><Relationship Id="rId653" Type="http://schemas.openxmlformats.org/officeDocument/2006/relationships/hyperlink" Target="mailto:contact@ecvoiron.fr" TargetMode="External"/><Relationship Id="rId1076" Type="http://schemas.openxmlformats.org/officeDocument/2006/relationships/hyperlink" Target="mailto:patou3342@wanadoo.fr" TargetMode="External"/><Relationship Id="rId292" Type="http://schemas.openxmlformats.org/officeDocument/2006/relationships/hyperlink" Target="https://www.qualit-enr.org/espace-confort-voironnais" TargetMode="External"/><Relationship Id="rId306" Type="http://schemas.openxmlformats.org/officeDocument/2006/relationships/hyperlink" Target="https://www.qualit-enr.org/sarl-duo-cheminees" TargetMode="External"/><Relationship Id="rId860" Type="http://schemas.openxmlformats.org/officeDocument/2006/relationships/hyperlink" Target="mailto:cheminees.jay@orange.fr" TargetMode="External"/><Relationship Id="rId958" Type="http://schemas.openxmlformats.org/officeDocument/2006/relationships/hyperlink" Target="mailto:lolo-carre@hotmail.fr" TargetMode="External"/><Relationship Id="rId87" Type="http://schemas.openxmlformats.org/officeDocument/2006/relationships/hyperlink" Target="https://www.qualit-enr.org/atre-decoration" TargetMode="External"/><Relationship Id="rId513" Type="http://schemas.openxmlformats.org/officeDocument/2006/relationships/hyperlink" Target="mailto:contact@ecvoiron.fr" TargetMode="External"/><Relationship Id="rId597" Type="http://schemas.openxmlformats.org/officeDocument/2006/relationships/hyperlink" Target="mailto:contact@ecvoiron.fr" TargetMode="External"/><Relationship Id="rId720" Type="http://schemas.openxmlformats.org/officeDocument/2006/relationships/hyperlink" Target="https://www.qualypso.fr/download_file.php?id=021a3e1f-f16d-4577-ac80-f3806107cc38" TargetMode="External"/><Relationship Id="rId818" Type="http://schemas.openxmlformats.org/officeDocument/2006/relationships/hyperlink" Target="mailto:jean.monin@wanadoo.fr" TargetMode="External"/><Relationship Id="rId152" Type="http://schemas.openxmlformats.org/officeDocument/2006/relationships/hyperlink" Target="mailto:contact@ecvoiron.fr" TargetMode="External"/><Relationship Id="rId457" Type="http://schemas.openxmlformats.org/officeDocument/2006/relationships/hyperlink" Target="https://www.qualit-enr.org/fralor-poeles-et-cuisinieres-passion" TargetMode="External"/><Relationship Id="rId1003" Type="http://schemas.openxmlformats.org/officeDocument/2006/relationships/hyperlink" Target="mailto:jeanlouis.sage@gmail.com" TargetMode="External"/><Relationship Id="rId1087" Type="http://schemas.openxmlformats.org/officeDocument/2006/relationships/hyperlink" Target="mailto:contact@ecvoiron.fr" TargetMode="External"/><Relationship Id="rId664" Type="http://schemas.openxmlformats.org/officeDocument/2006/relationships/hyperlink" Target="mailto:daubardh@orange.fr" TargetMode="External"/><Relationship Id="rId871" Type="http://schemas.openxmlformats.org/officeDocument/2006/relationships/hyperlink" Target="mailto:denycole@free.fr" TargetMode="External"/><Relationship Id="rId969" Type="http://schemas.openxmlformats.org/officeDocument/2006/relationships/hyperlink" Target="mailto:contact@ecvoiron.fr" TargetMode="External"/><Relationship Id="rId14" Type="http://schemas.openxmlformats.org/officeDocument/2006/relationships/hyperlink" Target="mailto:voiron@techni-nature.com" TargetMode="External"/><Relationship Id="rId317" Type="http://schemas.openxmlformats.org/officeDocument/2006/relationships/hyperlink" Target="https://www.qualit-enr.org/bois-soleil-chauffage-sarl" TargetMode="External"/><Relationship Id="rId524" Type="http://schemas.openxmlformats.org/officeDocument/2006/relationships/hyperlink" Target="mailto:grenoble@hase-boutique.fr" TargetMode="External"/><Relationship Id="rId731" Type="http://schemas.openxmlformats.org/officeDocument/2006/relationships/hyperlink" Target="https://www.qualypso.fr/download_file.php?id=021a3e1f-f16d-4577-ac80-f3806107cc38" TargetMode="External"/><Relationship Id="rId98" Type="http://schemas.openxmlformats.org/officeDocument/2006/relationships/hyperlink" Target="https://www.qualit-enr.org/techni-nature-05000" TargetMode="External"/><Relationship Id="rId163" Type="http://schemas.openxmlformats.org/officeDocument/2006/relationships/hyperlink" Target="https://www.qualit-enr.org/cheminees-jay" TargetMode="External"/><Relationship Id="rId370" Type="http://schemas.openxmlformats.org/officeDocument/2006/relationships/hyperlink" Target="mailto:cheminees.jay@orange.fr" TargetMode="External"/><Relationship Id="rId829" Type="http://schemas.openxmlformats.org/officeDocument/2006/relationships/hyperlink" Target="https://www.qualit-enr.org/cheminees-jay" TargetMode="External"/><Relationship Id="rId1014" Type="http://schemas.openxmlformats.org/officeDocument/2006/relationships/hyperlink" Target="https://www.qualit-enr.org/cheminees-jay" TargetMode="External"/><Relationship Id="rId230" Type="http://schemas.openxmlformats.org/officeDocument/2006/relationships/hyperlink" Target="https://www.qualit-enr.org/espace-confort-voironnais" TargetMode="External"/><Relationship Id="rId468" Type="http://schemas.openxmlformats.org/officeDocument/2006/relationships/hyperlink" Target="https://www.qualit-enr.org/entreprises/j3l-agencements/" TargetMode="External"/><Relationship Id="rId675" Type="http://schemas.openxmlformats.org/officeDocument/2006/relationships/hyperlink" Target="mailto:gonon.daniel30676@gmail.com" TargetMode="External"/><Relationship Id="rId882" Type="http://schemas.openxmlformats.org/officeDocument/2006/relationships/hyperlink" Target="https://www.qualit-enr.org/cheminees-jay" TargetMode="External"/><Relationship Id="rId1098" Type="http://schemas.openxmlformats.org/officeDocument/2006/relationships/hyperlink" Target="mailto:patrickduranton@passionflamme.fr" TargetMode="External"/><Relationship Id="rId25" Type="http://schemas.openxmlformats.org/officeDocument/2006/relationships/hyperlink" Target="https://www.qualit-enr.org/atre-decoration" TargetMode="External"/><Relationship Id="rId328" Type="http://schemas.openxmlformats.org/officeDocument/2006/relationships/hyperlink" Target="mailto:latredauphinois@gmail.com" TargetMode="External"/><Relationship Id="rId535" Type="http://schemas.openxmlformats.org/officeDocument/2006/relationships/hyperlink" Target="https://www.qualypso.fr/download_file.php?id=59a0d93f-3d9d-4abe-85fc-665fa5310b89" TargetMode="External"/><Relationship Id="rId742" Type="http://schemas.openxmlformats.org/officeDocument/2006/relationships/hyperlink" Target="https://www.qualit-enr.org/entreprises/espace-confort-voironnais/" TargetMode="External"/><Relationship Id="rId174" Type="http://schemas.openxmlformats.org/officeDocument/2006/relationships/hyperlink" Target="mailto:bois-soleil.chauffage@orange.fr" TargetMode="External"/><Relationship Id="rId381" Type="http://schemas.openxmlformats.org/officeDocument/2006/relationships/hyperlink" Target="mailto:thomas.morey@wattethome.com" TargetMode="External"/><Relationship Id="rId602" Type="http://schemas.openxmlformats.org/officeDocument/2006/relationships/hyperlink" Target="mailto:contact@ecvoiron.fr" TargetMode="External"/><Relationship Id="rId1025" Type="http://schemas.openxmlformats.org/officeDocument/2006/relationships/hyperlink" Target="mailto:marketing@carre-f.com" TargetMode="External"/><Relationship Id="rId241" Type="http://schemas.openxmlformats.org/officeDocument/2006/relationships/hyperlink" Target="mailto:todeschini@orange.fr" TargetMode="External"/><Relationship Id="rId479" Type="http://schemas.openxmlformats.org/officeDocument/2006/relationships/hyperlink" Target="https://www.qualit-enr.org/carre" TargetMode="External"/><Relationship Id="rId686" Type="http://schemas.openxmlformats.org/officeDocument/2006/relationships/hyperlink" Target="mailto:louatd@yahoo.com" TargetMode="External"/><Relationship Id="rId893" Type="http://schemas.openxmlformats.org/officeDocument/2006/relationships/hyperlink" Target="mailto:contact@philippeisere.fr" TargetMode="External"/><Relationship Id="rId907" Type="http://schemas.openxmlformats.org/officeDocument/2006/relationships/hyperlink" Target="mailto:olivier-gilles@hotmail.fr" TargetMode="External"/><Relationship Id="rId36" Type="http://schemas.openxmlformats.org/officeDocument/2006/relationships/hyperlink" Target="https://www.qualit-enr.org/sarl-pab-38490" TargetMode="External"/><Relationship Id="rId339" Type="http://schemas.openxmlformats.org/officeDocument/2006/relationships/hyperlink" Target="https://www.qualit-enr.org/espace-confort-voironnais" TargetMode="External"/><Relationship Id="rId546" Type="http://schemas.openxmlformats.org/officeDocument/2006/relationships/hyperlink" Target="mailto:jlc.services@orange.fr" TargetMode="External"/><Relationship Id="rId753" Type="http://schemas.openxmlformats.org/officeDocument/2006/relationships/hyperlink" Target="https://www.qualypso.fr/download_file.php?id=021a3e1f-f16d-4577-ac80-f3806107cc38" TargetMode="External"/><Relationship Id="rId101" Type="http://schemas.openxmlformats.org/officeDocument/2006/relationships/hyperlink" Target="mailto:tecnicservices@yahoo.fr" TargetMode="External"/><Relationship Id="rId185" Type="http://schemas.openxmlformats.org/officeDocument/2006/relationships/hyperlink" Target="mailto:contact@ecvoiron.fr" TargetMode="External"/><Relationship Id="rId406" Type="http://schemas.openxmlformats.org/officeDocument/2006/relationships/hyperlink" Target="https://www.qualit-enr.org/glenat-pere-et-fils" TargetMode="External"/><Relationship Id="rId960" Type="http://schemas.openxmlformats.org/officeDocument/2006/relationships/hyperlink" Target="mailto:Pietro.Pugliese@40-30.fr" TargetMode="External"/><Relationship Id="rId1036" Type="http://schemas.openxmlformats.org/officeDocument/2006/relationships/hyperlink" Target="mailto:commerciale@flammeiseroise.com" TargetMode="External"/><Relationship Id="rId392" Type="http://schemas.openxmlformats.org/officeDocument/2006/relationships/hyperlink" Target="https://www.qualit-enr.org/entreprises/j3l-agencements/" TargetMode="External"/><Relationship Id="rId613" Type="http://schemas.openxmlformats.org/officeDocument/2006/relationships/hyperlink" Target="https://www.qualit-enr.org/entreprises/espace-confort-voironnais/" TargetMode="External"/><Relationship Id="rId697" Type="http://schemas.openxmlformats.org/officeDocument/2006/relationships/hyperlink" Target="mailto:herve.clavel@hotmail.com" TargetMode="External"/><Relationship Id="rId820" Type="http://schemas.openxmlformats.org/officeDocument/2006/relationships/hyperlink" Target="mailto:brizard.alex30925@yahoo.com" TargetMode="External"/><Relationship Id="rId918" Type="http://schemas.openxmlformats.org/officeDocument/2006/relationships/hyperlink" Target="mailto:fitoussi38490@gmail.com" TargetMode="External"/><Relationship Id="rId252" Type="http://schemas.openxmlformats.org/officeDocument/2006/relationships/hyperlink" Target="https://www.qualit-enr.org/jacqu-cheminees" TargetMode="External"/><Relationship Id="rId1103" Type="http://schemas.openxmlformats.org/officeDocument/2006/relationships/hyperlink" Target="mailto:cheminees.jay@orange.fr" TargetMode="External"/><Relationship Id="rId47" Type="http://schemas.openxmlformats.org/officeDocument/2006/relationships/hyperlink" Target="mailto:jcduo@orange.fr" TargetMode="External"/><Relationship Id="rId112" Type="http://schemas.openxmlformats.org/officeDocument/2006/relationships/hyperlink" Target="https://cloud.ageden38.org/webdav/Shared/Arborescence/03_Territoires/CA%20Pays%20Voironnais/nextcloud/remote.php/webdav/Shared/Arborescence/03_Territoires/CA%20Pays%20Voironnais/0-Interco/2_Actions/2017_instruction%20aides%20CAPV/PABVRB/1_Archives" TargetMode="External"/><Relationship Id="rId557" Type="http://schemas.openxmlformats.org/officeDocument/2006/relationships/hyperlink" Target="https://www.qualypso.fr/download_file.php?id=021a3e1f-f16d-4577-ac80-f3806107cc38" TargetMode="External"/><Relationship Id="rId764" Type="http://schemas.openxmlformats.org/officeDocument/2006/relationships/hyperlink" Target="https://www.qualypso.fr/download_file.php?id=5a2f7629-04e3-4b62-986f-8be595fd3c43" TargetMode="External"/><Relationship Id="rId971" Type="http://schemas.openxmlformats.org/officeDocument/2006/relationships/hyperlink" Target="mailto:contact@alpp-plomberie.fr" TargetMode="External"/><Relationship Id="rId196" Type="http://schemas.openxmlformats.org/officeDocument/2006/relationships/hyperlink" Target="mailto:patrickduranton@passionflamme.fr" TargetMode="External"/><Relationship Id="rId417" Type="http://schemas.openxmlformats.org/officeDocument/2006/relationships/hyperlink" Target="mailto:contact@ecvoiron.fr" TargetMode="External"/><Relationship Id="rId624" Type="http://schemas.openxmlformats.org/officeDocument/2006/relationships/hyperlink" Target="https://www.qualypso.fr/download_file.php?id=5a2f7629-04e3-4b62-986f-8be595fd3c43" TargetMode="External"/><Relationship Id="rId831" Type="http://schemas.openxmlformats.org/officeDocument/2006/relationships/hyperlink" Target="https://www.qualit-enr.org/cheminees-jay" TargetMode="External"/><Relationship Id="rId1047" Type="http://schemas.openxmlformats.org/officeDocument/2006/relationships/hyperlink" Target="mailto:buchou@club-internet.fr" TargetMode="External"/><Relationship Id="rId263" Type="http://schemas.openxmlformats.org/officeDocument/2006/relationships/hyperlink" Target="https://www.qualit-enr.org/sarl-pab-38490" TargetMode="External"/><Relationship Id="rId470" Type="http://schemas.openxmlformats.org/officeDocument/2006/relationships/hyperlink" Target="https://www.qualit-enr.org/entreprises/j3l-agencements/" TargetMode="External"/><Relationship Id="rId929" Type="http://schemas.openxmlformats.org/officeDocument/2006/relationships/hyperlink" Target="mailto:jonathan.bargel@philippeisere.fr" TargetMode="External"/><Relationship Id="rId1114" Type="http://schemas.openxmlformats.org/officeDocument/2006/relationships/comments" Target="../comments3.xml"/><Relationship Id="rId58" Type="http://schemas.openxmlformats.org/officeDocument/2006/relationships/hyperlink" Target="https://www.qualit-enr.org/bois-soleil-chauffage-sarl" TargetMode="External"/><Relationship Id="rId123" Type="http://schemas.openxmlformats.org/officeDocument/2006/relationships/hyperlink" Target="mailto:jcduo@orange.fr" TargetMode="External"/><Relationship Id="rId330" Type="http://schemas.openxmlformats.org/officeDocument/2006/relationships/hyperlink" Target="mailto:bois-soleil.chauffage@orange.fr" TargetMode="External"/><Relationship Id="rId568" Type="http://schemas.openxmlformats.org/officeDocument/2006/relationships/hyperlink" Target="https://www.qualit-enr.org/entreprises/ramonage-tubage-pros/" TargetMode="External"/><Relationship Id="rId775" Type="http://schemas.openxmlformats.org/officeDocument/2006/relationships/hyperlink" Target="mailto:isabelle.mugnier52@orange.fr" TargetMode="External"/><Relationship Id="rId982" Type="http://schemas.openxmlformats.org/officeDocument/2006/relationships/hyperlink" Target="mailto:bonnet.francis31515@hotmail.com" TargetMode="External"/><Relationship Id="rId428" Type="http://schemas.openxmlformats.org/officeDocument/2006/relationships/hyperlink" Target="mailto:contact@philippeisere.fr" TargetMode="External"/><Relationship Id="rId635" Type="http://schemas.openxmlformats.org/officeDocument/2006/relationships/hyperlink" Target="mailto:jcduo@orange.fr" TargetMode="External"/><Relationship Id="rId842" Type="http://schemas.openxmlformats.org/officeDocument/2006/relationships/hyperlink" Target="mailto:closa.marguet@abidaud.fr" TargetMode="External"/><Relationship Id="rId1058" Type="http://schemas.openxmlformats.org/officeDocument/2006/relationships/hyperlink" Target="mailto:sarlpab@orange.fr" TargetMode="External"/><Relationship Id="rId274" Type="http://schemas.openxmlformats.org/officeDocument/2006/relationships/hyperlink" Target="mailto:latredauphinois@gmail.com" TargetMode="External"/><Relationship Id="rId481" Type="http://schemas.openxmlformats.org/officeDocument/2006/relationships/hyperlink" Target="https://www.qualit-enr.org/la-glace-et-le-feu" TargetMode="External"/><Relationship Id="rId702" Type="http://schemas.openxmlformats.org/officeDocument/2006/relationships/hyperlink" Target="mailto:thibaut.roche38@gmail.com" TargetMode="External"/><Relationship Id="rId69" Type="http://schemas.openxmlformats.org/officeDocument/2006/relationships/hyperlink" Target="https://www.qualit-enr.org/jacqu-cheminees" TargetMode="External"/><Relationship Id="rId134" Type="http://schemas.openxmlformats.org/officeDocument/2006/relationships/hyperlink" Target="https://www.qualit-enr.org/carre" TargetMode="External"/><Relationship Id="rId579" Type="http://schemas.openxmlformats.org/officeDocument/2006/relationships/hyperlink" Target="mailto:eliane.jover1@gmail.com" TargetMode="External"/><Relationship Id="rId786" Type="http://schemas.openxmlformats.org/officeDocument/2006/relationships/hyperlink" Target="mailto:contact@ecvoiron.fr" TargetMode="External"/><Relationship Id="rId993" Type="http://schemas.openxmlformats.org/officeDocument/2006/relationships/hyperlink" Target="mailto:voiron@techni-nature.com" TargetMode="External"/><Relationship Id="rId341" Type="http://schemas.openxmlformats.org/officeDocument/2006/relationships/hyperlink" Target="https://www.qualit-enr.org/cheminees-jay" TargetMode="External"/><Relationship Id="rId439" Type="http://schemas.openxmlformats.org/officeDocument/2006/relationships/hyperlink" Target="https://www.qualit-enr.org/cheminees-jay" TargetMode="External"/><Relationship Id="rId646" Type="http://schemas.openxmlformats.org/officeDocument/2006/relationships/hyperlink" Target="mailto:patrick.mattiussi@wanadoo.fr" TargetMode="External"/><Relationship Id="rId1069" Type="http://schemas.openxmlformats.org/officeDocument/2006/relationships/hyperlink" Target="mailto:poeleetcuisinierespassion@gmail.com" TargetMode="External"/><Relationship Id="rId201" Type="http://schemas.openxmlformats.org/officeDocument/2006/relationships/hyperlink" Target="https://www.qualit-enr.org/espace-confort-voironnais" TargetMode="External"/><Relationship Id="rId285" Type="http://schemas.openxmlformats.org/officeDocument/2006/relationships/hyperlink" Target="mailto:cheminees.jay@orange.fr" TargetMode="External"/><Relationship Id="rId506" Type="http://schemas.openxmlformats.org/officeDocument/2006/relationships/hyperlink" Target="https://www.qualit-enr.org/jacqu-cheminees" TargetMode="External"/><Relationship Id="rId853" Type="http://schemas.openxmlformats.org/officeDocument/2006/relationships/hyperlink" Target="mailto:anne-sophiedupay@orange.fr" TargetMode="External"/><Relationship Id="rId492" Type="http://schemas.openxmlformats.org/officeDocument/2006/relationships/hyperlink" Target="mailto:grenoble@hase-boutique.fr" TargetMode="External"/><Relationship Id="rId713" Type="http://schemas.openxmlformats.org/officeDocument/2006/relationships/hyperlink" Target="mailto:viullermet.georges21814@gmail.com" TargetMode="External"/><Relationship Id="rId797" Type="http://schemas.openxmlformats.org/officeDocument/2006/relationships/hyperlink" Target="https://www.qualit-enr.org/cheminees-jay" TargetMode="External"/><Relationship Id="rId920" Type="http://schemas.openxmlformats.org/officeDocument/2006/relationships/hyperlink" Target="mailto:laurie.rague@gmail.com" TargetMode="External"/><Relationship Id="rId145" Type="http://schemas.openxmlformats.org/officeDocument/2006/relationships/hyperlink" Target="https://www.qualit-enr.org/bois-soleil-chauffage-sarl" TargetMode="External"/><Relationship Id="rId352" Type="http://schemas.openxmlformats.org/officeDocument/2006/relationships/hyperlink" Target="mailto:tmgranule@gmail.com" TargetMode="External"/><Relationship Id="rId212" Type="http://schemas.openxmlformats.org/officeDocument/2006/relationships/hyperlink" Target="https://www.qualit-enr.org/poelesgranules-fr-bio-belledonne-granules" TargetMode="External"/><Relationship Id="rId657" Type="http://schemas.openxmlformats.org/officeDocument/2006/relationships/hyperlink" Target="mailto:stephane.philippe38@gmail.com" TargetMode="External"/><Relationship Id="rId864" Type="http://schemas.openxmlformats.org/officeDocument/2006/relationships/hyperlink" Target="mailto:jlc.services@orange.fr" TargetMode="External"/><Relationship Id="rId296" Type="http://schemas.openxmlformats.org/officeDocument/2006/relationships/hyperlink" Target="mailto:contact@ecvoiron.fr" TargetMode="External"/><Relationship Id="rId517" Type="http://schemas.openxmlformats.org/officeDocument/2006/relationships/hyperlink" Target="mailto:chaleurbois38@orange.fr" TargetMode="External"/><Relationship Id="rId724" Type="http://schemas.openxmlformats.org/officeDocument/2006/relationships/hyperlink" Target="https://www.qualypso.fr/download_file.php?id=021a3e1f-f16d-4577-ac80-f3806107cc38" TargetMode="External"/><Relationship Id="rId931" Type="http://schemas.openxmlformats.org/officeDocument/2006/relationships/hyperlink" Target="mailto:jonathan.bargel@philippeisere.fr" TargetMode="External"/><Relationship Id="rId60" Type="http://schemas.openxmlformats.org/officeDocument/2006/relationships/hyperlink" Target="https://cloud.ageden38.org/webdav/Shared/Arborescence/03_Territoires/CA%20Pays%20Voironnais/nextcloud/remote.php/webdav/Shared/Arborescence/03_Territoires/CA%20Pays%20Voironnais/0-Interco/2_Actions/2017_instruction%20aides%20CAPV/PABVRB/1_Archives" TargetMode="External"/><Relationship Id="rId156" Type="http://schemas.openxmlformats.org/officeDocument/2006/relationships/hyperlink" Target="https://cloud.ageden38.org/webdav/Shared/Arborescence/03_Territoires/CA%20Pays%20Voironnais/nextcloud/remote.php/webdav/Shared/Arborescence/03_Territoires/CA%20Pays%20Voironnais/0-Interco/2_Actions/2017_instruction%20aides%20CAPV/PABVRB/1_Archives" TargetMode="External"/><Relationship Id="rId363" Type="http://schemas.openxmlformats.org/officeDocument/2006/relationships/hyperlink" Target="mailto:bois-soleil.chauffage@orange.fr" TargetMode="External"/><Relationship Id="rId570" Type="http://schemas.openxmlformats.org/officeDocument/2006/relationships/hyperlink" Target="mailto:f.carre@carre-f.com" TargetMode="External"/><Relationship Id="rId1007" Type="http://schemas.openxmlformats.org/officeDocument/2006/relationships/hyperlink" Target="https://www.qualit-enr.org/carre" TargetMode="External"/><Relationship Id="rId223" Type="http://schemas.openxmlformats.org/officeDocument/2006/relationships/hyperlink" Target="https://www.qualit-enr.org/fralor-poeles-et-cuisinieres-passion" TargetMode="External"/><Relationship Id="rId430" Type="http://schemas.openxmlformats.org/officeDocument/2006/relationships/hyperlink" Target="mailto:bois-soleil.chauffage@orange.fr" TargetMode="External"/><Relationship Id="rId668" Type="http://schemas.openxmlformats.org/officeDocument/2006/relationships/hyperlink" Target="https://www.qualit-enr.org/entreprises/espace-confort-voironnais/" TargetMode="External"/><Relationship Id="rId875" Type="http://schemas.openxmlformats.org/officeDocument/2006/relationships/hyperlink" Target="mailto:zilliox38850@gmail.com" TargetMode="External"/><Relationship Id="rId1060" Type="http://schemas.openxmlformats.org/officeDocument/2006/relationships/hyperlink" Target="mailto:michel.magat@orange.fr" TargetMode="External"/><Relationship Id="rId18" Type="http://schemas.openxmlformats.org/officeDocument/2006/relationships/hyperlink" Target="mailto:thomas.morey@wattethome.com" TargetMode="External"/><Relationship Id="rId528" Type="http://schemas.openxmlformats.org/officeDocument/2006/relationships/hyperlink" Target="mailto:godin-grenoble@orange.fr" TargetMode="External"/><Relationship Id="rId735" Type="http://schemas.openxmlformats.org/officeDocument/2006/relationships/hyperlink" Target="mailto:laglaceetlefeu38@gmail.com" TargetMode="External"/><Relationship Id="rId942" Type="http://schemas.openxmlformats.org/officeDocument/2006/relationships/hyperlink" Target="mailto:jeanfrancois@passionflamme.fr" TargetMode="External"/><Relationship Id="rId167" Type="http://schemas.openxmlformats.org/officeDocument/2006/relationships/hyperlink" Target="https://www.qualit-enr.org/cheminees-jay" TargetMode="External"/><Relationship Id="rId374" Type="http://schemas.openxmlformats.org/officeDocument/2006/relationships/hyperlink" Target="mailto:patrickduranton@passionflamme.fr" TargetMode="External"/><Relationship Id="rId581" Type="http://schemas.openxmlformats.org/officeDocument/2006/relationships/hyperlink" Target="https://www.qualit-enr.org/atre-decoration" TargetMode="External"/><Relationship Id="rId1018" Type="http://schemas.openxmlformats.org/officeDocument/2006/relationships/hyperlink" Target="mailto:renatofarvelli@gmail.com" TargetMode="External"/><Relationship Id="rId71" Type="http://schemas.openxmlformats.org/officeDocument/2006/relationships/hyperlink" Target="mailto:contact@ecvoiron.fr" TargetMode="External"/><Relationship Id="rId234" Type="http://schemas.openxmlformats.org/officeDocument/2006/relationships/hyperlink" Target="mailto:voiron@techni-nature.com" TargetMode="External"/><Relationship Id="rId679" Type="http://schemas.openxmlformats.org/officeDocument/2006/relationships/hyperlink" Target="mailto:contact@ecvoiron.fr" TargetMode="External"/><Relationship Id="rId802" Type="http://schemas.openxmlformats.org/officeDocument/2006/relationships/hyperlink" Target="https://www.qualit-enr.org/cheminees-jay" TargetMode="External"/><Relationship Id="rId886" Type="http://schemas.openxmlformats.org/officeDocument/2006/relationships/hyperlink" Target="mailto:contact@nordiflam.com" TargetMode="External"/><Relationship Id="rId2" Type="http://schemas.openxmlformats.org/officeDocument/2006/relationships/hyperlink" Target="https://www.qualit-enr.org/fralor-poeles-et-cuisinieres-passion" TargetMode="External"/><Relationship Id="rId29" Type="http://schemas.openxmlformats.org/officeDocument/2006/relationships/hyperlink" Target="https://www.qualit-enr.org/flamme-iseroise" TargetMode="External"/><Relationship Id="rId441" Type="http://schemas.openxmlformats.org/officeDocument/2006/relationships/hyperlink" Target="https://www.qualit-enr.org/sarl-pab-38490" TargetMode="External"/><Relationship Id="rId539" Type="http://schemas.openxmlformats.org/officeDocument/2006/relationships/hyperlink" Target="https://www.qualit-enr.org/carre" TargetMode="External"/><Relationship Id="rId746" Type="http://schemas.openxmlformats.org/officeDocument/2006/relationships/hyperlink" Target="https://www.qualit-enr.org/atre-decoration" TargetMode="External"/><Relationship Id="rId1071" Type="http://schemas.openxmlformats.org/officeDocument/2006/relationships/hyperlink" Target="mailto:accueil@carre-f.com" TargetMode="External"/><Relationship Id="rId178" Type="http://schemas.openxmlformats.org/officeDocument/2006/relationships/hyperlink" Target="mailto:grenoble@hase-boutique.fr" TargetMode="External"/><Relationship Id="rId301" Type="http://schemas.openxmlformats.org/officeDocument/2006/relationships/hyperlink" Target="https://www.qualit-enr.org/espace-confort-voironnais" TargetMode="External"/><Relationship Id="rId953" Type="http://schemas.openxmlformats.org/officeDocument/2006/relationships/hyperlink" Target="mailto:monique.rebecchi@orange.fr" TargetMode="External"/><Relationship Id="rId1029" Type="http://schemas.openxmlformats.org/officeDocument/2006/relationships/hyperlink" Target="mailto:patrice.gergaud@orange.fr" TargetMode="External"/><Relationship Id="rId82" Type="http://schemas.openxmlformats.org/officeDocument/2006/relationships/hyperlink" Target="https://www.qualit-enr.org/atre-decoration" TargetMode="External"/><Relationship Id="rId385" Type="http://schemas.openxmlformats.org/officeDocument/2006/relationships/hyperlink" Target="mailto:contact@ecvoiron.fr" TargetMode="External"/><Relationship Id="rId592" Type="http://schemas.openxmlformats.org/officeDocument/2006/relationships/hyperlink" Target="https://www.qualit-enr.org/entreprises/sarl-pab-2/" TargetMode="External"/><Relationship Id="rId606" Type="http://schemas.openxmlformats.org/officeDocument/2006/relationships/hyperlink" Target="mailto:cheminees-svcd@orange.fr" TargetMode="External"/><Relationship Id="rId813" Type="http://schemas.openxmlformats.org/officeDocument/2006/relationships/hyperlink" Target="mailto:romainponcet@hotmail.fr" TargetMode="External"/><Relationship Id="rId245" Type="http://schemas.openxmlformats.org/officeDocument/2006/relationships/hyperlink" Target="https://www.qualit-enr.org/fralor-poeles-et-cuisinieres-passion" TargetMode="External"/><Relationship Id="rId452" Type="http://schemas.openxmlformats.org/officeDocument/2006/relationships/hyperlink" Target="https://www.qualit-enr.org/entreprises/j3l-agencements/" TargetMode="External"/><Relationship Id="rId897" Type="http://schemas.openxmlformats.org/officeDocument/2006/relationships/hyperlink" Target="https://www.qualit-enr.org/techni-nature-05000" TargetMode="External"/><Relationship Id="rId1082" Type="http://schemas.openxmlformats.org/officeDocument/2006/relationships/hyperlink" Target="mailto:bernard.wloch@hotmail.fr" TargetMode="External"/><Relationship Id="rId105" Type="http://schemas.openxmlformats.org/officeDocument/2006/relationships/hyperlink" Target="https://www.qualit-enr.org/jacqu-cheminees" TargetMode="External"/><Relationship Id="rId312" Type="http://schemas.openxmlformats.org/officeDocument/2006/relationships/hyperlink" Target="https://www.qualit-enr.org/jacqu-cheminees" TargetMode="External"/><Relationship Id="rId757" Type="http://schemas.openxmlformats.org/officeDocument/2006/relationships/hyperlink" Target="mailto:marketing@carre-F.com" TargetMode="External"/><Relationship Id="rId964" Type="http://schemas.openxmlformats.org/officeDocument/2006/relationships/hyperlink" Target="mailto:jfs.perrin@free.fr" TargetMode="External"/><Relationship Id="rId93" Type="http://schemas.openxmlformats.org/officeDocument/2006/relationships/hyperlink" Target="https://www.qualit-enr.org/cheminees-jay" TargetMode="External"/><Relationship Id="rId189" Type="http://schemas.openxmlformats.org/officeDocument/2006/relationships/hyperlink" Target="mailto:contact@ecvoiron.fr" TargetMode="External"/><Relationship Id="rId396" Type="http://schemas.openxmlformats.org/officeDocument/2006/relationships/hyperlink" Target="mailto:patrickduranton@passionflamme.fr" TargetMode="External"/><Relationship Id="rId617" Type="http://schemas.openxmlformats.org/officeDocument/2006/relationships/hyperlink" Target="mailto:marie.erival6@gmail.com" TargetMode="External"/><Relationship Id="rId824" Type="http://schemas.openxmlformats.org/officeDocument/2006/relationships/hyperlink" Target="mailto:jacques.c.b@free.fr" TargetMode="External"/><Relationship Id="rId256" Type="http://schemas.openxmlformats.org/officeDocument/2006/relationships/hyperlink" Target="https://www.qualit-enr.org/arc-habitat" TargetMode="External"/><Relationship Id="rId463" Type="http://schemas.openxmlformats.org/officeDocument/2006/relationships/hyperlink" Target="https://www.qualit-enr.org/espace-confort-voironnais" TargetMode="External"/><Relationship Id="rId670" Type="http://schemas.openxmlformats.org/officeDocument/2006/relationships/hyperlink" Target="mailto:jacques.portal94@free.fr" TargetMode="External"/><Relationship Id="rId1093" Type="http://schemas.openxmlformats.org/officeDocument/2006/relationships/hyperlink" Target="https://www.qualit-enr.org/sarl-passion-flamme" TargetMode="External"/><Relationship Id="rId1107" Type="http://schemas.openxmlformats.org/officeDocument/2006/relationships/hyperlink" Target="mailto:poirier.delphine1@gmail.com" TargetMode="External"/><Relationship Id="rId116" Type="http://schemas.openxmlformats.org/officeDocument/2006/relationships/hyperlink" Target="https://www.qualit-enr.org/eurl-nessfrance" TargetMode="External"/><Relationship Id="rId158" Type="http://schemas.openxmlformats.org/officeDocument/2006/relationships/hyperlink" Target="mailto:bois-soleil.chauffage@orange.fr" TargetMode="External"/><Relationship Id="rId323" Type="http://schemas.openxmlformats.org/officeDocument/2006/relationships/hyperlink" Target="https://www.qualit-enr.org/carre" TargetMode="External"/><Relationship Id="rId530" Type="http://schemas.openxmlformats.org/officeDocument/2006/relationships/hyperlink" Target="mailto:voiron@techni-nature.com" TargetMode="External"/><Relationship Id="rId726" Type="http://schemas.openxmlformats.org/officeDocument/2006/relationships/hyperlink" Target="https://www.qualit-enr.org/entreprises/espace-confort-voironnais/" TargetMode="External"/><Relationship Id="rId768" Type="http://schemas.openxmlformats.org/officeDocument/2006/relationships/hyperlink" Target="mailto:ee.auvray@wanadoo.fr" TargetMode="External"/><Relationship Id="rId933" Type="http://schemas.openxmlformats.org/officeDocument/2006/relationships/hyperlink" Target="mailto:jcduo@orange.fr" TargetMode="External"/><Relationship Id="rId975" Type="http://schemas.openxmlformats.org/officeDocument/2006/relationships/hyperlink" Target="mailto:contact@ecvoiron.fr" TargetMode="External"/><Relationship Id="rId1009" Type="http://schemas.openxmlformats.org/officeDocument/2006/relationships/hyperlink" Target="mailto:contact@alpp-plomberie.fr" TargetMode="External"/><Relationship Id="rId20" Type="http://schemas.openxmlformats.org/officeDocument/2006/relationships/hyperlink" Target="mailto:patrickduranton@passionflamme.fr" TargetMode="External"/><Relationship Id="rId62" Type="http://schemas.openxmlformats.org/officeDocument/2006/relationships/hyperlink" Target="mailto:marie-brossard@femsynergie.fr" TargetMode="External"/><Relationship Id="rId365" Type="http://schemas.openxmlformats.org/officeDocument/2006/relationships/hyperlink" Target="https://www.qualit-enr.org/carre" TargetMode="External"/><Relationship Id="rId572" Type="http://schemas.openxmlformats.org/officeDocument/2006/relationships/hyperlink" Target="mailto:durand.yves38850@gmail.com" TargetMode="External"/><Relationship Id="rId628" Type="http://schemas.openxmlformats.org/officeDocument/2006/relationships/hyperlink" Target="mailto:pro.pose.menuiserie@wanadoo.fr" TargetMode="External"/><Relationship Id="rId835" Type="http://schemas.openxmlformats.org/officeDocument/2006/relationships/hyperlink" Target="https://www.qualit-enr.org/cheminees-jay" TargetMode="External"/><Relationship Id="rId225" Type="http://schemas.openxmlformats.org/officeDocument/2006/relationships/hyperlink" Target="https://www.qualit-enr.org/voiron-poeles-a-bois-et-granules" TargetMode="External"/><Relationship Id="rId267" Type="http://schemas.openxmlformats.org/officeDocument/2006/relationships/hyperlink" Target="https://www.qualit-enr.org/bois-soleil-chauffage-sarl" TargetMode="External"/><Relationship Id="rId432" Type="http://schemas.openxmlformats.org/officeDocument/2006/relationships/hyperlink" Target="mailto:laglaceetlefeu38@gmail.com" TargetMode="External"/><Relationship Id="rId474" Type="http://schemas.openxmlformats.org/officeDocument/2006/relationships/hyperlink" Target="https://www.qualit-enr.org/sarl-passion-flamme" TargetMode="External"/><Relationship Id="rId877" Type="http://schemas.openxmlformats.org/officeDocument/2006/relationships/hyperlink" Target="mailto:francois@pernoud.eu" TargetMode="External"/><Relationship Id="rId1020" Type="http://schemas.openxmlformats.org/officeDocument/2006/relationships/hyperlink" Target="mailto:elisa.haussmann@isere.fr" TargetMode="External"/><Relationship Id="rId1062" Type="http://schemas.openxmlformats.org/officeDocument/2006/relationships/hyperlink" Target="https://www.qualypso.fr/download_file.php?id=1214672b-53ac-4982-88f9-0d520d89179c" TargetMode="External"/><Relationship Id="rId127" Type="http://schemas.openxmlformats.org/officeDocument/2006/relationships/hyperlink" Target="mailto:bois-soleil.chauffage@orange.fr" TargetMode="External"/><Relationship Id="rId681" Type="http://schemas.openxmlformats.org/officeDocument/2006/relationships/hyperlink" Target="https://www.qualypso.fr/download_file.php?id=5a2f7629-04e3-4b62-986f-8be595fd3c43" TargetMode="External"/><Relationship Id="rId737" Type="http://schemas.openxmlformats.org/officeDocument/2006/relationships/hyperlink" Target="mailto:herve.le.goffic@gmail.com" TargetMode="External"/><Relationship Id="rId779" Type="http://schemas.openxmlformats.org/officeDocument/2006/relationships/hyperlink" Target="https://www.qualit-enr.org/entreprises/espace-confort-voironnais/" TargetMode="External"/><Relationship Id="rId902" Type="http://schemas.openxmlformats.org/officeDocument/2006/relationships/hyperlink" Target="mailto:mygi38@live.fr" TargetMode="External"/><Relationship Id="rId944" Type="http://schemas.openxmlformats.org/officeDocument/2006/relationships/hyperlink" Target="mailto:johan.cesmat@gmail.com" TargetMode="External"/><Relationship Id="rId986" Type="http://schemas.openxmlformats.org/officeDocument/2006/relationships/hyperlink" Target="mailto:poelesetcuisinierespassion@gmail.com" TargetMode="External"/><Relationship Id="rId31" Type="http://schemas.openxmlformats.org/officeDocument/2006/relationships/hyperlink" Target="mailto:grenoble@hase-boutique.fr" TargetMode="External"/><Relationship Id="rId73" Type="http://schemas.openxmlformats.org/officeDocument/2006/relationships/hyperlink" Target="https://www.qualit-enr.org/carre" TargetMode="External"/><Relationship Id="rId169" Type="http://schemas.openxmlformats.org/officeDocument/2006/relationships/hyperlink" Target="https://cloud.ageden38.org/webdav/Shared/Arborescence/03_Territoires/CA%20Pays%20Voironnais/nextcloud/remote.php/webdav/Shared/Arborescence/03_Territoires/CA%20Pays%20Voironnais/0-Interco/2_Actions/2017_instruction%20aides%20CAPV/PABVRB/1_Archives" TargetMode="External"/><Relationship Id="rId334" Type="http://schemas.openxmlformats.org/officeDocument/2006/relationships/hyperlink" Target="https://www.qualit-enr.org/atre-et-loisirs-sarl" TargetMode="External"/><Relationship Id="rId376" Type="http://schemas.openxmlformats.org/officeDocument/2006/relationships/hyperlink" Target="https://www.qualit-enr.org/carre" TargetMode="External"/><Relationship Id="rId541" Type="http://schemas.openxmlformats.org/officeDocument/2006/relationships/hyperlink" Target="https://www.qualit-enr.org/sasu-ignis-design-hase-la-boutique" TargetMode="External"/><Relationship Id="rId583" Type="http://schemas.openxmlformats.org/officeDocument/2006/relationships/hyperlink" Target="mailto:contactprojet@orange.fr" TargetMode="External"/><Relationship Id="rId639" Type="http://schemas.openxmlformats.org/officeDocument/2006/relationships/hyperlink" Target="https://www.qualypso.fr/download_file.php?id=cb11ad74-f948-4beb-902b-43ff2ca9e830" TargetMode="External"/><Relationship Id="rId790" Type="http://schemas.openxmlformats.org/officeDocument/2006/relationships/hyperlink" Target="mailto:perre.vodeb@watthome.com" TargetMode="External"/><Relationship Id="rId804" Type="http://schemas.openxmlformats.org/officeDocument/2006/relationships/hyperlink" Target="https://www.qualit-enr.org/cheminees-jay" TargetMode="External"/><Relationship Id="rId4" Type="http://schemas.openxmlformats.org/officeDocument/2006/relationships/hyperlink" Target="https://cloud.ageden38.org/webdav/Shared/Arborescence/03_Territoires/CA%20Pays%20Voironnais/nextcloud/remote.php/webdav/Shared/Arborescence/03_Territoires/CA%20Pays%20Voironnais/0-Interco/2_Actions/2017_instruction%20aides%20CAPV/PABVRB/1_Archives" TargetMode="External"/><Relationship Id="rId180" Type="http://schemas.openxmlformats.org/officeDocument/2006/relationships/hyperlink" Target="https://www.qualit-enr.org/jacqu-cheminees" TargetMode="External"/><Relationship Id="rId236" Type="http://schemas.openxmlformats.org/officeDocument/2006/relationships/hyperlink" Target="mailto:bureau@avizenergie.fr" TargetMode="External"/><Relationship Id="rId278" Type="http://schemas.openxmlformats.org/officeDocument/2006/relationships/hyperlink" Target="https://www.qualit-enr.org/jacqu-cheminees" TargetMode="External"/><Relationship Id="rId401" Type="http://schemas.openxmlformats.org/officeDocument/2006/relationships/hyperlink" Target="https://www.qualit-enr.org/entreprises/cheminees-svcd/" TargetMode="External"/><Relationship Id="rId443" Type="http://schemas.openxmlformats.org/officeDocument/2006/relationships/hyperlink" Target="https://cloud.ageden38.org/webdav/Shared/Arborescence/03_Territoires/CA%20Pays%20Voironnais/nextcloud/remote.php/webdav/Shared/Arborescence/03_Territoires/CA%20Pays%20Voironnais/0-Interco/2_Actions/2017_instruction%20aides%20CAPV/PABVRB/1_Archives" TargetMode="External"/><Relationship Id="rId650" Type="http://schemas.openxmlformats.org/officeDocument/2006/relationships/hyperlink" Target="https://www.qualypso.fr/download_file.php?id=1214672b-53ac-4982-88f9-0d520d89179c" TargetMode="External"/><Relationship Id="rId846" Type="http://schemas.openxmlformats.org/officeDocument/2006/relationships/hyperlink" Target="mailto:accueil@carre-f.com" TargetMode="External"/><Relationship Id="rId888" Type="http://schemas.openxmlformats.org/officeDocument/2006/relationships/hyperlink" Target="mailto:voiron@techni-nature.com" TargetMode="External"/><Relationship Id="rId1031" Type="http://schemas.openxmlformats.org/officeDocument/2006/relationships/hyperlink" Target="mailto:mars3810@hotmail.fr" TargetMode="External"/><Relationship Id="rId1073" Type="http://schemas.openxmlformats.org/officeDocument/2006/relationships/hyperlink" Target="mailto:michel.nervesa@neuf.fr" TargetMode="External"/><Relationship Id="rId303" Type="http://schemas.openxmlformats.org/officeDocument/2006/relationships/hyperlink" Target="https://www.qualit-enr.org/pur-tech" TargetMode="External"/><Relationship Id="rId485" Type="http://schemas.openxmlformats.org/officeDocument/2006/relationships/hyperlink" Target="mailto:enerlogis@orange.fr" TargetMode="External"/><Relationship Id="rId692" Type="http://schemas.openxmlformats.org/officeDocument/2006/relationships/hyperlink" Target="https://www.qualypso.fr/download_file.php?id=cb11ad74-f948-4beb-902b-43ff2ca9e830" TargetMode="External"/><Relationship Id="rId706" Type="http://schemas.openxmlformats.org/officeDocument/2006/relationships/hyperlink" Target="https://www.qualit-enr.org/cheminees-jay" TargetMode="External"/><Relationship Id="rId748" Type="http://schemas.openxmlformats.org/officeDocument/2006/relationships/hyperlink" Target="https://www.qualypso.fr/download_file.php?id=5a2f7629-04e3-4b62-986f-8be595fd3c43" TargetMode="External"/><Relationship Id="rId913" Type="http://schemas.openxmlformats.org/officeDocument/2006/relationships/hyperlink" Target="mailto:lorieau.thierry30854@hotmail.com" TargetMode="External"/><Relationship Id="rId955" Type="http://schemas.openxmlformats.org/officeDocument/2006/relationships/hyperlink" Target="mailto:valerie.carraud@sfr.fr" TargetMode="External"/><Relationship Id="rId42" Type="http://schemas.openxmlformats.org/officeDocument/2006/relationships/hyperlink" Target="https://www.qualit-enr.org/espace-confort-voironnais" TargetMode="External"/><Relationship Id="rId84" Type="http://schemas.openxmlformats.org/officeDocument/2006/relationships/hyperlink" Target="mailto:cheminees.jay@orange.fr" TargetMode="External"/><Relationship Id="rId138" Type="http://schemas.openxmlformats.org/officeDocument/2006/relationships/hyperlink" Target="https://www.qualit-enr.org/carre" TargetMode="External"/><Relationship Id="rId345" Type="http://schemas.openxmlformats.org/officeDocument/2006/relationships/hyperlink" Target="https://www.qualit-enr.org/watthome" TargetMode="External"/><Relationship Id="rId387" Type="http://schemas.openxmlformats.org/officeDocument/2006/relationships/hyperlink" Target="mailto:contact.echirolles@alp-confort.fr" TargetMode="External"/><Relationship Id="rId510" Type="http://schemas.openxmlformats.org/officeDocument/2006/relationships/hyperlink" Target="https://www.qualit-enr.org/entreprises/watthome/" TargetMode="External"/><Relationship Id="rId552" Type="http://schemas.openxmlformats.org/officeDocument/2006/relationships/hyperlink" Target="mailto:jcduo@orange.fr" TargetMode="External"/><Relationship Id="rId594" Type="http://schemas.openxmlformats.org/officeDocument/2006/relationships/hyperlink" Target="mailto:enerlogis@orange.fr" TargetMode="External"/><Relationship Id="rId608" Type="http://schemas.openxmlformats.org/officeDocument/2006/relationships/hyperlink" Target="mailto:laurent.cuzin@gmx.fr" TargetMode="External"/><Relationship Id="rId815" Type="http://schemas.openxmlformats.org/officeDocument/2006/relationships/hyperlink" Target="mailto:dalpanpupat@gmail.com" TargetMode="External"/><Relationship Id="rId997" Type="http://schemas.openxmlformats.org/officeDocument/2006/relationships/hyperlink" Target="https://www.qualit-enr.org/cheminees-jay" TargetMode="External"/><Relationship Id="rId191" Type="http://schemas.openxmlformats.org/officeDocument/2006/relationships/hyperlink" Target="mailto:aucoindufeu38@gmail.com" TargetMode="External"/><Relationship Id="rId205" Type="http://schemas.openxmlformats.org/officeDocument/2006/relationships/hyperlink" Target="mailto:thomas.morey@wattethome.com" TargetMode="External"/><Relationship Id="rId247" Type="http://schemas.openxmlformats.org/officeDocument/2006/relationships/hyperlink" Target="https://www.qualit-enr.org/bois-soleil-chauffage-sarl" TargetMode="External"/><Relationship Id="rId412" Type="http://schemas.openxmlformats.org/officeDocument/2006/relationships/hyperlink" Target="mailto:godin-grenoble@orange.fr" TargetMode="External"/><Relationship Id="rId857" Type="http://schemas.openxmlformats.org/officeDocument/2006/relationships/hyperlink" Target="mailto:jonathan.bargel@philippeisere.fr" TargetMode="External"/><Relationship Id="rId899" Type="http://schemas.openxmlformats.org/officeDocument/2006/relationships/hyperlink" Target="mailto:contact-chaleurbois38@orange.fr" TargetMode="External"/><Relationship Id="rId1000" Type="http://schemas.openxmlformats.org/officeDocument/2006/relationships/hyperlink" Target="mailto:contact@ecvoiron.fr" TargetMode="External"/><Relationship Id="rId1042" Type="http://schemas.openxmlformats.org/officeDocument/2006/relationships/hyperlink" Target="mailto:godin-grenoble@orange.fr" TargetMode="External"/><Relationship Id="rId1084" Type="http://schemas.openxmlformats.org/officeDocument/2006/relationships/hyperlink" Target="mailto:laborie.bastien@gmail.com" TargetMode="External"/><Relationship Id="rId107" Type="http://schemas.openxmlformats.org/officeDocument/2006/relationships/hyperlink" Target="https://www.qualit-enr.org/techni-nature-05000" TargetMode="External"/><Relationship Id="rId289" Type="http://schemas.openxmlformats.org/officeDocument/2006/relationships/hyperlink" Target="mailto:bois-soleil.chauffage@orange.fr" TargetMode="External"/><Relationship Id="rId454" Type="http://schemas.openxmlformats.org/officeDocument/2006/relationships/hyperlink" Target="https://www.qualit-enr.org/sarl-passion-flamme" TargetMode="External"/><Relationship Id="rId496" Type="http://schemas.openxmlformats.org/officeDocument/2006/relationships/hyperlink" Target="mailto:enerlogis@orange.fr" TargetMode="External"/><Relationship Id="rId661" Type="http://schemas.openxmlformats.org/officeDocument/2006/relationships/hyperlink" Target="https://www.qualypso.fr/download_file.php?id=1214672b-53ac-4982-88f9-0d520d89179c" TargetMode="External"/><Relationship Id="rId717" Type="http://schemas.openxmlformats.org/officeDocument/2006/relationships/hyperlink" Target="mailto:jonathan.bargel@philippeisere.fr" TargetMode="External"/><Relationship Id="rId759" Type="http://schemas.openxmlformats.org/officeDocument/2006/relationships/hyperlink" Target="mailto:godin-grenoble@orange.fr" TargetMode="External"/><Relationship Id="rId924" Type="http://schemas.openxmlformats.org/officeDocument/2006/relationships/hyperlink" Target="mailto:jeanfrancois@passionflamme.fr" TargetMode="External"/><Relationship Id="rId966" Type="http://schemas.openxmlformats.org/officeDocument/2006/relationships/hyperlink" Target="mailto:guillaume.rouger38@gmail.com" TargetMode="External"/><Relationship Id="rId11" Type="http://schemas.openxmlformats.org/officeDocument/2006/relationships/hyperlink" Target="https://www.qualit-enr.org/atre-decoration" TargetMode="External"/><Relationship Id="rId53" Type="http://schemas.openxmlformats.org/officeDocument/2006/relationships/hyperlink" Target="mailto:bois-soleil.chauffage@orange.fr" TargetMode="External"/><Relationship Id="rId149" Type="http://schemas.openxmlformats.org/officeDocument/2006/relationships/hyperlink" Target="https://www.qualit-enr.org/techni-nature-05000" TargetMode="External"/><Relationship Id="rId314" Type="http://schemas.openxmlformats.org/officeDocument/2006/relationships/hyperlink" Target="https://www.qualit-enr.org/espace-confort-voironnais" TargetMode="External"/><Relationship Id="rId356" Type="http://schemas.openxmlformats.org/officeDocument/2006/relationships/hyperlink" Target="mailto:jcduo@orange.fr" TargetMode="External"/><Relationship Id="rId398" Type="http://schemas.openxmlformats.org/officeDocument/2006/relationships/hyperlink" Target="https://www.qualit-enr.org/carre" TargetMode="External"/><Relationship Id="rId521" Type="http://schemas.openxmlformats.org/officeDocument/2006/relationships/hyperlink" Target="https://www.qualit-enr.org/entreprises/tm-entreprise-ei/" TargetMode="External"/><Relationship Id="rId563" Type="http://schemas.openxmlformats.org/officeDocument/2006/relationships/hyperlink" Target="mailto:helene-martinez@hotmail.fr" TargetMode="External"/><Relationship Id="rId619" Type="http://schemas.openxmlformats.org/officeDocument/2006/relationships/hyperlink" Target="mailto:contact@ecvoiron.fr" TargetMode="External"/><Relationship Id="rId770" Type="http://schemas.openxmlformats.org/officeDocument/2006/relationships/hyperlink" Target="mailto:famille-couinet@wanadoo.fr" TargetMode="External"/><Relationship Id="rId95" Type="http://schemas.openxmlformats.org/officeDocument/2006/relationships/hyperlink" Target="https://www.qualit-enr.org/techni-nature-05000" TargetMode="External"/><Relationship Id="rId160" Type="http://schemas.openxmlformats.org/officeDocument/2006/relationships/hyperlink" Target="mailto:grenoble@hase-boutique.fr" TargetMode="External"/><Relationship Id="rId216" Type="http://schemas.openxmlformats.org/officeDocument/2006/relationships/hyperlink" Target="https://www.qualit-enr.org/techni-nature-05000" TargetMode="External"/><Relationship Id="rId423" Type="http://schemas.openxmlformats.org/officeDocument/2006/relationships/hyperlink" Target="https://www.qualit-enr.org/espace-confort-voironnais" TargetMode="External"/><Relationship Id="rId826" Type="http://schemas.openxmlformats.org/officeDocument/2006/relationships/hyperlink" Target="mailto:jlc.services@orange.fr" TargetMode="External"/><Relationship Id="rId868" Type="http://schemas.openxmlformats.org/officeDocument/2006/relationships/hyperlink" Target="mailto:nicodoss@yahoo.fr" TargetMode="External"/><Relationship Id="rId1011" Type="http://schemas.openxmlformats.org/officeDocument/2006/relationships/hyperlink" Target="https://www.qualit-enr.org/poelesgranules-fr-bio-belledonne-granules" TargetMode="External"/><Relationship Id="rId1053" Type="http://schemas.openxmlformats.org/officeDocument/2006/relationships/hyperlink" Target="mailto:jonathan.bargel@philippeisere.fr" TargetMode="External"/><Relationship Id="rId1109" Type="http://schemas.openxmlformats.org/officeDocument/2006/relationships/hyperlink" Target="mailto:jacques.faure24@wanadoo.fr" TargetMode="External"/><Relationship Id="rId258" Type="http://schemas.openxmlformats.org/officeDocument/2006/relationships/hyperlink" Target="https://www.qualit-enr.org/techni-nature-05000" TargetMode="External"/><Relationship Id="rId465" Type="http://schemas.openxmlformats.org/officeDocument/2006/relationships/hyperlink" Target="mailto:grenoble@hase-boutique.fr" TargetMode="External"/><Relationship Id="rId630" Type="http://schemas.openxmlformats.org/officeDocument/2006/relationships/hyperlink" Target="https://www.qualypso.fr/download_file.php?id=0ac6bbaa-cb24-4926-9d7f-8e6b0d1f9099" TargetMode="External"/><Relationship Id="rId672" Type="http://schemas.openxmlformats.org/officeDocument/2006/relationships/hyperlink" Target="https://www.qualypso.fr/download_file.php?id=cb11ad74-f948-4beb-902b-43ff2ca9e830" TargetMode="External"/><Relationship Id="rId728" Type="http://schemas.openxmlformats.org/officeDocument/2006/relationships/hyperlink" Target="https://www.qualit-enr.org/entreprises/espace-confort-voironnais/" TargetMode="External"/><Relationship Id="rId935" Type="http://schemas.openxmlformats.org/officeDocument/2006/relationships/hyperlink" Target="mailto:severine.collin@gmail.com" TargetMode="External"/><Relationship Id="rId1095" Type="http://schemas.openxmlformats.org/officeDocument/2006/relationships/hyperlink" Target="mailto:roger.3@hotmail.fr" TargetMode="External"/><Relationship Id="rId22" Type="http://schemas.openxmlformats.org/officeDocument/2006/relationships/hyperlink" Target="mailto:bois-soleil.chauffage@orange.fr" TargetMode="External"/><Relationship Id="rId64" Type="http://schemas.openxmlformats.org/officeDocument/2006/relationships/hyperlink" Target="https://www.qualit-enr.org/flamme-iseroise" TargetMode="External"/><Relationship Id="rId118" Type="http://schemas.openxmlformats.org/officeDocument/2006/relationships/hyperlink" Target="https://www.qualit-enr.org/cheminees-jay" TargetMode="External"/><Relationship Id="rId325" Type="http://schemas.openxmlformats.org/officeDocument/2006/relationships/hyperlink" Target="https://www.qualit-enr.org/bois-soleil-chauffage-sarl" TargetMode="External"/><Relationship Id="rId367" Type="http://schemas.openxmlformats.org/officeDocument/2006/relationships/hyperlink" Target="https://cloud.ageden38.org/webdav/Shared/Arborescence/03_Territoires/CA%20Pays%20Voironnais/nextcloud/remote.php/webdav/Shared/Arborescence/03_Territoires/CA%20Pays%20Voironnais/0-Interco/2_Actions/2017_instruction%20aides%20CAPV/PABVRB/1_Archives" TargetMode="External"/><Relationship Id="rId532" Type="http://schemas.openxmlformats.org/officeDocument/2006/relationships/hyperlink" Target="mailto:contact@fer-et-feu.fr" TargetMode="External"/><Relationship Id="rId574" Type="http://schemas.openxmlformats.org/officeDocument/2006/relationships/hyperlink" Target="https://www.qualypso.fr/download_file.php?id=5a2f7629-04e3-4b62-986f-8be595fd3c43" TargetMode="External"/><Relationship Id="rId977" Type="http://schemas.openxmlformats.org/officeDocument/2006/relationships/hyperlink" Target="mailto:bois-soleil-chauffage@orange.fr" TargetMode="External"/><Relationship Id="rId171" Type="http://schemas.openxmlformats.org/officeDocument/2006/relationships/hyperlink" Target="mailto:godin-grenoble@orange.fr" TargetMode="External"/><Relationship Id="rId227" Type="http://schemas.openxmlformats.org/officeDocument/2006/relationships/hyperlink" Target="https://www.qualit-enr.org/cheminees-jay" TargetMode="External"/><Relationship Id="rId781" Type="http://schemas.openxmlformats.org/officeDocument/2006/relationships/hyperlink" Target="https://www.qualit-enr.org/serpolet-bidaud-sas" TargetMode="External"/><Relationship Id="rId837" Type="http://schemas.openxmlformats.org/officeDocument/2006/relationships/hyperlink" Target="mailto:lanoe.ph@gmail.com" TargetMode="External"/><Relationship Id="rId879" Type="http://schemas.openxmlformats.org/officeDocument/2006/relationships/hyperlink" Target="mailto:brunomicoud@sfr.fr" TargetMode="External"/><Relationship Id="rId1022" Type="http://schemas.openxmlformats.org/officeDocument/2006/relationships/hyperlink" Target="mailto:marketing@carre-f.com" TargetMode="External"/><Relationship Id="rId269" Type="http://schemas.openxmlformats.org/officeDocument/2006/relationships/hyperlink" Target="https://www.qualit-enr.org/cheminees-jay" TargetMode="External"/><Relationship Id="rId434" Type="http://schemas.openxmlformats.org/officeDocument/2006/relationships/hyperlink" Target="mailto:contact@philippeisere.fr" TargetMode="External"/><Relationship Id="rId476" Type="http://schemas.openxmlformats.org/officeDocument/2006/relationships/hyperlink" Target="https://www.qualit-enr.org/carre" TargetMode="External"/><Relationship Id="rId641" Type="http://schemas.openxmlformats.org/officeDocument/2006/relationships/hyperlink" Target="mailto:enerlogis@orange.fr" TargetMode="External"/><Relationship Id="rId683" Type="http://schemas.openxmlformats.org/officeDocument/2006/relationships/hyperlink" Target="mailto:m.vanreeth@yahoo.fr" TargetMode="External"/><Relationship Id="rId739" Type="http://schemas.openxmlformats.org/officeDocument/2006/relationships/hyperlink" Target="mailto:rosset.claude30692@gmail.com" TargetMode="External"/><Relationship Id="rId890" Type="http://schemas.openxmlformats.org/officeDocument/2006/relationships/hyperlink" Target="https://www.qualit-enr.org/cheminees-jay" TargetMode="External"/><Relationship Id="rId904" Type="http://schemas.openxmlformats.org/officeDocument/2006/relationships/hyperlink" Target="mailto:contact@ecvoiron.fr" TargetMode="External"/><Relationship Id="rId1064" Type="http://schemas.openxmlformats.org/officeDocument/2006/relationships/hyperlink" Target="https://www.qualypso.fr/download_file.php?id=cb11ad74-f948-4beb-902b-43ff2ca9e830" TargetMode="External"/><Relationship Id="rId33" Type="http://schemas.openxmlformats.org/officeDocument/2006/relationships/hyperlink" Target="https://www.qualit-enr.org/jacqu-cheminees" TargetMode="External"/><Relationship Id="rId129" Type="http://schemas.openxmlformats.org/officeDocument/2006/relationships/hyperlink" Target="https://www.qualit-enr.org/jacqu-cheminees" TargetMode="External"/><Relationship Id="rId280" Type="http://schemas.openxmlformats.org/officeDocument/2006/relationships/hyperlink" Target="https://www.qualit-enr.org/la-glace-et-le-feu" TargetMode="External"/><Relationship Id="rId336" Type="http://schemas.openxmlformats.org/officeDocument/2006/relationships/hyperlink" Target="mailto:voiron@techni-nature.com" TargetMode="External"/><Relationship Id="rId501" Type="http://schemas.openxmlformats.org/officeDocument/2006/relationships/hyperlink" Target="https://www.qualit-enr.org/espace-confort-voironnais" TargetMode="External"/><Relationship Id="rId543" Type="http://schemas.openxmlformats.org/officeDocument/2006/relationships/hyperlink" Target="https://www.qualit-enr.org/atre-decoration" TargetMode="External"/><Relationship Id="rId946" Type="http://schemas.openxmlformats.org/officeDocument/2006/relationships/hyperlink" Target="mailto:chloelaherte@hotmail.com" TargetMode="External"/><Relationship Id="rId988" Type="http://schemas.openxmlformats.org/officeDocument/2006/relationships/hyperlink" Target="mailto:guillaumezoczek@yahoo.fr" TargetMode="External"/><Relationship Id="rId75" Type="http://schemas.openxmlformats.org/officeDocument/2006/relationships/hyperlink" Target="https://www.qualit-enr.org/cheminees-jay" TargetMode="External"/><Relationship Id="rId140" Type="http://schemas.openxmlformats.org/officeDocument/2006/relationships/hyperlink" Target="mailto:contact@ecvoiron.fr" TargetMode="External"/><Relationship Id="rId182" Type="http://schemas.openxmlformats.org/officeDocument/2006/relationships/hyperlink" Target="https://www.qualit-enr.org/bresse-cheminees" TargetMode="External"/><Relationship Id="rId378" Type="http://schemas.openxmlformats.org/officeDocument/2006/relationships/hyperlink" Target="https://cloud.ageden38.org/webdav/Shared/Arborescence/03_Territoires/CA%20Pays%20Voironnais/nextcloud/remote.php/webdav/Shared/Arborescence/03_Territoires/CA%20Pays%20Voironnais/0-Interco/2_Actions/2017_instruction%20aides%20CAPV/PABVRB/1_Archives" TargetMode="External"/><Relationship Id="rId403" Type="http://schemas.openxmlformats.org/officeDocument/2006/relationships/hyperlink" Target="https://www.qualit-enr.org/sarl-enerlogis" TargetMode="External"/><Relationship Id="rId585" Type="http://schemas.openxmlformats.org/officeDocument/2006/relationships/hyperlink" Target="mailto:madev@hotmail.fr" TargetMode="External"/><Relationship Id="rId750" Type="http://schemas.openxmlformats.org/officeDocument/2006/relationships/hyperlink" Target="https://www.qualypso.fr/download_file.php?id=5a2f7629-04e3-4b62-986f-8be595fd3c43" TargetMode="External"/><Relationship Id="rId792" Type="http://schemas.openxmlformats.org/officeDocument/2006/relationships/hyperlink" Target="mailto:38@francechaleur.fr" TargetMode="External"/><Relationship Id="rId806" Type="http://schemas.openxmlformats.org/officeDocument/2006/relationships/hyperlink" Target="mailto:vouisegl38@gmail.com" TargetMode="External"/><Relationship Id="rId848" Type="http://schemas.openxmlformats.org/officeDocument/2006/relationships/hyperlink" Target="mailto:jaycheminees@orange.fr" TargetMode="External"/><Relationship Id="rId1033" Type="http://schemas.openxmlformats.org/officeDocument/2006/relationships/hyperlink" Target="https://www.qualit-enr.org/espace-confort-voironnais" TargetMode="External"/><Relationship Id="rId6" Type="http://schemas.openxmlformats.org/officeDocument/2006/relationships/hyperlink" Target="https://www.qualit-enr.org/sarl-duo-cheminees" TargetMode="External"/><Relationship Id="rId238" Type="http://schemas.openxmlformats.org/officeDocument/2006/relationships/hyperlink" Target="https://www.qualit-enr.org/fralor-poeles-et-cuisinieres-passion" TargetMode="External"/><Relationship Id="rId445" Type="http://schemas.openxmlformats.org/officeDocument/2006/relationships/hyperlink" Target="https://www.qualit-enr.org/sarl-pab-38490" TargetMode="External"/><Relationship Id="rId487" Type="http://schemas.openxmlformats.org/officeDocument/2006/relationships/hyperlink" Target="https://www.qualit-enr.org/carre" TargetMode="External"/><Relationship Id="rId610" Type="http://schemas.openxmlformats.org/officeDocument/2006/relationships/hyperlink" Target="https://www.qualit-enr.org/cheminees-jay" TargetMode="External"/><Relationship Id="rId652" Type="http://schemas.openxmlformats.org/officeDocument/2006/relationships/hyperlink" Target="mailto:damsik06@yahoo.fr" TargetMode="External"/><Relationship Id="rId694" Type="http://schemas.openxmlformats.org/officeDocument/2006/relationships/hyperlink" Target="https://www.qualit-enr.org/cheminees-jay" TargetMode="External"/><Relationship Id="rId708" Type="http://schemas.openxmlformats.org/officeDocument/2006/relationships/hyperlink" Target="mailto:chapus.yvan@orange.fr" TargetMode="External"/><Relationship Id="rId915" Type="http://schemas.openxmlformats.org/officeDocument/2006/relationships/hyperlink" Target="mailto:jjbelmain@gmail.com" TargetMode="External"/><Relationship Id="rId1075" Type="http://schemas.openxmlformats.org/officeDocument/2006/relationships/hyperlink" Target="mailto:voiron@techni-nature.com" TargetMode="External"/><Relationship Id="rId291" Type="http://schemas.openxmlformats.org/officeDocument/2006/relationships/hyperlink" Target="mailto:contact@ecvoiron.fr" TargetMode="External"/><Relationship Id="rId305" Type="http://schemas.openxmlformats.org/officeDocument/2006/relationships/hyperlink" Target="mailto:jcduo@orange.fr" TargetMode="External"/><Relationship Id="rId347" Type="http://schemas.openxmlformats.org/officeDocument/2006/relationships/hyperlink" Target="https://www.qualit-enr.org/carre" TargetMode="External"/><Relationship Id="rId512" Type="http://schemas.openxmlformats.org/officeDocument/2006/relationships/hyperlink" Target="https://www.qualit-enr.org/entreprises/espace-confort-voironnais/" TargetMode="External"/><Relationship Id="rId957" Type="http://schemas.openxmlformats.org/officeDocument/2006/relationships/hyperlink" Target="mailto:christinedelahaie@hotmail.fr" TargetMode="External"/><Relationship Id="rId999" Type="http://schemas.openxmlformats.org/officeDocument/2006/relationships/hyperlink" Target="mailto:delafon.savoie@gmail.com" TargetMode="External"/><Relationship Id="rId1100" Type="http://schemas.openxmlformats.org/officeDocument/2006/relationships/hyperlink" Target="mailto:marillat.yves@neuf.fr" TargetMode="External"/><Relationship Id="rId44" Type="http://schemas.openxmlformats.org/officeDocument/2006/relationships/hyperlink" Target="https://www.qualit-enr.org/espace-confort-voironnais" TargetMode="External"/><Relationship Id="rId86" Type="http://schemas.openxmlformats.org/officeDocument/2006/relationships/hyperlink" Target="mailto:godin-grenoble@orange.fr" TargetMode="External"/><Relationship Id="rId151" Type="http://schemas.openxmlformats.org/officeDocument/2006/relationships/hyperlink" Target="https://www.qualit-enr.org/feller-chauffage" TargetMode="External"/><Relationship Id="rId389" Type="http://schemas.openxmlformats.org/officeDocument/2006/relationships/hyperlink" Target="https://www.qualit-enr.org/jacqu-cheminees" TargetMode="External"/><Relationship Id="rId554" Type="http://schemas.openxmlformats.org/officeDocument/2006/relationships/hyperlink" Target="mailto:voiron@techni-nature.com" TargetMode="External"/><Relationship Id="rId596" Type="http://schemas.openxmlformats.org/officeDocument/2006/relationships/hyperlink" Target="mailto:carecchio.p@gmail.com" TargetMode="External"/><Relationship Id="rId761" Type="http://schemas.openxmlformats.org/officeDocument/2006/relationships/hyperlink" Target="mailto:poelesetcuisinierespassion@gmail.com" TargetMode="External"/><Relationship Id="rId817" Type="http://schemas.openxmlformats.org/officeDocument/2006/relationships/hyperlink" Target="mailto:mh.cere@wanadoo.fr" TargetMode="External"/><Relationship Id="rId859" Type="http://schemas.openxmlformats.org/officeDocument/2006/relationships/hyperlink" Target="mailto:contact@ecvoiron.fr" TargetMode="External"/><Relationship Id="rId1002" Type="http://schemas.openxmlformats.org/officeDocument/2006/relationships/hyperlink" Target="mailto:fto38@orange.fr" TargetMode="External"/><Relationship Id="rId193" Type="http://schemas.openxmlformats.org/officeDocument/2006/relationships/hyperlink" Target="https://www.qualit-enr.org/fralor-poeles-et-cuisinieres-passion" TargetMode="External"/><Relationship Id="rId207" Type="http://schemas.openxmlformats.org/officeDocument/2006/relationships/hyperlink" Target="mailto:contact@ecvoiron.fr" TargetMode="External"/><Relationship Id="rId249" Type="http://schemas.openxmlformats.org/officeDocument/2006/relationships/hyperlink" Target="https://www.qualit-enr.org/gerente-paquet-herve" TargetMode="External"/><Relationship Id="rId414" Type="http://schemas.openxmlformats.org/officeDocument/2006/relationships/hyperlink" Target="https://www.qualit-enr.org/jacqu-cheminees" TargetMode="External"/><Relationship Id="rId456" Type="http://schemas.openxmlformats.org/officeDocument/2006/relationships/hyperlink" Target="https://www.qualit-enr.org/atre-decoration" TargetMode="External"/><Relationship Id="rId498" Type="http://schemas.openxmlformats.org/officeDocument/2006/relationships/hyperlink" Target="mailto:godin-grenoble@orange.fr" TargetMode="External"/><Relationship Id="rId621" Type="http://schemas.openxmlformats.org/officeDocument/2006/relationships/hyperlink" Target="mailto:cdelens@orange.fr" TargetMode="External"/><Relationship Id="rId663" Type="http://schemas.openxmlformats.org/officeDocument/2006/relationships/hyperlink" Target="https://www.qualit-enr.org/alp-confort" TargetMode="External"/><Relationship Id="rId870" Type="http://schemas.openxmlformats.org/officeDocument/2006/relationships/hyperlink" Target="mailto:charbojul@hotmail.com" TargetMode="External"/><Relationship Id="rId1044" Type="http://schemas.openxmlformats.org/officeDocument/2006/relationships/hyperlink" Target="https://www.qualit-enr.org/entreprises/j3l-agencements/" TargetMode="External"/><Relationship Id="rId1086" Type="http://schemas.openxmlformats.org/officeDocument/2006/relationships/hyperlink" Target="mailto:x.irigaray@orange.fr" TargetMode="External"/><Relationship Id="rId13" Type="http://schemas.openxmlformats.org/officeDocument/2006/relationships/hyperlink" Target="https://www.qualit-enr.org/jacqu-cheminees" TargetMode="External"/><Relationship Id="rId109" Type="http://schemas.openxmlformats.org/officeDocument/2006/relationships/hyperlink" Target="https://www.qualit-enr.org/espace-confort-voironnais" TargetMode="External"/><Relationship Id="rId260" Type="http://schemas.openxmlformats.org/officeDocument/2006/relationships/hyperlink" Target="https://www.qualit-enr.org/atre-et-loisirs-sarl" TargetMode="External"/><Relationship Id="rId316" Type="http://schemas.openxmlformats.org/officeDocument/2006/relationships/hyperlink" Target="mailto:bois-soleil.chauffage@orange.fr" TargetMode="External"/><Relationship Id="rId523" Type="http://schemas.openxmlformats.org/officeDocument/2006/relationships/hyperlink" Target="https://www.qualit-enr.org/sarl-passion-flamme" TargetMode="External"/><Relationship Id="rId719" Type="http://schemas.openxmlformats.org/officeDocument/2006/relationships/hyperlink" Target="mailto:contact-chaleurbois38@orange.fr" TargetMode="External"/><Relationship Id="rId926" Type="http://schemas.openxmlformats.org/officeDocument/2006/relationships/hyperlink" Target="mailto:contact@fer-et-feu.fr" TargetMode="External"/><Relationship Id="rId968" Type="http://schemas.openxmlformats.org/officeDocument/2006/relationships/hyperlink" Target="mailto:francoise.cencherle@orange.fr" TargetMode="External"/><Relationship Id="rId1111" Type="http://schemas.openxmlformats.org/officeDocument/2006/relationships/printerSettings" Target="../printerSettings/printerSettings8.bin"/><Relationship Id="rId55" Type="http://schemas.openxmlformats.org/officeDocument/2006/relationships/hyperlink" Target="mailto:sarl.glenat@wanadoo.fr" TargetMode="External"/><Relationship Id="rId97" Type="http://schemas.openxmlformats.org/officeDocument/2006/relationships/hyperlink" Target="mailto:voiron@techni-nature.com" TargetMode="External"/><Relationship Id="rId120" Type="http://schemas.openxmlformats.org/officeDocument/2006/relationships/hyperlink" Target="https://cloud.ageden38.org/webdav/Shared/Arborescence/03_Territoires/CA%20Pays%20Voironnais/nextcloud/remote.php/webdav/Shared/Arborescence/03_Territoires/CA%20Pays%20Voironnais/0-Interco/2_Actions/2017_instruction%20aides%20CAPV/PABVRB/1_Archives" TargetMode="External"/><Relationship Id="rId358" Type="http://schemas.openxmlformats.org/officeDocument/2006/relationships/hyperlink" Target="mailto:latredauphinois@gmail.com" TargetMode="External"/><Relationship Id="rId565" Type="http://schemas.openxmlformats.org/officeDocument/2006/relationships/hyperlink" Target="https://www.qualit-enr.org/l-atre-dauphinois" TargetMode="External"/><Relationship Id="rId730" Type="http://schemas.openxmlformats.org/officeDocument/2006/relationships/hyperlink" Target="mailto:poelesetcuisinierespassion@gmail.com" TargetMode="External"/><Relationship Id="rId772" Type="http://schemas.openxmlformats.org/officeDocument/2006/relationships/hyperlink" Target="mailto:r.m.c.rivoire@wanadoo.fr" TargetMode="External"/><Relationship Id="rId828" Type="http://schemas.openxmlformats.org/officeDocument/2006/relationships/hyperlink" Target="mailto:contact.echirolles@alp-confort.fr" TargetMode="External"/><Relationship Id="rId1013" Type="http://schemas.openxmlformats.org/officeDocument/2006/relationships/hyperlink" Target="mailto:cheminees.jay@orange.fr" TargetMode="External"/><Relationship Id="rId162" Type="http://schemas.openxmlformats.org/officeDocument/2006/relationships/hyperlink" Target="mailto:cheminees.jay@orange.fr" TargetMode="External"/><Relationship Id="rId218" Type="http://schemas.openxmlformats.org/officeDocument/2006/relationships/hyperlink" Target="https://www.qualit-enr.org/cheminees-jay" TargetMode="External"/><Relationship Id="rId425" Type="http://schemas.openxmlformats.org/officeDocument/2006/relationships/hyperlink" Target="https://www.qualit-enr.org/techni-nature-05000" TargetMode="External"/><Relationship Id="rId467" Type="http://schemas.openxmlformats.org/officeDocument/2006/relationships/hyperlink" Target="mailto:contact@philippeisere.fr" TargetMode="External"/><Relationship Id="rId632" Type="http://schemas.openxmlformats.org/officeDocument/2006/relationships/hyperlink" Target="mailto:cheminees.jay@orange.fr" TargetMode="External"/><Relationship Id="rId1055" Type="http://schemas.openxmlformats.org/officeDocument/2006/relationships/hyperlink" Target="mailto:enerlogis@orange.fr" TargetMode="External"/><Relationship Id="rId1097" Type="http://schemas.openxmlformats.org/officeDocument/2006/relationships/hyperlink" Target="mailto:anais.decloedt@outlook.com" TargetMode="External"/><Relationship Id="rId271" Type="http://schemas.openxmlformats.org/officeDocument/2006/relationships/hyperlink" Target="https://www.qualit-enr.org/atre-decoration" TargetMode="External"/><Relationship Id="rId674" Type="http://schemas.openxmlformats.org/officeDocument/2006/relationships/hyperlink" Target="https://www.qualit-enr.org/sasu-ignis-design-hase-la-boutique" TargetMode="External"/><Relationship Id="rId881" Type="http://schemas.openxmlformats.org/officeDocument/2006/relationships/hyperlink" Target="mailto:contact@philippeisere.fr" TargetMode="External"/><Relationship Id="rId937" Type="http://schemas.openxmlformats.org/officeDocument/2006/relationships/hyperlink" Target="mailto:fabrice.bancod@gmail.com" TargetMode="External"/><Relationship Id="rId979" Type="http://schemas.openxmlformats.org/officeDocument/2006/relationships/hyperlink" Target="mailto:contact.echirolles@alp-confort.fr" TargetMode="External"/><Relationship Id="rId24" Type="http://schemas.openxmlformats.org/officeDocument/2006/relationships/hyperlink" Target="mailto:godin-grenoble@orange.fr" TargetMode="External"/><Relationship Id="rId66" Type="http://schemas.openxmlformats.org/officeDocument/2006/relationships/hyperlink" Target="https://www.qualit-enr.org/techni-nature-05000" TargetMode="External"/><Relationship Id="rId131" Type="http://schemas.openxmlformats.org/officeDocument/2006/relationships/hyperlink" Target="https://www.qualit-enr.org/techni-nature-05000" TargetMode="External"/><Relationship Id="rId327" Type="http://schemas.openxmlformats.org/officeDocument/2006/relationships/hyperlink" Target="https://www.qualit-enr.org/bois-soleil-chauffage-sarl" TargetMode="External"/><Relationship Id="rId369" Type="http://schemas.openxmlformats.org/officeDocument/2006/relationships/hyperlink" Target="https://www.qualit-enr.org/la-glace-et-le-feu" TargetMode="External"/><Relationship Id="rId534" Type="http://schemas.openxmlformats.org/officeDocument/2006/relationships/hyperlink" Target="mailto:jacqu.cheminees@gmail.com" TargetMode="External"/><Relationship Id="rId576" Type="http://schemas.openxmlformats.org/officeDocument/2006/relationships/hyperlink" Target="mailto:stephanie.lhuaire@gmail.com" TargetMode="External"/><Relationship Id="rId741" Type="http://schemas.openxmlformats.org/officeDocument/2006/relationships/hyperlink" Target="mailto:contact@ecvoiron.fr" TargetMode="External"/><Relationship Id="rId783" Type="http://schemas.openxmlformats.org/officeDocument/2006/relationships/hyperlink" Target="mailto:silvestre38@orange.fr" TargetMode="External"/><Relationship Id="rId839" Type="http://schemas.openxmlformats.org/officeDocument/2006/relationships/hyperlink" Target="mailto:boeroms@club-internet.fr" TargetMode="External"/><Relationship Id="rId990" Type="http://schemas.openxmlformats.org/officeDocument/2006/relationships/hyperlink" Target="mailto:stephane.bonapfel@gmail.com" TargetMode="External"/><Relationship Id="rId173" Type="http://schemas.openxmlformats.org/officeDocument/2006/relationships/hyperlink" Target="https://www.qualit-enr.org/jacqu-cheminees" TargetMode="External"/><Relationship Id="rId229" Type="http://schemas.openxmlformats.org/officeDocument/2006/relationships/hyperlink" Target="mailto:contact@ecvoiron.fr" TargetMode="External"/><Relationship Id="rId380" Type="http://schemas.openxmlformats.org/officeDocument/2006/relationships/hyperlink" Target="https://www.qualit-enr.org/l-atre-dauphinois" TargetMode="External"/><Relationship Id="rId436" Type="http://schemas.openxmlformats.org/officeDocument/2006/relationships/hyperlink" Target="https://www.qualit-enr.org/jacqu-cheminees" TargetMode="External"/><Relationship Id="rId601" Type="http://schemas.openxmlformats.org/officeDocument/2006/relationships/hyperlink" Target="mailto:mireille.repellin@gmail.com" TargetMode="External"/><Relationship Id="rId643" Type="http://schemas.openxmlformats.org/officeDocument/2006/relationships/hyperlink" Target="mailto:ddastri@hotmail.fr" TargetMode="External"/><Relationship Id="rId1024" Type="http://schemas.openxmlformats.org/officeDocument/2006/relationships/hyperlink" Target="https://www.qualit-enr.org/cheminees-jay" TargetMode="External"/><Relationship Id="rId1066" Type="http://schemas.openxmlformats.org/officeDocument/2006/relationships/hyperlink" Target="mailto:contact@fer-et-feu.fr" TargetMode="External"/><Relationship Id="rId240" Type="http://schemas.openxmlformats.org/officeDocument/2006/relationships/hyperlink" Target="https://www.qualit-enr.org/espace-confort-voironnais" TargetMode="External"/><Relationship Id="rId478" Type="http://schemas.openxmlformats.org/officeDocument/2006/relationships/hyperlink" Target="https://www.qualit-enr.org/cheminees-jay" TargetMode="External"/><Relationship Id="rId685" Type="http://schemas.openxmlformats.org/officeDocument/2006/relationships/hyperlink" Target="mailto:jeanpierre.bois@territoires-informatiques.fr" TargetMode="External"/><Relationship Id="rId850" Type="http://schemas.openxmlformats.org/officeDocument/2006/relationships/hyperlink" Target="mailto:contact@philippeisere.fr" TargetMode="External"/><Relationship Id="rId892" Type="http://schemas.openxmlformats.org/officeDocument/2006/relationships/hyperlink" Target="https://www.qualit-enr.org/entreprises/entreprise-charat/" TargetMode="External"/><Relationship Id="rId906" Type="http://schemas.openxmlformats.org/officeDocument/2006/relationships/hyperlink" Target="mailto:franck.terrier@laposte.net" TargetMode="External"/><Relationship Id="rId948" Type="http://schemas.openxmlformats.org/officeDocument/2006/relationships/hyperlink" Target="mailto:marleneglenat@orange.fr" TargetMode="External"/><Relationship Id="rId35" Type="http://schemas.openxmlformats.org/officeDocument/2006/relationships/hyperlink" Target="mailto:sarlpab@orange.fr" TargetMode="External"/><Relationship Id="rId77" Type="http://schemas.openxmlformats.org/officeDocument/2006/relationships/hyperlink" Target="https://www.qualit-enr.org/serpolet-bidaud-sas" TargetMode="External"/><Relationship Id="rId100" Type="http://schemas.openxmlformats.org/officeDocument/2006/relationships/hyperlink" Target="https://www.qualit-enr.org/cheminees-jay" TargetMode="External"/><Relationship Id="rId282" Type="http://schemas.openxmlformats.org/officeDocument/2006/relationships/hyperlink" Target="https://www.qualit-enr.org/espace-confort-voironnais" TargetMode="External"/><Relationship Id="rId338" Type="http://schemas.openxmlformats.org/officeDocument/2006/relationships/hyperlink" Target="mailto:contact@ecvoiron.fr" TargetMode="External"/><Relationship Id="rId503" Type="http://schemas.openxmlformats.org/officeDocument/2006/relationships/hyperlink" Target="https://www.qualit-enr.org/flamme-iseroise" TargetMode="External"/><Relationship Id="rId545" Type="http://schemas.openxmlformats.org/officeDocument/2006/relationships/hyperlink" Target="https://www.qualit-enr.org/alp-confort" TargetMode="External"/><Relationship Id="rId587" Type="http://schemas.openxmlformats.org/officeDocument/2006/relationships/hyperlink" Target="https://www.qualit-enr.org/la-glace-et-le-feu" TargetMode="External"/><Relationship Id="rId710" Type="http://schemas.openxmlformats.org/officeDocument/2006/relationships/hyperlink" Target="mailto:eleonore.perrier@yahoo.fr" TargetMode="External"/><Relationship Id="rId752" Type="http://schemas.openxmlformats.org/officeDocument/2006/relationships/hyperlink" Target="mailto:poelesetcuisinierespassion@gmail.com" TargetMode="External"/><Relationship Id="rId808" Type="http://schemas.openxmlformats.org/officeDocument/2006/relationships/hyperlink" Target="mailto:thierry.vignes@wanadoo.fr" TargetMode="External"/><Relationship Id="rId8" Type="http://schemas.openxmlformats.org/officeDocument/2006/relationships/hyperlink" Target="mailto:vf.enr74@gmail.com" TargetMode="External"/><Relationship Id="rId142" Type="http://schemas.openxmlformats.org/officeDocument/2006/relationships/hyperlink" Target="mailto:godin-grenoble@orange.fr" TargetMode="External"/><Relationship Id="rId184" Type="http://schemas.openxmlformats.org/officeDocument/2006/relationships/hyperlink" Target="https://cloud.ageden38.org/webdav/Shared/Arborescence/03_Territoires/CA%20Pays%20Voironnais/nextcloud/remote.php/webdav/Shared/Arborescence/03_Territoires/CA%20Pays%20Voironnais/0-Interco/2_Actions/2017_instruction%20aides%20CAPV/PABVRB/1_Archives" TargetMode="External"/><Relationship Id="rId391" Type="http://schemas.openxmlformats.org/officeDocument/2006/relationships/hyperlink" Target="mailto:contact@philippeisere.fr" TargetMode="External"/><Relationship Id="rId405" Type="http://schemas.openxmlformats.org/officeDocument/2006/relationships/hyperlink" Target="mailto:sarl.glenat@wanadoo.fr" TargetMode="External"/><Relationship Id="rId447" Type="http://schemas.openxmlformats.org/officeDocument/2006/relationships/hyperlink" Target="mailto:voiron@techni-nature.com" TargetMode="External"/><Relationship Id="rId612" Type="http://schemas.openxmlformats.org/officeDocument/2006/relationships/hyperlink" Target="mailto:contact@ecvoiron.fr" TargetMode="External"/><Relationship Id="rId794" Type="http://schemas.openxmlformats.org/officeDocument/2006/relationships/hyperlink" Target="mailto:contact@philippeisere.fr" TargetMode="External"/><Relationship Id="rId1035" Type="http://schemas.openxmlformats.org/officeDocument/2006/relationships/hyperlink" Target="https://www.qualit-enr.org/flamme-iseroise" TargetMode="External"/><Relationship Id="rId1077" Type="http://schemas.openxmlformats.org/officeDocument/2006/relationships/hyperlink" Target="mailto:contact@philippeisere.fr" TargetMode="External"/><Relationship Id="rId251" Type="http://schemas.openxmlformats.org/officeDocument/2006/relationships/hyperlink" Target="https://www.qualit-enr.org/techni-nature-05000" TargetMode="External"/><Relationship Id="rId489" Type="http://schemas.openxmlformats.org/officeDocument/2006/relationships/hyperlink" Target="https://www.qualit-enr.org/alp-confort" TargetMode="External"/><Relationship Id="rId654" Type="http://schemas.openxmlformats.org/officeDocument/2006/relationships/hyperlink" Target="https://www.qualit-enr.org/entreprises/espace-confort-voironnais/" TargetMode="External"/><Relationship Id="rId696" Type="http://schemas.openxmlformats.org/officeDocument/2006/relationships/hyperlink" Target="mailto:jeanpierrezeluas@poelesgranules.fr" TargetMode="External"/><Relationship Id="rId861" Type="http://schemas.openxmlformats.org/officeDocument/2006/relationships/hyperlink" Target="https://www.qualit-enr.org/cheminees-jay" TargetMode="External"/><Relationship Id="rId917" Type="http://schemas.openxmlformats.org/officeDocument/2006/relationships/hyperlink" Target="mailto:stefanou@laposte.net" TargetMode="External"/><Relationship Id="rId959" Type="http://schemas.openxmlformats.org/officeDocument/2006/relationships/hyperlink" Target="https://www.qualit-enr.org/entreprises/chartreuse-plomberie-chauffage/" TargetMode="External"/><Relationship Id="rId1102" Type="http://schemas.openxmlformats.org/officeDocument/2006/relationships/hyperlink" Target="mailto:g.c.despierre@aliceadsl.fr" TargetMode="External"/><Relationship Id="rId46" Type="http://schemas.openxmlformats.org/officeDocument/2006/relationships/hyperlink" Target="https://www.qualit-enr.org/sarl-enerlogis" TargetMode="External"/><Relationship Id="rId293" Type="http://schemas.openxmlformats.org/officeDocument/2006/relationships/hyperlink" Target="mailto:contact@ecvoiron.fr" TargetMode="External"/><Relationship Id="rId307" Type="http://schemas.openxmlformats.org/officeDocument/2006/relationships/hyperlink" Target="https://www.qualit-enr.org/jacqu-cheminees" TargetMode="External"/><Relationship Id="rId349" Type="http://schemas.openxmlformats.org/officeDocument/2006/relationships/hyperlink" Target="https://www.qualit-enr.org/sasu-ignis-design-hase-la-boutique" TargetMode="External"/><Relationship Id="rId514" Type="http://schemas.openxmlformats.org/officeDocument/2006/relationships/hyperlink" Target="https://www.qualit-enr.org/entreprises/espace-confort-voironnais/" TargetMode="External"/><Relationship Id="rId556" Type="http://schemas.openxmlformats.org/officeDocument/2006/relationships/hyperlink" Target="mailto:voiron@techni-nature.com" TargetMode="External"/><Relationship Id="rId721" Type="http://schemas.openxmlformats.org/officeDocument/2006/relationships/hyperlink" Target="mailto:acg.plomberie.renov@gmail.com" TargetMode="External"/><Relationship Id="rId763" Type="http://schemas.openxmlformats.org/officeDocument/2006/relationships/hyperlink" Target="mailto:marketing@carre-F.com" TargetMode="External"/><Relationship Id="rId88" Type="http://schemas.openxmlformats.org/officeDocument/2006/relationships/hyperlink" Target="mailto:voiron@techni-nature.com" TargetMode="External"/><Relationship Id="rId111" Type="http://schemas.openxmlformats.org/officeDocument/2006/relationships/hyperlink" Target="mailto:jcduo@orange.fr" TargetMode="External"/><Relationship Id="rId153" Type="http://schemas.openxmlformats.org/officeDocument/2006/relationships/hyperlink" Target="https://www.qualit-enr.org/espace-confort-voironnais" TargetMode="External"/><Relationship Id="rId195" Type="http://schemas.openxmlformats.org/officeDocument/2006/relationships/hyperlink" Target="https://www.qualit-enr.org/sarl-passion-flamme" TargetMode="External"/><Relationship Id="rId209" Type="http://schemas.openxmlformats.org/officeDocument/2006/relationships/hyperlink" Target="https://www.qualit-enr.org/carre" TargetMode="External"/><Relationship Id="rId360" Type="http://schemas.openxmlformats.org/officeDocument/2006/relationships/hyperlink" Target="https://www.qualit-enr.org/carre" TargetMode="External"/><Relationship Id="rId416" Type="http://schemas.openxmlformats.org/officeDocument/2006/relationships/hyperlink" Target="https://www.qualit-enr.org/arc-habitat" TargetMode="External"/><Relationship Id="rId598" Type="http://schemas.openxmlformats.org/officeDocument/2006/relationships/hyperlink" Target="https://www.qualit-enr.org/entreprises/espace-confort-voironnais/" TargetMode="External"/><Relationship Id="rId819" Type="http://schemas.openxmlformats.org/officeDocument/2006/relationships/hyperlink" Target="mailto:familleduboisfourret@gmail.com" TargetMode="External"/><Relationship Id="rId970" Type="http://schemas.openxmlformats.org/officeDocument/2006/relationships/hyperlink" Target="mailto:jonathan.bargel@philippeisere.fr" TargetMode="External"/><Relationship Id="rId1004" Type="http://schemas.openxmlformats.org/officeDocument/2006/relationships/hyperlink" Target="mailto:monique.martinetto@orange.fr" TargetMode="External"/><Relationship Id="rId1046" Type="http://schemas.openxmlformats.org/officeDocument/2006/relationships/hyperlink" Target="mailto:lucien.tirardgatel@gmail.com" TargetMode="External"/><Relationship Id="rId220" Type="http://schemas.openxmlformats.org/officeDocument/2006/relationships/hyperlink" Target="mailto:adv@atre-loisirs.fr" TargetMode="External"/><Relationship Id="rId458" Type="http://schemas.openxmlformats.org/officeDocument/2006/relationships/hyperlink" Target="mailto:cheminees.jay@orange.fr" TargetMode="External"/><Relationship Id="rId623" Type="http://schemas.openxmlformats.org/officeDocument/2006/relationships/hyperlink" Target="mailto:f.carre@carre-f.com" TargetMode="External"/><Relationship Id="rId665" Type="http://schemas.openxmlformats.org/officeDocument/2006/relationships/hyperlink" Target="https://www.qualit-enr.org/fralor-poeles-et-cuisinieres-passion" TargetMode="External"/><Relationship Id="rId830" Type="http://schemas.openxmlformats.org/officeDocument/2006/relationships/hyperlink" Target="mailto:commercial@flammeiseroise.com" TargetMode="External"/><Relationship Id="rId872" Type="http://schemas.openxmlformats.org/officeDocument/2006/relationships/hyperlink" Target="mailto:santamaria38620@gmail.com" TargetMode="External"/><Relationship Id="rId928" Type="http://schemas.openxmlformats.org/officeDocument/2006/relationships/hyperlink" Target="mailto:marketing@carre-f.com" TargetMode="External"/><Relationship Id="rId1088" Type="http://schemas.openxmlformats.org/officeDocument/2006/relationships/hyperlink" Target="mailto:davidmonique047@gmail.com" TargetMode="External"/><Relationship Id="rId15" Type="http://schemas.openxmlformats.org/officeDocument/2006/relationships/hyperlink" Target="https://www.qualit-enr.org/techni-nature-05000" TargetMode="External"/><Relationship Id="rId57" Type="http://schemas.openxmlformats.org/officeDocument/2006/relationships/hyperlink" Target="mailto:bois-soleil.chauffage@orange.fr" TargetMode="External"/><Relationship Id="rId262" Type="http://schemas.openxmlformats.org/officeDocument/2006/relationships/hyperlink" Target="mailto:sarlpab@orange.fr" TargetMode="External"/><Relationship Id="rId318" Type="http://schemas.openxmlformats.org/officeDocument/2006/relationships/hyperlink" Target="mailto:contact@ecvoiron.fr" TargetMode="External"/><Relationship Id="rId525" Type="http://schemas.openxmlformats.org/officeDocument/2006/relationships/hyperlink" Target="https://www.qualit-enr.org/sasu-ignis-design-hase-la-boutique" TargetMode="External"/><Relationship Id="rId567" Type="http://schemas.openxmlformats.org/officeDocument/2006/relationships/hyperlink" Target="mailto:aucoindufeu38@gmail.com" TargetMode="External"/><Relationship Id="rId732" Type="http://schemas.openxmlformats.org/officeDocument/2006/relationships/hyperlink" Target="mailto:mauricetripier38730@gmail.com" TargetMode="External"/><Relationship Id="rId1113" Type="http://schemas.openxmlformats.org/officeDocument/2006/relationships/vmlDrawing" Target="../drawings/vmlDrawing3.vml"/><Relationship Id="rId99" Type="http://schemas.openxmlformats.org/officeDocument/2006/relationships/hyperlink" Target="mailto:cheminees.jay@orange.fr" TargetMode="External"/><Relationship Id="rId122" Type="http://schemas.openxmlformats.org/officeDocument/2006/relationships/hyperlink" Target="https://www.qualit-enr.org/fralor-poeles-et-cuisinieres-passion" TargetMode="External"/><Relationship Id="rId164" Type="http://schemas.openxmlformats.org/officeDocument/2006/relationships/hyperlink" Target="mailto:cheminees.jay@orange.fr" TargetMode="External"/><Relationship Id="rId371" Type="http://schemas.openxmlformats.org/officeDocument/2006/relationships/hyperlink" Target="https://www.qualit-enr.org/cheminees-jay" TargetMode="External"/><Relationship Id="rId774" Type="http://schemas.openxmlformats.org/officeDocument/2006/relationships/hyperlink" Target="mailto:p.attardo-negri@orange.fr" TargetMode="External"/><Relationship Id="rId981" Type="http://schemas.openxmlformats.org/officeDocument/2006/relationships/hyperlink" Target="mailto:jcduo@orange.fr" TargetMode="External"/><Relationship Id="rId1015" Type="http://schemas.openxmlformats.org/officeDocument/2006/relationships/hyperlink" Target="mailto:jonathan.barguel@philippeisere.fr" TargetMode="External"/><Relationship Id="rId1057" Type="http://schemas.openxmlformats.org/officeDocument/2006/relationships/hyperlink" Target="mailto:girard.yvan@hotmail.fr" TargetMode="External"/><Relationship Id="rId427" Type="http://schemas.openxmlformats.org/officeDocument/2006/relationships/hyperlink" Target="https://www.qualit-enr.org/la-glace-et-le-feu" TargetMode="External"/><Relationship Id="rId469" Type="http://schemas.openxmlformats.org/officeDocument/2006/relationships/hyperlink" Target="mailto:contact@philippeisere.fr" TargetMode="External"/><Relationship Id="rId634" Type="http://schemas.openxmlformats.org/officeDocument/2006/relationships/hyperlink" Target="mailto:jpecoul@orange.fr" TargetMode="External"/><Relationship Id="rId676" Type="http://schemas.openxmlformats.org/officeDocument/2006/relationships/hyperlink" Target="https://www.qualypso.fr/download_file.php?id=021a3e1f-f16d-4577-ac80-f3806107cc38" TargetMode="External"/><Relationship Id="rId841" Type="http://schemas.openxmlformats.org/officeDocument/2006/relationships/hyperlink" Target="mailto:bois-soleil-chauffage@orange.fr" TargetMode="External"/><Relationship Id="rId883" Type="http://schemas.openxmlformats.org/officeDocument/2006/relationships/hyperlink" Target="mailto:godin-grenoble@orange.fr" TargetMode="External"/><Relationship Id="rId1099" Type="http://schemas.openxmlformats.org/officeDocument/2006/relationships/hyperlink" Target="https://www.qualit-enr.org/sarl-passion-flamme" TargetMode="External"/><Relationship Id="rId26" Type="http://schemas.openxmlformats.org/officeDocument/2006/relationships/hyperlink" Target="mailto:voiron@techni-nature.com" TargetMode="External"/><Relationship Id="rId231" Type="http://schemas.openxmlformats.org/officeDocument/2006/relationships/hyperlink" Target="https://www.qualit-enr.org/jacqu-cheminees" TargetMode="External"/><Relationship Id="rId273" Type="http://schemas.openxmlformats.org/officeDocument/2006/relationships/hyperlink" Target="https://www.qualibat.com/resultat-de-la-recherche/alp-iso-renov-eurl--99155/" TargetMode="External"/><Relationship Id="rId329" Type="http://schemas.openxmlformats.org/officeDocument/2006/relationships/hyperlink" Target="https://www.qualit-enr.org/l-atre-dauphinois" TargetMode="External"/><Relationship Id="rId480" Type="http://schemas.openxmlformats.org/officeDocument/2006/relationships/hyperlink" Target="mailto:laglaceetlefeu38@gmail.com" TargetMode="External"/><Relationship Id="rId536" Type="http://schemas.openxmlformats.org/officeDocument/2006/relationships/hyperlink" Target="mailto:contact@cpc38.com" TargetMode="External"/><Relationship Id="rId701" Type="http://schemas.openxmlformats.org/officeDocument/2006/relationships/hyperlink" Target="mailto:reyjosette38730@orange.fr" TargetMode="External"/><Relationship Id="rId939" Type="http://schemas.openxmlformats.org/officeDocument/2006/relationships/hyperlink" Target="mailto:bois-soleil-chauffage@orange.fr" TargetMode="External"/><Relationship Id="rId68" Type="http://schemas.openxmlformats.org/officeDocument/2006/relationships/hyperlink" Target="https://www.qualit-enr.org/bois-soleil-chauffage-sarl" TargetMode="External"/><Relationship Id="rId133" Type="http://schemas.openxmlformats.org/officeDocument/2006/relationships/hyperlink" Target="https://www.qualit-enr.org/espace-confort-voironnais" TargetMode="External"/><Relationship Id="rId175" Type="http://schemas.openxmlformats.org/officeDocument/2006/relationships/hyperlink" Target="https://www.qualit-enr.org/bois-soleil-chauffage-sarl" TargetMode="External"/><Relationship Id="rId340" Type="http://schemas.openxmlformats.org/officeDocument/2006/relationships/hyperlink" Target="mailto:cheminees.jay@orange.fr" TargetMode="External"/><Relationship Id="rId578" Type="http://schemas.openxmlformats.org/officeDocument/2006/relationships/hyperlink" Target="https://www.qualypso.fr/download_file.php?id=1214672b-53ac-4982-88f9-0d520d89179c" TargetMode="External"/><Relationship Id="rId743" Type="http://schemas.openxmlformats.org/officeDocument/2006/relationships/hyperlink" Target="mailto:sarlpab@orange.fr" TargetMode="External"/><Relationship Id="rId785" Type="http://schemas.openxmlformats.org/officeDocument/2006/relationships/hyperlink" Target="mailto:clea.serpollier@gmail.com" TargetMode="External"/><Relationship Id="rId950" Type="http://schemas.openxmlformats.org/officeDocument/2006/relationships/hyperlink" Target="mailto:lguimard38@gmail.com" TargetMode="External"/><Relationship Id="rId992" Type="http://schemas.openxmlformats.org/officeDocument/2006/relationships/hyperlink" Target="mailto:jcduo@orange.fr" TargetMode="External"/><Relationship Id="rId1026" Type="http://schemas.openxmlformats.org/officeDocument/2006/relationships/hyperlink" Target="mailto:jonathan.barguel@philippeisere.fr" TargetMode="External"/><Relationship Id="rId200" Type="http://schemas.openxmlformats.org/officeDocument/2006/relationships/hyperlink" Target="mailto:contact@ecvoiron.fr" TargetMode="External"/><Relationship Id="rId382" Type="http://schemas.openxmlformats.org/officeDocument/2006/relationships/hyperlink" Target="https://www.qualit-enr.org/watthome" TargetMode="External"/><Relationship Id="rId438" Type="http://schemas.openxmlformats.org/officeDocument/2006/relationships/hyperlink" Target="mailto:cheminees.jay@orange.fr" TargetMode="External"/><Relationship Id="rId603" Type="http://schemas.openxmlformats.org/officeDocument/2006/relationships/hyperlink" Target="https://www.qualit-enr.org/entreprises/espace-confort-voironnais/" TargetMode="External"/><Relationship Id="rId645" Type="http://schemas.openxmlformats.org/officeDocument/2006/relationships/hyperlink" Target="https://www.qualypso.fr/download_file.php?id=0ac6bbaa-cb24-4926-9d7f-8e6b0d1f9099" TargetMode="External"/><Relationship Id="rId687" Type="http://schemas.openxmlformats.org/officeDocument/2006/relationships/hyperlink" Target="mailto:pascalcroce@sfr.fr" TargetMode="External"/><Relationship Id="rId810" Type="http://schemas.openxmlformats.org/officeDocument/2006/relationships/hyperlink" Target="https://www.qualit-enr.org/entreprises/espace-confort-voironnais/" TargetMode="External"/><Relationship Id="rId852" Type="http://schemas.openxmlformats.org/officeDocument/2006/relationships/hyperlink" Target="mailto:lchavand@yahoo.com" TargetMode="External"/><Relationship Id="rId908" Type="http://schemas.openxmlformats.org/officeDocument/2006/relationships/hyperlink" Target="mailto:j.ziat@cg38.fr" TargetMode="External"/><Relationship Id="rId1068" Type="http://schemas.openxmlformats.org/officeDocument/2006/relationships/hyperlink" Target="mailto:gagnieux.b@gmail.com" TargetMode="External"/><Relationship Id="rId242" Type="http://schemas.openxmlformats.org/officeDocument/2006/relationships/hyperlink" Target="https://www.qualit-enr.org/todeschini" TargetMode="External"/><Relationship Id="rId284" Type="http://schemas.openxmlformats.org/officeDocument/2006/relationships/hyperlink" Target="https://www.qualit-enr.org/l-atre-dauphinois" TargetMode="External"/><Relationship Id="rId491" Type="http://schemas.openxmlformats.org/officeDocument/2006/relationships/hyperlink" Target="https://www.qualit-enr.org/fralor-poeles-et-cuisinieres-passion" TargetMode="External"/><Relationship Id="rId505" Type="http://schemas.openxmlformats.org/officeDocument/2006/relationships/hyperlink" Target="https://www.qualit-enr.org/voiron-poeles-a-bois-et-granules" TargetMode="External"/><Relationship Id="rId712" Type="http://schemas.openxmlformats.org/officeDocument/2006/relationships/hyperlink" Target="mailto:sebastiencombe@free.fr" TargetMode="External"/><Relationship Id="rId894" Type="http://schemas.openxmlformats.org/officeDocument/2006/relationships/hyperlink" Target="https://www.qualit-enr.org/cheminees-jay" TargetMode="External"/><Relationship Id="rId37" Type="http://schemas.openxmlformats.org/officeDocument/2006/relationships/hyperlink" Target="mailto:contact@fer-et-feu.fr" TargetMode="External"/><Relationship Id="rId79" Type="http://schemas.openxmlformats.org/officeDocument/2006/relationships/hyperlink" Target="mailto:cheminees.jay@orange.fr" TargetMode="External"/><Relationship Id="rId102" Type="http://schemas.openxmlformats.org/officeDocument/2006/relationships/hyperlink" Target="https://www.qualit-enr.org/tecnic-services" TargetMode="External"/><Relationship Id="rId144" Type="http://schemas.openxmlformats.org/officeDocument/2006/relationships/hyperlink" Target="mailto:bois-soleil.chauffage@orange.fr" TargetMode="External"/><Relationship Id="rId547" Type="http://schemas.openxmlformats.org/officeDocument/2006/relationships/hyperlink" Target="https://www.qualypso.fr/download_file.php?id=cb11ad74-f948-4beb-902b-43ff2ca9e830" TargetMode="External"/><Relationship Id="rId589" Type="http://schemas.openxmlformats.org/officeDocument/2006/relationships/hyperlink" Target="mailto:lscramoncin@ets-payre.fr" TargetMode="External"/><Relationship Id="rId754" Type="http://schemas.openxmlformats.org/officeDocument/2006/relationships/hyperlink" Target="mailto:contact@philippeisere.fr" TargetMode="External"/><Relationship Id="rId796" Type="http://schemas.openxmlformats.org/officeDocument/2006/relationships/hyperlink" Target="mailto:contact@passionflamme.fr" TargetMode="External"/><Relationship Id="rId961" Type="http://schemas.openxmlformats.org/officeDocument/2006/relationships/hyperlink" Target="mailto:colette.barthes@free.fr" TargetMode="External"/><Relationship Id="rId90" Type="http://schemas.openxmlformats.org/officeDocument/2006/relationships/hyperlink" Target="mailto:alby-eco@sfr.fr" TargetMode="External"/><Relationship Id="rId186" Type="http://schemas.openxmlformats.org/officeDocument/2006/relationships/hyperlink" Target="https://www.qualit-enr.org/espace-confort-voironnais" TargetMode="External"/><Relationship Id="rId351" Type="http://schemas.openxmlformats.org/officeDocument/2006/relationships/hyperlink" Target="https://www.qualit-enr.org/fralor-poeles-et-cuisinieres-passion" TargetMode="External"/><Relationship Id="rId393" Type="http://schemas.openxmlformats.org/officeDocument/2006/relationships/hyperlink" Target="mailto:contact@ecvoiron.fr" TargetMode="External"/><Relationship Id="rId407" Type="http://schemas.openxmlformats.org/officeDocument/2006/relationships/hyperlink" Target="https://www.qualit-enr.org/carre" TargetMode="External"/><Relationship Id="rId449" Type="http://schemas.openxmlformats.org/officeDocument/2006/relationships/hyperlink" Target="mailto:godin-grenoble@orange.fr" TargetMode="External"/><Relationship Id="rId614" Type="http://schemas.openxmlformats.org/officeDocument/2006/relationships/hyperlink" Target="mailto:marc.boizard@wanadoo.fr" TargetMode="External"/><Relationship Id="rId656" Type="http://schemas.openxmlformats.org/officeDocument/2006/relationships/hyperlink" Target="mailto:jcmercier38@gmail.com" TargetMode="External"/><Relationship Id="rId821" Type="http://schemas.openxmlformats.org/officeDocument/2006/relationships/hyperlink" Target="mailto:demaziere.m@gmail.com" TargetMode="External"/><Relationship Id="rId863" Type="http://schemas.openxmlformats.org/officeDocument/2006/relationships/hyperlink" Target="mailto:bois-soleil-chauffage@orange.fr" TargetMode="External"/><Relationship Id="rId1037" Type="http://schemas.openxmlformats.org/officeDocument/2006/relationships/hyperlink" Target="mailto:contact@alpp-plomberie.fr" TargetMode="External"/><Relationship Id="rId1079" Type="http://schemas.openxmlformats.org/officeDocument/2006/relationships/hyperlink" Target="mailto:emeline.v.tan@gmail.com" TargetMode="External"/><Relationship Id="rId211" Type="http://schemas.openxmlformats.org/officeDocument/2006/relationships/hyperlink" Target="mailto:voglans@poelesgranules.fr" TargetMode="External"/><Relationship Id="rId253" Type="http://schemas.openxmlformats.org/officeDocument/2006/relationships/hyperlink" Target="mailto:grenoble@hase-boutique.fr" TargetMode="External"/><Relationship Id="rId295" Type="http://schemas.openxmlformats.org/officeDocument/2006/relationships/hyperlink" Target="https://www.qualit-enr.org/carre" TargetMode="External"/><Relationship Id="rId309" Type="http://schemas.openxmlformats.org/officeDocument/2006/relationships/hyperlink" Target="https://www.qualit-enr.org/espace-confort-voironnais" TargetMode="External"/><Relationship Id="rId460" Type="http://schemas.openxmlformats.org/officeDocument/2006/relationships/hyperlink" Target="mailto:patrickduranton@passionflamme.fr" TargetMode="External"/><Relationship Id="rId516" Type="http://schemas.openxmlformats.org/officeDocument/2006/relationships/hyperlink" Target="https://www.qualit-enr.org/poelesgranules-fr-bio-belledonne-granules" TargetMode="External"/><Relationship Id="rId698" Type="http://schemas.openxmlformats.org/officeDocument/2006/relationships/hyperlink" Target="mailto:jarrinpat@numericable.fr" TargetMode="External"/><Relationship Id="rId919" Type="http://schemas.openxmlformats.org/officeDocument/2006/relationships/hyperlink" Target="mailto:christophe.pechu@gmail.com" TargetMode="External"/><Relationship Id="rId1090" Type="http://schemas.openxmlformats.org/officeDocument/2006/relationships/hyperlink" Target="https://www.qualit-enr.org/techni-nature-05000" TargetMode="External"/><Relationship Id="rId1104" Type="http://schemas.openxmlformats.org/officeDocument/2006/relationships/hyperlink" Target="https://www.qualit-enr.org/cheminees-jay" TargetMode="External"/><Relationship Id="rId48" Type="http://schemas.openxmlformats.org/officeDocument/2006/relationships/hyperlink" Target="https://cloud.ageden38.org/webdav/Shared/Arborescence/03_Territoires/CA%20Pays%20Voironnais/nextcloud/remote.php/webdav/Shared/Arborescence/03_Territoires/CA%20Pays%20Voironnais/0-Interco/2_Actions/2017_instruction%20aides%20CAPV/PABVRB/1_Archives" TargetMode="External"/><Relationship Id="rId113" Type="http://schemas.openxmlformats.org/officeDocument/2006/relationships/hyperlink" Target="mailto:godin-grenoble@orange.fr" TargetMode="External"/><Relationship Id="rId320" Type="http://schemas.openxmlformats.org/officeDocument/2006/relationships/hyperlink" Target="https://www.qualit-enr.org/carre" TargetMode="External"/><Relationship Id="rId558" Type="http://schemas.openxmlformats.org/officeDocument/2006/relationships/hyperlink" Target="https://www.qualypso.fr/download_file.php?id=021a3e1f-f16d-4577-ac80-f3806107cc38" TargetMode="External"/><Relationship Id="rId723" Type="http://schemas.openxmlformats.org/officeDocument/2006/relationships/hyperlink" Target="mailto:grenoble@hase-boutique.fr" TargetMode="External"/><Relationship Id="rId765" Type="http://schemas.openxmlformats.org/officeDocument/2006/relationships/hyperlink" Target="mailto:cheminees.jay@orange.fr" TargetMode="External"/><Relationship Id="rId930" Type="http://schemas.openxmlformats.org/officeDocument/2006/relationships/hyperlink" Target="mailto:expertise.ramonage.paquet@gmail.com" TargetMode="External"/><Relationship Id="rId972" Type="http://schemas.openxmlformats.org/officeDocument/2006/relationships/hyperlink" Target="mailto:contact@ecvoiron.fr" TargetMode="External"/><Relationship Id="rId1006" Type="http://schemas.openxmlformats.org/officeDocument/2006/relationships/hyperlink" Target="https://www.qualit-enr.org/sarl-passion-flamme" TargetMode="External"/><Relationship Id="rId155" Type="http://schemas.openxmlformats.org/officeDocument/2006/relationships/hyperlink" Target="mailto:jcduo@orange.fr" TargetMode="External"/><Relationship Id="rId197" Type="http://schemas.openxmlformats.org/officeDocument/2006/relationships/hyperlink" Target="https://www.qualit-enr.org/sarl-passion-flamme" TargetMode="External"/><Relationship Id="rId362" Type="http://schemas.openxmlformats.org/officeDocument/2006/relationships/hyperlink" Target="https://www.qualit-enr.org/watthome" TargetMode="External"/><Relationship Id="rId418" Type="http://schemas.openxmlformats.org/officeDocument/2006/relationships/hyperlink" Target="https://www.qualit-enr.org/espace-confort-voironnais" TargetMode="External"/><Relationship Id="rId625" Type="http://schemas.openxmlformats.org/officeDocument/2006/relationships/hyperlink" Target="mailto:christophe.seror@gmail.com" TargetMode="External"/><Relationship Id="rId832" Type="http://schemas.openxmlformats.org/officeDocument/2006/relationships/hyperlink" Target="mailto:contact@ecvoiron.fr" TargetMode="External"/><Relationship Id="rId1048" Type="http://schemas.openxmlformats.org/officeDocument/2006/relationships/hyperlink" Target="mailto:nicolekrueger008@gmail.com" TargetMode="External"/><Relationship Id="rId222" Type="http://schemas.openxmlformats.org/officeDocument/2006/relationships/hyperlink" Target="https://www.qualit-enr.org/fralor-poeles-et-cuisinieres-passion" TargetMode="External"/><Relationship Id="rId264" Type="http://schemas.openxmlformats.org/officeDocument/2006/relationships/hyperlink" Target="mailto:voiron@techni-nature.com" TargetMode="External"/><Relationship Id="rId471" Type="http://schemas.openxmlformats.org/officeDocument/2006/relationships/hyperlink" Target="mailto:jcduo@orange.fr" TargetMode="External"/><Relationship Id="rId667" Type="http://schemas.openxmlformats.org/officeDocument/2006/relationships/hyperlink" Target="https://www.qualit-enr.org/entreprises/espace-confort-voironnais/" TargetMode="External"/><Relationship Id="rId874" Type="http://schemas.openxmlformats.org/officeDocument/2006/relationships/hyperlink" Target="mailto:houda.b@hotmail.fr" TargetMode="External"/><Relationship Id="rId17" Type="http://schemas.openxmlformats.org/officeDocument/2006/relationships/hyperlink" Target="https://www.qualit-enr.org/techni-nature-05000" TargetMode="External"/><Relationship Id="rId59" Type="http://schemas.openxmlformats.org/officeDocument/2006/relationships/hyperlink" Target="mailto:jcduo@orange.fr" TargetMode="External"/><Relationship Id="rId124" Type="http://schemas.openxmlformats.org/officeDocument/2006/relationships/hyperlink" Target="https://cloud.ageden38.org/webdav/Shared/Arborescence/03_Territoires/CA%20Pays%20Voironnais/nextcloud/remote.php/webdav/Shared/Arborescence/03_Territoires/CA%20Pays%20Voironnais/0-Interco/2_Actions/2017_instruction%20aides%20CAPV/PABVRB/1_Archives" TargetMode="External"/><Relationship Id="rId527" Type="http://schemas.openxmlformats.org/officeDocument/2006/relationships/hyperlink" Target="https://www.qualit-enr.org/bois-soleil-chauffage-sarl" TargetMode="External"/><Relationship Id="rId569" Type="http://schemas.openxmlformats.org/officeDocument/2006/relationships/hyperlink" Target="mailto:y.durand@hotmail.fr" TargetMode="External"/><Relationship Id="rId734" Type="http://schemas.openxmlformats.org/officeDocument/2006/relationships/hyperlink" Target="mailto:voisin.jeanmichel30797@gmail.com" TargetMode="External"/><Relationship Id="rId776" Type="http://schemas.openxmlformats.org/officeDocument/2006/relationships/hyperlink" Target="mailto:sarlpab@orange.fr" TargetMode="External"/><Relationship Id="rId941" Type="http://schemas.openxmlformats.org/officeDocument/2006/relationships/hyperlink" Target="mailto:jonathan.lamonica010388@gmail.com" TargetMode="External"/><Relationship Id="rId983" Type="http://schemas.openxmlformats.org/officeDocument/2006/relationships/hyperlink" Target="mailto:cheminees.jay@orange.fr" TargetMode="External"/><Relationship Id="rId70" Type="http://schemas.openxmlformats.org/officeDocument/2006/relationships/hyperlink" Target="https://www.qualit-enr.org/carre" TargetMode="External"/><Relationship Id="rId166" Type="http://schemas.openxmlformats.org/officeDocument/2006/relationships/hyperlink" Target="mailto:cheminees.jay@orange.fr" TargetMode="External"/><Relationship Id="rId331" Type="http://schemas.openxmlformats.org/officeDocument/2006/relationships/hyperlink" Target="https://www.qualit-enr.org/bois-soleil-chauffage-sarl" TargetMode="External"/><Relationship Id="rId373" Type="http://schemas.openxmlformats.org/officeDocument/2006/relationships/hyperlink" Target="https://www.qualit-enr.org/techni-nature-05000" TargetMode="External"/><Relationship Id="rId429" Type="http://schemas.openxmlformats.org/officeDocument/2006/relationships/hyperlink" Target="https://www.qualit-enr.org/entreprises/j3l-agencements/" TargetMode="External"/><Relationship Id="rId580" Type="http://schemas.openxmlformats.org/officeDocument/2006/relationships/hyperlink" Target="mailto:godin-grenoble@orange.fr" TargetMode="External"/><Relationship Id="rId636" Type="http://schemas.openxmlformats.org/officeDocument/2006/relationships/hyperlink" Target="https://www.qualypso.fr/download_file.php?id=1214672b-53ac-4982-88f9-0d520d89179c" TargetMode="External"/><Relationship Id="rId801" Type="http://schemas.openxmlformats.org/officeDocument/2006/relationships/hyperlink" Target="mailto:jonathan.barguel@philippeisere.fr" TargetMode="External"/><Relationship Id="rId1017" Type="http://schemas.openxmlformats.org/officeDocument/2006/relationships/hyperlink" Target="mailto:christian.brisse@gmail.com" TargetMode="External"/><Relationship Id="rId1059" Type="http://schemas.openxmlformats.org/officeDocument/2006/relationships/hyperlink" Target="https://www.qualit-enr.org/entreprises/sarl-pab-2/" TargetMode="External"/><Relationship Id="rId1" Type="http://schemas.openxmlformats.org/officeDocument/2006/relationships/hyperlink" Target="https://www.qualit-enr.org/carre" TargetMode="External"/><Relationship Id="rId233" Type="http://schemas.openxmlformats.org/officeDocument/2006/relationships/hyperlink" Target="https://www.qualit-enr.org/techni-nature-05000" TargetMode="External"/><Relationship Id="rId440" Type="http://schemas.openxmlformats.org/officeDocument/2006/relationships/hyperlink" Target="mailto:sarlpab@orange.fr" TargetMode="External"/><Relationship Id="rId678" Type="http://schemas.openxmlformats.org/officeDocument/2006/relationships/hyperlink" Target="mailto:jeanpierrezeluas@poelesgranules.fr" TargetMode="External"/><Relationship Id="rId843" Type="http://schemas.openxmlformats.org/officeDocument/2006/relationships/hyperlink" Target="mailto:jonathan.bargel@philippeisere.fr" TargetMode="External"/><Relationship Id="rId885" Type="http://schemas.openxmlformats.org/officeDocument/2006/relationships/hyperlink" Target="mailto:jlc.services@orange.fr" TargetMode="External"/><Relationship Id="rId1070" Type="http://schemas.openxmlformats.org/officeDocument/2006/relationships/hyperlink" Target="mailto:eva.gregolin@gmail.com" TargetMode="External"/><Relationship Id="rId28" Type="http://schemas.openxmlformats.org/officeDocument/2006/relationships/hyperlink" Target="https://www.qualit-enr.org/carre" TargetMode="External"/><Relationship Id="rId275" Type="http://schemas.openxmlformats.org/officeDocument/2006/relationships/hyperlink" Target="https://www.qualit-enr.org/l-atre-dauphinois" TargetMode="External"/><Relationship Id="rId300" Type="http://schemas.openxmlformats.org/officeDocument/2006/relationships/hyperlink" Target="mailto:contact@ecvoiron.fr" TargetMode="External"/><Relationship Id="rId482" Type="http://schemas.openxmlformats.org/officeDocument/2006/relationships/hyperlink" Target="https://www.qualit-enr.org/fralor-poeles-et-cuisinieres-passion" TargetMode="External"/><Relationship Id="rId538" Type="http://schemas.openxmlformats.org/officeDocument/2006/relationships/hyperlink" Target="https://www.qualypso.fr/download_file.php?id=a828c0a7-a901-406a-9f23-760d48af7911" TargetMode="External"/><Relationship Id="rId703" Type="http://schemas.openxmlformats.org/officeDocument/2006/relationships/hyperlink" Target="mailto:rival.christian@wanadoo.fr" TargetMode="External"/><Relationship Id="rId745" Type="http://schemas.openxmlformats.org/officeDocument/2006/relationships/hyperlink" Target="mailto:godin-grenoble@orange.fr" TargetMode="External"/><Relationship Id="rId910" Type="http://schemas.openxmlformats.org/officeDocument/2006/relationships/hyperlink" Target="mailto:appertmarc@orange.fr" TargetMode="External"/><Relationship Id="rId952" Type="http://schemas.openxmlformats.org/officeDocument/2006/relationships/hyperlink" Target="mailto:jocolly06@gmail.com" TargetMode="External"/><Relationship Id="rId81" Type="http://schemas.openxmlformats.org/officeDocument/2006/relationships/hyperlink" Target="mailto:godin-grenoble@orange.fr" TargetMode="External"/><Relationship Id="rId135" Type="http://schemas.openxmlformats.org/officeDocument/2006/relationships/hyperlink" Target="https://www.qualit-enr.org/fralor-poeles-et-cuisinieres-passion" TargetMode="External"/><Relationship Id="rId177" Type="http://schemas.openxmlformats.org/officeDocument/2006/relationships/hyperlink" Target="https://www.qualit-enr.org/espace-confort-voironnais" TargetMode="External"/><Relationship Id="rId342" Type="http://schemas.openxmlformats.org/officeDocument/2006/relationships/hyperlink" Target="mailto:contact@fer-et-feu.fr" TargetMode="External"/><Relationship Id="rId384" Type="http://schemas.openxmlformats.org/officeDocument/2006/relationships/hyperlink" Target="https://www.qualibat.com/resultat-de-la-recherche/cheminees-cattarina-189319/" TargetMode="External"/><Relationship Id="rId591" Type="http://schemas.openxmlformats.org/officeDocument/2006/relationships/hyperlink" Target="mailto:sarlpab@orange.fr" TargetMode="External"/><Relationship Id="rId605" Type="http://schemas.openxmlformats.org/officeDocument/2006/relationships/hyperlink" Target="mailto:vincentelisa@orange.fr" TargetMode="External"/><Relationship Id="rId787" Type="http://schemas.openxmlformats.org/officeDocument/2006/relationships/hyperlink" Target="https://www.qualit-enr.org/entreprises/espace-confort-voironnais/" TargetMode="External"/><Relationship Id="rId812" Type="http://schemas.openxmlformats.org/officeDocument/2006/relationships/hyperlink" Target="mailto:herve.lombart@icloud.com" TargetMode="External"/><Relationship Id="rId994" Type="http://schemas.openxmlformats.org/officeDocument/2006/relationships/hyperlink" Target="https://www.qualit-enr.org/techni-nature-05000" TargetMode="External"/><Relationship Id="rId1028" Type="http://schemas.openxmlformats.org/officeDocument/2006/relationships/hyperlink" Target="mailto:poelesetcuisinierespassion@gmail.com" TargetMode="External"/><Relationship Id="rId202" Type="http://schemas.openxmlformats.org/officeDocument/2006/relationships/hyperlink" Target="mailto:contact@fer-et-feu.fr" TargetMode="External"/><Relationship Id="rId244" Type="http://schemas.openxmlformats.org/officeDocument/2006/relationships/hyperlink" Target="https://www.qualit-enr.org/serpolet-bidaud-sas" TargetMode="External"/><Relationship Id="rId647" Type="http://schemas.openxmlformats.org/officeDocument/2006/relationships/hyperlink" Target="https://www.qualypso.fr/download_file.php?id=021a3e1f-f16d-4577-ac80-f3806107cc38" TargetMode="External"/><Relationship Id="rId689" Type="http://schemas.openxmlformats.org/officeDocument/2006/relationships/hyperlink" Target="mailto:poelesetcuisinierespassion@gmail.com" TargetMode="External"/><Relationship Id="rId854" Type="http://schemas.openxmlformats.org/officeDocument/2006/relationships/hyperlink" Target="mailto:jacques.romet@sfr.fr" TargetMode="External"/><Relationship Id="rId896" Type="http://schemas.openxmlformats.org/officeDocument/2006/relationships/hyperlink" Target="mailto:voiron@techni-nature.com" TargetMode="External"/><Relationship Id="rId1081" Type="http://schemas.openxmlformats.org/officeDocument/2006/relationships/hyperlink" Target="https://www.qualit-enr.org/cheminees-jay" TargetMode="External"/><Relationship Id="rId39" Type="http://schemas.openxmlformats.org/officeDocument/2006/relationships/hyperlink" Target="mailto:voiron@techni-nature.com" TargetMode="External"/><Relationship Id="rId286" Type="http://schemas.openxmlformats.org/officeDocument/2006/relationships/hyperlink" Target="https://www.qualit-enr.org/cheminees-jay" TargetMode="External"/><Relationship Id="rId451" Type="http://schemas.openxmlformats.org/officeDocument/2006/relationships/hyperlink" Target="mailto:contact@philippeisere.fr" TargetMode="External"/><Relationship Id="rId493" Type="http://schemas.openxmlformats.org/officeDocument/2006/relationships/hyperlink" Target="https://www.qualit-enr.org/sasu-ignis-design-hase-la-boutique" TargetMode="External"/><Relationship Id="rId507" Type="http://schemas.openxmlformats.org/officeDocument/2006/relationships/hyperlink" Target="mailto:bois-soleil.chauffage@orange.fr" TargetMode="External"/><Relationship Id="rId549" Type="http://schemas.openxmlformats.org/officeDocument/2006/relationships/hyperlink" Target="https://www.qualypso.fr/download_file.php?id=e8412679-cbe2-4592-a7ca-e363f85998d9" TargetMode="External"/><Relationship Id="rId714" Type="http://schemas.openxmlformats.org/officeDocument/2006/relationships/hyperlink" Target="mailto:elibuisson@laposte.net" TargetMode="External"/><Relationship Id="rId756" Type="http://schemas.openxmlformats.org/officeDocument/2006/relationships/hyperlink" Target="https://www.qualit-enr.org/jacqu-cheminees" TargetMode="External"/><Relationship Id="rId921" Type="http://schemas.openxmlformats.org/officeDocument/2006/relationships/hyperlink" Target="mailto:godin-grenoble@orange.fr" TargetMode="External"/><Relationship Id="rId50" Type="http://schemas.openxmlformats.org/officeDocument/2006/relationships/hyperlink" Target="https://www.qualit-enr.org/sasu-ignis-design-hase-la-boutique" TargetMode="External"/><Relationship Id="rId104" Type="http://schemas.openxmlformats.org/officeDocument/2006/relationships/hyperlink" Target="https://www.qualit-enr.org/techni-nature-05000" TargetMode="External"/><Relationship Id="rId146" Type="http://schemas.openxmlformats.org/officeDocument/2006/relationships/hyperlink" Target="mailto:contact@ecvoiron.fr" TargetMode="External"/><Relationship Id="rId188" Type="http://schemas.openxmlformats.org/officeDocument/2006/relationships/hyperlink" Target="https://www.qualit-enr.org/espace-confort-voironnais" TargetMode="External"/><Relationship Id="rId311" Type="http://schemas.openxmlformats.org/officeDocument/2006/relationships/hyperlink" Target="https://www.qualibat.com/resultat-de-la-recherche/cheminees-cattarina-189319/" TargetMode="External"/><Relationship Id="rId353" Type="http://schemas.openxmlformats.org/officeDocument/2006/relationships/hyperlink" Target="https://www.qualit-enr.org/entreprises/tm-entreprise-ei/" TargetMode="External"/><Relationship Id="rId395" Type="http://schemas.openxmlformats.org/officeDocument/2006/relationships/hyperlink" Target="https://www.qualit-enr.org/fralor-poeles-et-cuisinieres-passion" TargetMode="External"/><Relationship Id="rId409" Type="http://schemas.openxmlformats.org/officeDocument/2006/relationships/hyperlink" Target="https://www.qualit-enr.org/carre" TargetMode="External"/><Relationship Id="rId560" Type="http://schemas.openxmlformats.org/officeDocument/2006/relationships/hyperlink" Target="mailto:baudoinhenri@yahoo.fr" TargetMode="External"/><Relationship Id="rId798" Type="http://schemas.openxmlformats.org/officeDocument/2006/relationships/hyperlink" Target="mailto:melanie.morisseau@laposte.net" TargetMode="External"/><Relationship Id="rId963" Type="http://schemas.openxmlformats.org/officeDocument/2006/relationships/hyperlink" Target="mailto:evalapetiteprincesse@gmail.com" TargetMode="External"/><Relationship Id="rId1039" Type="http://schemas.openxmlformats.org/officeDocument/2006/relationships/hyperlink" Target="mailto:fmeriaudeau@gmail.com" TargetMode="External"/><Relationship Id="rId92" Type="http://schemas.openxmlformats.org/officeDocument/2006/relationships/hyperlink" Target="mailto:cheminees.jay@orange.fr" TargetMode="External"/><Relationship Id="rId213" Type="http://schemas.openxmlformats.org/officeDocument/2006/relationships/hyperlink" Target="mailto:contact@ecvoiron.fr" TargetMode="External"/><Relationship Id="rId420" Type="http://schemas.openxmlformats.org/officeDocument/2006/relationships/hyperlink" Target="mailto:sarlpab@orange.fr" TargetMode="External"/><Relationship Id="rId616" Type="http://schemas.openxmlformats.org/officeDocument/2006/relationships/hyperlink" Target="https://www.qualit-enr.org/sasu-ignis-design-hase-la-boutique" TargetMode="External"/><Relationship Id="rId658" Type="http://schemas.openxmlformats.org/officeDocument/2006/relationships/hyperlink" Target="mailto:lucile43@hotmail.fr" TargetMode="External"/><Relationship Id="rId823" Type="http://schemas.openxmlformats.org/officeDocument/2006/relationships/hyperlink" Target="mailto:clement.lemaignan@orange.fr" TargetMode="External"/><Relationship Id="rId865" Type="http://schemas.openxmlformats.org/officeDocument/2006/relationships/hyperlink" Target="https://www.qualypso.fr/download_file.php?id=cb11ad74-f948-4beb-902b-43ff2ca9e830" TargetMode="External"/><Relationship Id="rId1050" Type="http://schemas.openxmlformats.org/officeDocument/2006/relationships/hyperlink" Target="mailto:cheminees.jay@orange.fr" TargetMode="External"/><Relationship Id="rId255" Type="http://schemas.openxmlformats.org/officeDocument/2006/relationships/hyperlink" Target="mailto:pascal.brn@gmail.com" TargetMode="External"/><Relationship Id="rId297" Type="http://schemas.openxmlformats.org/officeDocument/2006/relationships/hyperlink" Target="https://www.qualit-enr.org/espace-confort-voironnais" TargetMode="External"/><Relationship Id="rId462" Type="http://schemas.openxmlformats.org/officeDocument/2006/relationships/hyperlink" Target="mailto:contact@ecvoiron.fr" TargetMode="External"/><Relationship Id="rId518" Type="http://schemas.openxmlformats.org/officeDocument/2006/relationships/hyperlink" Target="https://www.qualit-enr.org/entreprises/chaleur-bois/" TargetMode="External"/><Relationship Id="rId725" Type="http://schemas.openxmlformats.org/officeDocument/2006/relationships/hyperlink" Target="mailto:contact@ecvoiron.fr" TargetMode="External"/><Relationship Id="rId932" Type="http://schemas.openxmlformats.org/officeDocument/2006/relationships/hyperlink" Target="mailto:contact@ecvoiron.fr" TargetMode="External"/><Relationship Id="rId1092" Type="http://schemas.openxmlformats.org/officeDocument/2006/relationships/hyperlink" Target="https://www.qualit-enr.org/entreprises/entreprise-charat/" TargetMode="External"/><Relationship Id="rId1106" Type="http://schemas.openxmlformats.org/officeDocument/2006/relationships/hyperlink" Target="mailto:contact@alpp-plomberie.fr" TargetMode="External"/><Relationship Id="rId115" Type="http://schemas.openxmlformats.org/officeDocument/2006/relationships/hyperlink" Target="mailto:nessfrance38@hotmail.fr" TargetMode="External"/><Relationship Id="rId157" Type="http://schemas.openxmlformats.org/officeDocument/2006/relationships/hyperlink" Target="https://www.qualit-enr.org/carre" TargetMode="External"/><Relationship Id="rId322" Type="http://schemas.openxmlformats.org/officeDocument/2006/relationships/hyperlink" Target="https://www.qualit-enr.org/atre-decoration" TargetMode="External"/><Relationship Id="rId364" Type="http://schemas.openxmlformats.org/officeDocument/2006/relationships/hyperlink" Target="https://www.qualit-enr.org/bois-soleil-chauffage-sarl" TargetMode="External"/><Relationship Id="rId767" Type="http://schemas.openxmlformats.org/officeDocument/2006/relationships/hyperlink" Target="https://www.qualit-enr.org/cheminees-jay" TargetMode="External"/><Relationship Id="rId974" Type="http://schemas.openxmlformats.org/officeDocument/2006/relationships/hyperlink" Target="https://www.qualit-enr.org/entreprises/entreprise-charat/" TargetMode="External"/><Relationship Id="rId1008" Type="http://schemas.openxmlformats.org/officeDocument/2006/relationships/hyperlink" Target="mailto:contact@ecvoiron.fr" TargetMode="External"/><Relationship Id="rId61" Type="http://schemas.openxmlformats.org/officeDocument/2006/relationships/hyperlink" Target="https://www.qualit-enr.org/fralor-poeles-et-cuisinieres-passion" TargetMode="External"/><Relationship Id="rId199" Type="http://schemas.openxmlformats.org/officeDocument/2006/relationships/hyperlink" Target="https://www.qualit-enr.org/cheminees-jay" TargetMode="External"/><Relationship Id="rId571" Type="http://schemas.openxmlformats.org/officeDocument/2006/relationships/hyperlink" Target="https://www.qualypso.fr/download_file.php?id=5a2f7629-04e3-4b62-986f-8be595fd3c43" TargetMode="External"/><Relationship Id="rId627" Type="http://schemas.openxmlformats.org/officeDocument/2006/relationships/hyperlink" Target="https://www.qualit-enr.org/entreprises/atre-et-loisirs-sarl/" TargetMode="External"/><Relationship Id="rId669" Type="http://schemas.openxmlformats.org/officeDocument/2006/relationships/hyperlink" Target="mailto:lea718@outlook.fr" TargetMode="External"/><Relationship Id="rId834" Type="http://schemas.openxmlformats.org/officeDocument/2006/relationships/hyperlink" Target="mailto:jonathan.bargel@philippeisere.fr" TargetMode="External"/><Relationship Id="rId876" Type="http://schemas.openxmlformats.org/officeDocument/2006/relationships/hyperlink" Target="mailto:grange.phil31084@yahoo.com" TargetMode="External"/><Relationship Id="rId19" Type="http://schemas.openxmlformats.org/officeDocument/2006/relationships/hyperlink" Target="https://www.qualit-enr.org/watthome" TargetMode="External"/><Relationship Id="rId224" Type="http://schemas.openxmlformats.org/officeDocument/2006/relationships/hyperlink" Target="mailto:contact@fer-et-feu.fr" TargetMode="External"/><Relationship Id="rId266" Type="http://schemas.openxmlformats.org/officeDocument/2006/relationships/hyperlink" Target="mailto:bois-soleil.chauffage@orange.fr" TargetMode="External"/><Relationship Id="rId431" Type="http://schemas.openxmlformats.org/officeDocument/2006/relationships/hyperlink" Target="https://www.qualit-enr.org/bois-soleil-chauffage-sarl" TargetMode="External"/><Relationship Id="rId473" Type="http://schemas.openxmlformats.org/officeDocument/2006/relationships/hyperlink" Target="mailto:patrickduranton@passionflamme.fr" TargetMode="External"/><Relationship Id="rId529" Type="http://schemas.openxmlformats.org/officeDocument/2006/relationships/hyperlink" Target="https://www.qualit-enr.org/atre-decoration" TargetMode="External"/><Relationship Id="rId680" Type="http://schemas.openxmlformats.org/officeDocument/2006/relationships/hyperlink" Target="mailto:f.carre@carre-f.com" TargetMode="External"/><Relationship Id="rId736" Type="http://schemas.openxmlformats.org/officeDocument/2006/relationships/hyperlink" Target="https://www.qualit-enr.org/la-glace-et-le-feu" TargetMode="External"/><Relationship Id="rId901" Type="http://schemas.openxmlformats.org/officeDocument/2006/relationships/hyperlink" Target="https://www.qualit-enr.org/bois-soleil-chauffage-sarl" TargetMode="External"/><Relationship Id="rId1061" Type="http://schemas.openxmlformats.org/officeDocument/2006/relationships/hyperlink" Target="mailto:jcduo@orange.fr" TargetMode="External"/><Relationship Id="rId30" Type="http://schemas.openxmlformats.org/officeDocument/2006/relationships/hyperlink" Target="https://www.qualit-enr.org/fralor-poeles-et-cuisinieres-passion" TargetMode="External"/><Relationship Id="rId126" Type="http://schemas.openxmlformats.org/officeDocument/2006/relationships/hyperlink" Target="https://www.qualit-enr.org/carre" TargetMode="External"/><Relationship Id="rId168" Type="http://schemas.openxmlformats.org/officeDocument/2006/relationships/hyperlink" Target="mailto:jcduo@orange.fr" TargetMode="External"/><Relationship Id="rId333" Type="http://schemas.openxmlformats.org/officeDocument/2006/relationships/hyperlink" Target="mailto:adv@atre-loisirs.fr" TargetMode="External"/><Relationship Id="rId540" Type="http://schemas.openxmlformats.org/officeDocument/2006/relationships/hyperlink" Target="mailto:grenoble@hase-boutique.fr" TargetMode="External"/><Relationship Id="rId778" Type="http://schemas.openxmlformats.org/officeDocument/2006/relationships/hyperlink" Target="mailto:contact@ecvoiron.fr" TargetMode="External"/><Relationship Id="rId943" Type="http://schemas.openxmlformats.org/officeDocument/2006/relationships/hyperlink" Target="mailto:ericgedeon@passionflamme.fr" TargetMode="External"/><Relationship Id="rId985" Type="http://schemas.openxmlformats.org/officeDocument/2006/relationships/hyperlink" Target="mailto:bois-soleil-chauffage@orange.fr" TargetMode="External"/><Relationship Id="rId1019" Type="http://schemas.openxmlformats.org/officeDocument/2006/relationships/hyperlink" Target="mailto:pascal.le-neol@orange.fr" TargetMode="External"/><Relationship Id="rId72" Type="http://schemas.openxmlformats.org/officeDocument/2006/relationships/hyperlink" Target="https://www.qualit-enr.org/espace-confort-voironnais" TargetMode="External"/><Relationship Id="rId375" Type="http://schemas.openxmlformats.org/officeDocument/2006/relationships/hyperlink" Target="https://www.qualit-enr.org/sarl-passion-flamme" TargetMode="External"/><Relationship Id="rId582" Type="http://schemas.openxmlformats.org/officeDocument/2006/relationships/hyperlink" Target="mailto:josalmon38@yahoo.fr" TargetMode="External"/><Relationship Id="rId638" Type="http://schemas.openxmlformats.org/officeDocument/2006/relationships/hyperlink" Target="mailto:jlc.services@orange.fr" TargetMode="External"/><Relationship Id="rId803" Type="http://schemas.openxmlformats.org/officeDocument/2006/relationships/hyperlink" Target="mailto:p.clavel@alp-confort.fr" TargetMode="External"/><Relationship Id="rId845" Type="http://schemas.openxmlformats.org/officeDocument/2006/relationships/hyperlink" Target="mailto:todoschini2@orange.fr" TargetMode="External"/><Relationship Id="rId1030" Type="http://schemas.openxmlformats.org/officeDocument/2006/relationships/hyperlink" Target="mailto:cameron2507@gmail.com" TargetMode="External"/><Relationship Id="rId3" Type="http://schemas.openxmlformats.org/officeDocument/2006/relationships/hyperlink" Target="mailto:jcduo@orange.fr" TargetMode="External"/><Relationship Id="rId235" Type="http://schemas.openxmlformats.org/officeDocument/2006/relationships/hyperlink" Target="https://www.qualit-enr.org/techni-nature-05000" TargetMode="External"/><Relationship Id="rId277" Type="http://schemas.openxmlformats.org/officeDocument/2006/relationships/hyperlink" Target="https://www.qualit-enr.org/sarl-pab-38490" TargetMode="External"/><Relationship Id="rId400" Type="http://schemas.openxmlformats.org/officeDocument/2006/relationships/hyperlink" Target="mailto:cheminees-svcd@orange.fr" TargetMode="External"/><Relationship Id="rId442" Type="http://schemas.openxmlformats.org/officeDocument/2006/relationships/hyperlink" Target="mailto:jcduo@orange.fr" TargetMode="External"/><Relationship Id="rId484" Type="http://schemas.openxmlformats.org/officeDocument/2006/relationships/hyperlink" Target="https://www.qualit-enr.org/alp-confort" TargetMode="External"/><Relationship Id="rId705" Type="http://schemas.openxmlformats.org/officeDocument/2006/relationships/hyperlink" Target="mailto:cheminees.jay@orange.fr" TargetMode="External"/><Relationship Id="rId887" Type="http://schemas.openxmlformats.org/officeDocument/2006/relationships/hyperlink" Target="mailto:jcduo@orange.fr" TargetMode="External"/><Relationship Id="rId1072" Type="http://schemas.openxmlformats.org/officeDocument/2006/relationships/hyperlink" Target="mailto:duyck.valentine@gmail.com" TargetMode="External"/><Relationship Id="rId137" Type="http://schemas.openxmlformats.org/officeDocument/2006/relationships/hyperlink" Target="https://www.qualit-enr.org/cheminees-jay" TargetMode="External"/><Relationship Id="rId302" Type="http://schemas.openxmlformats.org/officeDocument/2006/relationships/hyperlink" Target="mailto:pur-tech@sfr.fr" TargetMode="External"/><Relationship Id="rId344" Type="http://schemas.openxmlformats.org/officeDocument/2006/relationships/hyperlink" Target="mailto:thomas.morey@wattethome.com" TargetMode="External"/><Relationship Id="rId691" Type="http://schemas.openxmlformats.org/officeDocument/2006/relationships/hyperlink" Target="mailto:poelesetcuisinierespassion@gmail.com" TargetMode="External"/><Relationship Id="rId747" Type="http://schemas.openxmlformats.org/officeDocument/2006/relationships/hyperlink" Target="mailto:marketing@carre-F.com" TargetMode="External"/><Relationship Id="rId789" Type="http://schemas.openxmlformats.org/officeDocument/2006/relationships/hyperlink" Target="mailto:jo.ziz@club-internet.fr" TargetMode="External"/><Relationship Id="rId912" Type="http://schemas.openxmlformats.org/officeDocument/2006/relationships/hyperlink" Target="mailto:pereirasteph@hotmail.fr" TargetMode="External"/><Relationship Id="rId954" Type="http://schemas.openxmlformats.org/officeDocument/2006/relationships/hyperlink" Target="mailto:eric.domejean38@gmail.com" TargetMode="External"/><Relationship Id="rId996" Type="http://schemas.openxmlformats.org/officeDocument/2006/relationships/hyperlink" Target="mailto:cheminees.jay@orange.fr" TargetMode="External"/><Relationship Id="rId41" Type="http://schemas.openxmlformats.org/officeDocument/2006/relationships/hyperlink" Target="mailto:contact@ecvoiron.fr" TargetMode="External"/><Relationship Id="rId83" Type="http://schemas.openxmlformats.org/officeDocument/2006/relationships/hyperlink" Target="https://www.qualit-enr.org/fralor-poeles-et-cuisinieres-passion" TargetMode="External"/><Relationship Id="rId179" Type="http://schemas.openxmlformats.org/officeDocument/2006/relationships/hyperlink" Target="https://www.qualit-enr.org/sasu-ignis-design-hase-la-boutique" TargetMode="External"/><Relationship Id="rId386" Type="http://schemas.openxmlformats.org/officeDocument/2006/relationships/hyperlink" Target="https://www.qualit-enr.org/espace-confort-voironnais" TargetMode="External"/><Relationship Id="rId551" Type="http://schemas.openxmlformats.org/officeDocument/2006/relationships/hyperlink" Target="https://www.qualypso.fr/download_file.php?id=5a2f7629-04e3-4b62-986f-8be595fd3c43" TargetMode="External"/><Relationship Id="rId593" Type="http://schemas.openxmlformats.org/officeDocument/2006/relationships/hyperlink" Target="mailto:denis.benoit-guerindon@orange.fr" TargetMode="External"/><Relationship Id="rId607" Type="http://schemas.openxmlformats.org/officeDocument/2006/relationships/hyperlink" Target="https://www.qualit-enr.org/entreprises/cheminees-svcd/" TargetMode="External"/><Relationship Id="rId649" Type="http://schemas.openxmlformats.org/officeDocument/2006/relationships/hyperlink" Target="mailto:jcduo@orange.fr" TargetMode="External"/><Relationship Id="rId814" Type="http://schemas.openxmlformats.org/officeDocument/2006/relationships/hyperlink" Target="mailto:max8_3@hotmail.com" TargetMode="External"/><Relationship Id="rId856" Type="http://schemas.openxmlformats.org/officeDocument/2006/relationships/hyperlink" Target="mailto:contact@ecvoiron.fr" TargetMode="External"/><Relationship Id="rId190" Type="http://schemas.openxmlformats.org/officeDocument/2006/relationships/hyperlink" Target="https://www.qualit-enr.org/espace-confort-voironnais" TargetMode="External"/><Relationship Id="rId204" Type="http://schemas.openxmlformats.org/officeDocument/2006/relationships/hyperlink" Target="https://www.qualit-enr.org/jacqu-cheminees" TargetMode="External"/><Relationship Id="rId246" Type="http://schemas.openxmlformats.org/officeDocument/2006/relationships/hyperlink" Target="mailto:bois-soleil.chauffage@orange.fr" TargetMode="External"/><Relationship Id="rId288" Type="http://schemas.openxmlformats.org/officeDocument/2006/relationships/hyperlink" Target="https://www.qualit-enr.org/alp-confort" TargetMode="External"/><Relationship Id="rId411" Type="http://schemas.openxmlformats.org/officeDocument/2006/relationships/hyperlink" Target="https://www.qualit-enr.org/entreprises/sarl-energies/" TargetMode="External"/><Relationship Id="rId453" Type="http://schemas.openxmlformats.org/officeDocument/2006/relationships/hyperlink" Target="mailto:patrickduranton@passionflamme.fr" TargetMode="External"/><Relationship Id="rId509" Type="http://schemas.openxmlformats.org/officeDocument/2006/relationships/hyperlink" Target="mailto:thomas.morey@wattethome.com" TargetMode="External"/><Relationship Id="rId660" Type="http://schemas.openxmlformats.org/officeDocument/2006/relationships/hyperlink" Target="mailto:jcduo@orange.fr" TargetMode="External"/><Relationship Id="rId898" Type="http://schemas.openxmlformats.org/officeDocument/2006/relationships/hyperlink" Target="https://www.qualit-enr.org/cheminees-jay" TargetMode="External"/><Relationship Id="rId1041" Type="http://schemas.openxmlformats.org/officeDocument/2006/relationships/hyperlink" Target="mailto:marketing@carre-f.com" TargetMode="External"/><Relationship Id="rId1083" Type="http://schemas.openxmlformats.org/officeDocument/2006/relationships/hyperlink" Target="mailto:jcduo@orange.fr" TargetMode="External"/><Relationship Id="rId106" Type="http://schemas.openxmlformats.org/officeDocument/2006/relationships/hyperlink" Target="mailto:voiron@techni-nature.com" TargetMode="External"/><Relationship Id="rId313" Type="http://schemas.openxmlformats.org/officeDocument/2006/relationships/hyperlink" Target="mailto:contact@ecvoiron.fr" TargetMode="External"/><Relationship Id="rId495" Type="http://schemas.openxmlformats.org/officeDocument/2006/relationships/hyperlink" Target="https://www.qualit-enr.org/espace-confort-voironnais" TargetMode="External"/><Relationship Id="rId716" Type="http://schemas.openxmlformats.org/officeDocument/2006/relationships/hyperlink" Target="mailto:claireetgregoirecoppey@gmail.com" TargetMode="External"/><Relationship Id="rId758" Type="http://schemas.openxmlformats.org/officeDocument/2006/relationships/hyperlink" Target="https://www.qualypso.fr/download_file.php?id=5a2f7629-04e3-4b62-986f-8be595fd3c43" TargetMode="External"/><Relationship Id="rId923" Type="http://schemas.openxmlformats.org/officeDocument/2006/relationships/hyperlink" Target="mailto:enerlogis@orange.fr" TargetMode="External"/><Relationship Id="rId965" Type="http://schemas.openxmlformats.org/officeDocument/2006/relationships/hyperlink" Target="mailto:florencejacob@laposte.net" TargetMode="External"/><Relationship Id="rId10" Type="http://schemas.openxmlformats.org/officeDocument/2006/relationships/hyperlink" Target="mailto:commercial-godin@orange.fr" TargetMode="External"/><Relationship Id="rId52" Type="http://schemas.openxmlformats.org/officeDocument/2006/relationships/hyperlink" Target="https://www.qualit-enr.org/cheminees-jay" TargetMode="External"/><Relationship Id="rId94" Type="http://schemas.openxmlformats.org/officeDocument/2006/relationships/hyperlink" Target="mailto:voiron@techni-nature.com" TargetMode="External"/><Relationship Id="rId148" Type="http://schemas.openxmlformats.org/officeDocument/2006/relationships/hyperlink" Target="mailto:voiron@techni-nature.com" TargetMode="External"/><Relationship Id="rId355" Type="http://schemas.openxmlformats.org/officeDocument/2006/relationships/hyperlink" Target="https://www.qualit-enr.org/espace-confort-voironnais" TargetMode="External"/><Relationship Id="rId397" Type="http://schemas.openxmlformats.org/officeDocument/2006/relationships/hyperlink" Target="https://www.qualit-enr.org/sarl-passion-flamme" TargetMode="External"/><Relationship Id="rId520" Type="http://schemas.openxmlformats.org/officeDocument/2006/relationships/hyperlink" Target="mailto:tmgranule@gmail.com" TargetMode="External"/><Relationship Id="rId562" Type="http://schemas.openxmlformats.org/officeDocument/2006/relationships/hyperlink" Target="https://www.qualit-enr.org/entreprises/espace-confort-voironnais/" TargetMode="External"/><Relationship Id="rId618" Type="http://schemas.openxmlformats.org/officeDocument/2006/relationships/hyperlink" Target="mailto:girard-emmanuel@bbox.fr" TargetMode="External"/><Relationship Id="rId825" Type="http://schemas.openxmlformats.org/officeDocument/2006/relationships/hyperlink" Target="mailto:moirans.nettoyage@orange.fr" TargetMode="External"/><Relationship Id="rId215" Type="http://schemas.openxmlformats.org/officeDocument/2006/relationships/hyperlink" Target="mailto:voiron@techni-nature.com" TargetMode="External"/><Relationship Id="rId257" Type="http://schemas.openxmlformats.org/officeDocument/2006/relationships/hyperlink" Target="mailto:voiron@techni-nature.com" TargetMode="External"/><Relationship Id="rId422" Type="http://schemas.openxmlformats.org/officeDocument/2006/relationships/hyperlink" Target="mailto:contact@ecvoiron.fr" TargetMode="External"/><Relationship Id="rId464" Type="http://schemas.openxmlformats.org/officeDocument/2006/relationships/hyperlink" Target="mailto:liosan.hugues@free.fr" TargetMode="External"/><Relationship Id="rId867" Type="http://schemas.openxmlformats.org/officeDocument/2006/relationships/hyperlink" Target="mailto:regis.poulard38@orange.fr" TargetMode="External"/><Relationship Id="rId1010" Type="http://schemas.openxmlformats.org/officeDocument/2006/relationships/hyperlink" Target="mailto:godin-grenoble@orange.fr" TargetMode="External"/><Relationship Id="rId1052" Type="http://schemas.openxmlformats.org/officeDocument/2006/relationships/hyperlink" Target="mailto:poelesetcuisinierespassion@gmail.com" TargetMode="External"/><Relationship Id="rId1094" Type="http://schemas.openxmlformats.org/officeDocument/2006/relationships/hyperlink" Target="mailto:contact@passionflamme.fr" TargetMode="External"/><Relationship Id="rId1108" Type="http://schemas.openxmlformats.org/officeDocument/2006/relationships/hyperlink" Target="mailto:Lesire.pauline@hotmail.fr" TargetMode="External"/><Relationship Id="rId299" Type="http://schemas.openxmlformats.org/officeDocument/2006/relationships/hyperlink" Target="https://www.qualit-enr.org/sarl-duo-cheminees" TargetMode="External"/><Relationship Id="rId727" Type="http://schemas.openxmlformats.org/officeDocument/2006/relationships/hyperlink" Target="mailto:enerlogis@orange.fr" TargetMode="External"/><Relationship Id="rId934" Type="http://schemas.openxmlformats.org/officeDocument/2006/relationships/hyperlink" Target="mailto:sandrine.boukrara@orange.fr" TargetMode="External"/><Relationship Id="rId63" Type="http://schemas.openxmlformats.org/officeDocument/2006/relationships/hyperlink" Target="https://www.qualit-enr.org/bresse-cheminees" TargetMode="External"/><Relationship Id="rId159" Type="http://schemas.openxmlformats.org/officeDocument/2006/relationships/hyperlink" Target="https://www.qualit-enr.org/bois-soleil-chauffage-sarl" TargetMode="External"/><Relationship Id="rId366" Type="http://schemas.openxmlformats.org/officeDocument/2006/relationships/hyperlink" Target="mailto:jcduo@orange.fr" TargetMode="External"/><Relationship Id="rId573" Type="http://schemas.openxmlformats.org/officeDocument/2006/relationships/hyperlink" Target="mailto:f.carre@carre-f.com" TargetMode="External"/><Relationship Id="rId780" Type="http://schemas.openxmlformats.org/officeDocument/2006/relationships/hyperlink" Target="mailto:clara.marguet@sbidaud.fr" TargetMode="External"/><Relationship Id="rId226" Type="http://schemas.openxmlformats.org/officeDocument/2006/relationships/hyperlink" Target="mailto:cheminees.jay@orange.fr" TargetMode="External"/><Relationship Id="rId433" Type="http://schemas.openxmlformats.org/officeDocument/2006/relationships/hyperlink" Target="https://www.qualit-enr.org/la-glace-et-le-feu" TargetMode="External"/><Relationship Id="rId878" Type="http://schemas.openxmlformats.org/officeDocument/2006/relationships/hyperlink" Target="mailto:christianlacaisse@gmail" TargetMode="External"/><Relationship Id="rId1063" Type="http://schemas.openxmlformats.org/officeDocument/2006/relationships/hyperlink" Target="mailto:poelesetcuisinierespassion@gmail.com" TargetMode="External"/><Relationship Id="rId640" Type="http://schemas.openxmlformats.org/officeDocument/2006/relationships/hyperlink" Target="mailto:murielle.perrin3@gmail.com" TargetMode="External"/><Relationship Id="rId738" Type="http://schemas.openxmlformats.org/officeDocument/2006/relationships/hyperlink" Target="mailto:ennah@orange.fr" TargetMode="External"/><Relationship Id="rId945" Type="http://schemas.openxmlformats.org/officeDocument/2006/relationships/hyperlink" Target="mailto:jeanmib34@gmail.com" TargetMode="External"/><Relationship Id="rId74" Type="http://schemas.openxmlformats.org/officeDocument/2006/relationships/hyperlink" Target="mailto:cheminees.jay@orange.fr" TargetMode="External"/><Relationship Id="rId377" Type="http://schemas.openxmlformats.org/officeDocument/2006/relationships/hyperlink" Target="mailto:jcduo@orange.fr" TargetMode="External"/><Relationship Id="rId500" Type="http://schemas.openxmlformats.org/officeDocument/2006/relationships/hyperlink" Target="mailto:contact@ecvoiron.fr" TargetMode="External"/><Relationship Id="rId584" Type="http://schemas.openxmlformats.org/officeDocument/2006/relationships/hyperlink" Target="https://www.qualit-enr.org/entreprises/entreprise-charat/" TargetMode="External"/><Relationship Id="rId805" Type="http://schemas.openxmlformats.org/officeDocument/2006/relationships/hyperlink" Target="https://www.qualit-enr.org/cheminees-jay" TargetMode="External"/><Relationship Id="rId5" Type="http://schemas.openxmlformats.org/officeDocument/2006/relationships/hyperlink" Target="mailto:jcduo@orange.fr" TargetMode="External"/><Relationship Id="rId237" Type="http://schemas.openxmlformats.org/officeDocument/2006/relationships/hyperlink" Target="https://www.qualit-enr.org/aviz-energie" TargetMode="External"/><Relationship Id="rId791" Type="http://schemas.openxmlformats.org/officeDocument/2006/relationships/hyperlink" Target="https://www.qualit-enr.org/cheminees-jay" TargetMode="External"/><Relationship Id="rId889" Type="http://schemas.openxmlformats.org/officeDocument/2006/relationships/hyperlink" Target="mailto:contact@philippeisere.fr" TargetMode="External"/><Relationship Id="rId1074" Type="http://schemas.openxmlformats.org/officeDocument/2006/relationships/hyperlink" Target="mailto:jcduo@orange.fr" TargetMode="External"/><Relationship Id="rId444" Type="http://schemas.openxmlformats.org/officeDocument/2006/relationships/hyperlink" Target="mailto:sarlpab@orange.fr" TargetMode="External"/><Relationship Id="rId651" Type="http://schemas.openxmlformats.org/officeDocument/2006/relationships/hyperlink" Target="mailto:eveprevel@hotmail.fr" TargetMode="External"/><Relationship Id="rId749" Type="http://schemas.openxmlformats.org/officeDocument/2006/relationships/hyperlink" Target="mailto:marketing@carre-F.com" TargetMode="External"/><Relationship Id="rId290" Type="http://schemas.openxmlformats.org/officeDocument/2006/relationships/hyperlink" Target="https://www.qualit-enr.org/bois-soleil-chauffage-sarl" TargetMode="External"/><Relationship Id="rId304" Type="http://schemas.openxmlformats.org/officeDocument/2006/relationships/hyperlink" Target="https://www.qualit-enr.org/fralor-poeles-et-cuisinieres-passion" TargetMode="External"/><Relationship Id="rId388" Type="http://schemas.openxmlformats.org/officeDocument/2006/relationships/hyperlink" Target="https://www.qualit-enr.org/alp-confort" TargetMode="External"/><Relationship Id="rId511" Type="http://schemas.openxmlformats.org/officeDocument/2006/relationships/hyperlink" Target="mailto:contact@ecvoiron.fr" TargetMode="External"/><Relationship Id="rId609" Type="http://schemas.openxmlformats.org/officeDocument/2006/relationships/hyperlink" Target="mailto:cheminees.jay@orange.fr" TargetMode="External"/><Relationship Id="rId956" Type="http://schemas.openxmlformats.org/officeDocument/2006/relationships/hyperlink" Target="mailto:pascal.goujon719@gmail.com" TargetMode="External"/><Relationship Id="rId85" Type="http://schemas.openxmlformats.org/officeDocument/2006/relationships/hyperlink" Target="https://www.qualit-enr.org/cheminees-jay" TargetMode="External"/><Relationship Id="rId150" Type="http://schemas.openxmlformats.org/officeDocument/2006/relationships/hyperlink" Target="mailto:fellerchauffage@orange.fr" TargetMode="External"/><Relationship Id="rId595" Type="http://schemas.openxmlformats.org/officeDocument/2006/relationships/hyperlink" Target="https://www.qualypso.fr/download_file.php?id=0ac6bbaa-cb24-4926-9d7f-8e6b0d1f9099" TargetMode="External"/><Relationship Id="rId816" Type="http://schemas.openxmlformats.org/officeDocument/2006/relationships/hyperlink" Target="mailto:e.behal@laposte.net" TargetMode="External"/><Relationship Id="rId1001" Type="http://schemas.openxmlformats.org/officeDocument/2006/relationships/hyperlink" Target="mailto:chemineescastan.commercial@gmail.com" TargetMode="External"/><Relationship Id="rId248" Type="http://schemas.openxmlformats.org/officeDocument/2006/relationships/hyperlink" Target="mailto:expertise.ramonage.paquet@gmail.com" TargetMode="External"/><Relationship Id="rId455" Type="http://schemas.openxmlformats.org/officeDocument/2006/relationships/hyperlink" Target="mailto:godin-grenoble@orange.fr" TargetMode="External"/><Relationship Id="rId662" Type="http://schemas.openxmlformats.org/officeDocument/2006/relationships/hyperlink" Target="mailto:contact.echirolles@alp-confort.fr" TargetMode="External"/><Relationship Id="rId1085" Type="http://schemas.openxmlformats.org/officeDocument/2006/relationships/hyperlink" Target="mailto:godin-grenoble@orange.fr" TargetMode="External"/><Relationship Id="rId12" Type="http://schemas.openxmlformats.org/officeDocument/2006/relationships/hyperlink" Target="https://www.qualit-enr.org/jacqu-cheminees" TargetMode="External"/><Relationship Id="rId108" Type="http://schemas.openxmlformats.org/officeDocument/2006/relationships/hyperlink" Target="mailto:contact@ecvoiron.fr" TargetMode="External"/><Relationship Id="rId315" Type="http://schemas.openxmlformats.org/officeDocument/2006/relationships/hyperlink" Target="https://www.qualit-enr.org/fralor-poeles-et-cuisinieres-passion" TargetMode="External"/><Relationship Id="rId522" Type="http://schemas.openxmlformats.org/officeDocument/2006/relationships/hyperlink" Target="mailto:patrickduranton@passionflamme.fr" TargetMode="External"/><Relationship Id="rId967" Type="http://schemas.openxmlformats.org/officeDocument/2006/relationships/hyperlink" Target="mailto:amar38100@yahoo.fr" TargetMode="External"/><Relationship Id="rId96" Type="http://schemas.openxmlformats.org/officeDocument/2006/relationships/hyperlink" Target="https://www.qualit-enr.org/fralor-poeles-et-cuisinieres-passion" TargetMode="External"/><Relationship Id="rId161" Type="http://schemas.openxmlformats.org/officeDocument/2006/relationships/hyperlink" Target="https://www.qualit-enr.org/sasu-ignis-design-hase-la-boutique" TargetMode="External"/><Relationship Id="rId399" Type="http://schemas.openxmlformats.org/officeDocument/2006/relationships/hyperlink" Target="https://www.qualit-enr.org/fralor-poeles-et-cuisinieres-passion" TargetMode="External"/><Relationship Id="rId827" Type="http://schemas.openxmlformats.org/officeDocument/2006/relationships/hyperlink" Target="https://www.qualypso.fr/download_file.php?id=cb11ad74-f948-4beb-902b-43ff2ca9e830" TargetMode="External"/><Relationship Id="rId1012" Type="http://schemas.openxmlformats.org/officeDocument/2006/relationships/hyperlink" Target="mailto:contact@ecvoiron.fr" TargetMode="External"/><Relationship Id="rId259" Type="http://schemas.openxmlformats.org/officeDocument/2006/relationships/hyperlink" Target="mailto:infos38@atre-loisirs.fr" TargetMode="External"/><Relationship Id="rId466" Type="http://schemas.openxmlformats.org/officeDocument/2006/relationships/hyperlink" Target="https://www.qualit-enr.org/sasu-ignis-design-hase-la-boutique" TargetMode="External"/><Relationship Id="rId673" Type="http://schemas.openxmlformats.org/officeDocument/2006/relationships/hyperlink" Target="mailto:grenoble@hase-boutique.fr" TargetMode="External"/><Relationship Id="rId880" Type="http://schemas.openxmlformats.org/officeDocument/2006/relationships/hyperlink" Target="mailto:bois-soleil-chauffage@orange.fr" TargetMode="External"/><Relationship Id="rId1096" Type="http://schemas.openxmlformats.org/officeDocument/2006/relationships/hyperlink" Target="mailto:contact@ecvoiron.fr" TargetMode="External"/><Relationship Id="rId23" Type="http://schemas.openxmlformats.org/officeDocument/2006/relationships/hyperlink" Target="https://www.qualit-enr.org/bois-soleil-chauffage-sarl" TargetMode="External"/><Relationship Id="rId119" Type="http://schemas.openxmlformats.org/officeDocument/2006/relationships/hyperlink" Target="mailto:jcduo@orange.fr" TargetMode="External"/><Relationship Id="rId326" Type="http://schemas.openxmlformats.org/officeDocument/2006/relationships/hyperlink" Target="mailto:bois-soleil.chauffage@orange.fr" TargetMode="External"/><Relationship Id="rId533" Type="http://schemas.openxmlformats.org/officeDocument/2006/relationships/hyperlink" Target="https://www.qualypso.fr/download_file.php?id=bf0d4b10-3cb9-4725-8543-e026c8210a10" TargetMode="External"/><Relationship Id="rId978" Type="http://schemas.openxmlformats.org/officeDocument/2006/relationships/hyperlink" Target="mailto:contact@ecvoiron.fr" TargetMode="External"/><Relationship Id="rId740" Type="http://schemas.openxmlformats.org/officeDocument/2006/relationships/hyperlink" Target="mailto:clairesteph.ruggeri@gmail.com" TargetMode="External"/><Relationship Id="rId838" Type="http://schemas.openxmlformats.org/officeDocument/2006/relationships/hyperlink" Target="mailto:julie.boissier@hotmail.fr" TargetMode="External"/><Relationship Id="rId1023" Type="http://schemas.openxmlformats.org/officeDocument/2006/relationships/hyperlink" Target="mailto:cheminees.jay@orange.fr" TargetMode="External"/><Relationship Id="rId172" Type="http://schemas.openxmlformats.org/officeDocument/2006/relationships/hyperlink" Target="https://www.qualit-enr.org/atre-decoration" TargetMode="External"/><Relationship Id="rId477" Type="http://schemas.openxmlformats.org/officeDocument/2006/relationships/hyperlink" Target="mailto:cheminees.jay@orange.fr" TargetMode="External"/><Relationship Id="rId600" Type="http://schemas.openxmlformats.org/officeDocument/2006/relationships/hyperlink" Target="https://www.qualit-enr.org/flamme-iseroise" TargetMode="External"/><Relationship Id="rId684" Type="http://schemas.openxmlformats.org/officeDocument/2006/relationships/hyperlink" Target="mailto:troillet38@free.fr" TargetMode="External"/><Relationship Id="rId337" Type="http://schemas.openxmlformats.org/officeDocument/2006/relationships/hyperlink" Target="https://www.qualit-enr.org/techni-nature-05000" TargetMode="External"/><Relationship Id="rId891" Type="http://schemas.openxmlformats.org/officeDocument/2006/relationships/hyperlink" Target="mailto:contactprojet@orange.fr" TargetMode="External"/><Relationship Id="rId905" Type="http://schemas.openxmlformats.org/officeDocument/2006/relationships/hyperlink" Target="https://www.qualit-enr.org/entreprises/espace-confort-voironnais/" TargetMode="External"/><Relationship Id="rId989" Type="http://schemas.openxmlformats.org/officeDocument/2006/relationships/hyperlink" Target="mailto:seb.monin@gmail.com" TargetMode="External"/><Relationship Id="rId34" Type="http://schemas.openxmlformats.org/officeDocument/2006/relationships/hyperlink" Target="https://www.qualit-enr.org/carre" TargetMode="External"/><Relationship Id="rId544" Type="http://schemas.openxmlformats.org/officeDocument/2006/relationships/hyperlink" Target="mailto:contact.echirolles@alp-confort.fr" TargetMode="External"/><Relationship Id="rId751" Type="http://schemas.openxmlformats.org/officeDocument/2006/relationships/hyperlink" Target="mailto:contact@cpc38.com" TargetMode="External"/><Relationship Id="rId849" Type="http://schemas.openxmlformats.org/officeDocument/2006/relationships/hyperlink" Target="https://www.qualit-enr.org/cheminees-jay" TargetMode="External"/><Relationship Id="rId183" Type="http://schemas.openxmlformats.org/officeDocument/2006/relationships/hyperlink" Target="mailto:jcduo@orange.fr" TargetMode="External"/><Relationship Id="rId390" Type="http://schemas.openxmlformats.org/officeDocument/2006/relationships/hyperlink" Target="https://www.qualit-enr.org/fralor-poeles-et-cuisinieres-passion" TargetMode="External"/><Relationship Id="rId404" Type="http://schemas.openxmlformats.org/officeDocument/2006/relationships/hyperlink" Target="https://www.qualit-enr.org/fralor-poeles-et-cuisinieres-passion" TargetMode="External"/><Relationship Id="rId611" Type="http://schemas.openxmlformats.org/officeDocument/2006/relationships/hyperlink" Target="mailto:gilles.allaman@orange.fr" TargetMode="External"/><Relationship Id="rId1034" Type="http://schemas.openxmlformats.org/officeDocument/2006/relationships/hyperlink" Target="mailto:contact@ecvoiron.fr" TargetMode="External"/><Relationship Id="rId250" Type="http://schemas.openxmlformats.org/officeDocument/2006/relationships/hyperlink" Target="mailto:voiron@techni-nature.com" TargetMode="External"/><Relationship Id="rId488" Type="http://schemas.openxmlformats.org/officeDocument/2006/relationships/hyperlink" Target="mailto:contact.echirolles@alp-confort.fr" TargetMode="External"/><Relationship Id="rId695" Type="http://schemas.openxmlformats.org/officeDocument/2006/relationships/hyperlink" Target="https://www.qualit-enr.org/entreprises/poelesgranules-fr-bio-belledonne-granules/" TargetMode="External"/><Relationship Id="rId709" Type="http://schemas.openxmlformats.org/officeDocument/2006/relationships/hyperlink" Target="mailto:institutbeautefeline@yahoo.fr" TargetMode="External"/><Relationship Id="rId916" Type="http://schemas.openxmlformats.org/officeDocument/2006/relationships/hyperlink" Target="mailto:ivan.duchemin@gmail.com" TargetMode="External"/><Relationship Id="rId1101" Type="http://schemas.openxmlformats.org/officeDocument/2006/relationships/hyperlink" Target="mailto:jacques.faure24@wanadoo.fr" TargetMode="External"/><Relationship Id="rId45" Type="http://schemas.openxmlformats.org/officeDocument/2006/relationships/hyperlink" Target="mailto:enerlogis@orange.fr" TargetMode="External"/><Relationship Id="rId110" Type="http://schemas.openxmlformats.org/officeDocument/2006/relationships/hyperlink" Target="https://www.qualit-enr.org/fralor-poeles-et-cuisinieres-passion" TargetMode="External"/><Relationship Id="rId348" Type="http://schemas.openxmlformats.org/officeDocument/2006/relationships/hyperlink" Target="mailto:grenoble@hase-boutique.fr" TargetMode="External"/><Relationship Id="rId555" Type="http://schemas.openxmlformats.org/officeDocument/2006/relationships/hyperlink" Target="https://www.qualypso.fr/download_file.php?id=021a3e1f-f16d-4577-ac80-f3806107cc38" TargetMode="External"/><Relationship Id="rId762" Type="http://schemas.openxmlformats.org/officeDocument/2006/relationships/hyperlink" Target="https://www.qualypso.fr/download_file.php?id=021a3e1f-f16d-4577-ac80-f3806107cc38" TargetMode="External"/><Relationship Id="rId194" Type="http://schemas.openxmlformats.org/officeDocument/2006/relationships/hyperlink" Target="mailto:patrickduranton@passionflamme.fr" TargetMode="External"/><Relationship Id="rId208" Type="http://schemas.openxmlformats.org/officeDocument/2006/relationships/hyperlink" Target="https://www.qualit-enr.org/espace-confort-voironnais" TargetMode="External"/><Relationship Id="rId415" Type="http://schemas.openxmlformats.org/officeDocument/2006/relationships/hyperlink" Target="mailto:pascal.brn@gmail.com" TargetMode="External"/><Relationship Id="rId622" Type="http://schemas.openxmlformats.org/officeDocument/2006/relationships/hyperlink" Target="https://www.qualit-enr.org/jacqu-cheminees" TargetMode="External"/><Relationship Id="rId1045" Type="http://schemas.openxmlformats.org/officeDocument/2006/relationships/hyperlink" Target="mailto:michel.gerente@orange.fr" TargetMode="External"/><Relationship Id="rId261" Type="http://schemas.openxmlformats.org/officeDocument/2006/relationships/hyperlink" Target="https://www.qualit-enr.org/jacqu-cheminees" TargetMode="External"/><Relationship Id="rId499" Type="http://schemas.openxmlformats.org/officeDocument/2006/relationships/hyperlink" Target="https://www.qualit-enr.org/atre-decoration" TargetMode="External"/><Relationship Id="rId927" Type="http://schemas.openxmlformats.org/officeDocument/2006/relationships/hyperlink" Target="mailto:jacques.faure24@wanadoo.fr" TargetMode="External"/><Relationship Id="rId1112" Type="http://schemas.openxmlformats.org/officeDocument/2006/relationships/drawing" Target="../drawings/drawing6.xml"/><Relationship Id="rId56" Type="http://schemas.openxmlformats.org/officeDocument/2006/relationships/hyperlink" Target="https://www.qualit-enr.org/glenat-pere-et-fils" TargetMode="External"/><Relationship Id="rId359" Type="http://schemas.openxmlformats.org/officeDocument/2006/relationships/hyperlink" Target="https://www.qualit-enr.org/l-atre-dauphinois" TargetMode="External"/><Relationship Id="rId566" Type="http://schemas.openxmlformats.org/officeDocument/2006/relationships/hyperlink" Target="mailto:benoit.michallet@gmail.com" TargetMode="External"/><Relationship Id="rId773" Type="http://schemas.openxmlformats.org/officeDocument/2006/relationships/hyperlink" Target="mailto:boiselodie@hotmail.fr" TargetMode="External"/><Relationship Id="rId121" Type="http://schemas.openxmlformats.org/officeDocument/2006/relationships/hyperlink" Target="https://www.qualit-enr.org/carre" TargetMode="External"/><Relationship Id="rId219" Type="http://schemas.openxmlformats.org/officeDocument/2006/relationships/hyperlink" Target="https://www.qualit-enr.org/jacqu-cheminees" TargetMode="External"/><Relationship Id="rId426" Type="http://schemas.openxmlformats.org/officeDocument/2006/relationships/hyperlink" Target="mailto:laglaceetlefeu38@gmail.com" TargetMode="External"/><Relationship Id="rId633" Type="http://schemas.openxmlformats.org/officeDocument/2006/relationships/hyperlink" Target="https://www.qualit-enr.org/cheminees-jay" TargetMode="External"/><Relationship Id="rId980" Type="http://schemas.openxmlformats.org/officeDocument/2006/relationships/hyperlink" Target="https://www.qualit-enr.org/cheminees-jay" TargetMode="External"/><Relationship Id="rId1056" Type="http://schemas.openxmlformats.org/officeDocument/2006/relationships/hyperlink" Target="https://www.qualypso.fr/download_file.php?id=0ac6bbaa-cb24-4926-9d7f-8e6b0d1f9099" TargetMode="External"/><Relationship Id="rId840" Type="http://schemas.openxmlformats.org/officeDocument/2006/relationships/hyperlink" Target="mailto:sandrinejosserand56@gmail.com" TargetMode="External"/><Relationship Id="rId938" Type="http://schemas.openxmlformats.org/officeDocument/2006/relationships/hyperlink" Target="mailto:orelanaveva@me.com" TargetMode="External"/><Relationship Id="rId67" Type="http://schemas.openxmlformats.org/officeDocument/2006/relationships/hyperlink" Target="mailto:bois-soleil.chauffage@orange.fr" TargetMode="External"/><Relationship Id="rId272" Type="http://schemas.openxmlformats.org/officeDocument/2006/relationships/hyperlink" Target="mailto:contact@alpisorenov.fr" TargetMode="External"/><Relationship Id="rId577" Type="http://schemas.openxmlformats.org/officeDocument/2006/relationships/hyperlink" Target="mailto:jcduo@orange.fr" TargetMode="External"/><Relationship Id="rId700" Type="http://schemas.openxmlformats.org/officeDocument/2006/relationships/hyperlink" Target="mailto:tgb.190855@gmail.com" TargetMode="External"/><Relationship Id="rId132" Type="http://schemas.openxmlformats.org/officeDocument/2006/relationships/hyperlink" Target="mailto:contact@ecvoiron.fr" TargetMode="External"/><Relationship Id="rId784" Type="http://schemas.openxmlformats.org/officeDocument/2006/relationships/hyperlink" Target="mailto:fabien.vannetti@gmail.com" TargetMode="External"/><Relationship Id="rId991" Type="http://schemas.openxmlformats.org/officeDocument/2006/relationships/hyperlink" Target="mailto:godin-grenoble@orange.fr" TargetMode="External"/><Relationship Id="rId1067" Type="http://schemas.openxmlformats.org/officeDocument/2006/relationships/hyperlink" Target="https://www.qualypso.fr/download_file.php?id=bf0d4b10-3cb9-4725-8543-e026c8210a10" TargetMode="External"/><Relationship Id="rId437" Type="http://schemas.openxmlformats.org/officeDocument/2006/relationships/hyperlink" Target="https://www.qualit-enr.org/carre" TargetMode="External"/><Relationship Id="rId644" Type="http://schemas.openxmlformats.org/officeDocument/2006/relationships/hyperlink" Target="mailto:enerlogis@orange.fr" TargetMode="External"/><Relationship Id="rId851" Type="http://schemas.openxmlformats.org/officeDocument/2006/relationships/hyperlink" Target="https://www.qualit-enr.org/cheminees-jay" TargetMode="External"/><Relationship Id="rId283" Type="http://schemas.openxmlformats.org/officeDocument/2006/relationships/hyperlink" Target="mailto:latredauphinois@gmail.com" TargetMode="External"/><Relationship Id="rId490" Type="http://schemas.openxmlformats.org/officeDocument/2006/relationships/hyperlink" Target="https://www.qualit-enr.org/jacqu-cheminees" TargetMode="External"/><Relationship Id="rId504" Type="http://schemas.openxmlformats.org/officeDocument/2006/relationships/hyperlink" Target="mailto:contact@fer-et-feu.fr" TargetMode="External"/><Relationship Id="rId711" Type="http://schemas.openxmlformats.org/officeDocument/2006/relationships/hyperlink" Target="mailto:martinon.michel30733@gmail.com" TargetMode="External"/><Relationship Id="rId949" Type="http://schemas.openxmlformats.org/officeDocument/2006/relationships/hyperlink" Target="mailto:matthieu.millequant@m4x.org" TargetMode="External"/><Relationship Id="rId78" Type="http://schemas.openxmlformats.org/officeDocument/2006/relationships/hyperlink" Target="https://www.qualit-enr.org/jacqu-cheminees" TargetMode="External"/><Relationship Id="rId143" Type="http://schemas.openxmlformats.org/officeDocument/2006/relationships/hyperlink" Target="https://www.qualit-enr.org/atre-decoration" TargetMode="External"/><Relationship Id="rId350" Type="http://schemas.openxmlformats.org/officeDocument/2006/relationships/hyperlink" Target="https://www.qualit-enr.org/fralor-poeles-et-cuisinieres-passion" TargetMode="External"/><Relationship Id="rId588" Type="http://schemas.openxmlformats.org/officeDocument/2006/relationships/hyperlink" Target="mailto:sergececconi@me.com" TargetMode="External"/><Relationship Id="rId795" Type="http://schemas.openxmlformats.org/officeDocument/2006/relationships/hyperlink" Target="https://www.qualit-enr.org/cheminees-jay" TargetMode="External"/><Relationship Id="rId809" Type="http://schemas.openxmlformats.org/officeDocument/2006/relationships/hyperlink" Target="mailto:contact@ecvoiron.fr" TargetMode="External"/><Relationship Id="rId9" Type="http://schemas.openxmlformats.org/officeDocument/2006/relationships/hyperlink" Target="https://www.qualit-enr.org/oliger-france-sas" TargetMode="External"/><Relationship Id="rId210" Type="http://schemas.openxmlformats.org/officeDocument/2006/relationships/hyperlink" Target="https://www.qualit-enr.org/jacqu-cheminees" TargetMode="External"/><Relationship Id="rId448" Type="http://schemas.openxmlformats.org/officeDocument/2006/relationships/hyperlink" Target="https://www.qualit-enr.org/techni-nature-05000" TargetMode="External"/><Relationship Id="rId655" Type="http://schemas.openxmlformats.org/officeDocument/2006/relationships/hyperlink" Target="https://www.qualypso.fr/download_file.php?id=021a3e1f-f16d-4577-ac80-f3806107cc38" TargetMode="External"/><Relationship Id="rId862" Type="http://schemas.openxmlformats.org/officeDocument/2006/relationships/hyperlink" Target="mailto:contact@ecvoiron.fr" TargetMode="External"/><Relationship Id="rId1078" Type="http://schemas.openxmlformats.org/officeDocument/2006/relationships/hyperlink" Target="https://www.qualit-enr.org/cheminees-jay" TargetMode="External"/><Relationship Id="rId294" Type="http://schemas.openxmlformats.org/officeDocument/2006/relationships/hyperlink" Target="https://www.qualit-enr.org/espace-confort-voironnais" TargetMode="External"/><Relationship Id="rId308" Type="http://schemas.openxmlformats.org/officeDocument/2006/relationships/hyperlink" Target="mailto:contact@ecvoiron.fr" TargetMode="External"/><Relationship Id="rId515" Type="http://schemas.openxmlformats.org/officeDocument/2006/relationships/hyperlink" Target="mailto:voglans@poelesgranules.fr" TargetMode="External"/><Relationship Id="rId722" Type="http://schemas.openxmlformats.org/officeDocument/2006/relationships/hyperlink" Target="https://www.qualypso.fr/download_file.php?id=021a3e1f-f16d-4577-ac80-f3806107cc38" TargetMode="External"/><Relationship Id="rId89" Type="http://schemas.openxmlformats.org/officeDocument/2006/relationships/hyperlink" Target="https://www.qualit-enr.org/techni-nature-05000" TargetMode="External"/><Relationship Id="rId154" Type="http://schemas.openxmlformats.org/officeDocument/2006/relationships/hyperlink" Target="https://www.qualit-enr.org/flamme-iseroise" TargetMode="External"/><Relationship Id="rId361" Type="http://schemas.openxmlformats.org/officeDocument/2006/relationships/hyperlink" Target="mailto:thomas.morey@wattethome.com" TargetMode="External"/><Relationship Id="rId599" Type="http://schemas.openxmlformats.org/officeDocument/2006/relationships/hyperlink" Target="mailto:yannick.vaufredaz@orange.fr" TargetMode="External"/><Relationship Id="rId1005" Type="http://schemas.openxmlformats.org/officeDocument/2006/relationships/hyperlink" Target="mailto:patrickduranton@passionflamme.fr" TargetMode="External"/><Relationship Id="rId459" Type="http://schemas.openxmlformats.org/officeDocument/2006/relationships/hyperlink" Target="https://www.qualit-enr.org/cheminees-jay" TargetMode="External"/><Relationship Id="rId666" Type="http://schemas.openxmlformats.org/officeDocument/2006/relationships/hyperlink" Target="mailto:contact@ecvoiron.fr" TargetMode="External"/><Relationship Id="rId873" Type="http://schemas.openxmlformats.org/officeDocument/2006/relationships/hyperlink" Target="mailto:contact-chaleurbois38@orange.fr" TargetMode="External"/><Relationship Id="rId1089" Type="http://schemas.openxmlformats.org/officeDocument/2006/relationships/hyperlink" Target="mailto:voiron@techni-nature.com" TargetMode="External"/><Relationship Id="rId16" Type="http://schemas.openxmlformats.org/officeDocument/2006/relationships/hyperlink" Target="mailto:voiron@techni-nature.com" TargetMode="External"/><Relationship Id="rId221" Type="http://schemas.openxmlformats.org/officeDocument/2006/relationships/hyperlink" Target="https://www.qualit-enr.org/atre-et-loisirs-sarl" TargetMode="External"/><Relationship Id="rId319" Type="http://schemas.openxmlformats.org/officeDocument/2006/relationships/hyperlink" Target="https://www.qualit-enr.org/espace-confort-voironnais" TargetMode="External"/><Relationship Id="rId526" Type="http://schemas.openxmlformats.org/officeDocument/2006/relationships/hyperlink" Target="mailto:bois-soleil.chauffage@orange.fr" TargetMode="External"/><Relationship Id="rId733" Type="http://schemas.openxmlformats.org/officeDocument/2006/relationships/hyperlink" Target="mailto:jacques.faure18@gmail.com" TargetMode="External"/><Relationship Id="rId940" Type="http://schemas.openxmlformats.org/officeDocument/2006/relationships/hyperlink" Target="mailto:contact@alpp-plomberie.fr" TargetMode="External"/><Relationship Id="rId1016" Type="http://schemas.openxmlformats.org/officeDocument/2006/relationships/hyperlink" Target="https://www.qualit-enr.org/entreprises/j3l-agencements/" TargetMode="External"/><Relationship Id="rId165" Type="http://schemas.openxmlformats.org/officeDocument/2006/relationships/hyperlink" Target="https://www.qualit-enr.org/cheminees-jay" TargetMode="External"/><Relationship Id="rId372" Type="http://schemas.openxmlformats.org/officeDocument/2006/relationships/hyperlink" Target="mailto:voiron@techni-nature.com" TargetMode="External"/><Relationship Id="rId677" Type="http://schemas.openxmlformats.org/officeDocument/2006/relationships/hyperlink" Target="https://www.qualit-enr.org/entreprises/poelesgranules-fr-bio-belledonne-granules/" TargetMode="External"/><Relationship Id="rId800" Type="http://schemas.openxmlformats.org/officeDocument/2006/relationships/hyperlink" Target="https://www.qualit-enr.org/cheminees-jay" TargetMode="External"/><Relationship Id="rId232" Type="http://schemas.openxmlformats.org/officeDocument/2006/relationships/hyperlink" Target="mailto:voiron@techni-nature.com" TargetMode="External"/><Relationship Id="rId884" Type="http://schemas.openxmlformats.org/officeDocument/2006/relationships/hyperlink" Target="mailto:servicepose.grenoble2@leroymerlin.fr" TargetMode="External"/><Relationship Id="rId27" Type="http://schemas.openxmlformats.org/officeDocument/2006/relationships/hyperlink" Target="https://www.qualit-enr.org/techni-nature-05000" TargetMode="External"/><Relationship Id="rId537" Type="http://schemas.openxmlformats.org/officeDocument/2006/relationships/hyperlink" Target="mailto:hdegvalverde@gmail.com" TargetMode="External"/><Relationship Id="rId744" Type="http://schemas.openxmlformats.org/officeDocument/2006/relationships/hyperlink" Target="https://www.qualit-enr.org/entreprises/sarl-pab-2/" TargetMode="External"/><Relationship Id="rId951" Type="http://schemas.openxmlformats.org/officeDocument/2006/relationships/hyperlink" Target="mailto:guillaume.bales@hotmail.fr" TargetMode="External"/><Relationship Id="rId80" Type="http://schemas.openxmlformats.org/officeDocument/2006/relationships/hyperlink" Target="https://www.qualit-enr.org/cheminees-jay" TargetMode="External"/><Relationship Id="rId176" Type="http://schemas.openxmlformats.org/officeDocument/2006/relationships/hyperlink" Target="mailto:contact@ecvoiron.fr" TargetMode="External"/><Relationship Id="rId383" Type="http://schemas.openxmlformats.org/officeDocument/2006/relationships/hyperlink" Target="mailto:kevincd@hotmail.fr" TargetMode="External"/><Relationship Id="rId590" Type="http://schemas.openxmlformats.org/officeDocument/2006/relationships/hyperlink" Target="mailto:sebastienbizel@gmail.com" TargetMode="External"/><Relationship Id="rId604" Type="http://schemas.openxmlformats.org/officeDocument/2006/relationships/hyperlink" Target="mailto:grimch@neuf.fr" TargetMode="External"/><Relationship Id="rId811" Type="http://schemas.openxmlformats.org/officeDocument/2006/relationships/hyperlink" Target="mailto:dgirerd@aliceadsl.fr" TargetMode="External"/><Relationship Id="rId1027" Type="http://schemas.openxmlformats.org/officeDocument/2006/relationships/hyperlink" Target="https://www.qualit-enr.org/entreprises/j3l-agencements/" TargetMode="External"/><Relationship Id="rId243" Type="http://schemas.openxmlformats.org/officeDocument/2006/relationships/hyperlink" Target="mailto:accueil@sbidaud.fr" TargetMode="External"/><Relationship Id="rId450" Type="http://schemas.openxmlformats.org/officeDocument/2006/relationships/hyperlink" Target="https://www.qualit-enr.org/atre-decoration" TargetMode="External"/><Relationship Id="rId688" Type="http://schemas.openxmlformats.org/officeDocument/2006/relationships/hyperlink" Target="mailto:sps38@orange.fr" TargetMode="External"/><Relationship Id="rId895" Type="http://schemas.openxmlformats.org/officeDocument/2006/relationships/hyperlink" Target="https://www.qualit-enr.org/carre" TargetMode="External"/><Relationship Id="rId909" Type="http://schemas.openxmlformats.org/officeDocument/2006/relationships/hyperlink" Target="mailto:daniel.ferrero@orange.fr" TargetMode="External"/><Relationship Id="rId1080" Type="http://schemas.openxmlformats.org/officeDocument/2006/relationships/hyperlink" Target="mailto:cheminees.jay@orange.fr" TargetMode="External"/><Relationship Id="rId38" Type="http://schemas.openxmlformats.org/officeDocument/2006/relationships/hyperlink" Target="https://www.qualit-enr.org/voiron-poeles-a-bois-et-granules" TargetMode="External"/><Relationship Id="rId103" Type="http://schemas.openxmlformats.org/officeDocument/2006/relationships/hyperlink" Target="mailto:voiron@techni-nature.com" TargetMode="External"/><Relationship Id="rId310" Type="http://schemas.openxmlformats.org/officeDocument/2006/relationships/hyperlink" Target="mailto:kevincd@hotmail.fr" TargetMode="External"/><Relationship Id="rId548" Type="http://schemas.openxmlformats.org/officeDocument/2006/relationships/hyperlink" Target="mailto:jonathan.bargel@philippeisere.fr" TargetMode="External"/><Relationship Id="rId755" Type="http://schemas.openxmlformats.org/officeDocument/2006/relationships/hyperlink" Target="https://www.qualit-enr.org/cheminees-jay" TargetMode="External"/><Relationship Id="rId962" Type="http://schemas.openxmlformats.org/officeDocument/2006/relationships/hyperlink" Target="mailto:mickaelbel38@gmail.com" TargetMode="External"/><Relationship Id="rId91" Type="http://schemas.openxmlformats.org/officeDocument/2006/relationships/hyperlink" Target="https://www.qualit-enr.org/alby-eco" TargetMode="External"/><Relationship Id="rId187" Type="http://schemas.openxmlformats.org/officeDocument/2006/relationships/hyperlink" Target="mailto:contact@ecvoiron.fr" TargetMode="External"/><Relationship Id="rId394" Type="http://schemas.openxmlformats.org/officeDocument/2006/relationships/hyperlink" Target="https://www.qualit-enr.org/espace-confort-voironnais" TargetMode="External"/><Relationship Id="rId408" Type="http://schemas.openxmlformats.org/officeDocument/2006/relationships/hyperlink" Target="https://www.qualit-enr.org/fralor-poeles-et-cuisinieres-passion" TargetMode="External"/><Relationship Id="rId615" Type="http://schemas.openxmlformats.org/officeDocument/2006/relationships/hyperlink" Target="mailto:grenoble@hase-boutique.fr" TargetMode="External"/><Relationship Id="rId822" Type="http://schemas.openxmlformats.org/officeDocument/2006/relationships/hyperlink" Target="mailto:richard.fraysse@semens-energy.com" TargetMode="External"/><Relationship Id="rId1038" Type="http://schemas.openxmlformats.org/officeDocument/2006/relationships/hyperlink" Target="mailto:rd.rene30624@hotmail.com" TargetMode="External"/><Relationship Id="rId254" Type="http://schemas.openxmlformats.org/officeDocument/2006/relationships/hyperlink" Target="https://www.qualit-enr.org/sasu-ignis-design-hase-la-boutique" TargetMode="External"/><Relationship Id="rId699" Type="http://schemas.openxmlformats.org/officeDocument/2006/relationships/hyperlink" Target="mailto:phiblanchard@gmail.com" TargetMode="External"/><Relationship Id="rId1091" Type="http://schemas.openxmlformats.org/officeDocument/2006/relationships/hyperlink" Target="mailto:contactprojet@orange.fr" TargetMode="External"/><Relationship Id="rId1105" Type="http://schemas.openxmlformats.org/officeDocument/2006/relationships/hyperlink" Target="mailto:pellet.maurice@gmail.com" TargetMode="External"/><Relationship Id="rId49" Type="http://schemas.openxmlformats.org/officeDocument/2006/relationships/hyperlink" Target="mailto:grenoble@hase-boutique.fr" TargetMode="External"/><Relationship Id="rId114" Type="http://schemas.openxmlformats.org/officeDocument/2006/relationships/hyperlink" Target="https://www.qualit-enr.org/atre-decoration" TargetMode="External"/><Relationship Id="rId461" Type="http://schemas.openxmlformats.org/officeDocument/2006/relationships/hyperlink" Target="https://www.qualit-enr.org/sarl-passion-flamme" TargetMode="External"/><Relationship Id="rId559" Type="http://schemas.openxmlformats.org/officeDocument/2006/relationships/hyperlink" Target="mailto:linda38180@gmail.com" TargetMode="External"/><Relationship Id="rId766" Type="http://schemas.openxmlformats.org/officeDocument/2006/relationships/hyperlink" Target="https://www.qualit-enr.org/cheminees-jay" TargetMode="External"/><Relationship Id="rId198" Type="http://schemas.openxmlformats.org/officeDocument/2006/relationships/hyperlink" Target="mailto:cheminees.jay@orange.fr" TargetMode="External"/><Relationship Id="rId321" Type="http://schemas.openxmlformats.org/officeDocument/2006/relationships/hyperlink" Target="mailto:commercial-godin@orange.fr" TargetMode="External"/><Relationship Id="rId419" Type="http://schemas.openxmlformats.org/officeDocument/2006/relationships/hyperlink" Target="https://www.qualit-enr.org/jacqu-cheminees" TargetMode="External"/><Relationship Id="rId626" Type="http://schemas.openxmlformats.org/officeDocument/2006/relationships/hyperlink" Target="mailto:pascal.simon@atre-loisirs.fr" TargetMode="External"/><Relationship Id="rId973" Type="http://schemas.openxmlformats.org/officeDocument/2006/relationships/hyperlink" Target="mailto:contactprojet@orange.fr" TargetMode="External"/><Relationship Id="rId1049" Type="http://schemas.openxmlformats.org/officeDocument/2006/relationships/hyperlink" Target="mailto:grenoble@hase-boutique.fr" TargetMode="External"/><Relationship Id="rId833" Type="http://schemas.openxmlformats.org/officeDocument/2006/relationships/hyperlink" Target="https://www.qualit-enr.org/entreprises/espace-confort-voironnais/" TargetMode="External"/><Relationship Id="rId265" Type="http://schemas.openxmlformats.org/officeDocument/2006/relationships/hyperlink" Target="https://www.qualit-enr.org/techni-nature-05000" TargetMode="External"/><Relationship Id="rId472" Type="http://schemas.openxmlformats.org/officeDocument/2006/relationships/hyperlink" Target="https://cloud.ageden38.org/webdav/Shared/Arborescence/03_Territoires/CA%20Pays%20Voironnais/nextcloud/remote.php/webdav/Shared/Arborescence/03_Territoires/CA%20Pays%20Voironnais/0-Interco/2_Actions/2017_instruction%20aides%20CAPV/PABVRB/1_Archives" TargetMode="External"/><Relationship Id="rId900" Type="http://schemas.openxmlformats.org/officeDocument/2006/relationships/hyperlink" Target="mailto:bois-soleil-chauffage@orange.fr" TargetMode="External"/><Relationship Id="rId125" Type="http://schemas.openxmlformats.org/officeDocument/2006/relationships/hyperlink" Target="https://www.qualit-enr.org/fralor-poeles-et-cuisinieres-passion" TargetMode="External"/><Relationship Id="rId332" Type="http://schemas.openxmlformats.org/officeDocument/2006/relationships/hyperlink" Target="https://www.qualit-enr.org/carre" TargetMode="External"/><Relationship Id="rId777" Type="http://schemas.openxmlformats.org/officeDocument/2006/relationships/hyperlink" Target="https://www.qualit-enr.org/entreprises/sarl-pab-2/" TargetMode="External"/><Relationship Id="rId984" Type="http://schemas.openxmlformats.org/officeDocument/2006/relationships/hyperlink" Target="https://www.qualit-enr.org/cheminees-jay" TargetMode="External"/><Relationship Id="rId637" Type="http://schemas.openxmlformats.org/officeDocument/2006/relationships/hyperlink" Target="mailto:manon.destras@gmail.com" TargetMode="External"/><Relationship Id="rId844" Type="http://schemas.openxmlformats.org/officeDocument/2006/relationships/hyperlink" Target="mailto:contac@laletredauphinois.fr" TargetMode="External"/><Relationship Id="rId276" Type="http://schemas.openxmlformats.org/officeDocument/2006/relationships/hyperlink" Target="mailto:sarlpab@orange.fr" TargetMode="External"/><Relationship Id="rId483" Type="http://schemas.openxmlformats.org/officeDocument/2006/relationships/hyperlink" Target="mailto:contact.echirolles@alp-confort.fr" TargetMode="External"/><Relationship Id="rId690" Type="http://schemas.openxmlformats.org/officeDocument/2006/relationships/hyperlink" Target="https://www.qualypso.fr/download_file.php?id=cb11ad74-f948-4beb-902b-43ff2ca9e830" TargetMode="External"/><Relationship Id="rId704" Type="http://schemas.openxmlformats.org/officeDocument/2006/relationships/hyperlink" Target="https://www.qualypso.fr/download_file.php?id=021a3e1f-f16d-4577-ac80-f3806107cc38" TargetMode="External"/><Relationship Id="rId911" Type="http://schemas.openxmlformats.org/officeDocument/2006/relationships/hyperlink" Target="mailto:nath.henner@gmail.com" TargetMode="External"/><Relationship Id="rId40" Type="http://schemas.openxmlformats.org/officeDocument/2006/relationships/hyperlink" Target="https://www.qualit-enr.org/techni-nature-05000" TargetMode="External"/><Relationship Id="rId136" Type="http://schemas.openxmlformats.org/officeDocument/2006/relationships/hyperlink" Target="mailto:cheminees.jay@orange.fr" TargetMode="External"/><Relationship Id="rId343" Type="http://schemas.openxmlformats.org/officeDocument/2006/relationships/hyperlink" Target="https://www.qualit-enr.org/voiron-poeles-a-bois-et-granules" TargetMode="External"/><Relationship Id="rId550" Type="http://schemas.openxmlformats.org/officeDocument/2006/relationships/hyperlink" Target="mailto:f.carre@carre-f.com" TargetMode="External"/><Relationship Id="rId788" Type="http://schemas.openxmlformats.org/officeDocument/2006/relationships/hyperlink" Target="mailto:geoffrey_durand-poudret@hotmail.fr" TargetMode="External"/><Relationship Id="rId995" Type="http://schemas.openxmlformats.org/officeDocument/2006/relationships/hyperlink" Target="mailto:jacques.faure24@wanadoo.fr" TargetMode="External"/><Relationship Id="rId203" Type="http://schemas.openxmlformats.org/officeDocument/2006/relationships/hyperlink" Target="https://www.qualit-enr.org/voiron-poeles-a-bois-et-granules" TargetMode="External"/><Relationship Id="rId648" Type="http://schemas.openxmlformats.org/officeDocument/2006/relationships/hyperlink" Target="mailto:marcel.massartic@orange.fr" TargetMode="External"/><Relationship Id="rId855" Type="http://schemas.openxmlformats.org/officeDocument/2006/relationships/hyperlink" Target="mailto:vale.manuel@orange.fr" TargetMode="External"/><Relationship Id="rId1040" Type="http://schemas.openxmlformats.org/officeDocument/2006/relationships/hyperlink" Target="mailto:bblandech@gmail.com" TargetMode="External"/><Relationship Id="rId287" Type="http://schemas.openxmlformats.org/officeDocument/2006/relationships/hyperlink" Target="mailto:contact.echirolles@alp-confort.fr" TargetMode="External"/><Relationship Id="rId410" Type="http://schemas.openxmlformats.org/officeDocument/2006/relationships/hyperlink" Target="mailto:bardramonage@orange.fr" TargetMode="External"/><Relationship Id="rId494" Type="http://schemas.openxmlformats.org/officeDocument/2006/relationships/hyperlink" Target="mailto:contact@ecvoiron.fr" TargetMode="External"/><Relationship Id="rId508" Type="http://schemas.openxmlformats.org/officeDocument/2006/relationships/hyperlink" Target="https://www.qualit-enr.org/bois-soleil-chauffage-sarl" TargetMode="External"/><Relationship Id="rId715" Type="http://schemas.openxmlformats.org/officeDocument/2006/relationships/hyperlink" Target="mailto:caro.feno@live.fr" TargetMode="External"/><Relationship Id="rId922" Type="http://schemas.openxmlformats.org/officeDocument/2006/relationships/hyperlink" Target="mailto:poelesetcuisinierespassion@gmail.com" TargetMode="External"/><Relationship Id="rId147" Type="http://schemas.openxmlformats.org/officeDocument/2006/relationships/hyperlink" Target="https://www.qualit-enr.org/espace-confort-voironnais" TargetMode="External"/><Relationship Id="rId354" Type="http://schemas.openxmlformats.org/officeDocument/2006/relationships/hyperlink" Target="mailto:contact@ecvoiron.fr" TargetMode="External"/><Relationship Id="rId799" Type="http://schemas.openxmlformats.org/officeDocument/2006/relationships/hyperlink" Target="mailto:jonathan.bargel@philippeisere.fr" TargetMode="External"/><Relationship Id="rId51" Type="http://schemas.openxmlformats.org/officeDocument/2006/relationships/hyperlink" Target="mailto:cheminees.jay@orange.fr" TargetMode="External"/><Relationship Id="rId561" Type="http://schemas.openxmlformats.org/officeDocument/2006/relationships/hyperlink" Target="mailto:contact@ecvoiron.fr" TargetMode="External"/><Relationship Id="rId659" Type="http://schemas.openxmlformats.org/officeDocument/2006/relationships/hyperlink" Target="https://www.qualit-enr.org/jacqu-cheminees" TargetMode="External"/><Relationship Id="rId866" Type="http://schemas.openxmlformats.org/officeDocument/2006/relationships/hyperlink" Target="mailto:asar@free.fr" TargetMode="External"/><Relationship Id="rId214" Type="http://schemas.openxmlformats.org/officeDocument/2006/relationships/hyperlink" Target="https://www.qualit-enr.org/espace-confort-voironnais" TargetMode="External"/><Relationship Id="rId298" Type="http://schemas.openxmlformats.org/officeDocument/2006/relationships/hyperlink" Target="mailto:jcduo@orange.fr" TargetMode="External"/><Relationship Id="rId421" Type="http://schemas.openxmlformats.org/officeDocument/2006/relationships/hyperlink" Target="https://www.qualit-enr.org/sarl-pab-38490" TargetMode="External"/><Relationship Id="rId519" Type="http://schemas.openxmlformats.org/officeDocument/2006/relationships/hyperlink" Target="mailto:contact@cpc38.com" TargetMode="External"/><Relationship Id="rId1051" Type="http://schemas.openxmlformats.org/officeDocument/2006/relationships/hyperlink" Target="https://www.qualit-enr.org/cheminees-jay" TargetMode="External"/></Relationships>
</file>

<file path=xl/worksheets/_rels/sheet12.xml.rels><?xml version="1.0" encoding="UTF-8" standalone="yes"?>
<Relationships xmlns="http://schemas.openxmlformats.org/package/2006/relationships"><Relationship Id="rId8" Type="http://schemas.openxmlformats.org/officeDocument/2006/relationships/drawing" Target="../drawings/drawing7.xml"/><Relationship Id="rId3" Type="http://schemas.openxmlformats.org/officeDocument/2006/relationships/pivotTable" Target="../pivotTables/pivotTable9.xml"/><Relationship Id="rId7" Type="http://schemas.openxmlformats.org/officeDocument/2006/relationships/printerSettings" Target="../printerSettings/printerSettings9.bin"/><Relationship Id="rId2" Type="http://schemas.openxmlformats.org/officeDocument/2006/relationships/pivotTable" Target="../pivotTables/pivotTable8.xml"/><Relationship Id="rId1" Type="http://schemas.openxmlformats.org/officeDocument/2006/relationships/pivotTable" Target="../pivotTables/pivotTable7.xml"/><Relationship Id="rId6" Type="http://schemas.openxmlformats.org/officeDocument/2006/relationships/pivotTable" Target="../pivotTables/pivotTable12.xml"/><Relationship Id="rId5" Type="http://schemas.openxmlformats.org/officeDocument/2006/relationships/pivotTable" Target="../pivotTables/pivotTable11.xml"/><Relationship Id="rId4" Type="http://schemas.openxmlformats.org/officeDocument/2006/relationships/pivotTable" Target="../pivotTables/pivotTable10.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13.xml"/></Relationships>
</file>

<file path=xl/worksheets/_rels/sheet14.xml.rels><?xml version="1.0" encoding="UTF-8" standalone="yes"?>
<Relationships xmlns="http://schemas.openxmlformats.org/package/2006/relationships"><Relationship Id="rId2" Type="http://schemas.openxmlformats.org/officeDocument/2006/relationships/pivotTable" Target="../pivotTables/pivotTable15.xml"/><Relationship Id="rId1" Type="http://schemas.openxmlformats.org/officeDocument/2006/relationships/pivotTable" Target="../pivotTables/pivotTable14.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ivotTable" Target="../pivotTables/pivotTable17.xml"/><Relationship Id="rId1" Type="http://schemas.openxmlformats.org/officeDocument/2006/relationships/pivotTable" Target="../pivotTables/pivotTable16.xml"/><Relationship Id="rId5" Type="http://schemas.openxmlformats.org/officeDocument/2006/relationships/comments" Target="../comments4.xml"/><Relationship Id="rId4" Type="http://schemas.openxmlformats.org/officeDocument/2006/relationships/vmlDrawing" Target="../drawings/vmlDrawing4.v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8.xml"/></Relationships>
</file>

<file path=xl/worksheets/_rels/sheet18.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11.bin"/><Relationship Id="rId1" Type="http://schemas.openxmlformats.org/officeDocument/2006/relationships/pivotTable" Target="../pivotTables/pivotTable19.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2:AB40"/>
  <sheetViews>
    <sheetView workbookViewId="0"/>
  </sheetViews>
  <sheetFormatPr baseColWidth="10" defaultColWidth="11.453125" defaultRowHeight="32.25" customHeight="1"/>
  <cols>
    <col min="1" max="1" width="6.7265625" style="14" customWidth="1"/>
    <col min="2" max="2" width="29.7265625" style="14" customWidth="1"/>
    <col min="3" max="3" width="6.7265625" style="14" customWidth="1"/>
    <col min="4" max="4" width="29.7265625" style="14" customWidth="1"/>
    <col min="5" max="5" width="6.7265625" style="14" customWidth="1"/>
    <col min="6" max="6" width="22.26953125" style="14" customWidth="1"/>
    <col min="7" max="7" width="6.7265625" style="14" customWidth="1"/>
    <col min="8" max="8" width="29.7265625" style="14" customWidth="1"/>
    <col min="9" max="9" width="6.7265625" style="14" customWidth="1"/>
    <col min="10" max="10" width="29.7265625" style="14" customWidth="1"/>
    <col min="11" max="11" width="6.7265625" style="14" customWidth="1"/>
    <col min="12" max="12" width="24.54296875" style="14" customWidth="1"/>
    <col min="13" max="13" width="6.7265625" style="14" customWidth="1"/>
    <col min="14" max="14" width="29.7265625" style="14" customWidth="1"/>
    <col min="15" max="15" width="6.7265625" style="14" customWidth="1"/>
    <col min="16" max="16" width="28.26953125" style="14" customWidth="1"/>
    <col min="17" max="17" width="6.7265625" style="14" customWidth="1"/>
    <col min="18" max="18" width="22.1796875" style="14" customWidth="1"/>
    <col min="19" max="19" width="6.7265625" style="14" customWidth="1"/>
    <col min="20" max="20" width="20.81640625" style="14" customWidth="1"/>
    <col min="21" max="21" width="6.7265625" style="14" customWidth="1"/>
    <col min="22" max="22" width="22.453125" style="14" customWidth="1"/>
    <col min="23" max="23" width="6.7265625" style="14" customWidth="1"/>
    <col min="24" max="24" width="18.1796875" style="14" customWidth="1"/>
    <col min="25" max="25" width="6.7265625" style="14" customWidth="1"/>
    <col min="26" max="26" width="20.1796875" style="14" customWidth="1"/>
    <col min="27" max="27" width="6.7265625" style="14" customWidth="1"/>
    <col min="28" max="28" width="18.7265625" style="14" customWidth="1"/>
    <col min="29" max="16384" width="11.453125" style="14"/>
  </cols>
  <sheetData>
    <row r="2" spans="1:28" ht="32.25" customHeight="1" thickBot="1">
      <c r="A2" s="389" t="s">
        <v>291</v>
      </c>
      <c r="B2" s="390"/>
      <c r="C2" s="390"/>
      <c r="D2" s="390"/>
      <c r="E2" s="390"/>
      <c r="F2" s="390"/>
      <c r="G2" s="390"/>
      <c r="H2" s="390"/>
      <c r="I2" s="390"/>
      <c r="J2" s="390"/>
      <c r="K2" s="390"/>
      <c r="L2" s="390"/>
      <c r="M2" s="390"/>
      <c r="N2" s="390"/>
      <c r="O2" s="390"/>
      <c r="P2" s="390"/>
      <c r="Q2" s="390"/>
      <c r="R2" s="390"/>
    </row>
    <row r="3" spans="1:28" s="15" customFormat="1" ht="32.25" customHeight="1">
      <c r="A3" s="386" t="s">
        <v>292</v>
      </c>
      <c r="B3" s="394"/>
      <c r="C3" s="386" t="s">
        <v>293</v>
      </c>
      <c r="D3" s="394"/>
      <c r="E3" s="386" t="s">
        <v>294</v>
      </c>
      <c r="F3" s="393"/>
      <c r="G3" s="386" t="s">
        <v>295</v>
      </c>
      <c r="H3" s="394"/>
      <c r="I3" s="386" t="s">
        <v>296</v>
      </c>
      <c r="J3" s="393"/>
      <c r="K3" s="386" t="s">
        <v>297</v>
      </c>
      <c r="L3" s="394"/>
      <c r="M3" s="386" t="s">
        <v>298</v>
      </c>
      <c r="N3" s="393"/>
      <c r="O3" s="386" t="s">
        <v>299</v>
      </c>
      <c r="P3" s="394"/>
      <c r="Q3" s="386" t="s">
        <v>300</v>
      </c>
      <c r="R3" s="394"/>
    </row>
    <row r="4" spans="1:28" ht="32.25" customHeight="1">
      <c r="A4" s="16">
        <v>1</v>
      </c>
      <c r="B4" s="3" t="s">
        <v>301</v>
      </c>
      <c r="C4" s="16">
        <v>1</v>
      </c>
      <c r="D4" s="3" t="s">
        <v>301</v>
      </c>
      <c r="E4" s="16">
        <v>1</v>
      </c>
      <c r="F4" s="8" t="s">
        <v>302</v>
      </c>
      <c r="G4" s="16">
        <v>1</v>
      </c>
      <c r="H4" s="3" t="s">
        <v>79</v>
      </c>
      <c r="I4" s="16">
        <v>1</v>
      </c>
      <c r="J4" s="8" t="s">
        <v>303</v>
      </c>
      <c r="K4" s="16">
        <v>1</v>
      </c>
      <c r="L4" s="3" t="s">
        <v>65</v>
      </c>
      <c r="M4" s="16">
        <v>1</v>
      </c>
      <c r="N4" s="8" t="s">
        <v>304</v>
      </c>
      <c r="O4" s="16">
        <v>1</v>
      </c>
      <c r="P4" s="3" t="s">
        <v>305</v>
      </c>
      <c r="Q4" s="16">
        <v>1</v>
      </c>
      <c r="R4" s="3" t="s">
        <v>37</v>
      </c>
    </row>
    <row r="5" spans="1:28" ht="32.25" customHeight="1">
      <c r="A5" s="16">
        <v>2</v>
      </c>
      <c r="B5" s="3" t="s">
        <v>306</v>
      </c>
      <c r="C5" s="16">
        <v>2</v>
      </c>
      <c r="D5" s="3" t="s">
        <v>306</v>
      </c>
      <c r="E5" s="16">
        <v>2</v>
      </c>
      <c r="F5" s="8" t="s">
        <v>307</v>
      </c>
      <c r="G5" s="16">
        <v>2</v>
      </c>
      <c r="H5" s="3" t="s">
        <v>33</v>
      </c>
      <c r="I5" s="16">
        <v>2</v>
      </c>
      <c r="J5" s="8" t="s">
        <v>308</v>
      </c>
      <c r="K5" s="16">
        <v>2</v>
      </c>
      <c r="L5" s="3" t="s">
        <v>34</v>
      </c>
      <c r="M5" s="16">
        <v>2</v>
      </c>
      <c r="N5" s="8" t="s">
        <v>309</v>
      </c>
      <c r="O5" s="16">
        <v>2</v>
      </c>
      <c r="P5" s="3" t="s">
        <v>122</v>
      </c>
      <c r="Q5" s="16">
        <v>2</v>
      </c>
      <c r="R5" s="3" t="s">
        <v>121</v>
      </c>
    </row>
    <row r="6" spans="1:28" ht="32.25" customHeight="1">
      <c r="A6" s="16">
        <v>3</v>
      </c>
      <c r="B6" s="3" t="s">
        <v>310</v>
      </c>
      <c r="C6" s="16">
        <v>3</v>
      </c>
      <c r="D6" s="3" t="s">
        <v>310</v>
      </c>
      <c r="E6" s="16">
        <v>3</v>
      </c>
      <c r="F6" s="8" t="s">
        <v>311</v>
      </c>
      <c r="G6" s="16">
        <v>3</v>
      </c>
      <c r="H6" s="3" t="s">
        <v>53</v>
      </c>
      <c r="I6" s="16">
        <v>3</v>
      </c>
      <c r="J6" s="8" t="s">
        <v>312</v>
      </c>
      <c r="K6" s="16">
        <v>3</v>
      </c>
      <c r="L6" s="3" t="s">
        <v>54</v>
      </c>
      <c r="M6" s="16">
        <v>3</v>
      </c>
      <c r="N6" s="8" t="s">
        <v>313</v>
      </c>
      <c r="O6" s="16">
        <v>3</v>
      </c>
      <c r="P6" s="3" t="s">
        <v>55</v>
      </c>
      <c r="Q6" s="16">
        <v>3</v>
      </c>
      <c r="R6" s="3" t="s">
        <v>118</v>
      </c>
    </row>
    <row r="7" spans="1:28" ht="32.25" customHeight="1" thickBot="1">
      <c r="A7" s="16">
        <v>4</v>
      </c>
      <c r="B7" s="3" t="s">
        <v>314</v>
      </c>
      <c r="C7" s="16">
        <v>4</v>
      </c>
      <c r="D7" s="3" t="s">
        <v>314</v>
      </c>
      <c r="E7" s="16">
        <v>4</v>
      </c>
      <c r="F7" s="8" t="s">
        <v>315</v>
      </c>
      <c r="G7" s="16">
        <v>4</v>
      </c>
      <c r="H7" s="3" t="s">
        <v>69</v>
      </c>
      <c r="I7" s="17">
        <v>4</v>
      </c>
      <c r="J7" s="18" t="s">
        <v>36</v>
      </c>
      <c r="K7" s="16">
        <v>4</v>
      </c>
      <c r="L7" s="3" t="s">
        <v>80</v>
      </c>
      <c r="M7" s="16">
        <v>4</v>
      </c>
      <c r="N7" s="8" t="s">
        <v>316</v>
      </c>
      <c r="O7" s="16">
        <v>4</v>
      </c>
      <c r="P7" s="3" t="s">
        <v>103</v>
      </c>
      <c r="Q7" s="16">
        <v>4</v>
      </c>
      <c r="R7" s="3" t="s">
        <v>93</v>
      </c>
    </row>
    <row r="8" spans="1:28" ht="32.25" customHeight="1" thickBot="1">
      <c r="A8" s="16">
        <v>5</v>
      </c>
      <c r="B8" s="3" t="s">
        <v>317</v>
      </c>
      <c r="C8" s="16">
        <v>5</v>
      </c>
      <c r="D8" s="3" t="s">
        <v>317</v>
      </c>
      <c r="E8" s="16">
        <v>5</v>
      </c>
      <c r="F8" s="8" t="s">
        <v>318</v>
      </c>
      <c r="G8" s="16">
        <v>5</v>
      </c>
      <c r="H8" s="3" t="s">
        <v>64</v>
      </c>
      <c r="K8" s="16">
        <v>5</v>
      </c>
      <c r="L8" s="3" t="s">
        <v>116</v>
      </c>
      <c r="M8" s="16">
        <v>5</v>
      </c>
      <c r="N8" s="8" t="s">
        <v>319</v>
      </c>
      <c r="O8" s="16">
        <v>5</v>
      </c>
      <c r="P8" s="3" t="s">
        <v>70</v>
      </c>
      <c r="Q8" s="17">
        <v>5</v>
      </c>
      <c r="R8" s="19" t="s">
        <v>36</v>
      </c>
    </row>
    <row r="9" spans="1:28" ht="32.25" customHeight="1" thickBot="1">
      <c r="A9" s="16">
        <v>6</v>
      </c>
      <c r="B9" s="3" t="s">
        <v>320</v>
      </c>
      <c r="C9" s="16">
        <v>6</v>
      </c>
      <c r="D9" s="3" t="s">
        <v>320</v>
      </c>
      <c r="E9" s="17">
        <v>6</v>
      </c>
      <c r="F9" s="18" t="s">
        <v>36</v>
      </c>
      <c r="G9" s="16">
        <v>6</v>
      </c>
      <c r="H9" s="3" t="s">
        <v>94</v>
      </c>
      <c r="K9" s="17">
        <v>6</v>
      </c>
      <c r="L9" s="19" t="s">
        <v>36</v>
      </c>
      <c r="M9" s="17">
        <v>6</v>
      </c>
      <c r="N9" s="18" t="s">
        <v>36</v>
      </c>
      <c r="O9" s="16">
        <v>6</v>
      </c>
      <c r="P9" s="3" t="s">
        <v>107</v>
      </c>
    </row>
    <row r="10" spans="1:28" ht="32.25" customHeight="1">
      <c r="A10" s="16">
        <v>7</v>
      </c>
      <c r="B10" s="3" t="s">
        <v>321</v>
      </c>
      <c r="C10" s="16">
        <v>7</v>
      </c>
      <c r="D10" s="3" t="s">
        <v>321</v>
      </c>
      <c r="G10" s="16">
        <v>7</v>
      </c>
      <c r="H10" s="3" t="s">
        <v>97</v>
      </c>
      <c r="O10" s="16">
        <v>7</v>
      </c>
      <c r="P10" s="3" t="s">
        <v>155</v>
      </c>
    </row>
    <row r="11" spans="1:28" ht="32.25" customHeight="1">
      <c r="A11" s="16">
        <v>8</v>
      </c>
      <c r="B11" s="3" t="s">
        <v>322</v>
      </c>
      <c r="C11" s="16">
        <v>8</v>
      </c>
      <c r="D11" s="3" t="s">
        <v>322</v>
      </c>
      <c r="G11" s="16">
        <v>8</v>
      </c>
      <c r="H11" s="3" t="s">
        <v>75</v>
      </c>
      <c r="O11" s="16">
        <v>8</v>
      </c>
      <c r="P11" s="3" t="s">
        <v>67</v>
      </c>
    </row>
    <row r="12" spans="1:28" ht="32.25" customHeight="1" thickBot="1">
      <c r="A12" s="17">
        <v>9</v>
      </c>
      <c r="B12" s="19" t="s">
        <v>36</v>
      </c>
      <c r="C12" s="17">
        <v>9</v>
      </c>
      <c r="D12" s="19" t="s">
        <v>36</v>
      </c>
      <c r="G12" s="16">
        <v>9</v>
      </c>
      <c r="H12" s="3" t="s">
        <v>100</v>
      </c>
      <c r="O12" s="17">
        <v>9</v>
      </c>
      <c r="P12" s="19" t="s">
        <v>36</v>
      </c>
    </row>
    <row r="13" spans="1:28" ht="32.25" customHeight="1" thickBot="1">
      <c r="G13" s="17">
        <v>10</v>
      </c>
      <c r="H13" s="19" t="s">
        <v>36</v>
      </c>
    </row>
    <row r="16" spans="1:28" ht="32.25" customHeight="1" thickBot="1">
      <c r="A16" s="389" t="s">
        <v>323</v>
      </c>
      <c r="B16" s="390"/>
      <c r="C16" s="390"/>
      <c r="D16" s="390"/>
      <c r="E16" s="390"/>
      <c r="F16" s="390"/>
      <c r="G16" s="390"/>
      <c r="H16" s="390"/>
      <c r="I16" s="390"/>
      <c r="J16" s="390"/>
      <c r="K16" s="390"/>
      <c r="L16" s="390"/>
      <c r="M16" s="390"/>
      <c r="N16" s="390"/>
      <c r="O16" s="390"/>
      <c r="P16" s="390"/>
      <c r="Q16" s="390"/>
      <c r="R16" s="390"/>
      <c r="S16" s="390"/>
      <c r="T16" s="390"/>
      <c r="U16" s="390"/>
      <c r="V16" s="390"/>
      <c r="W16" s="390"/>
      <c r="X16" s="390"/>
      <c r="Y16" s="390"/>
      <c r="Z16" s="390"/>
      <c r="AA16" s="390"/>
      <c r="AB16" s="390"/>
    </row>
    <row r="17" spans="1:28" s="20" customFormat="1" ht="32.25" customHeight="1">
      <c r="A17" s="386" t="s">
        <v>324</v>
      </c>
      <c r="B17" s="391"/>
      <c r="C17" s="386" t="s">
        <v>325</v>
      </c>
      <c r="D17" s="392"/>
      <c r="E17" s="386" t="s">
        <v>326</v>
      </c>
      <c r="F17" s="391"/>
      <c r="G17" s="386" t="s">
        <v>327</v>
      </c>
      <c r="H17" s="391"/>
      <c r="I17" s="386" t="s">
        <v>328</v>
      </c>
      <c r="J17" s="387"/>
      <c r="K17" s="386" t="s">
        <v>329</v>
      </c>
      <c r="L17" s="387"/>
      <c r="M17" s="386" t="s">
        <v>330</v>
      </c>
      <c r="N17" s="388"/>
      <c r="O17" s="386" t="s">
        <v>331</v>
      </c>
      <c r="P17" s="387"/>
      <c r="Q17" s="386" t="s">
        <v>332</v>
      </c>
      <c r="R17" s="387"/>
      <c r="S17" s="393" t="s">
        <v>333</v>
      </c>
      <c r="T17" s="388"/>
      <c r="U17" s="386" t="s">
        <v>334</v>
      </c>
      <c r="V17" s="387"/>
      <c r="W17" s="386" t="s">
        <v>335</v>
      </c>
      <c r="X17" s="387"/>
      <c r="Y17" s="386" t="s">
        <v>336</v>
      </c>
      <c r="Z17" s="388"/>
      <c r="AA17" s="386" t="s">
        <v>337</v>
      </c>
      <c r="AB17" s="387"/>
    </row>
    <row r="18" spans="1:28" ht="32.25" customHeight="1">
      <c r="A18" s="16">
        <v>1</v>
      </c>
      <c r="B18" s="3" t="s">
        <v>38</v>
      </c>
      <c r="C18" s="16">
        <v>1</v>
      </c>
      <c r="D18" s="8" t="s">
        <v>39</v>
      </c>
      <c r="E18" s="16">
        <v>1</v>
      </c>
      <c r="F18" s="3" t="s">
        <v>41</v>
      </c>
      <c r="G18" s="16">
        <v>1</v>
      </c>
      <c r="H18" s="3" t="s">
        <v>338</v>
      </c>
      <c r="I18" s="16">
        <v>1</v>
      </c>
      <c r="J18" s="21">
        <v>1990</v>
      </c>
      <c r="K18" s="16">
        <v>1</v>
      </c>
      <c r="L18" s="3" t="s">
        <v>48</v>
      </c>
      <c r="M18" s="22"/>
      <c r="N18" s="8" t="s">
        <v>339</v>
      </c>
      <c r="O18" s="16">
        <v>1</v>
      </c>
      <c r="P18" s="3" t="s">
        <v>340</v>
      </c>
      <c r="Q18" s="16">
        <v>1</v>
      </c>
      <c r="R18" s="3" t="s">
        <v>341</v>
      </c>
      <c r="S18" s="10">
        <v>1</v>
      </c>
      <c r="T18" s="8" t="s">
        <v>342</v>
      </c>
      <c r="U18" s="16">
        <v>1</v>
      </c>
      <c r="V18" s="3" t="s">
        <v>105</v>
      </c>
      <c r="W18" s="16">
        <v>1</v>
      </c>
      <c r="X18" s="3" t="s">
        <v>138</v>
      </c>
      <c r="Y18" s="16">
        <v>1</v>
      </c>
      <c r="Z18" s="8" t="s">
        <v>343</v>
      </c>
      <c r="AA18" s="16">
        <v>1</v>
      </c>
      <c r="AB18" s="3" t="s">
        <v>51</v>
      </c>
    </row>
    <row r="19" spans="1:28" ht="32.25" customHeight="1">
      <c r="A19" s="16">
        <v>2</v>
      </c>
      <c r="B19" s="3" t="s">
        <v>58</v>
      </c>
      <c r="C19" s="16">
        <v>2</v>
      </c>
      <c r="D19" s="8" t="s">
        <v>134</v>
      </c>
      <c r="E19" s="16">
        <v>2</v>
      </c>
      <c r="F19" s="3" t="s">
        <v>142</v>
      </c>
      <c r="G19" s="16">
        <v>2</v>
      </c>
      <c r="H19" s="3" t="s">
        <v>344</v>
      </c>
      <c r="I19" s="16">
        <v>2</v>
      </c>
      <c r="J19" s="21" t="s">
        <v>60</v>
      </c>
      <c r="K19" s="16">
        <v>2</v>
      </c>
      <c r="L19" s="3" t="s">
        <v>345</v>
      </c>
      <c r="M19" s="22"/>
      <c r="N19" s="8" t="s">
        <v>346</v>
      </c>
      <c r="O19" s="16">
        <v>2</v>
      </c>
      <c r="P19" s="3" t="s">
        <v>347</v>
      </c>
      <c r="Q19" s="16">
        <v>2</v>
      </c>
      <c r="R19" s="3" t="s">
        <v>348</v>
      </c>
      <c r="S19" s="10">
        <v>2</v>
      </c>
      <c r="T19" s="8" t="s">
        <v>349</v>
      </c>
      <c r="U19" s="16">
        <v>2</v>
      </c>
      <c r="V19" s="3" t="s">
        <v>350</v>
      </c>
      <c r="W19" s="16">
        <v>2</v>
      </c>
      <c r="X19" s="3" t="s">
        <v>50</v>
      </c>
      <c r="Y19" s="16">
        <v>2</v>
      </c>
      <c r="Z19" s="8" t="s">
        <v>351</v>
      </c>
      <c r="AA19" s="16">
        <v>2</v>
      </c>
      <c r="AB19" s="3" t="s">
        <v>72</v>
      </c>
    </row>
    <row r="20" spans="1:28" ht="32.25" customHeight="1" thickBot="1">
      <c r="A20" s="16">
        <v>3</v>
      </c>
      <c r="B20" s="3" t="s">
        <v>95</v>
      </c>
      <c r="C20" s="16">
        <v>3</v>
      </c>
      <c r="D20" s="8" t="s">
        <v>352</v>
      </c>
      <c r="E20" s="16">
        <v>3</v>
      </c>
      <c r="F20" s="3" t="s">
        <v>290</v>
      </c>
      <c r="G20" s="16">
        <v>3</v>
      </c>
      <c r="H20" s="3" t="s">
        <v>353</v>
      </c>
      <c r="I20" s="16">
        <v>3</v>
      </c>
      <c r="J20" s="21" t="s">
        <v>87</v>
      </c>
      <c r="K20" s="16">
        <v>3</v>
      </c>
      <c r="L20" s="3" t="s">
        <v>354</v>
      </c>
      <c r="M20" s="23"/>
      <c r="N20" s="18" t="s">
        <v>355</v>
      </c>
      <c r="O20" s="16">
        <v>3</v>
      </c>
      <c r="P20" s="3" t="s">
        <v>356</v>
      </c>
      <c r="Q20" s="16">
        <v>3</v>
      </c>
      <c r="R20" s="3" t="s">
        <v>357</v>
      </c>
      <c r="S20" s="10">
        <v>3</v>
      </c>
      <c r="T20" s="8" t="s">
        <v>358</v>
      </c>
      <c r="U20" s="16">
        <v>3</v>
      </c>
      <c r="V20" s="3" t="s">
        <v>62</v>
      </c>
      <c r="W20" s="16">
        <v>3</v>
      </c>
      <c r="X20" s="3" t="s">
        <v>84</v>
      </c>
      <c r="Y20" s="17">
        <v>3</v>
      </c>
      <c r="Z20" s="18" t="s">
        <v>36</v>
      </c>
      <c r="AA20" s="16">
        <v>3</v>
      </c>
      <c r="AB20" s="3" t="s">
        <v>91</v>
      </c>
    </row>
    <row r="21" spans="1:28" ht="32.25" customHeight="1" thickBot="1">
      <c r="A21" s="16">
        <v>4</v>
      </c>
      <c r="B21" s="3" t="s">
        <v>108</v>
      </c>
      <c r="C21" s="17">
        <v>4</v>
      </c>
      <c r="D21" s="18" t="s">
        <v>36</v>
      </c>
      <c r="E21" s="16">
        <v>4</v>
      </c>
      <c r="F21" s="3" t="s">
        <v>359</v>
      </c>
      <c r="G21" s="16">
        <v>4</v>
      </c>
      <c r="H21" s="3" t="s">
        <v>360</v>
      </c>
      <c r="I21" s="16">
        <v>4</v>
      </c>
      <c r="J21" s="21" t="s">
        <v>361</v>
      </c>
      <c r="K21" s="16">
        <v>4</v>
      </c>
      <c r="L21" s="3" t="s">
        <v>362</v>
      </c>
      <c r="O21" s="16">
        <v>4</v>
      </c>
      <c r="P21" s="3" t="s">
        <v>363</v>
      </c>
      <c r="Q21" s="16">
        <v>4</v>
      </c>
      <c r="R21" s="3" t="s">
        <v>364</v>
      </c>
      <c r="S21" s="24">
        <v>4</v>
      </c>
      <c r="T21" s="18" t="s">
        <v>36</v>
      </c>
      <c r="U21" s="16">
        <v>4</v>
      </c>
      <c r="V21" s="3" t="s">
        <v>67</v>
      </c>
      <c r="W21" s="17">
        <v>4</v>
      </c>
      <c r="X21" s="19" t="s">
        <v>67</v>
      </c>
      <c r="AA21" s="16">
        <v>4</v>
      </c>
      <c r="AB21" s="3" t="s">
        <v>363</v>
      </c>
    </row>
    <row r="22" spans="1:28" ht="32.25" customHeight="1" thickBot="1">
      <c r="A22" s="16">
        <v>5</v>
      </c>
      <c r="B22" s="3" t="s">
        <v>132</v>
      </c>
      <c r="E22" s="16">
        <v>5</v>
      </c>
      <c r="F22" s="3" t="s">
        <v>102</v>
      </c>
      <c r="G22" s="16">
        <v>5</v>
      </c>
      <c r="H22" s="3" t="s">
        <v>365</v>
      </c>
      <c r="I22" s="17">
        <v>5</v>
      </c>
      <c r="J22" s="19" t="s">
        <v>36</v>
      </c>
      <c r="K22" s="17">
        <v>5</v>
      </c>
      <c r="L22" s="19" t="s">
        <v>36</v>
      </c>
      <c r="O22" s="17">
        <v>5</v>
      </c>
      <c r="P22" s="19" t="s">
        <v>36</v>
      </c>
      <c r="Q22" s="16">
        <v>5</v>
      </c>
      <c r="R22" s="3" t="s">
        <v>67</v>
      </c>
      <c r="S22" s="8"/>
      <c r="T22" s="8"/>
      <c r="U22" s="17">
        <v>5</v>
      </c>
      <c r="V22" s="19" t="s">
        <v>36</v>
      </c>
      <c r="AA22" s="17">
        <v>5</v>
      </c>
      <c r="AB22" s="19" t="s">
        <v>36</v>
      </c>
    </row>
    <row r="23" spans="1:28" ht="32.25" customHeight="1" thickBot="1">
      <c r="A23" s="17">
        <v>6</v>
      </c>
      <c r="B23" s="19" t="s">
        <v>36</v>
      </c>
      <c r="E23" s="16">
        <v>6</v>
      </c>
      <c r="F23" s="3" t="s">
        <v>123</v>
      </c>
      <c r="G23" s="16">
        <v>6</v>
      </c>
      <c r="H23" s="3" t="s">
        <v>366</v>
      </c>
      <c r="Q23" s="17">
        <v>6</v>
      </c>
      <c r="R23" s="19" t="s">
        <v>36</v>
      </c>
    </row>
    <row r="24" spans="1:28" ht="32.25" customHeight="1" thickBot="1">
      <c r="E24" s="17">
        <v>7</v>
      </c>
      <c r="F24" s="19" t="s">
        <v>36</v>
      </c>
      <c r="G24" s="17">
        <v>7</v>
      </c>
      <c r="H24" s="19" t="s">
        <v>36</v>
      </c>
    </row>
    <row r="27" spans="1:28" ht="32.25" customHeight="1" thickBot="1">
      <c r="A27" s="389" t="s">
        <v>367</v>
      </c>
      <c r="B27" s="390"/>
      <c r="C27" s="390"/>
      <c r="D27" s="390"/>
      <c r="E27" s="390"/>
      <c r="F27" s="390"/>
      <c r="G27" s="390"/>
      <c r="H27" s="390"/>
      <c r="I27" s="390"/>
      <c r="J27" s="390"/>
    </row>
    <row r="28" spans="1:28" s="25" customFormat="1" ht="32.25" customHeight="1">
      <c r="A28" s="386" t="s">
        <v>368</v>
      </c>
      <c r="B28" s="387"/>
      <c r="C28" s="386" t="s">
        <v>329</v>
      </c>
      <c r="D28" s="387"/>
      <c r="E28" s="386" t="s">
        <v>369</v>
      </c>
      <c r="F28" s="387"/>
      <c r="G28" s="386" t="s">
        <v>370</v>
      </c>
      <c r="H28" s="388"/>
      <c r="I28" s="386" t="s">
        <v>371</v>
      </c>
      <c r="J28" s="387"/>
    </row>
    <row r="29" spans="1:28" ht="32.25" customHeight="1">
      <c r="A29" s="16">
        <v>1</v>
      </c>
      <c r="B29" s="3" t="s">
        <v>52</v>
      </c>
      <c r="C29" s="16">
        <v>1</v>
      </c>
      <c r="D29" s="3" t="s">
        <v>48</v>
      </c>
      <c r="E29" s="16">
        <v>1</v>
      </c>
      <c r="F29" s="3" t="s">
        <v>39</v>
      </c>
      <c r="G29" s="16">
        <v>1</v>
      </c>
      <c r="H29" s="8" t="s">
        <v>372</v>
      </c>
      <c r="I29" s="16">
        <v>1</v>
      </c>
      <c r="J29" s="3" t="s">
        <v>165</v>
      </c>
    </row>
    <row r="30" spans="1:28" ht="32.25" customHeight="1">
      <c r="A30" s="16">
        <v>2</v>
      </c>
      <c r="B30" s="3" t="s">
        <v>95</v>
      </c>
      <c r="C30" s="16">
        <v>2</v>
      </c>
      <c r="D30" s="3" t="s">
        <v>345</v>
      </c>
      <c r="E30" s="16">
        <v>2</v>
      </c>
      <c r="F30" s="3" t="s">
        <v>134</v>
      </c>
      <c r="G30" s="16">
        <v>2</v>
      </c>
      <c r="H30" s="8" t="s">
        <v>373</v>
      </c>
      <c r="I30" s="16">
        <v>2</v>
      </c>
      <c r="J30" s="3" t="s">
        <v>166</v>
      </c>
    </row>
    <row r="31" spans="1:28" ht="32.25" customHeight="1">
      <c r="A31" s="16">
        <v>3</v>
      </c>
      <c r="B31" s="3" t="s">
        <v>374</v>
      </c>
      <c r="C31" s="16">
        <v>3</v>
      </c>
      <c r="D31" s="3" t="s">
        <v>167</v>
      </c>
      <c r="E31" s="16">
        <v>3</v>
      </c>
      <c r="F31" s="3" t="s">
        <v>375</v>
      </c>
      <c r="G31" s="16">
        <v>3</v>
      </c>
      <c r="H31" s="8" t="s">
        <v>376</v>
      </c>
      <c r="I31" s="16">
        <v>3</v>
      </c>
      <c r="J31" s="3" t="s">
        <v>167</v>
      </c>
    </row>
    <row r="32" spans="1:28" ht="32.25" customHeight="1" thickBot="1">
      <c r="A32" s="16">
        <v>4</v>
      </c>
      <c r="B32" s="3" t="s">
        <v>108</v>
      </c>
      <c r="C32" s="17">
        <v>4</v>
      </c>
      <c r="D32" s="19" t="s">
        <v>36</v>
      </c>
      <c r="E32" s="17">
        <v>4</v>
      </c>
      <c r="F32" s="19" t="s">
        <v>36</v>
      </c>
      <c r="G32" s="16">
        <v>4</v>
      </c>
      <c r="H32" s="8" t="s">
        <v>377</v>
      </c>
      <c r="I32" s="16">
        <v>4</v>
      </c>
      <c r="J32" s="3" t="s">
        <v>168</v>
      </c>
    </row>
    <row r="33" spans="1:10" ht="32.25" customHeight="1">
      <c r="A33" s="16">
        <v>5</v>
      </c>
      <c r="B33" s="3" t="s">
        <v>378</v>
      </c>
      <c r="G33" s="16">
        <v>5</v>
      </c>
      <c r="H33" s="8" t="s">
        <v>379</v>
      </c>
      <c r="I33" s="16">
        <v>5</v>
      </c>
      <c r="J33" s="3" t="s">
        <v>169</v>
      </c>
    </row>
    <row r="34" spans="1:10" ht="32.25" customHeight="1">
      <c r="A34" s="16">
        <v>6</v>
      </c>
      <c r="B34" s="3" t="s">
        <v>132</v>
      </c>
      <c r="G34" s="16">
        <v>6</v>
      </c>
      <c r="H34" s="8" t="s">
        <v>167</v>
      </c>
      <c r="I34" s="16">
        <v>6</v>
      </c>
      <c r="J34" s="3" t="s">
        <v>170</v>
      </c>
    </row>
    <row r="35" spans="1:10" ht="32.25" customHeight="1" thickBot="1">
      <c r="A35" s="17">
        <v>7</v>
      </c>
      <c r="B35" s="19" t="s">
        <v>36</v>
      </c>
      <c r="G35" s="17">
        <v>7</v>
      </c>
      <c r="H35" s="18" t="s">
        <v>36</v>
      </c>
      <c r="I35" s="16">
        <v>7</v>
      </c>
      <c r="J35" s="3" t="s">
        <v>171</v>
      </c>
    </row>
    <row r="36" spans="1:10" ht="32.25" customHeight="1">
      <c r="I36" s="16">
        <v>8</v>
      </c>
      <c r="J36" s="3" t="s">
        <v>172</v>
      </c>
    </row>
    <row r="37" spans="1:10" ht="32.25" customHeight="1">
      <c r="I37" s="16">
        <v>9</v>
      </c>
      <c r="J37" s="3" t="s">
        <v>173</v>
      </c>
    </row>
    <row r="38" spans="1:10" ht="32.25" customHeight="1">
      <c r="I38" s="16">
        <v>10</v>
      </c>
      <c r="J38" s="3" t="s">
        <v>36</v>
      </c>
    </row>
    <row r="39" spans="1:10" ht="32.25" customHeight="1">
      <c r="I39" s="16">
        <v>11</v>
      </c>
      <c r="J39" s="3" t="s">
        <v>174</v>
      </c>
    </row>
    <row r="40" spans="1:10" ht="32.25" customHeight="1" thickBot="1">
      <c r="I40" s="17">
        <v>12</v>
      </c>
      <c r="J40" s="19" t="s">
        <v>175</v>
      </c>
    </row>
  </sheetData>
  <mergeCells count="31">
    <mergeCell ref="A2:R2"/>
    <mergeCell ref="A3:B3"/>
    <mergeCell ref="C3:D3"/>
    <mergeCell ref="E3:F3"/>
    <mergeCell ref="G3:H3"/>
    <mergeCell ref="I3:J3"/>
    <mergeCell ref="K3:L3"/>
    <mergeCell ref="M3:N3"/>
    <mergeCell ref="O3:P3"/>
    <mergeCell ref="Q3:R3"/>
    <mergeCell ref="A27:J27"/>
    <mergeCell ref="A16:AB16"/>
    <mergeCell ref="A17:B17"/>
    <mergeCell ref="C17:D17"/>
    <mergeCell ref="E17:F17"/>
    <mergeCell ref="G17:H17"/>
    <mergeCell ref="I17:J17"/>
    <mergeCell ref="K17:L17"/>
    <mergeCell ref="M17:N17"/>
    <mergeCell ref="O17:P17"/>
    <mergeCell ref="Q17:R17"/>
    <mergeCell ref="S17:T17"/>
    <mergeCell ref="U17:V17"/>
    <mergeCell ref="W17:X17"/>
    <mergeCell ref="Y17:Z17"/>
    <mergeCell ref="AA17:AB17"/>
    <mergeCell ref="A28:B28"/>
    <mergeCell ref="C28:D28"/>
    <mergeCell ref="E28:F28"/>
    <mergeCell ref="G28:H28"/>
    <mergeCell ref="I28:J28"/>
  </mergeCells>
  <pageMargins left="0.7" right="0.7" top="0.75" bottom="0.75" header="0.3" footer="0.3"/>
  <pageSetup paperSize="9" scale="29" orientation="landscape"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9"/>
  <sheetViews>
    <sheetView workbookViewId="0"/>
  </sheetViews>
  <sheetFormatPr baseColWidth="10" defaultColWidth="11.453125" defaultRowHeight="14.5"/>
  <cols>
    <col min="1" max="1" width="23.54296875" style="2" customWidth="1"/>
    <col min="2" max="16384" width="11.453125" style="2"/>
  </cols>
  <sheetData>
    <row r="1" spans="1:2">
      <c r="A1" s="2" t="s">
        <v>441</v>
      </c>
      <c r="B1" s="2" t="s">
        <v>285</v>
      </c>
    </row>
    <row r="2" spans="1:2">
      <c r="A2" s="65" t="s">
        <v>453</v>
      </c>
      <c r="B2" s="65" t="s">
        <v>454</v>
      </c>
    </row>
    <row r="3" spans="1:2">
      <c r="A3" s="65" t="s">
        <v>455</v>
      </c>
      <c r="B3" s="65" t="s">
        <v>454</v>
      </c>
    </row>
    <row r="4" spans="1:2">
      <c r="A4" s="65" t="s">
        <v>456</v>
      </c>
      <c r="B4" s="65" t="s">
        <v>454</v>
      </c>
    </row>
    <row r="5" spans="1:2">
      <c r="A5" s="65" t="s">
        <v>457</v>
      </c>
      <c r="B5" s="65" t="s">
        <v>454</v>
      </c>
    </row>
    <row r="6" spans="1:2">
      <c r="A6" s="65" t="s">
        <v>458</v>
      </c>
      <c r="B6" s="65" t="s">
        <v>454</v>
      </c>
    </row>
    <row r="7" spans="1:2">
      <c r="A7" s="65" t="s">
        <v>459</v>
      </c>
      <c r="B7" s="65" t="s">
        <v>454</v>
      </c>
    </row>
    <row r="8" spans="1:2">
      <c r="A8" s="65" t="s">
        <v>460</v>
      </c>
      <c r="B8" s="65" t="s">
        <v>454</v>
      </c>
    </row>
    <row r="9" spans="1:2">
      <c r="A9" s="65" t="s">
        <v>461</v>
      </c>
      <c r="B9" s="65" t="s">
        <v>454</v>
      </c>
    </row>
    <row r="10" spans="1:2">
      <c r="A10" s="65" t="s">
        <v>462</v>
      </c>
      <c r="B10" s="65" t="s">
        <v>454</v>
      </c>
    </row>
    <row r="11" spans="1:2">
      <c r="A11" s="65" t="s">
        <v>463</v>
      </c>
      <c r="B11" s="65" t="s">
        <v>454</v>
      </c>
    </row>
    <row r="12" spans="1:2">
      <c r="A12" s="65" t="s">
        <v>464</v>
      </c>
      <c r="B12" s="65" t="s">
        <v>454</v>
      </c>
    </row>
    <row r="13" spans="1:2">
      <c r="A13" s="65" t="s">
        <v>465</v>
      </c>
      <c r="B13" s="65" t="s">
        <v>454</v>
      </c>
    </row>
    <row r="14" spans="1:2">
      <c r="A14" s="65" t="s">
        <v>466</v>
      </c>
      <c r="B14" s="65" t="s">
        <v>454</v>
      </c>
    </row>
    <row r="15" spans="1:2">
      <c r="A15" s="65" t="s">
        <v>467</v>
      </c>
      <c r="B15" s="65" t="s">
        <v>454</v>
      </c>
    </row>
    <row r="16" spans="1:2">
      <c r="A16" s="65" t="s">
        <v>468</v>
      </c>
      <c r="B16" s="65" t="s">
        <v>454</v>
      </c>
    </row>
    <row r="17" spans="1:2">
      <c r="A17" s="65" t="s">
        <v>469</v>
      </c>
      <c r="B17" s="65" t="s">
        <v>454</v>
      </c>
    </row>
    <row r="18" spans="1:2">
      <c r="A18" s="65" t="s">
        <v>470</v>
      </c>
      <c r="B18" s="65" t="s">
        <v>454</v>
      </c>
    </row>
    <row r="19" spans="1:2">
      <c r="A19" s="65" t="s">
        <v>471</v>
      </c>
      <c r="B19" s="65" t="s">
        <v>454</v>
      </c>
    </row>
    <row r="20" spans="1:2">
      <c r="A20" s="65" t="s">
        <v>472</v>
      </c>
      <c r="B20" s="65" t="s">
        <v>454</v>
      </c>
    </row>
    <row r="21" spans="1:2">
      <c r="A21" s="65" t="s">
        <v>473</v>
      </c>
      <c r="B21" s="65" t="s">
        <v>454</v>
      </c>
    </row>
    <row r="22" spans="1:2">
      <c r="A22" s="65" t="s">
        <v>474</v>
      </c>
      <c r="B22" s="65" t="s">
        <v>454</v>
      </c>
    </row>
    <row r="23" spans="1:2">
      <c r="A23" s="65" t="s">
        <v>475</v>
      </c>
      <c r="B23" s="65" t="s">
        <v>454</v>
      </c>
    </row>
    <row r="24" spans="1:2">
      <c r="A24" s="65" t="s">
        <v>476</v>
      </c>
      <c r="B24" s="65" t="s">
        <v>454</v>
      </c>
    </row>
    <row r="25" spans="1:2">
      <c r="A25" s="65" t="s">
        <v>477</v>
      </c>
      <c r="B25" s="65" t="s">
        <v>454</v>
      </c>
    </row>
    <row r="26" spans="1:2">
      <c r="A26" s="65" t="s">
        <v>478</v>
      </c>
      <c r="B26" s="65" t="s">
        <v>454</v>
      </c>
    </row>
    <row r="27" spans="1:2">
      <c r="A27" s="65" t="s">
        <v>479</v>
      </c>
      <c r="B27" s="65" t="s">
        <v>454</v>
      </c>
    </row>
    <row r="28" spans="1:2">
      <c r="A28" s="65" t="s">
        <v>480</v>
      </c>
      <c r="B28" s="65" t="s">
        <v>454</v>
      </c>
    </row>
    <row r="29" spans="1:2">
      <c r="A29" s="65" t="s">
        <v>481</v>
      </c>
      <c r="B29" s="65" t="s">
        <v>454</v>
      </c>
    </row>
    <row r="30" spans="1:2">
      <c r="A30" s="65" t="s">
        <v>482</v>
      </c>
      <c r="B30" s="65" t="s">
        <v>454</v>
      </c>
    </row>
    <row r="31" spans="1:2">
      <c r="A31" s="65" t="s">
        <v>483</v>
      </c>
      <c r="B31" s="65" t="s">
        <v>454</v>
      </c>
    </row>
    <row r="32" spans="1:2">
      <c r="A32" s="65" t="s">
        <v>484</v>
      </c>
      <c r="B32" s="65" t="s">
        <v>454</v>
      </c>
    </row>
    <row r="33" spans="1:2">
      <c r="A33" s="65" t="s">
        <v>485</v>
      </c>
      <c r="B33" s="65" t="s">
        <v>454</v>
      </c>
    </row>
    <row r="34" spans="1:2">
      <c r="A34" s="65" t="s">
        <v>486</v>
      </c>
      <c r="B34" s="65" t="s">
        <v>454</v>
      </c>
    </row>
    <row r="35" spans="1:2">
      <c r="A35" s="65" t="s">
        <v>487</v>
      </c>
      <c r="B35" s="65" t="s">
        <v>454</v>
      </c>
    </row>
    <row r="36" spans="1:2">
      <c r="A36" s="65" t="s">
        <v>488</v>
      </c>
      <c r="B36" s="65" t="s">
        <v>454</v>
      </c>
    </row>
    <row r="37" spans="1:2">
      <c r="A37" s="65" t="s">
        <v>489</v>
      </c>
      <c r="B37" s="65" t="s">
        <v>454</v>
      </c>
    </row>
    <row r="38" spans="1:2">
      <c r="A38" s="65" t="s">
        <v>490</v>
      </c>
      <c r="B38" s="65" t="s">
        <v>454</v>
      </c>
    </row>
    <row r="39" spans="1:2">
      <c r="A39" s="65" t="s">
        <v>491</v>
      </c>
      <c r="B39" s="65" t="s">
        <v>454</v>
      </c>
    </row>
    <row r="40" spans="1:2">
      <c r="A40" s="65" t="s">
        <v>492</v>
      </c>
      <c r="B40" s="65" t="s">
        <v>454</v>
      </c>
    </row>
    <row r="41" spans="1:2">
      <c r="A41" s="65" t="s">
        <v>493</v>
      </c>
      <c r="B41" s="65" t="s">
        <v>454</v>
      </c>
    </row>
    <row r="42" spans="1:2">
      <c r="A42" s="65" t="s">
        <v>494</v>
      </c>
      <c r="B42" s="65" t="s">
        <v>454</v>
      </c>
    </row>
    <row r="43" spans="1:2">
      <c r="A43" s="65" t="s">
        <v>495</v>
      </c>
      <c r="B43" s="65" t="s">
        <v>454</v>
      </c>
    </row>
    <row r="44" spans="1:2">
      <c r="A44" s="65" t="s">
        <v>496</v>
      </c>
      <c r="B44" s="65" t="s">
        <v>454</v>
      </c>
    </row>
    <row r="45" spans="1:2">
      <c r="A45" s="65" t="s">
        <v>497</v>
      </c>
      <c r="B45" s="65" t="s">
        <v>454</v>
      </c>
    </row>
    <row r="46" spans="1:2">
      <c r="A46" s="65" t="s">
        <v>498</v>
      </c>
      <c r="B46" s="65" t="s">
        <v>454</v>
      </c>
    </row>
    <row r="47" spans="1:2">
      <c r="A47" s="65" t="s">
        <v>499</v>
      </c>
      <c r="B47" s="65" t="s">
        <v>454</v>
      </c>
    </row>
    <row r="48" spans="1:2">
      <c r="A48" s="65" t="s">
        <v>590</v>
      </c>
      <c r="B48" s="65" t="s">
        <v>454</v>
      </c>
    </row>
    <row r="49" spans="1:2">
      <c r="A49" s="65" t="s">
        <v>591</v>
      </c>
      <c r="B49" s="65" t="s">
        <v>454</v>
      </c>
    </row>
  </sheetData>
  <autoFilter ref="A1:B49"/>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P526"/>
  <sheetViews>
    <sheetView workbookViewId="0"/>
  </sheetViews>
  <sheetFormatPr baseColWidth="10" defaultColWidth="11.453125" defaultRowHeight="14.5"/>
  <cols>
    <col min="1" max="2" width="11.453125" style="124"/>
    <col min="3" max="3" width="20.7265625" style="123" customWidth="1"/>
    <col min="4" max="4" width="22.7265625" style="122" customWidth="1"/>
    <col min="5" max="5" width="11.54296875" style="124" customWidth="1"/>
    <col min="6" max="6" width="20.1796875" style="124" customWidth="1"/>
    <col min="7" max="10" width="11.54296875" style="122" customWidth="1"/>
    <col min="11" max="11" width="27.26953125" style="124" customWidth="1"/>
    <col min="12" max="12" width="21.81640625" style="122" customWidth="1"/>
    <col min="13" max="13" width="20.81640625" style="124" customWidth="1"/>
    <col min="14" max="16" width="11.54296875" style="122" customWidth="1"/>
    <col min="17" max="17" width="37.1796875" style="122" bestFit="1" customWidth="1"/>
    <col min="18" max="18" width="29.7265625" style="122" bestFit="1" customWidth="1"/>
    <col min="19" max="20" width="11.54296875" style="122" customWidth="1"/>
    <col min="21" max="21" width="39.1796875" style="122" bestFit="1" customWidth="1"/>
    <col min="22" max="22" width="11.54296875" style="122" customWidth="1"/>
    <col min="23" max="23" width="38.1796875" style="122" bestFit="1" customWidth="1"/>
    <col min="24" max="24" width="40.26953125" style="122" bestFit="1" customWidth="1"/>
    <col min="25" max="25" width="41" style="122" bestFit="1" customWidth="1"/>
    <col min="26" max="26" width="28.7265625" style="122" bestFit="1" customWidth="1"/>
    <col min="27" max="30" width="11.54296875" style="122" customWidth="1"/>
    <col min="31" max="31" width="21.26953125" style="124" customWidth="1"/>
    <col min="32" max="32" width="20.1796875" style="122" customWidth="1"/>
    <col min="33" max="33" width="11.453125" style="124"/>
    <col min="34" max="34" width="11.453125" style="131"/>
    <col min="35" max="36" width="11.453125" style="124"/>
    <col min="37" max="16384" width="11.453125" style="122"/>
  </cols>
  <sheetData>
    <row r="1" spans="1:42" s="142" customFormat="1" ht="45" customHeight="1">
      <c r="A1" s="141" t="s">
        <v>0</v>
      </c>
      <c r="B1" s="141" t="s">
        <v>1098</v>
      </c>
      <c r="C1" s="141" t="s">
        <v>1</v>
      </c>
      <c r="D1" s="141" t="s">
        <v>2</v>
      </c>
      <c r="E1" s="141" t="s">
        <v>1099</v>
      </c>
      <c r="F1" s="141" t="s">
        <v>1100</v>
      </c>
      <c r="G1" s="141" t="s">
        <v>3</v>
      </c>
      <c r="H1" s="141" t="s">
        <v>4</v>
      </c>
      <c r="I1" s="141" t="s">
        <v>1101</v>
      </c>
      <c r="J1" s="141" t="s">
        <v>5</v>
      </c>
      <c r="K1" s="141" t="s">
        <v>6</v>
      </c>
      <c r="L1" s="141" t="s">
        <v>7</v>
      </c>
      <c r="M1" s="141" t="s">
        <v>8</v>
      </c>
      <c r="N1" s="141" t="s">
        <v>9</v>
      </c>
      <c r="O1" s="141" t="s">
        <v>10</v>
      </c>
      <c r="P1" s="141" t="s">
        <v>12</v>
      </c>
      <c r="Q1" s="141" t="s">
        <v>11</v>
      </c>
      <c r="R1" s="141" t="s">
        <v>13</v>
      </c>
      <c r="S1" s="141" t="s">
        <v>20</v>
      </c>
      <c r="T1" s="141" t="s">
        <v>21</v>
      </c>
      <c r="U1" s="141" t="s">
        <v>1102</v>
      </c>
      <c r="V1" s="141" t="s">
        <v>1103</v>
      </c>
      <c r="W1" s="141" t="s">
        <v>14</v>
      </c>
      <c r="X1" s="141" t="s">
        <v>15</v>
      </c>
      <c r="Y1" s="141" t="s">
        <v>16</v>
      </c>
      <c r="Z1" s="141" t="s">
        <v>17</v>
      </c>
      <c r="AA1" s="141" t="s">
        <v>22</v>
      </c>
      <c r="AB1" s="141" t="s">
        <v>23</v>
      </c>
      <c r="AC1" s="141" t="s">
        <v>18</v>
      </c>
      <c r="AD1" s="141" t="s">
        <v>24</v>
      </c>
      <c r="AE1" s="141" t="s">
        <v>25</v>
      </c>
      <c r="AF1" s="141" t="s">
        <v>26</v>
      </c>
      <c r="AG1" s="141" t="s">
        <v>19</v>
      </c>
      <c r="AH1" s="141" t="s">
        <v>1104</v>
      </c>
      <c r="AI1" s="141" t="s">
        <v>27</v>
      </c>
      <c r="AJ1" s="141" t="s">
        <v>28</v>
      </c>
      <c r="AK1" s="141" t="s">
        <v>29</v>
      </c>
      <c r="AL1" s="141" t="s">
        <v>1105</v>
      </c>
      <c r="AM1" s="141" t="s">
        <v>30</v>
      </c>
      <c r="AN1" s="141" t="s">
        <v>31</v>
      </c>
      <c r="AO1" s="141" t="s">
        <v>32</v>
      </c>
    </row>
    <row r="2" spans="1:42" ht="29">
      <c r="A2" s="191" t="s">
        <v>1224</v>
      </c>
      <c r="B2" s="190">
        <v>3</v>
      </c>
      <c r="C2" s="190">
        <v>2</v>
      </c>
      <c r="D2" s="190">
        <v>8</v>
      </c>
      <c r="E2" s="191" t="s">
        <v>311</v>
      </c>
      <c r="F2" s="190">
        <v>5</v>
      </c>
      <c r="G2" s="191" t="s">
        <v>36</v>
      </c>
      <c r="H2" s="190">
        <v>1</v>
      </c>
      <c r="I2" s="190">
        <v>108</v>
      </c>
      <c r="J2" s="191" t="s">
        <v>54</v>
      </c>
      <c r="K2" s="191" t="s">
        <v>61</v>
      </c>
      <c r="L2" s="191" t="s">
        <v>36</v>
      </c>
      <c r="M2" s="191" t="s">
        <v>37</v>
      </c>
      <c r="N2" s="191" t="s">
        <v>58</v>
      </c>
      <c r="O2" s="191" t="s">
        <v>39</v>
      </c>
      <c r="P2" s="191" t="s">
        <v>41</v>
      </c>
      <c r="Q2" s="191" t="s">
        <v>61</v>
      </c>
      <c r="R2" s="191" t="s">
        <v>42</v>
      </c>
      <c r="S2" s="191" t="s">
        <v>48</v>
      </c>
      <c r="T2" s="191" t="s">
        <v>44</v>
      </c>
      <c r="U2" s="191" t="s">
        <v>119</v>
      </c>
      <c r="V2" s="191" t="s">
        <v>1106</v>
      </c>
      <c r="W2" s="191" t="s">
        <v>47</v>
      </c>
      <c r="X2" s="191" t="s">
        <v>44</v>
      </c>
      <c r="Y2" s="191" t="s">
        <v>45</v>
      </c>
      <c r="Z2" s="191" t="s">
        <v>43</v>
      </c>
      <c r="AA2" s="191" t="s">
        <v>49</v>
      </c>
      <c r="AB2" s="191" t="s">
        <v>84</v>
      </c>
      <c r="AC2" s="191" t="s">
        <v>43</v>
      </c>
      <c r="AD2" s="191" t="s">
        <v>72</v>
      </c>
      <c r="AE2" s="191" t="s">
        <v>44</v>
      </c>
      <c r="AF2" s="191" t="s">
        <v>95</v>
      </c>
      <c r="AG2" s="191" t="s">
        <v>43</v>
      </c>
      <c r="AH2" s="191" t="s">
        <v>44</v>
      </c>
      <c r="AI2" s="191" t="s">
        <v>39</v>
      </c>
      <c r="AJ2" s="191" t="s">
        <v>36</v>
      </c>
      <c r="AK2" s="191" t="s">
        <v>57</v>
      </c>
      <c r="AL2" s="191" t="s">
        <v>44</v>
      </c>
      <c r="AM2" s="191" t="s">
        <v>45</v>
      </c>
      <c r="AN2" s="191" t="s">
        <v>44</v>
      </c>
      <c r="AO2" s="191" t="s">
        <v>44</v>
      </c>
      <c r="AP2" s="191" t="s">
        <v>44</v>
      </c>
    </row>
    <row r="3" spans="1:42" ht="43.5">
      <c r="A3" s="191" t="s">
        <v>1225</v>
      </c>
      <c r="B3" s="190">
        <v>3</v>
      </c>
      <c r="C3" s="190">
        <v>4</v>
      </c>
      <c r="D3" s="190">
        <v>3</v>
      </c>
      <c r="E3" s="191" t="s">
        <v>315</v>
      </c>
      <c r="F3" s="190">
        <v>4</v>
      </c>
      <c r="G3" s="191" t="s">
        <v>36</v>
      </c>
      <c r="H3" s="190">
        <v>1</v>
      </c>
      <c r="I3" s="190">
        <v>125</v>
      </c>
      <c r="J3" s="191" t="s">
        <v>80</v>
      </c>
      <c r="K3" s="191" t="s">
        <v>61</v>
      </c>
      <c r="L3" s="191" t="s">
        <v>67</v>
      </c>
      <c r="M3" s="191" t="s">
        <v>37</v>
      </c>
      <c r="N3" s="191" t="s">
        <v>58</v>
      </c>
      <c r="O3" s="191" t="s">
        <v>288</v>
      </c>
      <c r="P3" s="191" t="s">
        <v>56</v>
      </c>
      <c r="Q3" s="191" t="s">
        <v>76</v>
      </c>
      <c r="R3" s="191" t="s">
        <v>87</v>
      </c>
      <c r="S3" s="191" t="s">
        <v>48</v>
      </c>
      <c r="T3" s="191" t="s">
        <v>44</v>
      </c>
      <c r="U3" s="191" t="s">
        <v>119</v>
      </c>
      <c r="V3" s="191" t="s">
        <v>1141</v>
      </c>
      <c r="W3" s="191" t="s">
        <v>47</v>
      </c>
      <c r="X3" s="191" t="s">
        <v>44</v>
      </c>
      <c r="Y3" s="191" t="s">
        <v>61</v>
      </c>
      <c r="Z3" s="191" t="s">
        <v>43</v>
      </c>
      <c r="AA3" s="191" t="s">
        <v>62</v>
      </c>
      <c r="AB3" s="191" t="s">
        <v>50</v>
      </c>
      <c r="AC3" s="191" t="s">
        <v>43</v>
      </c>
      <c r="AD3" s="191" t="s">
        <v>72</v>
      </c>
      <c r="AE3" s="191" t="s">
        <v>44</v>
      </c>
      <c r="AF3" s="191" t="s">
        <v>95</v>
      </c>
      <c r="AG3" s="191" t="s">
        <v>47</v>
      </c>
      <c r="AH3" s="191" t="s">
        <v>44</v>
      </c>
      <c r="AI3" s="191" t="s">
        <v>134</v>
      </c>
      <c r="AJ3" s="191" t="s">
        <v>36</v>
      </c>
      <c r="AK3" s="191" t="s">
        <v>47</v>
      </c>
      <c r="AL3" s="191" t="s">
        <v>44</v>
      </c>
      <c r="AM3" s="191" t="s">
        <v>43</v>
      </c>
      <c r="AN3" s="191" t="s">
        <v>44</v>
      </c>
      <c r="AO3" s="191" t="s">
        <v>44</v>
      </c>
      <c r="AP3" s="191" t="s">
        <v>44</v>
      </c>
    </row>
    <row r="4" spans="1:42" ht="29">
      <c r="A4" s="191" t="s">
        <v>1226</v>
      </c>
      <c r="B4" s="190">
        <v>3</v>
      </c>
      <c r="C4" s="190">
        <v>3</v>
      </c>
      <c r="D4" s="190">
        <v>9</v>
      </c>
      <c r="E4" s="191" t="s">
        <v>315</v>
      </c>
      <c r="F4" s="190">
        <v>2</v>
      </c>
      <c r="G4" s="191" t="s">
        <v>36</v>
      </c>
      <c r="H4" s="190">
        <v>1</v>
      </c>
      <c r="I4" s="190">
        <v>90</v>
      </c>
      <c r="J4" s="191" t="s">
        <v>54</v>
      </c>
      <c r="K4" s="191" t="s">
        <v>61</v>
      </c>
      <c r="L4" s="191" t="s">
        <v>36</v>
      </c>
      <c r="M4" s="191" t="s">
        <v>37</v>
      </c>
      <c r="N4" s="191" t="s">
        <v>58</v>
      </c>
      <c r="O4" s="191" t="s">
        <v>39</v>
      </c>
      <c r="P4" s="191" t="s">
        <v>41</v>
      </c>
      <c r="Q4" s="191" t="s">
        <v>127</v>
      </c>
      <c r="R4" s="191" t="s">
        <v>42</v>
      </c>
      <c r="S4" s="191" t="s">
        <v>48</v>
      </c>
      <c r="T4" s="191" t="s">
        <v>44</v>
      </c>
      <c r="U4" s="191" t="s">
        <v>117</v>
      </c>
      <c r="V4" s="191" t="s">
        <v>355</v>
      </c>
      <c r="W4" s="191" t="s">
        <v>43</v>
      </c>
      <c r="X4" s="191" t="s">
        <v>44</v>
      </c>
      <c r="Y4" s="191" t="s">
        <v>45</v>
      </c>
      <c r="Z4" s="191" t="s">
        <v>43</v>
      </c>
      <c r="AA4" s="191" t="s">
        <v>62</v>
      </c>
      <c r="AB4" s="191" t="s">
        <v>50</v>
      </c>
      <c r="AC4" s="191" t="s">
        <v>47</v>
      </c>
      <c r="AD4" s="191" t="s">
        <v>72</v>
      </c>
      <c r="AE4" s="191" t="s">
        <v>44</v>
      </c>
      <c r="AF4" s="191" t="s">
        <v>95</v>
      </c>
      <c r="AG4" s="191" t="s">
        <v>43</v>
      </c>
      <c r="AH4" s="191" t="s">
        <v>44</v>
      </c>
      <c r="AI4" s="191" t="s">
        <v>39</v>
      </c>
      <c r="AJ4" s="191" t="s">
        <v>36</v>
      </c>
      <c r="AK4" s="191" t="s">
        <v>158</v>
      </c>
      <c r="AL4" s="191" t="s">
        <v>44</v>
      </c>
      <c r="AM4" s="191" t="s">
        <v>45</v>
      </c>
      <c r="AN4" s="191" t="s">
        <v>44</v>
      </c>
      <c r="AO4" s="191" t="s">
        <v>44</v>
      </c>
      <c r="AP4" s="191" t="s">
        <v>44</v>
      </c>
    </row>
    <row r="5" spans="1:42" ht="29">
      <c r="A5" s="191" t="s">
        <v>1227</v>
      </c>
      <c r="B5" s="190">
        <v>3</v>
      </c>
      <c r="C5" s="190">
        <v>6</v>
      </c>
      <c r="D5" s="190">
        <v>7</v>
      </c>
      <c r="E5" s="191" t="s">
        <v>315</v>
      </c>
      <c r="F5" s="190">
        <v>2</v>
      </c>
      <c r="G5" s="191" t="s">
        <v>36</v>
      </c>
      <c r="H5" s="190">
        <v>1</v>
      </c>
      <c r="I5" s="190">
        <v>88</v>
      </c>
      <c r="J5" s="191" t="s">
        <v>54</v>
      </c>
      <c r="K5" s="191" t="s">
        <v>47</v>
      </c>
      <c r="L5" s="191" t="s">
        <v>67</v>
      </c>
      <c r="M5" s="191" t="s">
        <v>37</v>
      </c>
      <c r="N5" s="191" t="s">
        <v>58</v>
      </c>
      <c r="O5" s="191" t="s">
        <v>39</v>
      </c>
      <c r="P5" s="191" t="s">
        <v>41</v>
      </c>
      <c r="Q5" s="191" t="s">
        <v>90</v>
      </c>
      <c r="R5" s="191" t="s">
        <v>42</v>
      </c>
      <c r="S5" s="191" t="s">
        <v>48</v>
      </c>
      <c r="T5" s="191" t="s">
        <v>44</v>
      </c>
      <c r="U5" s="191" t="s">
        <v>119</v>
      </c>
      <c r="V5" s="191" t="s">
        <v>1106</v>
      </c>
      <c r="W5" s="191" t="s">
        <v>46</v>
      </c>
      <c r="X5" s="191" t="s">
        <v>44</v>
      </c>
      <c r="Y5" s="191" t="s">
        <v>45</v>
      </c>
      <c r="Z5" s="191" t="s">
        <v>43</v>
      </c>
      <c r="AA5" s="191" t="s">
        <v>49</v>
      </c>
      <c r="AB5" s="191" t="s">
        <v>50</v>
      </c>
      <c r="AC5" s="191" t="s">
        <v>43</v>
      </c>
      <c r="AD5" s="191" t="s">
        <v>91</v>
      </c>
      <c r="AE5" s="191" t="s">
        <v>44</v>
      </c>
      <c r="AF5" s="191" t="s">
        <v>95</v>
      </c>
      <c r="AG5" s="191" t="s">
        <v>47</v>
      </c>
      <c r="AH5" s="191" t="s">
        <v>44</v>
      </c>
      <c r="AI5" s="191" t="s">
        <v>39</v>
      </c>
      <c r="AJ5" s="191" t="s">
        <v>36</v>
      </c>
      <c r="AK5" s="191" t="s">
        <v>71</v>
      </c>
      <c r="AL5" s="191" t="s">
        <v>44</v>
      </c>
      <c r="AM5" s="191" t="s">
        <v>45</v>
      </c>
      <c r="AN5" s="191" t="s">
        <v>44</v>
      </c>
      <c r="AO5" s="191" t="s">
        <v>44</v>
      </c>
      <c r="AP5" s="191" t="s">
        <v>44</v>
      </c>
    </row>
    <row r="6" spans="1:42" ht="29">
      <c r="A6" s="191" t="s">
        <v>1228</v>
      </c>
      <c r="B6" s="190">
        <v>3</v>
      </c>
      <c r="C6" s="190">
        <v>7</v>
      </c>
      <c r="D6" s="190">
        <v>7</v>
      </c>
      <c r="E6" s="191" t="s">
        <v>318</v>
      </c>
      <c r="F6" s="190">
        <v>2</v>
      </c>
      <c r="G6" s="191" t="s">
        <v>36</v>
      </c>
      <c r="H6" s="190">
        <v>1</v>
      </c>
      <c r="I6" s="190">
        <v>120</v>
      </c>
      <c r="J6" s="191" t="s">
        <v>54</v>
      </c>
      <c r="K6" s="191" t="s">
        <v>40</v>
      </c>
      <c r="L6" s="191" t="s">
        <v>36</v>
      </c>
      <c r="M6" s="191" t="s">
        <v>37</v>
      </c>
      <c r="N6" s="191" t="s">
        <v>58</v>
      </c>
      <c r="O6" s="191" t="s">
        <v>288</v>
      </c>
      <c r="P6" s="191" t="s">
        <v>41</v>
      </c>
      <c r="Q6" s="191" t="s">
        <v>71</v>
      </c>
      <c r="R6" s="191" t="s">
        <v>60</v>
      </c>
      <c r="S6" s="191" t="s">
        <v>48</v>
      </c>
      <c r="T6" s="191" t="s">
        <v>44</v>
      </c>
      <c r="U6" s="191" t="s">
        <v>126</v>
      </c>
      <c r="V6" s="191" t="s">
        <v>1106</v>
      </c>
      <c r="W6" s="191" t="s">
        <v>43</v>
      </c>
      <c r="X6" s="191" t="s">
        <v>44</v>
      </c>
      <c r="Y6" s="191" t="s">
        <v>47</v>
      </c>
      <c r="Z6" s="191" t="s">
        <v>43</v>
      </c>
      <c r="AA6" s="191" t="s">
        <v>49</v>
      </c>
      <c r="AB6" s="191" t="s">
        <v>50</v>
      </c>
      <c r="AC6" s="191" t="s">
        <v>43</v>
      </c>
      <c r="AD6" s="191" t="s">
        <v>72</v>
      </c>
      <c r="AE6" s="191" t="s">
        <v>44</v>
      </c>
      <c r="AF6" s="191" t="s">
        <v>95</v>
      </c>
      <c r="AG6" s="191" t="s">
        <v>43</v>
      </c>
      <c r="AH6" s="191" t="s">
        <v>44</v>
      </c>
      <c r="AI6" s="191" t="s">
        <v>39</v>
      </c>
      <c r="AJ6" s="191" t="s">
        <v>36</v>
      </c>
      <c r="AK6" s="191" t="s">
        <v>77</v>
      </c>
      <c r="AL6" s="191" t="s">
        <v>44</v>
      </c>
      <c r="AM6" s="191" t="s">
        <v>45</v>
      </c>
      <c r="AN6" s="191" t="s">
        <v>44</v>
      </c>
      <c r="AO6" s="191" t="s">
        <v>44</v>
      </c>
      <c r="AP6" s="191" t="s">
        <v>44</v>
      </c>
    </row>
    <row r="7" spans="1:42" ht="29">
      <c r="A7" s="191" t="s">
        <v>1229</v>
      </c>
      <c r="B7" s="190">
        <v>3</v>
      </c>
      <c r="C7" s="190">
        <v>5</v>
      </c>
      <c r="D7" s="190">
        <v>9</v>
      </c>
      <c r="E7" s="191" t="s">
        <v>315</v>
      </c>
      <c r="F7" s="190">
        <v>3</v>
      </c>
      <c r="G7" s="191" t="s">
        <v>36</v>
      </c>
      <c r="H7" s="190">
        <v>1</v>
      </c>
      <c r="I7" s="190">
        <v>120</v>
      </c>
      <c r="J7" s="191" t="s">
        <v>65</v>
      </c>
      <c r="K7" s="191" t="s">
        <v>40</v>
      </c>
      <c r="L7" s="191" t="s">
        <v>67</v>
      </c>
      <c r="M7" s="191" t="s">
        <v>37</v>
      </c>
      <c r="N7" s="191" t="s">
        <v>58</v>
      </c>
      <c r="O7" s="191" t="s">
        <v>99</v>
      </c>
      <c r="P7" s="191" t="s">
        <v>41</v>
      </c>
      <c r="Q7" s="191" t="s">
        <v>104</v>
      </c>
      <c r="R7" s="191" t="s">
        <v>60</v>
      </c>
      <c r="S7" s="191" t="s">
        <v>48</v>
      </c>
      <c r="T7" s="191" t="s">
        <v>44</v>
      </c>
      <c r="U7" s="191" t="s">
        <v>117</v>
      </c>
      <c r="V7" s="191" t="s">
        <v>1106</v>
      </c>
      <c r="W7" s="191" t="s">
        <v>43</v>
      </c>
      <c r="X7" s="191" t="s">
        <v>44</v>
      </c>
      <c r="Y7" s="191" t="s">
        <v>43</v>
      </c>
      <c r="Z7" s="191" t="s">
        <v>43</v>
      </c>
      <c r="AA7" s="191" t="s">
        <v>49</v>
      </c>
      <c r="AB7" s="191" t="s">
        <v>50</v>
      </c>
      <c r="AC7" s="191" t="s">
        <v>43</v>
      </c>
      <c r="AD7" s="191" t="s">
        <v>72</v>
      </c>
      <c r="AE7" s="191" t="s">
        <v>44</v>
      </c>
      <c r="AF7" s="191" t="s">
        <v>108</v>
      </c>
      <c r="AG7" s="191" t="s">
        <v>47</v>
      </c>
      <c r="AH7" s="191" t="s">
        <v>44</v>
      </c>
      <c r="AI7" s="191" t="s">
        <v>39</v>
      </c>
      <c r="AJ7" s="191" t="s">
        <v>36</v>
      </c>
      <c r="AK7" s="191" t="s">
        <v>146</v>
      </c>
      <c r="AL7" s="191" t="s">
        <v>1230</v>
      </c>
      <c r="AM7" s="191" t="s">
        <v>43</v>
      </c>
      <c r="AN7" s="191" t="s">
        <v>44</v>
      </c>
      <c r="AO7" s="191" t="s">
        <v>44</v>
      </c>
      <c r="AP7" s="191" t="s">
        <v>44</v>
      </c>
    </row>
    <row r="8" spans="1:42" ht="29">
      <c r="A8" s="191" t="s">
        <v>1231</v>
      </c>
      <c r="B8" s="190">
        <v>3</v>
      </c>
      <c r="C8" s="190">
        <v>7</v>
      </c>
      <c r="D8" s="190">
        <v>7</v>
      </c>
      <c r="E8" s="191" t="s">
        <v>318</v>
      </c>
      <c r="F8" s="190">
        <v>2</v>
      </c>
      <c r="G8" s="191" t="s">
        <v>36</v>
      </c>
      <c r="H8" s="190">
        <v>1</v>
      </c>
      <c r="I8" s="190">
        <v>138</v>
      </c>
      <c r="J8" s="191" t="s">
        <v>54</v>
      </c>
      <c r="K8" s="191" t="s">
        <v>47</v>
      </c>
      <c r="L8" s="191" t="s">
        <v>103</v>
      </c>
      <c r="M8" s="191" t="s">
        <v>37</v>
      </c>
      <c r="N8" s="191" t="s">
        <v>38</v>
      </c>
      <c r="O8" s="191" t="s">
        <v>39</v>
      </c>
      <c r="P8" s="191" t="s">
        <v>41</v>
      </c>
      <c r="Q8" s="191" t="s">
        <v>83</v>
      </c>
      <c r="R8" s="191" t="s">
        <v>60</v>
      </c>
      <c r="S8" s="191" t="s">
        <v>48</v>
      </c>
      <c r="T8" s="191" t="s">
        <v>44</v>
      </c>
      <c r="U8" s="191" t="s">
        <v>119</v>
      </c>
      <c r="V8" s="191" t="s">
        <v>1106</v>
      </c>
      <c r="W8" s="191" t="s">
        <v>43</v>
      </c>
      <c r="X8" s="191" t="s">
        <v>44</v>
      </c>
      <c r="Y8" s="191" t="s">
        <v>43</v>
      </c>
      <c r="Z8" s="191" t="s">
        <v>43</v>
      </c>
      <c r="AA8" s="191" t="s">
        <v>62</v>
      </c>
      <c r="AB8" s="191" t="s">
        <v>50</v>
      </c>
      <c r="AC8" s="191" t="s">
        <v>43</v>
      </c>
      <c r="AD8" s="191" t="s">
        <v>91</v>
      </c>
      <c r="AE8" s="191" t="s">
        <v>44</v>
      </c>
      <c r="AF8" s="191" t="s">
        <v>52</v>
      </c>
      <c r="AG8" s="191" t="s">
        <v>47</v>
      </c>
      <c r="AH8" s="191" t="s">
        <v>44</v>
      </c>
      <c r="AI8" s="191" t="s">
        <v>39</v>
      </c>
      <c r="AJ8" s="191" t="s">
        <v>36</v>
      </c>
      <c r="AK8" s="191" t="s">
        <v>73</v>
      </c>
      <c r="AL8" s="191" t="s">
        <v>44</v>
      </c>
      <c r="AM8" s="191" t="s">
        <v>45</v>
      </c>
      <c r="AN8" s="191" t="s">
        <v>44</v>
      </c>
      <c r="AO8" s="191" t="s">
        <v>44</v>
      </c>
      <c r="AP8" s="191" t="s">
        <v>44</v>
      </c>
    </row>
    <row r="9" spans="1:42" ht="29">
      <c r="A9" s="191" t="s">
        <v>1232</v>
      </c>
      <c r="B9" s="190">
        <v>3</v>
      </c>
      <c r="C9" s="190">
        <v>5</v>
      </c>
      <c r="D9" s="190">
        <v>5</v>
      </c>
      <c r="E9" s="191" t="s">
        <v>311</v>
      </c>
      <c r="F9" s="190">
        <v>4</v>
      </c>
      <c r="G9" s="191" t="s">
        <v>36</v>
      </c>
      <c r="H9" s="190">
        <v>1</v>
      </c>
      <c r="I9" s="190">
        <v>130</v>
      </c>
      <c r="J9" s="191" t="s">
        <v>80</v>
      </c>
      <c r="K9" s="191" t="s">
        <v>47</v>
      </c>
      <c r="L9" s="191" t="s">
        <v>103</v>
      </c>
      <c r="M9" s="191" t="s">
        <v>37</v>
      </c>
      <c r="N9" s="191" t="s">
        <v>58</v>
      </c>
      <c r="O9" s="191" t="s">
        <v>39</v>
      </c>
      <c r="P9" s="191" t="s">
        <v>41</v>
      </c>
      <c r="Q9" s="191" t="s">
        <v>114</v>
      </c>
      <c r="R9" s="191" t="s">
        <v>87</v>
      </c>
      <c r="S9" s="191" t="s">
        <v>48</v>
      </c>
      <c r="T9" s="191" t="s">
        <v>44</v>
      </c>
      <c r="U9" s="191" t="s">
        <v>119</v>
      </c>
      <c r="V9" s="191" t="s">
        <v>1141</v>
      </c>
      <c r="W9" s="191" t="s">
        <v>43</v>
      </c>
      <c r="X9" s="191" t="s">
        <v>44</v>
      </c>
      <c r="Y9" s="191" t="s">
        <v>43</v>
      </c>
      <c r="Z9" s="191" t="s">
        <v>43</v>
      </c>
      <c r="AA9" s="191" t="s">
        <v>62</v>
      </c>
      <c r="AB9" s="191" t="s">
        <v>84</v>
      </c>
      <c r="AC9" s="191" t="s">
        <v>43</v>
      </c>
      <c r="AD9" s="191" t="s">
        <v>72</v>
      </c>
      <c r="AE9" s="191" t="s">
        <v>44</v>
      </c>
      <c r="AF9" s="191" t="s">
        <v>95</v>
      </c>
      <c r="AG9" s="191" t="s">
        <v>43</v>
      </c>
      <c r="AH9" s="191" t="s">
        <v>44</v>
      </c>
      <c r="AI9" s="191" t="s">
        <v>39</v>
      </c>
      <c r="AJ9" s="191" t="s">
        <v>36</v>
      </c>
      <c r="AK9" s="191" t="s">
        <v>35</v>
      </c>
      <c r="AL9" s="191" t="s">
        <v>44</v>
      </c>
      <c r="AM9" s="191" t="s">
        <v>63</v>
      </c>
      <c r="AN9" s="191" t="s">
        <v>44</v>
      </c>
      <c r="AO9" s="191" t="s">
        <v>44</v>
      </c>
      <c r="AP9" s="191" t="s">
        <v>44</v>
      </c>
    </row>
    <row r="10" spans="1:42" ht="43.5">
      <c r="A10" s="191" t="s">
        <v>1233</v>
      </c>
      <c r="B10" s="190">
        <v>3</v>
      </c>
      <c r="C10" s="190">
        <v>5</v>
      </c>
      <c r="D10" s="190">
        <v>2</v>
      </c>
      <c r="E10" s="191" t="s">
        <v>311</v>
      </c>
      <c r="F10" s="190">
        <v>2</v>
      </c>
      <c r="G10" s="191" t="s">
        <v>36</v>
      </c>
      <c r="H10" s="190">
        <v>1</v>
      </c>
      <c r="I10" s="190">
        <v>120</v>
      </c>
      <c r="J10" s="191" t="s">
        <v>54</v>
      </c>
      <c r="K10" s="191" t="s">
        <v>89</v>
      </c>
      <c r="L10" s="191" t="s">
        <v>36</v>
      </c>
      <c r="M10" s="191" t="s">
        <v>37</v>
      </c>
      <c r="N10" s="191" t="s">
        <v>38</v>
      </c>
      <c r="O10" s="191" t="s">
        <v>288</v>
      </c>
      <c r="P10" s="191" t="s">
        <v>66</v>
      </c>
      <c r="Q10" s="191" t="s">
        <v>43</v>
      </c>
      <c r="R10" s="191" t="s">
        <v>42</v>
      </c>
      <c r="S10" s="191" t="s">
        <v>48</v>
      </c>
      <c r="T10" s="191" t="s">
        <v>44</v>
      </c>
      <c r="U10" s="191" t="s">
        <v>45</v>
      </c>
      <c r="V10" s="191" t="s">
        <v>1141</v>
      </c>
      <c r="W10" s="191" t="s">
        <v>43</v>
      </c>
      <c r="X10" s="191" t="s">
        <v>44</v>
      </c>
      <c r="Y10" s="191" t="s">
        <v>45</v>
      </c>
      <c r="Z10" s="191" t="s">
        <v>43</v>
      </c>
      <c r="AA10" s="191" t="s">
        <v>62</v>
      </c>
      <c r="AB10" s="191" t="s">
        <v>84</v>
      </c>
      <c r="AC10" s="191" t="s">
        <v>43</v>
      </c>
      <c r="AD10" s="191" t="s">
        <v>72</v>
      </c>
      <c r="AE10" s="191" t="s">
        <v>44</v>
      </c>
      <c r="AF10" s="191" t="s">
        <v>95</v>
      </c>
      <c r="AG10" s="191" t="s">
        <v>43</v>
      </c>
      <c r="AH10" s="191" t="s">
        <v>44</v>
      </c>
      <c r="AI10" s="191" t="s">
        <v>39</v>
      </c>
      <c r="AJ10" s="191" t="s">
        <v>36</v>
      </c>
      <c r="AK10" s="191" t="s">
        <v>73</v>
      </c>
      <c r="AL10" s="191" t="s">
        <v>44</v>
      </c>
      <c r="AM10" s="191" t="s">
        <v>45</v>
      </c>
      <c r="AN10" s="191" t="s">
        <v>44</v>
      </c>
      <c r="AO10" s="191" t="s">
        <v>44</v>
      </c>
      <c r="AP10" s="191" t="s">
        <v>44</v>
      </c>
    </row>
    <row r="11" spans="1:42" ht="43.5">
      <c r="A11" s="191" t="s">
        <v>1234</v>
      </c>
      <c r="B11" s="190">
        <v>3</v>
      </c>
      <c r="C11" s="190">
        <v>6</v>
      </c>
      <c r="D11" s="190">
        <v>9</v>
      </c>
      <c r="E11" s="191" t="s">
        <v>315</v>
      </c>
      <c r="F11" s="190">
        <v>1</v>
      </c>
      <c r="G11" s="191" t="s">
        <v>36</v>
      </c>
      <c r="H11" s="190">
        <v>1</v>
      </c>
      <c r="I11" s="190">
        <v>113</v>
      </c>
      <c r="J11" s="191" t="s">
        <v>54</v>
      </c>
      <c r="K11" s="191" t="s">
        <v>61</v>
      </c>
      <c r="L11" s="191" t="s">
        <v>70</v>
      </c>
      <c r="M11" s="191" t="s">
        <v>37</v>
      </c>
      <c r="N11" s="191" t="s">
        <v>58</v>
      </c>
      <c r="O11" s="191" t="s">
        <v>288</v>
      </c>
      <c r="P11" s="191" t="s">
        <v>56</v>
      </c>
      <c r="Q11" s="191" t="s">
        <v>83</v>
      </c>
      <c r="R11" s="191" t="s">
        <v>42</v>
      </c>
      <c r="S11" s="191" t="s">
        <v>48</v>
      </c>
      <c r="T11" s="191" t="s">
        <v>44</v>
      </c>
      <c r="U11" s="191" t="s">
        <v>126</v>
      </c>
      <c r="V11" s="191" t="s">
        <v>1141</v>
      </c>
      <c r="W11" s="191" t="s">
        <v>43</v>
      </c>
      <c r="X11" s="191" t="s">
        <v>44</v>
      </c>
      <c r="Y11" s="191" t="s">
        <v>43</v>
      </c>
      <c r="Z11" s="191" t="s">
        <v>43</v>
      </c>
      <c r="AA11" s="191" t="s">
        <v>62</v>
      </c>
      <c r="AB11" s="191" t="s">
        <v>50</v>
      </c>
      <c r="AC11" s="191" t="s">
        <v>43</v>
      </c>
      <c r="AD11" s="191" t="s">
        <v>72</v>
      </c>
      <c r="AE11" s="191" t="s">
        <v>44</v>
      </c>
      <c r="AF11" s="191" t="s">
        <v>95</v>
      </c>
      <c r="AG11" s="191" t="s">
        <v>47</v>
      </c>
      <c r="AH11" s="191" t="s">
        <v>44</v>
      </c>
      <c r="AI11" s="191" t="s">
        <v>39</v>
      </c>
      <c r="AJ11" s="191" t="s">
        <v>36</v>
      </c>
      <c r="AK11" s="191" t="s">
        <v>109</v>
      </c>
      <c r="AL11" s="191" t="s">
        <v>44</v>
      </c>
      <c r="AM11" s="191" t="s">
        <v>45</v>
      </c>
      <c r="AN11" s="191" t="s">
        <v>44</v>
      </c>
      <c r="AO11" s="191" t="s">
        <v>44</v>
      </c>
      <c r="AP11" s="191" t="s">
        <v>44</v>
      </c>
    </row>
    <row r="12" spans="1:42" ht="29">
      <c r="A12" s="191" t="s">
        <v>1235</v>
      </c>
      <c r="B12" s="190">
        <v>3</v>
      </c>
      <c r="C12" s="190">
        <v>7</v>
      </c>
      <c r="D12" s="190">
        <v>7</v>
      </c>
      <c r="E12" s="191" t="s">
        <v>315</v>
      </c>
      <c r="F12" s="190">
        <v>2</v>
      </c>
      <c r="G12" s="191" t="s">
        <v>36</v>
      </c>
      <c r="H12" s="190">
        <v>1</v>
      </c>
      <c r="I12" s="190">
        <v>150</v>
      </c>
      <c r="J12" s="191" t="s">
        <v>54</v>
      </c>
      <c r="K12" s="191" t="s">
        <v>47</v>
      </c>
      <c r="L12" s="191" t="s">
        <v>36</v>
      </c>
      <c r="M12" s="191" t="s">
        <v>37</v>
      </c>
      <c r="N12" s="191" t="s">
        <v>58</v>
      </c>
      <c r="O12" s="191" t="s">
        <v>39</v>
      </c>
      <c r="P12" s="191" t="s">
        <v>41</v>
      </c>
      <c r="Q12" s="191" t="s">
        <v>83</v>
      </c>
      <c r="R12" s="191" t="s">
        <v>42</v>
      </c>
      <c r="S12" s="191" t="s">
        <v>48</v>
      </c>
      <c r="T12" s="191" t="s">
        <v>44</v>
      </c>
      <c r="U12" s="191" t="s">
        <v>1124</v>
      </c>
      <c r="V12" s="191" t="s">
        <v>355</v>
      </c>
      <c r="W12" s="191" t="s">
        <v>43</v>
      </c>
      <c r="X12" s="191" t="s">
        <v>44</v>
      </c>
      <c r="Y12" s="191" t="s">
        <v>45</v>
      </c>
      <c r="Z12" s="191" t="s">
        <v>47</v>
      </c>
      <c r="AA12" s="191" t="s">
        <v>62</v>
      </c>
      <c r="AB12" s="191" t="s">
        <v>50</v>
      </c>
      <c r="AC12" s="191" t="s">
        <v>43</v>
      </c>
      <c r="AD12" s="191" t="s">
        <v>72</v>
      </c>
      <c r="AE12" s="191" t="s">
        <v>44</v>
      </c>
      <c r="AF12" s="191" t="s">
        <v>95</v>
      </c>
      <c r="AG12" s="191" t="s">
        <v>43</v>
      </c>
      <c r="AH12" s="191" t="s">
        <v>44</v>
      </c>
      <c r="AI12" s="191" t="s">
        <v>39</v>
      </c>
      <c r="AJ12" s="191" t="s">
        <v>36</v>
      </c>
      <c r="AK12" s="191" t="s">
        <v>73</v>
      </c>
      <c r="AL12" s="191" t="s">
        <v>44</v>
      </c>
      <c r="AM12" s="191" t="s">
        <v>47</v>
      </c>
      <c r="AN12" s="191" t="s">
        <v>44</v>
      </c>
      <c r="AO12" s="191" t="s">
        <v>44</v>
      </c>
      <c r="AP12" s="191" t="s">
        <v>44</v>
      </c>
    </row>
    <row r="13" spans="1:42" ht="29">
      <c r="A13" s="191" t="s">
        <v>1236</v>
      </c>
      <c r="B13" s="190">
        <v>3</v>
      </c>
      <c r="C13" s="190">
        <v>5</v>
      </c>
      <c r="D13" s="190">
        <v>5</v>
      </c>
      <c r="E13" s="191" t="s">
        <v>311</v>
      </c>
      <c r="F13" s="190">
        <v>2</v>
      </c>
      <c r="G13" s="191" t="s">
        <v>36</v>
      </c>
      <c r="H13" s="190">
        <v>1</v>
      </c>
      <c r="I13" s="190">
        <v>114</v>
      </c>
      <c r="J13" s="191" t="s">
        <v>54</v>
      </c>
      <c r="K13" s="191" t="s">
        <v>61</v>
      </c>
      <c r="L13" s="191" t="s">
        <v>103</v>
      </c>
      <c r="M13" s="191" t="s">
        <v>37</v>
      </c>
      <c r="N13" s="191" t="s">
        <v>58</v>
      </c>
      <c r="O13" s="191" t="s">
        <v>39</v>
      </c>
      <c r="P13" s="191" t="s">
        <v>41</v>
      </c>
      <c r="Q13" s="191" t="s">
        <v>40</v>
      </c>
      <c r="R13" s="191" t="s">
        <v>42</v>
      </c>
      <c r="S13" s="191" t="s">
        <v>48</v>
      </c>
      <c r="T13" s="191" t="s">
        <v>44</v>
      </c>
      <c r="U13" s="191" t="s">
        <v>119</v>
      </c>
      <c r="V13" s="191" t="s">
        <v>1141</v>
      </c>
      <c r="W13" s="191" t="s">
        <v>43</v>
      </c>
      <c r="X13" s="191" t="s">
        <v>44</v>
      </c>
      <c r="Y13" s="191" t="s">
        <v>45</v>
      </c>
      <c r="Z13" s="191" t="s">
        <v>43</v>
      </c>
      <c r="AA13" s="191" t="s">
        <v>49</v>
      </c>
      <c r="AB13" s="191" t="s">
        <v>50</v>
      </c>
      <c r="AC13" s="191" t="s">
        <v>43</v>
      </c>
      <c r="AD13" s="191" t="s">
        <v>72</v>
      </c>
      <c r="AE13" s="191" t="s">
        <v>44</v>
      </c>
      <c r="AF13" s="191" t="s">
        <v>95</v>
      </c>
      <c r="AG13" s="191" t="s">
        <v>43</v>
      </c>
      <c r="AH13" s="191" t="s">
        <v>44</v>
      </c>
      <c r="AI13" s="191" t="s">
        <v>39</v>
      </c>
      <c r="AJ13" s="191" t="s">
        <v>36</v>
      </c>
      <c r="AK13" s="191" t="s">
        <v>73</v>
      </c>
      <c r="AL13" s="191" t="s">
        <v>44</v>
      </c>
      <c r="AM13" s="191" t="s">
        <v>45</v>
      </c>
      <c r="AN13" s="191" t="s">
        <v>44</v>
      </c>
      <c r="AO13" s="191" t="s">
        <v>44</v>
      </c>
      <c r="AP13" s="191" t="s">
        <v>44</v>
      </c>
    </row>
    <row r="14" spans="1:42" ht="43.5">
      <c r="A14" s="191" t="s">
        <v>1237</v>
      </c>
      <c r="B14" s="190">
        <v>3</v>
      </c>
      <c r="C14" s="190">
        <v>7</v>
      </c>
      <c r="D14" s="190">
        <v>7</v>
      </c>
      <c r="E14" s="191" t="s">
        <v>318</v>
      </c>
      <c r="F14" s="190">
        <v>2</v>
      </c>
      <c r="G14" s="191" t="s">
        <v>36</v>
      </c>
      <c r="H14" s="190">
        <v>1</v>
      </c>
      <c r="I14" s="190">
        <v>114</v>
      </c>
      <c r="J14" s="191" t="s">
        <v>54</v>
      </c>
      <c r="K14" s="191" t="s">
        <v>61</v>
      </c>
      <c r="L14" s="191" t="s">
        <v>36</v>
      </c>
      <c r="M14" s="191" t="s">
        <v>37</v>
      </c>
      <c r="N14" s="191" t="s">
        <v>95</v>
      </c>
      <c r="O14" s="191" t="s">
        <v>39</v>
      </c>
      <c r="P14" s="191" t="s">
        <v>41</v>
      </c>
      <c r="Q14" s="191" t="s">
        <v>40</v>
      </c>
      <c r="R14" s="191" t="s">
        <v>42</v>
      </c>
      <c r="S14" s="191" t="s">
        <v>48</v>
      </c>
      <c r="T14" s="191" t="s">
        <v>44</v>
      </c>
      <c r="U14" s="191" t="s">
        <v>117</v>
      </c>
      <c r="V14" s="191" t="s">
        <v>1141</v>
      </c>
      <c r="W14" s="191" t="s">
        <v>43</v>
      </c>
      <c r="X14" s="191" t="s">
        <v>44</v>
      </c>
      <c r="Y14" s="191" t="s">
        <v>45</v>
      </c>
      <c r="Z14" s="191" t="s">
        <v>43</v>
      </c>
      <c r="AA14" s="191" t="s">
        <v>105</v>
      </c>
      <c r="AB14" s="191" t="s">
        <v>50</v>
      </c>
      <c r="AC14" s="191" t="s">
        <v>47</v>
      </c>
      <c r="AD14" s="191" t="s">
        <v>91</v>
      </c>
      <c r="AE14" s="191" t="s">
        <v>44</v>
      </c>
      <c r="AF14" s="191" t="s">
        <v>95</v>
      </c>
      <c r="AG14" s="191" t="s">
        <v>43</v>
      </c>
      <c r="AH14" s="191" t="s">
        <v>44</v>
      </c>
      <c r="AI14" s="191" t="s">
        <v>39</v>
      </c>
      <c r="AJ14" s="191" t="s">
        <v>36</v>
      </c>
      <c r="AK14" s="191" t="s">
        <v>61</v>
      </c>
      <c r="AL14" s="191" t="s">
        <v>1238</v>
      </c>
      <c r="AM14" s="191" t="s">
        <v>89</v>
      </c>
      <c r="AN14" s="191" t="s">
        <v>44</v>
      </c>
      <c r="AO14" s="191" t="s">
        <v>44</v>
      </c>
      <c r="AP14" s="191" t="s">
        <v>44</v>
      </c>
    </row>
    <row r="15" spans="1:42" ht="29">
      <c r="A15" s="191" t="s">
        <v>1239</v>
      </c>
      <c r="B15" s="190">
        <v>3</v>
      </c>
      <c r="C15" s="190">
        <v>7</v>
      </c>
      <c r="D15" s="190">
        <v>3</v>
      </c>
      <c r="E15" s="191" t="s">
        <v>315</v>
      </c>
      <c r="F15" s="190">
        <v>1</v>
      </c>
      <c r="G15" s="191" t="s">
        <v>36</v>
      </c>
      <c r="H15" s="190">
        <v>1</v>
      </c>
      <c r="I15" s="190">
        <v>120</v>
      </c>
      <c r="J15" s="191" t="s">
        <v>54</v>
      </c>
      <c r="K15" s="191" t="s">
        <v>47</v>
      </c>
      <c r="L15" s="191" t="s">
        <v>36</v>
      </c>
      <c r="M15" s="191" t="s">
        <v>37</v>
      </c>
      <c r="N15" s="191" t="s">
        <v>58</v>
      </c>
      <c r="O15" s="191" t="s">
        <v>39</v>
      </c>
      <c r="P15" s="191" t="s">
        <v>41</v>
      </c>
      <c r="Q15" s="191" t="s">
        <v>61</v>
      </c>
      <c r="R15" s="191" t="s">
        <v>42</v>
      </c>
      <c r="S15" s="191" t="s">
        <v>48</v>
      </c>
      <c r="T15" s="191" t="s">
        <v>44</v>
      </c>
      <c r="U15" s="191" t="s">
        <v>117</v>
      </c>
      <c r="V15" s="191" t="s">
        <v>1141</v>
      </c>
      <c r="W15" s="191" t="s">
        <v>45</v>
      </c>
      <c r="X15" s="191" t="s">
        <v>44</v>
      </c>
      <c r="Y15" s="191" t="s">
        <v>61</v>
      </c>
      <c r="Z15" s="191" t="s">
        <v>43</v>
      </c>
      <c r="AA15" s="191" t="s">
        <v>62</v>
      </c>
      <c r="AB15" s="191" t="s">
        <v>36</v>
      </c>
      <c r="AC15" s="191" t="s">
        <v>43</v>
      </c>
      <c r="AD15" s="191" t="s">
        <v>72</v>
      </c>
      <c r="AE15" s="191" t="s">
        <v>44</v>
      </c>
      <c r="AF15" s="191" t="s">
        <v>95</v>
      </c>
      <c r="AG15" s="191" t="s">
        <v>43</v>
      </c>
      <c r="AH15" s="191" t="s">
        <v>44</v>
      </c>
      <c r="AI15" s="191" t="s">
        <v>39</v>
      </c>
      <c r="AJ15" s="191" t="s">
        <v>36</v>
      </c>
      <c r="AK15" s="191" t="s">
        <v>59</v>
      </c>
      <c r="AL15" s="191" t="s">
        <v>44</v>
      </c>
      <c r="AM15" s="191" t="s">
        <v>89</v>
      </c>
      <c r="AN15" s="191" t="s">
        <v>44</v>
      </c>
      <c r="AO15" s="191" t="s">
        <v>44</v>
      </c>
      <c r="AP15" s="191" t="s">
        <v>44</v>
      </c>
    </row>
    <row r="16" spans="1:42" ht="29">
      <c r="A16" s="191" t="s">
        <v>1240</v>
      </c>
      <c r="B16" s="190">
        <v>3</v>
      </c>
      <c r="C16" s="190">
        <v>7</v>
      </c>
      <c r="D16" s="190">
        <v>7</v>
      </c>
      <c r="E16" s="191" t="s">
        <v>318</v>
      </c>
      <c r="F16" s="190">
        <v>2</v>
      </c>
      <c r="G16" s="191" t="s">
        <v>36</v>
      </c>
      <c r="H16" s="190">
        <v>1</v>
      </c>
      <c r="I16" s="190">
        <v>80</v>
      </c>
      <c r="J16" s="191" t="s">
        <v>54</v>
      </c>
      <c r="K16" s="191" t="s">
        <v>47</v>
      </c>
      <c r="L16" s="191" t="s">
        <v>36</v>
      </c>
      <c r="M16" s="191" t="s">
        <v>37</v>
      </c>
      <c r="N16" s="191" t="s">
        <v>95</v>
      </c>
      <c r="O16" s="191" t="s">
        <v>39</v>
      </c>
      <c r="P16" s="191" t="s">
        <v>41</v>
      </c>
      <c r="Q16" s="191" t="s">
        <v>40</v>
      </c>
      <c r="R16" s="191" t="s">
        <v>82</v>
      </c>
      <c r="S16" s="191" t="s">
        <v>48</v>
      </c>
      <c r="T16" s="191" t="s">
        <v>44</v>
      </c>
      <c r="U16" s="191" t="s">
        <v>61</v>
      </c>
      <c r="V16" s="191" t="s">
        <v>1141</v>
      </c>
      <c r="W16" s="191" t="s">
        <v>43</v>
      </c>
      <c r="X16" s="191" t="s">
        <v>44</v>
      </c>
      <c r="Y16" s="191" t="s">
        <v>47</v>
      </c>
      <c r="Z16" s="191" t="s">
        <v>43</v>
      </c>
      <c r="AA16" s="191" t="s">
        <v>62</v>
      </c>
      <c r="AB16" s="191" t="s">
        <v>84</v>
      </c>
      <c r="AC16" s="191" t="s">
        <v>43</v>
      </c>
      <c r="AD16" s="191" t="s">
        <v>72</v>
      </c>
      <c r="AE16" s="191" t="s">
        <v>44</v>
      </c>
      <c r="AF16" s="191" t="s">
        <v>95</v>
      </c>
      <c r="AG16" s="191" t="s">
        <v>43</v>
      </c>
      <c r="AH16" s="191" t="s">
        <v>44</v>
      </c>
      <c r="AI16" s="191" t="s">
        <v>39</v>
      </c>
      <c r="AJ16" s="191" t="s">
        <v>36</v>
      </c>
      <c r="AK16" s="191" t="s">
        <v>81</v>
      </c>
      <c r="AL16" s="191" t="s">
        <v>44</v>
      </c>
      <c r="AM16" s="191" t="s">
        <v>109</v>
      </c>
      <c r="AN16" s="191" t="s">
        <v>44</v>
      </c>
      <c r="AO16" s="191" t="s">
        <v>44</v>
      </c>
      <c r="AP16" s="191" t="s">
        <v>44</v>
      </c>
    </row>
    <row r="17" spans="1:42" ht="29">
      <c r="A17" s="191" t="s">
        <v>1241</v>
      </c>
      <c r="B17" s="190">
        <v>3</v>
      </c>
      <c r="C17" s="190">
        <v>5</v>
      </c>
      <c r="D17" s="190">
        <v>3</v>
      </c>
      <c r="E17" s="191" t="s">
        <v>315</v>
      </c>
      <c r="F17" s="190">
        <v>2</v>
      </c>
      <c r="G17" s="191" t="s">
        <v>36</v>
      </c>
      <c r="H17" s="190">
        <v>1</v>
      </c>
      <c r="I17" s="190">
        <v>150</v>
      </c>
      <c r="J17" s="191" t="s">
        <v>80</v>
      </c>
      <c r="K17" s="191" t="s">
        <v>47</v>
      </c>
      <c r="L17" s="191" t="s">
        <v>36</v>
      </c>
      <c r="M17" s="191" t="s">
        <v>37</v>
      </c>
      <c r="N17" s="191" t="s">
        <v>58</v>
      </c>
      <c r="O17" s="191" t="s">
        <v>288</v>
      </c>
      <c r="P17" s="191" t="s">
        <v>98</v>
      </c>
      <c r="Q17" s="191" t="s">
        <v>139</v>
      </c>
      <c r="R17" s="191" t="s">
        <v>87</v>
      </c>
      <c r="S17" s="191" t="s">
        <v>48</v>
      </c>
      <c r="T17" s="191" t="s">
        <v>44</v>
      </c>
      <c r="U17" s="191" t="s">
        <v>46</v>
      </c>
      <c r="V17" s="191" t="s">
        <v>355</v>
      </c>
      <c r="W17" s="191" t="s">
        <v>43</v>
      </c>
      <c r="X17" s="191" t="s">
        <v>44</v>
      </c>
      <c r="Y17" s="191" t="s">
        <v>43</v>
      </c>
      <c r="Z17" s="191" t="s">
        <v>43</v>
      </c>
      <c r="AA17" s="191" t="s">
        <v>62</v>
      </c>
      <c r="AB17" s="191" t="s">
        <v>50</v>
      </c>
      <c r="AC17" s="191" t="s">
        <v>43</v>
      </c>
      <c r="AD17" s="191" t="s">
        <v>72</v>
      </c>
      <c r="AE17" s="191" t="s">
        <v>44</v>
      </c>
      <c r="AF17" s="191" t="s">
        <v>95</v>
      </c>
      <c r="AG17" s="191" t="s">
        <v>47</v>
      </c>
      <c r="AH17" s="191" t="s">
        <v>44</v>
      </c>
      <c r="AI17" s="191" t="s">
        <v>39</v>
      </c>
      <c r="AJ17" s="191" t="s">
        <v>36</v>
      </c>
      <c r="AK17" s="191" t="s">
        <v>73</v>
      </c>
      <c r="AL17" s="191" t="s">
        <v>44</v>
      </c>
      <c r="AM17" s="191" t="s">
        <v>1242</v>
      </c>
      <c r="AN17" s="191" t="s">
        <v>44</v>
      </c>
      <c r="AO17" s="191" t="s">
        <v>44</v>
      </c>
      <c r="AP17" s="191" t="s">
        <v>44</v>
      </c>
    </row>
    <row r="18" spans="1:42" ht="29">
      <c r="A18" s="191" t="s">
        <v>1243</v>
      </c>
      <c r="B18" s="190">
        <v>3</v>
      </c>
      <c r="C18" s="190">
        <v>4</v>
      </c>
      <c r="D18" s="190">
        <v>2</v>
      </c>
      <c r="E18" s="191" t="s">
        <v>311</v>
      </c>
      <c r="F18" s="190">
        <v>4</v>
      </c>
      <c r="G18" s="191" t="s">
        <v>36</v>
      </c>
      <c r="H18" s="190">
        <v>1</v>
      </c>
      <c r="I18" s="190">
        <v>100</v>
      </c>
      <c r="J18" s="191" t="s">
        <v>65</v>
      </c>
      <c r="K18" s="191" t="s">
        <v>47</v>
      </c>
      <c r="L18" s="191" t="s">
        <v>36</v>
      </c>
      <c r="M18" s="191" t="s">
        <v>37</v>
      </c>
      <c r="N18" s="191" t="s">
        <v>38</v>
      </c>
      <c r="O18" s="191" t="s">
        <v>39</v>
      </c>
      <c r="P18" s="191" t="s">
        <v>41</v>
      </c>
      <c r="Q18" s="191" t="s">
        <v>77</v>
      </c>
      <c r="R18" s="191" t="s">
        <v>42</v>
      </c>
      <c r="S18" s="191" t="s">
        <v>48</v>
      </c>
      <c r="T18" s="191" t="s">
        <v>44</v>
      </c>
      <c r="U18" s="191" t="s">
        <v>117</v>
      </c>
      <c r="V18" s="191" t="s">
        <v>355</v>
      </c>
      <c r="W18" s="191" t="s">
        <v>43</v>
      </c>
      <c r="X18" s="191" t="s">
        <v>44</v>
      </c>
      <c r="Y18" s="191" t="s">
        <v>43</v>
      </c>
      <c r="Z18" s="191" t="s">
        <v>78</v>
      </c>
      <c r="AA18" s="191" t="s">
        <v>62</v>
      </c>
      <c r="AB18" s="191" t="s">
        <v>50</v>
      </c>
      <c r="AC18" s="191" t="s">
        <v>43</v>
      </c>
      <c r="AD18" s="191" t="s">
        <v>91</v>
      </c>
      <c r="AE18" s="191" t="s">
        <v>44</v>
      </c>
      <c r="AF18" s="191" t="s">
        <v>95</v>
      </c>
      <c r="AG18" s="191" t="s">
        <v>47</v>
      </c>
      <c r="AH18" s="191" t="s">
        <v>44</v>
      </c>
      <c r="AI18" s="191" t="s">
        <v>39</v>
      </c>
      <c r="AJ18" s="191" t="s">
        <v>36</v>
      </c>
      <c r="AK18" s="191" t="s">
        <v>73</v>
      </c>
      <c r="AL18" s="191" t="s">
        <v>44</v>
      </c>
      <c r="AM18" s="191" t="s">
        <v>45</v>
      </c>
      <c r="AN18" s="191" t="s">
        <v>44</v>
      </c>
      <c r="AO18" s="191" t="s">
        <v>44</v>
      </c>
      <c r="AP18" s="191" t="s">
        <v>44</v>
      </c>
    </row>
    <row r="19" spans="1:42" ht="29">
      <c r="A19" s="191" t="s">
        <v>1244</v>
      </c>
      <c r="B19" s="190">
        <v>3</v>
      </c>
      <c r="C19" s="190">
        <v>7</v>
      </c>
      <c r="D19" s="190">
        <v>9</v>
      </c>
      <c r="E19" s="191" t="s">
        <v>318</v>
      </c>
      <c r="F19" s="190">
        <v>1</v>
      </c>
      <c r="G19" s="191" t="s">
        <v>36</v>
      </c>
      <c r="H19" s="190">
        <v>1</v>
      </c>
      <c r="I19" s="190">
        <v>90</v>
      </c>
      <c r="J19" s="191" t="s">
        <v>54</v>
      </c>
      <c r="K19" s="191" t="s">
        <v>40</v>
      </c>
      <c r="L19" s="191" t="s">
        <v>36</v>
      </c>
      <c r="M19" s="191" t="s">
        <v>37</v>
      </c>
      <c r="N19" s="191" t="s">
        <v>58</v>
      </c>
      <c r="O19" s="191" t="s">
        <v>39</v>
      </c>
      <c r="P19" s="191" t="s">
        <v>41</v>
      </c>
      <c r="Q19" s="191" t="s">
        <v>128</v>
      </c>
      <c r="R19" s="191" t="s">
        <v>87</v>
      </c>
      <c r="S19" s="191" t="s">
        <v>48</v>
      </c>
      <c r="T19" s="191" t="s">
        <v>44</v>
      </c>
      <c r="U19" s="191" t="s">
        <v>1116</v>
      </c>
      <c r="V19" s="191" t="s">
        <v>1141</v>
      </c>
      <c r="W19" s="191" t="s">
        <v>47</v>
      </c>
      <c r="X19" s="191" t="s">
        <v>44</v>
      </c>
      <c r="Y19" s="191" t="s">
        <v>47</v>
      </c>
      <c r="Z19" s="191" t="s">
        <v>47</v>
      </c>
      <c r="AA19" s="191" t="s">
        <v>49</v>
      </c>
      <c r="AB19" s="191" t="s">
        <v>50</v>
      </c>
      <c r="AC19" s="191" t="s">
        <v>43</v>
      </c>
      <c r="AD19" s="191" t="s">
        <v>72</v>
      </c>
      <c r="AE19" s="191" t="s">
        <v>44</v>
      </c>
      <c r="AF19" s="191" t="s">
        <v>95</v>
      </c>
      <c r="AG19" s="191" t="s">
        <v>43</v>
      </c>
      <c r="AH19" s="191" t="s">
        <v>44</v>
      </c>
      <c r="AI19" s="191" t="s">
        <v>39</v>
      </c>
      <c r="AJ19" s="191" t="s">
        <v>36</v>
      </c>
      <c r="AK19" s="191" t="s">
        <v>59</v>
      </c>
      <c r="AL19" s="191" t="s">
        <v>44</v>
      </c>
      <c r="AM19" s="191" t="s">
        <v>89</v>
      </c>
      <c r="AN19" s="191" t="s">
        <v>44</v>
      </c>
      <c r="AO19" s="191" t="s">
        <v>44</v>
      </c>
      <c r="AP19" s="191" t="s">
        <v>44</v>
      </c>
    </row>
    <row r="20" spans="1:42" ht="29">
      <c r="A20" s="191" t="s">
        <v>1245</v>
      </c>
      <c r="B20" s="190">
        <v>3</v>
      </c>
      <c r="C20" s="190">
        <v>5</v>
      </c>
      <c r="D20" s="190">
        <v>6</v>
      </c>
      <c r="E20" s="191" t="s">
        <v>311</v>
      </c>
      <c r="F20" s="190">
        <v>4</v>
      </c>
      <c r="G20" s="191" t="s">
        <v>36</v>
      </c>
      <c r="H20" s="190">
        <v>1</v>
      </c>
      <c r="I20" s="190">
        <v>122</v>
      </c>
      <c r="J20" s="191" t="s">
        <v>54</v>
      </c>
      <c r="K20" s="191" t="s">
        <v>89</v>
      </c>
      <c r="L20" s="191" t="s">
        <v>70</v>
      </c>
      <c r="M20" s="191" t="s">
        <v>37</v>
      </c>
      <c r="N20" s="191" t="s">
        <v>58</v>
      </c>
      <c r="O20" s="191" t="s">
        <v>39</v>
      </c>
      <c r="P20" s="191" t="s">
        <v>41</v>
      </c>
      <c r="Q20" s="191" t="s">
        <v>59</v>
      </c>
      <c r="R20" s="191" t="s">
        <v>42</v>
      </c>
      <c r="S20" s="191" t="s">
        <v>48</v>
      </c>
      <c r="T20" s="191" t="s">
        <v>44</v>
      </c>
      <c r="U20" s="191" t="s">
        <v>1109</v>
      </c>
      <c r="V20" s="191" t="s">
        <v>1141</v>
      </c>
      <c r="W20" s="191" t="s">
        <v>47</v>
      </c>
      <c r="X20" s="191" t="s">
        <v>44</v>
      </c>
      <c r="Y20" s="191" t="s">
        <v>43</v>
      </c>
      <c r="Z20" s="191" t="s">
        <v>43</v>
      </c>
      <c r="AA20" s="191" t="s">
        <v>62</v>
      </c>
      <c r="AB20" s="191" t="s">
        <v>84</v>
      </c>
      <c r="AC20" s="191" t="s">
        <v>43</v>
      </c>
      <c r="AD20" s="191" t="s">
        <v>72</v>
      </c>
      <c r="AE20" s="191" t="s">
        <v>44</v>
      </c>
      <c r="AF20" s="191" t="s">
        <v>95</v>
      </c>
      <c r="AG20" s="191" t="s">
        <v>78</v>
      </c>
      <c r="AH20" s="191" t="s">
        <v>44</v>
      </c>
      <c r="AI20" s="191" t="s">
        <v>39</v>
      </c>
      <c r="AJ20" s="191" t="s">
        <v>36</v>
      </c>
      <c r="AK20" s="191" t="s">
        <v>71</v>
      </c>
      <c r="AL20" s="191" t="s">
        <v>44</v>
      </c>
      <c r="AM20" s="191" t="s">
        <v>89</v>
      </c>
      <c r="AN20" s="191" t="s">
        <v>44</v>
      </c>
      <c r="AO20" s="191" t="s">
        <v>44</v>
      </c>
      <c r="AP20" s="191" t="s">
        <v>44</v>
      </c>
    </row>
    <row r="21" spans="1:42" ht="29">
      <c r="A21" s="191" t="s">
        <v>1246</v>
      </c>
      <c r="B21" s="190">
        <v>3</v>
      </c>
      <c r="C21" s="190">
        <v>2</v>
      </c>
      <c r="D21" s="190">
        <v>2</v>
      </c>
      <c r="E21" s="191" t="s">
        <v>315</v>
      </c>
      <c r="F21" s="190">
        <v>3</v>
      </c>
      <c r="G21" s="191" t="s">
        <v>36</v>
      </c>
      <c r="H21" s="190">
        <v>1</v>
      </c>
      <c r="I21" s="190">
        <v>120</v>
      </c>
      <c r="J21" s="191" t="s">
        <v>80</v>
      </c>
      <c r="K21" s="191" t="s">
        <v>89</v>
      </c>
      <c r="L21" s="191" t="s">
        <v>55</v>
      </c>
      <c r="M21" s="191" t="s">
        <v>37</v>
      </c>
      <c r="N21" s="191" t="s">
        <v>58</v>
      </c>
      <c r="O21" s="191" t="s">
        <v>99</v>
      </c>
      <c r="P21" s="191" t="s">
        <v>98</v>
      </c>
      <c r="Q21" s="191" t="s">
        <v>139</v>
      </c>
      <c r="R21" s="191" t="s">
        <v>87</v>
      </c>
      <c r="S21" s="191" t="s">
        <v>48</v>
      </c>
      <c r="T21" s="191" t="s">
        <v>44</v>
      </c>
      <c r="U21" s="191" t="s">
        <v>46</v>
      </c>
      <c r="V21" s="191" t="s">
        <v>1141</v>
      </c>
      <c r="W21" s="191" t="s">
        <v>43</v>
      </c>
      <c r="X21" s="191" t="s">
        <v>44</v>
      </c>
      <c r="Y21" s="191" t="s">
        <v>43</v>
      </c>
      <c r="Z21" s="191" t="s">
        <v>43</v>
      </c>
      <c r="AA21" s="191" t="s">
        <v>49</v>
      </c>
      <c r="AB21" s="191" t="s">
        <v>84</v>
      </c>
      <c r="AC21" s="191" t="s">
        <v>43</v>
      </c>
      <c r="AD21" s="191" t="s">
        <v>72</v>
      </c>
      <c r="AE21" s="191" t="s">
        <v>44</v>
      </c>
      <c r="AF21" s="191" t="s">
        <v>95</v>
      </c>
      <c r="AG21" s="191" t="s">
        <v>43</v>
      </c>
      <c r="AH21" s="191" t="s">
        <v>44</v>
      </c>
      <c r="AI21" s="191" t="s">
        <v>39</v>
      </c>
      <c r="AJ21" s="191" t="s">
        <v>36</v>
      </c>
      <c r="AK21" s="191" t="s">
        <v>73</v>
      </c>
      <c r="AL21" s="191" t="s">
        <v>44</v>
      </c>
      <c r="AM21" s="191" t="s">
        <v>1247</v>
      </c>
      <c r="AN21" s="191" t="s">
        <v>44</v>
      </c>
      <c r="AO21" s="191" t="s">
        <v>44</v>
      </c>
      <c r="AP21" s="191" t="s">
        <v>44</v>
      </c>
    </row>
    <row r="22" spans="1:42" ht="29">
      <c r="A22" s="191" t="s">
        <v>1248</v>
      </c>
      <c r="B22" s="190">
        <v>3</v>
      </c>
      <c r="C22" s="190">
        <v>3</v>
      </c>
      <c r="D22" s="190">
        <v>9</v>
      </c>
      <c r="E22" s="191" t="s">
        <v>315</v>
      </c>
      <c r="F22" s="190">
        <v>1</v>
      </c>
      <c r="G22" s="191" t="s">
        <v>36</v>
      </c>
      <c r="H22" s="190">
        <v>1</v>
      </c>
      <c r="I22" s="190">
        <v>110</v>
      </c>
      <c r="J22" s="191" t="s">
        <v>65</v>
      </c>
      <c r="K22" s="191" t="s">
        <v>61</v>
      </c>
      <c r="L22" s="191" t="s">
        <v>36</v>
      </c>
      <c r="M22" s="191" t="s">
        <v>37</v>
      </c>
      <c r="N22" s="191" t="s">
        <v>58</v>
      </c>
      <c r="O22" s="191" t="s">
        <v>39</v>
      </c>
      <c r="P22" s="191" t="s">
        <v>102</v>
      </c>
      <c r="Q22" s="191" t="s">
        <v>115</v>
      </c>
      <c r="R22" s="191" t="s">
        <v>42</v>
      </c>
      <c r="S22" s="191" t="s">
        <v>48</v>
      </c>
      <c r="T22" s="191" t="s">
        <v>44</v>
      </c>
      <c r="U22" s="191" t="s">
        <v>44</v>
      </c>
      <c r="V22" s="191" t="s">
        <v>44</v>
      </c>
      <c r="W22" s="191" t="s">
        <v>47</v>
      </c>
      <c r="X22" s="191" t="s">
        <v>44</v>
      </c>
      <c r="Y22" s="191" t="s">
        <v>45</v>
      </c>
      <c r="Z22" s="191" t="s">
        <v>47</v>
      </c>
      <c r="AA22" s="191" t="s">
        <v>49</v>
      </c>
      <c r="AB22" s="191" t="s">
        <v>84</v>
      </c>
      <c r="AC22" s="191" t="s">
        <v>46</v>
      </c>
      <c r="AD22" s="191" t="s">
        <v>129</v>
      </c>
      <c r="AE22" s="191" t="s">
        <v>1249</v>
      </c>
      <c r="AF22" s="191" t="s">
        <v>95</v>
      </c>
      <c r="AG22" s="191" t="s">
        <v>43</v>
      </c>
      <c r="AH22" s="191" t="s">
        <v>44</v>
      </c>
      <c r="AI22" s="191" t="s">
        <v>39</v>
      </c>
      <c r="AJ22" s="191" t="s">
        <v>36</v>
      </c>
      <c r="AK22" s="191" t="s">
        <v>85</v>
      </c>
      <c r="AL22" s="191" t="s">
        <v>44</v>
      </c>
      <c r="AM22" s="191" t="s">
        <v>1250</v>
      </c>
      <c r="AN22" s="191" t="s">
        <v>44</v>
      </c>
      <c r="AO22" s="191" t="s">
        <v>44</v>
      </c>
      <c r="AP22" s="191" t="s">
        <v>44</v>
      </c>
    </row>
    <row r="23" spans="1:42" ht="29">
      <c r="A23" s="191" t="s">
        <v>1251</v>
      </c>
      <c r="B23" s="190">
        <v>3</v>
      </c>
      <c r="C23" s="190">
        <v>7</v>
      </c>
      <c r="D23" s="190">
        <v>9</v>
      </c>
      <c r="E23" s="191" t="s">
        <v>318</v>
      </c>
      <c r="F23" s="190">
        <v>1</v>
      </c>
      <c r="G23" s="191" t="s">
        <v>36</v>
      </c>
      <c r="H23" s="190">
        <v>1</v>
      </c>
      <c r="I23" s="190">
        <v>70</v>
      </c>
      <c r="J23" s="191" t="s">
        <v>34</v>
      </c>
      <c r="K23" s="191" t="s">
        <v>61</v>
      </c>
      <c r="L23" s="191" t="s">
        <v>36</v>
      </c>
      <c r="M23" s="191" t="s">
        <v>37</v>
      </c>
      <c r="N23" s="191" t="s">
        <v>95</v>
      </c>
      <c r="O23" s="191" t="s">
        <v>39</v>
      </c>
      <c r="P23" s="191" t="s">
        <v>41</v>
      </c>
      <c r="Q23" s="191" t="s">
        <v>43</v>
      </c>
      <c r="R23" s="191" t="s">
        <v>42</v>
      </c>
      <c r="S23" s="191" t="s">
        <v>48</v>
      </c>
      <c r="T23" s="191" t="s">
        <v>44</v>
      </c>
      <c r="U23" s="191" t="s">
        <v>126</v>
      </c>
      <c r="V23" s="191" t="s">
        <v>355</v>
      </c>
      <c r="W23" s="191" t="s">
        <v>43</v>
      </c>
      <c r="X23" s="191" t="s">
        <v>44</v>
      </c>
      <c r="Y23" s="191" t="s">
        <v>43</v>
      </c>
      <c r="Z23" s="191" t="s">
        <v>43</v>
      </c>
      <c r="AA23" s="191" t="s">
        <v>62</v>
      </c>
      <c r="AB23" s="191" t="s">
        <v>50</v>
      </c>
      <c r="AC23" s="191" t="s">
        <v>43</v>
      </c>
      <c r="AD23" s="191" t="s">
        <v>72</v>
      </c>
      <c r="AE23" s="191" t="s">
        <v>44</v>
      </c>
      <c r="AF23" s="191" t="s">
        <v>95</v>
      </c>
      <c r="AG23" s="191" t="s">
        <v>47</v>
      </c>
      <c r="AH23" s="191" t="s">
        <v>44</v>
      </c>
      <c r="AI23" s="191" t="s">
        <v>39</v>
      </c>
      <c r="AJ23" s="191" t="s">
        <v>36</v>
      </c>
      <c r="AK23" s="191" t="s">
        <v>77</v>
      </c>
      <c r="AL23" s="191" t="s">
        <v>44</v>
      </c>
      <c r="AM23" s="191" t="s">
        <v>89</v>
      </c>
      <c r="AN23" s="191" t="s">
        <v>44</v>
      </c>
      <c r="AO23" s="191" t="s">
        <v>44</v>
      </c>
      <c r="AP23" s="191" t="s">
        <v>44</v>
      </c>
    </row>
    <row r="24" spans="1:42" ht="29">
      <c r="A24" s="191" t="s">
        <v>1252</v>
      </c>
      <c r="B24" s="190">
        <v>3</v>
      </c>
      <c r="C24" s="190">
        <v>7</v>
      </c>
      <c r="D24" s="190">
        <v>9</v>
      </c>
      <c r="E24" s="191" t="s">
        <v>318</v>
      </c>
      <c r="F24" s="190">
        <v>1</v>
      </c>
      <c r="G24" s="191" t="s">
        <v>36</v>
      </c>
      <c r="H24" s="190">
        <v>2</v>
      </c>
      <c r="I24" s="190">
        <v>61</v>
      </c>
      <c r="J24" s="191" t="s">
        <v>54</v>
      </c>
      <c r="K24" s="191" t="s">
        <v>61</v>
      </c>
      <c r="L24" s="191" t="s">
        <v>36</v>
      </c>
      <c r="M24" s="191" t="s">
        <v>37</v>
      </c>
      <c r="N24" s="191" t="s">
        <v>58</v>
      </c>
      <c r="O24" s="191" t="s">
        <v>39</v>
      </c>
      <c r="P24" s="191" t="s">
        <v>36</v>
      </c>
      <c r="Q24" s="191" t="s">
        <v>89</v>
      </c>
      <c r="R24" s="191" t="s">
        <v>42</v>
      </c>
      <c r="S24" s="191" t="s">
        <v>48</v>
      </c>
      <c r="T24" s="191" t="s">
        <v>44</v>
      </c>
      <c r="U24" s="191" t="s">
        <v>1123</v>
      </c>
      <c r="V24" s="191" t="s">
        <v>1108</v>
      </c>
      <c r="W24" s="191" t="s">
        <v>46</v>
      </c>
      <c r="X24" s="191" t="s">
        <v>44</v>
      </c>
      <c r="Y24" s="191" t="s">
        <v>47</v>
      </c>
      <c r="Z24" s="191" t="s">
        <v>47</v>
      </c>
      <c r="AA24" s="191" t="s">
        <v>49</v>
      </c>
      <c r="AB24" s="191" t="s">
        <v>50</v>
      </c>
      <c r="AC24" s="191" t="s">
        <v>47</v>
      </c>
      <c r="AD24" s="191" t="s">
        <v>91</v>
      </c>
      <c r="AE24" s="191" t="s">
        <v>44</v>
      </c>
      <c r="AF24" s="191" t="s">
        <v>95</v>
      </c>
      <c r="AG24" s="191" t="s">
        <v>47</v>
      </c>
      <c r="AH24" s="191" t="s">
        <v>44</v>
      </c>
      <c r="AI24" s="191" t="s">
        <v>39</v>
      </c>
      <c r="AJ24" s="191" t="s">
        <v>36</v>
      </c>
      <c r="AK24" s="191" t="s">
        <v>125</v>
      </c>
      <c r="AL24" s="191" t="s">
        <v>1253</v>
      </c>
      <c r="AM24" s="191" t="s">
        <v>45</v>
      </c>
      <c r="AN24" s="191" t="s">
        <v>44</v>
      </c>
      <c r="AO24" s="191" t="s">
        <v>44</v>
      </c>
      <c r="AP24" s="191" t="s">
        <v>44</v>
      </c>
    </row>
    <row r="25" spans="1:42" ht="43.5">
      <c r="A25" s="191" t="s">
        <v>1254</v>
      </c>
      <c r="B25" s="190">
        <v>3</v>
      </c>
      <c r="C25" s="190">
        <v>7</v>
      </c>
      <c r="D25" s="190">
        <v>8</v>
      </c>
      <c r="E25" s="191" t="s">
        <v>318</v>
      </c>
      <c r="F25" s="190">
        <v>2</v>
      </c>
      <c r="G25" s="191" t="s">
        <v>36</v>
      </c>
      <c r="H25" s="190">
        <v>1</v>
      </c>
      <c r="I25" s="190">
        <v>60</v>
      </c>
      <c r="J25" s="191" t="s">
        <v>80</v>
      </c>
      <c r="K25" s="191" t="s">
        <v>47</v>
      </c>
      <c r="L25" s="191" t="s">
        <v>36</v>
      </c>
      <c r="M25" s="191" t="s">
        <v>37</v>
      </c>
      <c r="N25" s="191" t="s">
        <v>58</v>
      </c>
      <c r="O25" s="191" t="s">
        <v>288</v>
      </c>
      <c r="P25" s="191" t="s">
        <v>56</v>
      </c>
      <c r="Q25" s="191" t="s">
        <v>90</v>
      </c>
      <c r="R25" s="191" t="s">
        <v>60</v>
      </c>
      <c r="S25" s="191" t="s">
        <v>48</v>
      </c>
      <c r="T25" s="191" t="s">
        <v>44</v>
      </c>
      <c r="U25" s="191" t="s">
        <v>43</v>
      </c>
      <c r="V25" s="191" t="s">
        <v>1106</v>
      </c>
      <c r="W25" s="191" t="s">
        <v>45</v>
      </c>
      <c r="X25" s="191" t="s">
        <v>44</v>
      </c>
      <c r="Y25" s="191" t="s">
        <v>45</v>
      </c>
      <c r="Z25" s="191" t="s">
        <v>43</v>
      </c>
      <c r="AA25" s="191" t="s">
        <v>49</v>
      </c>
      <c r="AB25" s="191" t="s">
        <v>84</v>
      </c>
      <c r="AC25" s="191" t="s">
        <v>47</v>
      </c>
      <c r="AD25" s="191" t="s">
        <v>72</v>
      </c>
      <c r="AE25" s="191" t="s">
        <v>44</v>
      </c>
      <c r="AF25" s="191" t="s">
        <v>95</v>
      </c>
      <c r="AG25" s="191" t="s">
        <v>47</v>
      </c>
      <c r="AH25" s="191" t="s">
        <v>44</v>
      </c>
      <c r="AI25" s="191" t="s">
        <v>134</v>
      </c>
      <c r="AJ25" s="191" t="s">
        <v>36</v>
      </c>
      <c r="AK25" s="191" t="s">
        <v>78</v>
      </c>
      <c r="AL25" s="191" t="s">
        <v>44</v>
      </c>
      <c r="AM25" s="191" t="s">
        <v>45</v>
      </c>
      <c r="AN25" s="191" t="s">
        <v>44</v>
      </c>
      <c r="AO25" s="191" t="s">
        <v>44</v>
      </c>
      <c r="AP25" s="191" t="s">
        <v>44</v>
      </c>
    </row>
    <row r="26" spans="1:42" ht="29">
      <c r="A26" s="191" t="s">
        <v>1255</v>
      </c>
      <c r="B26" s="190">
        <v>3</v>
      </c>
      <c r="C26" s="190">
        <v>7</v>
      </c>
      <c r="D26" s="190">
        <v>6</v>
      </c>
      <c r="E26" s="191" t="s">
        <v>318</v>
      </c>
      <c r="F26" s="190">
        <v>2</v>
      </c>
      <c r="G26" s="191" t="s">
        <v>36</v>
      </c>
      <c r="H26" s="190">
        <v>1</v>
      </c>
      <c r="I26" s="190">
        <v>158</v>
      </c>
      <c r="J26" s="191" t="s">
        <v>54</v>
      </c>
      <c r="K26" s="191" t="s">
        <v>61</v>
      </c>
      <c r="L26" s="191" t="s">
        <v>103</v>
      </c>
      <c r="M26" s="191" t="s">
        <v>37</v>
      </c>
      <c r="N26" s="191" t="s">
        <v>38</v>
      </c>
      <c r="O26" s="191" t="s">
        <v>288</v>
      </c>
      <c r="P26" s="191" t="s">
        <v>36</v>
      </c>
      <c r="Q26" s="191" t="s">
        <v>124</v>
      </c>
      <c r="R26" s="191" t="s">
        <v>42</v>
      </c>
      <c r="S26" s="191" t="s">
        <v>48</v>
      </c>
      <c r="T26" s="191" t="s">
        <v>44</v>
      </c>
      <c r="U26" s="191" t="s">
        <v>44</v>
      </c>
      <c r="V26" s="191" t="s">
        <v>44</v>
      </c>
      <c r="W26" s="191" t="s">
        <v>43</v>
      </c>
      <c r="X26" s="191" t="s">
        <v>44</v>
      </c>
      <c r="Y26" s="191" t="s">
        <v>45</v>
      </c>
      <c r="Z26" s="191" t="s">
        <v>43</v>
      </c>
      <c r="AA26" s="191" t="s">
        <v>62</v>
      </c>
      <c r="AB26" s="191" t="s">
        <v>50</v>
      </c>
      <c r="AC26" s="191" t="s">
        <v>43</v>
      </c>
      <c r="AD26" s="191" t="s">
        <v>72</v>
      </c>
      <c r="AE26" s="191" t="s">
        <v>44</v>
      </c>
      <c r="AF26" s="191" t="s">
        <v>95</v>
      </c>
      <c r="AG26" s="191" t="s">
        <v>47</v>
      </c>
      <c r="AH26" s="191" t="s">
        <v>44</v>
      </c>
      <c r="AI26" s="191" t="s">
        <v>134</v>
      </c>
      <c r="AJ26" s="191" t="s">
        <v>36</v>
      </c>
      <c r="AK26" s="191" t="s">
        <v>73</v>
      </c>
      <c r="AL26" s="191" t="s">
        <v>44</v>
      </c>
      <c r="AM26" s="191" t="s">
        <v>43</v>
      </c>
      <c r="AN26" s="191" t="s">
        <v>44</v>
      </c>
      <c r="AO26" s="191" t="s">
        <v>44</v>
      </c>
      <c r="AP26" s="191" t="s">
        <v>44</v>
      </c>
    </row>
    <row r="27" spans="1:42" ht="29">
      <c r="A27" s="191" t="s">
        <v>1256</v>
      </c>
      <c r="B27" s="190">
        <v>3</v>
      </c>
      <c r="C27" s="190">
        <v>7</v>
      </c>
      <c r="D27" s="190">
        <v>7</v>
      </c>
      <c r="E27" s="191" t="s">
        <v>318</v>
      </c>
      <c r="F27" s="190">
        <v>2</v>
      </c>
      <c r="G27" s="191" t="s">
        <v>36</v>
      </c>
      <c r="H27" s="190">
        <v>1</v>
      </c>
      <c r="I27" s="190">
        <v>90</v>
      </c>
      <c r="J27" s="191" t="s">
        <v>54</v>
      </c>
      <c r="K27" s="191" t="s">
        <v>47</v>
      </c>
      <c r="L27" s="191" t="s">
        <v>36</v>
      </c>
      <c r="M27" s="191" t="s">
        <v>37</v>
      </c>
      <c r="N27" s="191" t="s">
        <v>95</v>
      </c>
      <c r="O27" s="191" t="s">
        <v>39</v>
      </c>
      <c r="P27" s="191" t="s">
        <v>41</v>
      </c>
      <c r="Q27" s="191" t="s">
        <v>77</v>
      </c>
      <c r="R27" s="191" t="s">
        <v>42</v>
      </c>
      <c r="S27" s="191" t="s">
        <v>48</v>
      </c>
      <c r="T27" s="191" t="s">
        <v>44</v>
      </c>
      <c r="U27" s="191" t="s">
        <v>117</v>
      </c>
      <c r="V27" s="191" t="s">
        <v>1141</v>
      </c>
      <c r="W27" s="191" t="s">
        <v>43</v>
      </c>
      <c r="X27" s="191" t="s">
        <v>44</v>
      </c>
      <c r="Y27" s="191" t="s">
        <v>43</v>
      </c>
      <c r="Z27" s="191" t="s">
        <v>43</v>
      </c>
      <c r="AA27" s="191" t="s">
        <v>49</v>
      </c>
      <c r="AB27" s="191" t="s">
        <v>50</v>
      </c>
      <c r="AC27" s="191" t="s">
        <v>47</v>
      </c>
      <c r="AD27" s="191" t="s">
        <v>91</v>
      </c>
      <c r="AE27" s="191" t="s">
        <v>44</v>
      </c>
      <c r="AF27" s="191" t="s">
        <v>95</v>
      </c>
      <c r="AG27" s="191" t="s">
        <v>43</v>
      </c>
      <c r="AH27" s="191" t="s">
        <v>44</v>
      </c>
      <c r="AI27" s="191" t="s">
        <v>134</v>
      </c>
      <c r="AJ27" s="191" t="s">
        <v>36</v>
      </c>
      <c r="AK27" s="191" t="s">
        <v>45</v>
      </c>
      <c r="AL27" s="191" t="s">
        <v>44</v>
      </c>
      <c r="AM27" s="191" t="s">
        <v>89</v>
      </c>
      <c r="AN27" s="191" t="s">
        <v>44</v>
      </c>
      <c r="AO27" s="191" t="s">
        <v>44</v>
      </c>
      <c r="AP27" s="191" t="s">
        <v>44</v>
      </c>
    </row>
    <row r="28" spans="1:42" ht="29">
      <c r="A28" s="191" t="s">
        <v>1257</v>
      </c>
      <c r="B28" s="190">
        <v>3</v>
      </c>
      <c r="C28" s="190">
        <v>7</v>
      </c>
      <c r="D28" s="190">
        <v>7</v>
      </c>
      <c r="E28" s="191" t="s">
        <v>318</v>
      </c>
      <c r="F28" s="190">
        <v>2</v>
      </c>
      <c r="G28" s="191" t="s">
        <v>36</v>
      </c>
      <c r="H28" s="190">
        <v>1</v>
      </c>
      <c r="I28" s="190">
        <v>100</v>
      </c>
      <c r="J28" s="191" t="s">
        <v>54</v>
      </c>
      <c r="K28" s="191" t="s">
        <v>61</v>
      </c>
      <c r="L28" s="191" t="s">
        <v>36</v>
      </c>
      <c r="M28" s="191" t="s">
        <v>37</v>
      </c>
      <c r="N28" s="191" t="s">
        <v>58</v>
      </c>
      <c r="O28" s="191" t="s">
        <v>39</v>
      </c>
      <c r="P28" s="191" t="s">
        <v>41</v>
      </c>
      <c r="Q28" s="191" t="s">
        <v>77</v>
      </c>
      <c r="R28" s="191" t="s">
        <v>42</v>
      </c>
      <c r="S28" s="191" t="s">
        <v>48</v>
      </c>
      <c r="T28" s="191" t="s">
        <v>44</v>
      </c>
      <c r="U28" s="191" t="s">
        <v>666</v>
      </c>
      <c r="V28" s="191" t="s">
        <v>1141</v>
      </c>
      <c r="W28" s="191" t="s">
        <v>43</v>
      </c>
      <c r="X28" s="191" t="s">
        <v>44</v>
      </c>
      <c r="Y28" s="191" t="s">
        <v>61</v>
      </c>
      <c r="Z28" s="191" t="s">
        <v>43</v>
      </c>
      <c r="AA28" s="191" t="s">
        <v>49</v>
      </c>
      <c r="AB28" s="191" t="s">
        <v>50</v>
      </c>
      <c r="AC28" s="191" t="s">
        <v>43</v>
      </c>
      <c r="AD28" s="191" t="s">
        <v>72</v>
      </c>
      <c r="AE28" s="191" t="s">
        <v>44</v>
      </c>
      <c r="AF28" s="191" t="s">
        <v>95</v>
      </c>
      <c r="AG28" s="191" t="s">
        <v>47</v>
      </c>
      <c r="AH28" s="191" t="s">
        <v>44</v>
      </c>
      <c r="AI28" s="191" t="s">
        <v>39</v>
      </c>
      <c r="AJ28" s="191" t="s">
        <v>36</v>
      </c>
      <c r="AK28" s="191" t="s">
        <v>71</v>
      </c>
      <c r="AL28" s="191" t="s">
        <v>44</v>
      </c>
      <c r="AM28" s="191" t="s">
        <v>45</v>
      </c>
      <c r="AN28" s="191" t="s">
        <v>44</v>
      </c>
      <c r="AO28" s="191" t="s">
        <v>44</v>
      </c>
      <c r="AP28" s="191" t="s">
        <v>44</v>
      </c>
    </row>
    <row r="29" spans="1:42" ht="43.5">
      <c r="A29" s="191" t="s">
        <v>1258</v>
      </c>
      <c r="B29" s="190">
        <v>3</v>
      </c>
      <c r="C29" s="190">
        <v>5</v>
      </c>
      <c r="D29" s="190">
        <v>7</v>
      </c>
      <c r="E29" s="191" t="s">
        <v>315</v>
      </c>
      <c r="F29" s="190">
        <v>2</v>
      </c>
      <c r="G29" s="191" t="s">
        <v>36</v>
      </c>
      <c r="H29" s="190">
        <v>1</v>
      </c>
      <c r="I29" s="190">
        <v>150</v>
      </c>
      <c r="J29" s="191" t="s">
        <v>54</v>
      </c>
      <c r="K29" s="191" t="s">
        <v>61</v>
      </c>
      <c r="L29" s="191" t="s">
        <v>103</v>
      </c>
      <c r="M29" s="191" t="s">
        <v>118</v>
      </c>
      <c r="N29" s="191" t="s">
        <v>38</v>
      </c>
      <c r="O29" s="191" t="s">
        <v>288</v>
      </c>
      <c r="P29" s="191" t="s">
        <v>56</v>
      </c>
      <c r="Q29" s="191" t="s">
        <v>139</v>
      </c>
      <c r="R29" s="191" t="s">
        <v>60</v>
      </c>
      <c r="S29" s="191" t="s">
        <v>48</v>
      </c>
      <c r="T29" s="191" t="s">
        <v>44</v>
      </c>
      <c r="U29" s="191" t="s">
        <v>46</v>
      </c>
      <c r="V29" s="191" t="s">
        <v>1106</v>
      </c>
      <c r="W29" s="191" t="s">
        <v>47</v>
      </c>
      <c r="X29" s="191" t="s">
        <v>44</v>
      </c>
      <c r="Y29" s="191" t="s">
        <v>43</v>
      </c>
      <c r="Z29" s="191" t="s">
        <v>78</v>
      </c>
      <c r="AA29" s="191" t="s">
        <v>62</v>
      </c>
      <c r="AB29" s="191" t="s">
        <v>50</v>
      </c>
      <c r="AC29" s="191" t="s">
        <v>47</v>
      </c>
      <c r="AD29" s="191" t="s">
        <v>72</v>
      </c>
      <c r="AE29" s="191" t="s">
        <v>44</v>
      </c>
      <c r="AF29" s="191" t="s">
        <v>52</v>
      </c>
      <c r="AG29" s="191" t="s">
        <v>47</v>
      </c>
      <c r="AH29" s="191" t="s">
        <v>44</v>
      </c>
      <c r="AI29" s="191" t="s">
        <v>134</v>
      </c>
      <c r="AJ29" s="191" t="s">
        <v>36</v>
      </c>
      <c r="AK29" s="191" t="s">
        <v>73</v>
      </c>
      <c r="AL29" s="191" t="s">
        <v>44</v>
      </c>
      <c r="AM29" s="191" t="s">
        <v>45</v>
      </c>
      <c r="AN29" s="191" t="s">
        <v>44</v>
      </c>
      <c r="AO29" s="191" t="s">
        <v>44</v>
      </c>
      <c r="AP29" s="191" t="s">
        <v>44</v>
      </c>
    </row>
    <row r="30" spans="1:42" ht="43.5">
      <c r="A30" s="191" t="s">
        <v>1259</v>
      </c>
      <c r="B30" s="190">
        <v>3</v>
      </c>
      <c r="C30" s="190">
        <v>5</v>
      </c>
      <c r="D30" s="190">
        <v>9</v>
      </c>
      <c r="E30" s="191" t="s">
        <v>315</v>
      </c>
      <c r="F30" s="190">
        <v>3</v>
      </c>
      <c r="G30" s="191" t="s">
        <v>36</v>
      </c>
      <c r="H30" s="190">
        <v>1</v>
      </c>
      <c r="I30" s="190">
        <v>180</v>
      </c>
      <c r="J30" s="191" t="s">
        <v>65</v>
      </c>
      <c r="K30" s="191" t="s">
        <v>61</v>
      </c>
      <c r="L30" s="191" t="s">
        <v>36</v>
      </c>
      <c r="M30" s="191" t="s">
        <v>37</v>
      </c>
      <c r="N30" s="191" t="s">
        <v>58</v>
      </c>
      <c r="O30" s="191" t="s">
        <v>288</v>
      </c>
      <c r="P30" s="191" t="s">
        <v>56</v>
      </c>
      <c r="Q30" s="191" t="s">
        <v>90</v>
      </c>
      <c r="R30" s="191" t="s">
        <v>60</v>
      </c>
      <c r="S30" s="191" t="s">
        <v>48</v>
      </c>
      <c r="T30" s="191" t="s">
        <v>44</v>
      </c>
      <c r="U30" s="191" t="s">
        <v>126</v>
      </c>
      <c r="V30" s="191" t="s">
        <v>1108</v>
      </c>
      <c r="W30" s="191" t="s">
        <v>78</v>
      </c>
      <c r="X30" s="191" t="s">
        <v>44</v>
      </c>
      <c r="Y30" s="191" t="s">
        <v>45</v>
      </c>
      <c r="Z30" s="191" t="s">
        <v>40</v>
      </c>
      <c r="AA30" s="191" t="s">
        <v>62</v>
      </c>
      <c r="AB30" s="191" t="s">
        <v>50</v>
      </c>
      <c r="AC30" s="191" t="s">
        <v>43</v>
      </c>
      <c r="AD30" s="191" t="s">
        <v>51</v>
      </c>
      <c r="AE30" s="191" t="s">
        <v>44</v>
      </c>
      <c r="AF30" s="191" t="s">
        <v>95</v>
      </c>
      <c r="AG30" s="191" t="s">
        <v>47</v>
      </c>
      <c r="AH30" s="191" t="s">
        <v>44</v>
      </c>
      <c r="AI30" s="191" t="s">
        <v>134</v>
      </c>
      <c r="AJ30" s="191" t="s">
        <v>36</v>
      </c>
      <c r="AK30" s="191" t="s">
        <v>43</v>
      </c>
      <c r="AL30" s="191" t="s">
        <v>44</v>
      </c>
      <c r="AM30" s="191" t="s">
        <v>89</v>
      </c>
      <c r="AN30" s="191" t="s">
        <v>44</v>
      </c>
      <c r="AO30" s="191" t="s">
        <v>44</v>
      </c>
      <c r="AP30" s="191" t="s">
        <v>44</v>
      </c>
    </row>
    <row r="31" spans="1:42" ht="43.5">
      <c r="A31" s="191" t="s">
        <v>1260</v>
      </c>
      <c r="B31" s="190">
        <v>3</v>
      </c>
      <c r="C31" s="190">
        <v>7</v>
      </c>
      <c r="D31" s="190">
        <v>7</v>
      </c>
      <c r="E31" s="191" t="s">
        <v>318</v>
      </c>
      <c r="F31" s="190">
        <v>2</v>
      </c>
      <c r="G31" s="191" t="s">
        <v>36</v>
      </c>
      <c r="H31" s="190">
        <v>1</v>
      </c>
      <c r="I31" s="190">
        <v>115</v>
      </c>
      <c r="J31" s="191" t="s">
        <v>54</v>
      </c>
      <c r="K31" s="191" t="s">
        <v>81</v>
      </c>
      <c r="L31" s="191" t="s">
        <v>36</v>
      </c>
      <c r="M31" s="191" t="s">
        <v>37</v>
      </c>
      <c r="N31" s="191" t="s">
        <v>58</v>
      </c>
      <c r="O31" s="191" t="s">
        <v>288</v>
      </c>
      <c r="P31" s="191" t="s">
        <v>56</v>
      </c>
      <c r="Q31" s="191" t="s">
        <v>46</v>
      </c>
      <c r="R31" s="191" t="s">
        <v>60</v>
      </c>
      <c r="S31" s="191" t="s">
        <v>48</v>
      </c>
      <c r="T31" s="191" t="s">
        <v>44</v>
      </c>
      <c r="U31" s="191" t="s">
        <v>40</v>
      </c>
      <c r="V31" s="191" t="s">
        <v>1141</v>
      </c>
      <c r="W31" s="191" t="s">
        <v>47</v>
      </c>
      <c r="X31" s="191" t="s">
        <v>44</v>
      </c>
      <c r="Y31" s="191" t="s">
        <v>43</v>
      </c>
      <c r="Z31" s="191" t="s">
        <v>43</v>
      </c>
      <c r="AA31" s="191" t="s">
        <v>62</v>
      </c>
      <c r="AB31" s="191" t="s">
        <v>50</v>
      </c>
      <c r="AC31" s="191" t="s">
        <v>43</v>
      </c>
      <c r="AD31" s="191" t="s">
        <v>72</v>
      </c>
      <c r="AE31" s="191" t="s">
        <v>44</v>
      </c>
      <c r="AF31" s="191" t="s">
        <v>95</v>
      </c>
      <c r="AG31" s="191" t="s">
        <v>43</v>
      </c>
      <c r="AH31" s="191" t="s">
        <v>44</v>
      </c>
      <c r="AI31" s="191" t="s">
        <v>134</v>
      </c>
      <c r="AJ31" s="191" t="s">
        <v>36</v>
      </c>
      <c r="AK31" s="191" t="s">
        <v>85</v>
      </c>
      <c r="AL31" s="191" t="s">
        <v>44</v>
      </c>
      <c r="AM31" s="191" t="s">
        <v>45</v>
      </c>
      <c r="AN31" s="191" t="s">
        <v>44</v>
      </c>
      <c r="AO31" s="191" t="s">
        <v>44</v>
      </c>
      <c r="AP31" s="191" t="s">
        <v>44</v>
      </c>
    </row>
    <row r="32" spans="1:42" ht="43.5">
      <c r="A32" s="191" t="s">
        <v>1261</v>
      </c>
      <c r="B32" s="190">
        <v>3</v>
      </c>
      <c r="C32" s="190">
        <v>3</v>
      </c>
      <c r="D32" s="190">
        <v>4</v>
      </c>
      <c r="E32" s="191" t="s">
        <v>315</v>
      </c>
      <c r="F32" s="190">
        <v>3</v>
      </c>
      <c r="G32" s="191" t="s">
        <v>36</v>
      </c>
      <c r="H32" s="190">
        <v>1</v>
      </c>
      <c r="I32" s="190">
        <v>180</v>
      </c>
      <c r="J32" s="191" t="s">
        <v>65</v>
      </c>
      <c r="K32" s="191" t="s">
        <v>61</v>
      </c>
      <c r="L32" s="191" t="s">
        <v>36</v>
      </c>
      <c r="M32" s="191" t="s">
        <v>37</v>
      </c>
      <c r="N32" s="191" t="s">
        <v>95</v>
      </c>
      <c r="O32" s="191" t="s">
        <v>288</v>
      </c>
      <c r="P32" s="191" t="s">
        <v>56</v>
      </c>
      <c r="Q32" s="191" t="s">
        <v>90</v>
      </c>
      <c r="R32" s="191" t="s">
        <v>87</v>
      </c>
      <c r="S32" s="191" t="s">
        <v>48</v>
      </c>
      <c r="T32" s="191" t="s">
        <v>44</v>
      </c>
      <c r="U32" s="191" t="s">
        <v>45</v>
      </c>
      <c r="V32" s="191" t="s">
        <v>1141</v>
      </c>
      <c r="W32" s="191" t="s">
        <v>43</v>
      </c>
      <c r="X32" s="191" t="s">
        <v>44</v>
      </c>
      <c r="Y32" s="191" t="s">
        <v>45</v>
      </c>
      <c r="Z32" s="191" t="s">
        <v>43</v>
      </c>
      <c r="AA32" s="191" t="s">
        <v>62</v>
      </c>
      <c r="AB32" s="191" t="s">
        <v>50</v>
      </c>
      <c r="AC32" s="191" t="s">
        <v>47</v>
      </c>
      <c r="AD32" s="191" t="s">
        <v>72</v>
      </c>
      <c r="AE32" s="191" t="s">
        <v>44</v>
      </c>
      <c r="AF32" s="191" t="s">
        <v>95</v>
      </c>
      <c r="AG32" s="191" t="s">
        <v>47</v>
      </c>
      <c r="AH32" s="191" t="s">
        <v>44</v>
      </c>
      <c r="AI32" s="191" t="s">
        <v>134</v>
      </c>
      <c r="AJ32" s="191" t="s">
        <v>36</v>
      </c>
      <c r="AK32" s="191" t="s">
        <v>78</v>
      </c>
      <c r="AL32" s="191" t="s">
        <v>44</v>
      </c>
      <c r="AM32" s="191" t="s">
        <v>89</v>
      </c>
      <c r="AN32" s="191" t="s">
        <v>44</v>
      </c>
      <c r="AO32" s="191" t="s">
        <v>44</v>
      </c>
      <c r="AP32" s="191" t="s">
        <v>44</v>
      </c>
    </row>
    <row r="33" spans="1:42" ht="29">
      <c r="A33" s="191" t="s">
        <v>1262</v>
      </c>
      <c r="B33" s="190">
        <v>3</v>
      </c>
      <c r="C33" s="190">
        <v>3</v>
      </c>
      <c r="D33" s="190">
        <v>3</v>
      </c>
      <c r="E33" s="191" t="s">
        <v>311</v>
      </c>
      <c r="F33" s="190">
        <v>4</v>
      </c>
      <c r="G33" s="191" t="s">
        <v>36</v>
      </c>
      <c r="H33" s="190">
        <v>1</v>
      </c>
      <c r="I33" s="190">
        <v>120</v>
      </c>
      <c r="J33" s="191" t="s">
        <v>54</v>
      </c>
      <c r="K33" s="191" t="s">
        <v>61</v>
      </c>
      <c r="L33" s="191" t="s">
        <v>36</v>
      </c>
      <c r="M33" s="191" t="s">
        <v>37</v>
      </c>
      <c r="N33" s="191" t="s">
        <v>58</v>
      </c>
      <c r="O33" s="191" t="s">
        <v>39</v>
      </c>
      <c r="P33" s="191" t="s">
        <v>41</v>
      </c>
      <c r="Q33" s="191" t="s">
        <v>40</v>
      </c>
      <c r="R33" s="191" t="s">
        <v>42</v>
      </c>
      <c r="S33" s="191" t="s">
        <v>48</v>
      </c>
      <c r="T33" s="191" t="s">
        <v>44</v>
      </c>
      <c r="U33" s="191" t="s">
        <v>89</v>
      </c>
      <c r="V33" s="191" t="s">
        <v>1141</v>
      </c>
      <c r="W33" s="191" t="s">
        <v>43</v>
      </c>
      <c r="X33" s="191" t="s">
        <v>44</v>
      </c>
      <c r="Y33" s="191" t="s">
        <v>43</v>
      </c>
      <c r="Z33" s="191" t="s">
        <v>43</v>
      </c>
      <c r="AA33" s="191" t="s">
        <v>49</v>
      </c>
      <c r="AB33" s="191" t="s">
        <v>50</v>
      </c>
      <c r="AC33" s="191" t="s">
        <v>43</v>
      </c>
      <c r="AD33" s="191" t="s">
        <v>72</v>
      </c>
      <c r="AE33" s="191" t="s">
        <v>44</v>
      </c>
      <c r="AF33" s="191" t="s">
        <v>95</v>
      </c>
      <c r="AG33" s="191" t="s">
        <v>47</v>
      </c>
      <c r="AH33" s="191" t="s">
        <v>44</v>
      </c>
      <c r="AI33" s="191" t="s">
        <v>39</v>
      </c>
      <c r="AJ33" s="191" t="s">
        <v>36</v>
      </c>
      <c r="AK33" s="191" t="s">
        <v>73</v>
      </c>
      <c r="AL33" s="191" t="s">
        <v>44</v>
      </c>
      <c r="AM33" s="191" t="s">
        <v>45</v>
      </c>
      <c r="AN33" s="191" t="s">
        <v>44</v>
      </c>
      <c r="AO33" s="191" t="s">
        <v>44</v>
      </c>
      <c r="AP33" s="191" t="s">
        <v>44</v>
      </c>
    </row>
    <row r="34" spans="1:42" ht="29">
      <c r="A34" s="191" t="s">
        <v>1263</v>
      </c>
      <c r="B34" s="190">
        <v>3</v>
      </c>
      <c r="C34" s="190">
        <v>7</v>
      </c>
      <c r="D34" s="190">
        <v>7</v>
      </c>
      <c r="E34" s="191" t="s">
        <v>318</v>
      </c>
      <c r="F34" s="190">
        <v>2</v>
      </c>
      <c r="G34" s="191" t="s">
        <v>36</v>
      </c>
      <c r="H34" s="190">
        <v>1</v>
      </c>
      <c r="I34" s="190">
        <v>100</v>
      </c>
      <c r="J34" s="191" t="s">
        <v>34</v>
      </c>
      <c r="K34" s="191" t="s">
        <v>47</v>
      </c>
      <c r="L34" s="191" t="s">
        <v>36</v>
      </c>
      <c r="M34" s="191" t="s">
        <v>37</v>
      </c>
      <c r="N34" s="191" t="s">
        <v>58</v>
      </c>
      <c r="O34" s="191" t="s">
        <v>288</v>
      </c>
      <c r="P34" s="191" t="s">
        <v>41</v>
      </c>
      <c r="Q34" s="191" t="s">
        <v>71</v>
      </c>
      <c r="R34" s="191" t="s">
        <v>42</v>
      </c>
      <c r="S34" s="191" t="s">
        <v>48</v>
      </c>
      <c r="T34" s="191" t="s">
        <v>44</v>
      </c>
      <c r="U34" s="191" t="s">
        <v>1109</v>
      </c>
      <c r="V34" s="191" t="s">
        <v>1141</v>
      </c>
      <c r="W34" s="191" t="s">
        <v>43</v>
      </c>
      <c r="X34" s="191" t="s">
        <v>44</v>
      </c>
      <c r="Y34" s="191" t="s">
        <v>47</v>
      </c>
      <c r="Z34" s="191" t="s">
        <v>43</v>
      </c>
      <c r="AA34" s="191" t="s">
        <v>49</v>
      </c>
      <c r="AB34" s="191" t="s">
        <v>50</v>
      </c>
      <c r="AC34" s="191" t="s">
        <v>43</v>
      </c>
      <c r="AD34" s="191" t="s">
        <v>91</v>
      </c>
      <c r="AE34" s="191" t="s">
        <v>44</v>
      </c>
      <c r="AF34" s="191" t="s">
        <v>95</v>
      </c>
      <c r="AG34" s="191" t="s">
        <v>43</v>
      </c>
      <c r="AH34" s="191" t="s">
        <v>44</v>
      </c>
      <c r="AI34" s="191" t="s">
        <v>39</v>
      </c>
      <c r="AJ34" s="191" t="s">
        <v>36</v>
      </c>
      <c r="AK34" s="191" t="s">
        <v>40</v>
      </c>
      <c r="AL34" s="191" t="s">
        <v>44</v>
      </c>
      <c r="AM34" s="191" t="s">
        <v>45</v>
      </c>
      <c r="AN34" s="191" t="s">
        <v>44</v>
      </c>
      <c r="AO34" s="191" t="s">
        <v>44</v>
      </c>
      <c r="AP34" s="191" t="s">
        <v>44</v>
      </c>
    </row>
    <row r="35" spans="1:42" ht="29">
      <c r="A35" s="191" t="s">
        <v>1264</v>
      </c>
      <c r="B35" s="190">
        <v>3</v>
      </c>
      <c r="C35" s="190">
        <v>3</v>
      </c>
      <c r="D35" s="190">
        <v>2</v>
      </c>
      <c r="E35" s="191" t="s">
        <v>311</v>
      </c>
      <c r="F35" s="190">
        <v>3</v>
      </c>
      <c r="G35" s="191" t="s">
        <v>36</v>
      </c>
      <c r="H35" s="190">
        <v>1</v>
      </c>
      <c r="I35" s="190">
        <v>99</v>
      </c>
      <c r="J35" s="191" t="s">
        <v>54</v>
      </c>
      <c r="K35" s="191" t="s">
        <v>47</v>
      </c>
      <c r="L35" s="191" t="s">
        <v>36</v>
      </c>
      <c r="M35" s="191" t="s">
        <v>37</v>
      </c>
      <c r="N35" s="191" t="s">
        <v>58</v>
      </c>
      <c r="O35" s="191" t="s">
        <v>288</v>
      </c>
      <c r="P35" s="191" t="s">
        <v>41</v>
      </c>
      <c r="Q35" s="191" t="s">
        <v>40</v>
      </c>
      <c r="R35" s="191" t="s">
        <v>60</v>
      </c>
      <c r="S35" s="191" t="s">
        <v>48</v>
      </c>
      <c r="T35" s="191" t="s">
        <v>44</v>
      </c>
      <c r="U35" s="191" t="s">
        <v>89</v>
      </c>
      <c r="V35" s="191" t="s">
        <v>1141</v>
      </c>
      <c r="W35" s="191" t="s">
        <v>43</v>
      </c>
      <c r="X35" s="191" t="s">
        <v>44</v>
      </c>
      <c r="Y35" s="191" t="s">
        <v>45</v>
      </c>
      <c r="Z35" s="191" t="s">
        <v>46</v>
      </c>
      <c r="AA35" s="191" t="s">
        <v>105</v>
      </c>
      <c r="AB35" s="191" t="s">
        <v>84</v>
      </c>
      <c r="AC35" s="191" t="s">
        <v>43</v>
      </c>
      <c r="AD35" s="191" t="s">
        <v>72</v>
      </c>
      <c r="AE35" s="191" t="s">
        <v>44</v>
      </c>
      <c r="AF35" s="191" t="s">
        <v>95</v>
      </c>
      <c r="AG35" s="191" t="s">
        <v>43</v>
      </c>
      <c r="AH35" s="191" t="s">
        <v>44</v>
      </c>
      <c r="AI35" s="191" t="s">
        <v>39</v>
      </c>
      <c r="AJ35" s="191" t="s">
        <v>36</v>
      </c>
      <c r="AK35" s="191" t="s">
        <v>71</v>
      </c>
      <c r="AL35" s="191" t="s">
        <v>44</v>
      </c>
      <c r="AM35" s="191" t="s">
        <v>47</v>
      </c>
      <c r="AN35" s="191" t="s">
        <v>44</v>
      </c>
      <c r="AO35" s="191" t="s">
        <v>44</v>
      </c>
      <c r="AP35" s="191" t="s">
        <v>44</v>
      </c>
    </row>
    <row r="36" spans="1:42" ht="43.5">
      <c r="A36" s="191" t="s">
        <v>1265</v>
      </c>
      <c r="B36" s="190">
        <v>3</v>
      </c>
      <c r="C36" s="190">
        <v>4</v>
      </c>
      <c r="D36" s="190">
        <v>5</v>
      </c>
      <c r="E36" s="191" t="s">
        <v>311</v>
      </c>
      <c r="F36" s="190">
        <v>5</v>
      </c>
      <c r="G36" s="191" t="s">
        <v>36</v>
      </c>
      <c r="H36" s="190">
        <v>1</v>
      </c>
      <c r="I36" s="190">
        <v>130</v>
      </c>
      <c r="J36" s="191" t="s">
        <v>80</v>
      </c>
      <c r="K36" s="191" t="s">
        <v>61</v>
      </c>
      <c r="L36" s="191" t="s">
        <v>67</v>
      </c>
      <c r="M36" s="191" t="s">
        <v>37</v>
      </c>
      <c r="N36" s="191" t="s">
        <v>95</v>
      </c>
      <c r="O36" s="191" t="s">
        <v>288</v>
      </c>
      <c r="P36" s="191" t="s">
        <v>56</v>
      </c>
      <c r="Q36" s="191" t="s">
        <v>115</v>
      </c>
      <c r="R36" s="191" t="s">
        <v>87</v>
      </c>
      <c r="S36" s="191" t="s">
        <v>48</v>
      </c>
      <c r="T36" s="191" t="s">
        <v>44</v>
      </c>
      <c r="U36" s="191" t="s">
        <v>45</v>
      </c>
      <c r="V36" s="191" t="s">
        <v>1106</v>
      </c>
      <c r="W36" s="191" t="s">
        <v>43</v>
      </c>
      <c r="X36" s="191" t="s">
        <v>44</v>
      </c>
      <c r="Y36" s="191" t="s">
        <v>47</v>
      </c>
      <c r="Z36" s="191" t="s">
        <v>43</v>
      </c>
      <c r="AA36" s="191" t="s">
        <v>62</v>
      </c>
      <c r="AB36" s="191" t="s">
        <v>50</v>
      </c>
      <c r="AC36" s="191" t="s">
        <v>43</v>
      </c>
      <c r="AD36" s="191" t="s">
        <v>72</v>
      </c>
      <c r="AE36" s="191" t="s">
        <v>44</v>
      </c>
      <c r="AF36" s="191" t="s">
        <v>95</v>
      </c>
      <c r="AG36" s="191" t="s">
        <v>43</v>
      </c>
      <c r="AH36" s="191" t="s">
        <v>44</v>
      </c>
      <c r="AI36" s="191" t="s">
        <v>39</v>
      </c>
      <c r="AJ36" s="191" t="s">
        <v>36</v>
      </c>
      <c r="AK36" s="191" t="s">
        <v>63</v>
      </c>
      <c r="AL36" s="191" t="s">
        <v>44</v>
      </c>
      <c r="AM36" s="191" t="s">
        <v>89</v>
      </c>
      <c r="AN36" s="191" t="s">
        <v>44</v>
      </c>
      <c r="AO36" s="191" t="s">
        <v>44</v>
      </c>
      <c r="AP36" s="191" t="s">
        <v>44</v>
      </c>
    </row>
    <row r="37" spans="1:42" ht="29">
      <c r="A37" s="191" t="s">
        <v>1266</v>
      </c>
      <c r="B37" s="190">
        <v>3</v>
      </c>
      <c r="C37" s="190">
        <v>3</v>
      </c>
      <c r="D37" s="190">
        <v>7</v>
      </c>
      <c r="E37" s="191" t="s">
        <v>315</v>
      </c>
      <c r="F37" s="190">
        <v>3</v>
      </c>
      <c r="G37" s="191" t="s">
        <v>36</v>
      </c>
      <c r="H37" s="190">
        <v>1</v>
      </c>
      <c r="I37" s="190">
        <v>0</v>
      </c>
      <c r="J37" s="191" t="s">
        <v>54</v>
      </c>
      <c r="K37" s="191" t="s">
        <v>61</v>
      </c>
      <c r="L37" s="191" t="s">
        <v>36</v>
      </c>
      <c r="M37" s="191" t="s">
        <v>37</v>
      </c>
      <c r="N37" s="191" t="s">
        <v>58</v>
      </c>
      <c r="O37" s="191" t="s">
        <v>39</v>
      </c>
      <c r="P37" s="191" t="s">
        <v>36</v>
      </c>
      <c r="Q37" s="191" t="s">
        <v>106</v>
      </c>
      <c r="R37" s="191" t="s">
        <v>42</v>
      </c>
      <c r="S37" s="191" t="s">
        <v>48</v>
      </c>
      <c r="T37" s="191" t="s">
        <v>44</v>
      </c>
      <c r="U37" s="191" t="s">
        <v>126</v>
      </c>
      <c r="V37" s="191" t="s">
        <v>1106</v>
      </c>
      <c r="W37" s="191" t="s">
        <v>43</v>
      </c>
      <c r="X37" s="191" t="s">
        <v>44</v>
      </c>
      <c r="Y37" s="191" t="s">
        <v>45</v>
      </c>
      <c r="Z37" s="191" t="s">
        <v>43</v>
      </c>
      <c r="AA37" s="191" t="s">
        <v>49</v>
      </c>
      <c r="AB37" s="191" t="s">
        <v>84</v>
      </c>
      <c r="AC37" s="191" t="s">
        <v>43</v>
      </c>
      <c r="AD37" s="191" t="s">
        <v>72</v>
      </c>
      <c r="AE37" s="191" t="s">
        <v>44</v>
      </c>
      <c r="AF37" s="191" t="s">
        <v>95</v>
      </c>
      <c r="AG37" s="191" t="s">
        <v>47</v>
      </c>
      <c r="AH37" s="191" t="s">
        <v>44</v>
      </c>
      <c r="AI37" s="191" t="s">
        <v>39</v>
      </c>
      <c r="AJ37" s="191" t="s">
        <v>36</v>
      </c>
      <c r="AK37" s="191" t="s">
        <v>112</v>
      </c>
      <c r="AL37" s="191" t="s">
        <v>44</v>
      </c>
      <c r="AM37" s="191" t="s">
        <v>47</v>
      </c>
      <c r="AN37" s="191" t="s">
        <v>44</v>
      </c>
      <c r="AO37" s="191" t="s">
        <v>44</v>
      </c>
      <c r="AP37" s="191" t="s">
        <v>44</v>
      </c>
    </row>
    <row r="38" spans="1:42" ht="43.5">
      <c r="A38" s="191" t="s">
        <v>1267</v>
      </c>
      <c r="B38" s="190">
        <v>3</v>
      </c>
      <c r="C38" s="190">
        <v>5</v>
      </c>
      <c r="D38" s="190">
        <v>8</v>
      </c>
      <c r="E38" s="191" t="s">
        <v>311</v>
      </c>
      <c r="F38" s="190">
        <v>4</v>
      </c>
      <c r="G38" s="191" t="s">
        <v>36</v>
      </c>
      <c r="H38" s="190">
        <v>1</v>
      </c>
      <c r="I38" s="190">
        <v>95</v>
      </c>
      <c r="J38" s="191" t="s">
        <v>54</v>
      </c>
      <c r="K38" s="191" t="s">
        <v>47</v>
      </c>
      <c r="L38" s="191" t="s">
        <v>36</v>
      </c>
      <c r="M38" s="191" t="s">
        <v>37</v>
      </c>
      <c r="N38" s="191" t="s">
        <v>58</v>
      </c>
      <c r="O38" s="191" t="s">
        <v>288</v>
      </c>
      <c r="P38" s="191" t="s">
        <v>56</v>
      </c>
      <c r="Q38" s="191" t="s">
        <v>40</v>
      </c>
      <c r="R38" s="191" t="s">
        <v>42</v>
      </c>
      <c r="S38" s="191" t="s">
        <v>48</v>
      </c>
      <c r="T38" s="191" t="s">
        <v>44</v>
      </c>
      <c r="U38" s="191" t="s">
        <v>45</v>
      </c>
      <c r="V38" s="191" t="s">
        <v>1106</v>
      </c>
      <c r="W38" s="191" t="s">
        <v>43</v>
      </c>
      <c r="X38" s="191" t="s">
        <v>44</v>
      </c>
      <c r="Y38" s="191" t="s">
        <v>47</v>
      </c>
      <c r="Z38" s="191" t="s">
        <v>47</v>
      </c>
      <c r="AA38" s="191" t="s">
        <v>62</v>
      </c>
      <c r="AB38" s="191" t="s">
        <v>50</v>
      </c>
      <c r="AC38" s="191" t="s">
        <v>47</v>
      </c>
      <c r="AD38" s="191" t="s">
        <v>91</v>
      </c>
      <c r="AE38" s="191" t="s">
        <v>44</v>
      </c>
      <c r="AF38" s="191" t="s">
        <v>130</v>
      </c>
      <c r="AG38" s="191" t="s">
        <v>47</v>
      </c>
      <c r="AH38" s="191" t="s">
        <v>44</v>
      </c>
      <c r="AI38" s="191" t="s">
        <v>134</v>
      </c>
      <c r="AJ38" s="191" t="s">
        <v>36</v>
      </c>
      <c r="AK38" s="191" t="s">
        <v>59</v>
      </c>
      <c r="AL38" s="191" t="s">
        <v>44</v>
      </c>
      <c r="AM38" s="191" t="s">
        <v>1268</v>
      </c>
      <c r="AN38" s="191" t="s">
        <v>44</v>
      </c>
      <c r="AO38" s="191" t="s">
        <v>44</v>
      </c>
      <c r="AP38" s="191" t="s">
        <v>44</v>
      </c>
    </row>
    <row r="39" spans="1:42" ht="29">
      <c r="A39" s="191" t="s">
        <v>1269</v>
      </c>
      <c r="B39" s="190">
        <v>3</v>
      </c>
      <c r="C39" s="190">
        <v>7</v>
      </c>
      <c r="D39" s="190">
        <v>9</v>
      </c>
      <c r="E39" s="191" t="s">
        <v>318</v>
      </c>
      <c r="F39" s="190">
        <v>1</v>
      </c>
      <c r="G39" s="191" t="s">
        <v>36</v>
      </c>
      <c r="H39" s="190">
        <v>1</v>
      </c>
      <c r="I39" s="190">
        <v>140</v>
      </c>
      <c r="J39" s="191" t="s">
        <v>34</v>
      </c>
      <c r="K39" s="191" t="s">
        <v>47</v>
      </c>
      <c r="L39" s="191" t="s">
        <v>36</v>
      </c>
      <c r="M39" s="191" t="s">
        <v>37</v>
      </c>
      <c r="N39" s="191" t="s">
        <v>95</v>
      </c>
      <c r="O39" s="191" t="s">
        <v>39</v>
      </c>
      <c r="P39" s="191" t="s">
        <v>41</v>
      </c>
      <c r="Q39" s="191" t="s">
        <v>92</v>
      </c>
      <c r="R39" s="191" t="s">
        <v>82</v>
      </c>
      <c r="S39" s="191" t="s">
        <v>48</v>
      </c>
      <c r="T39" s="191" t="s">
        <v>44</v>
      </c>
      <c r="U39" s="191" t="s">
        <v>117</v>
      </c>
      <c r="V39" s="191" t="s">
        <v>1106</v>
      </c>
      <c r="W39" s="191" t="s">
        <v>43</v>
      </c>
      <c r="X39" s="191" t="s">
        <v>44</v>
      </c>
      <c r="Y39" s="191" t="s">
        <v>47</v>
      </c>
      <c r="Z39" s="191" t="s">
        <v>43</v>
      </c>
      <c r="AA39" s="191" t="s">
        <v>49</v>
      </c>
      <c r="AB39" s="191" t="s">
        <v>50</v>
      </c>
      <c r="AC39" s="191" t="s">
        <v>43</v>
      </c>
      <c r="AD39" s="191" t="s">
        <v>72</v>
      </c>
      <c r="AE39" s="191" t="s">
        <v>44</v>
      </c>
      <c r="AF39" s="191" t="s">
        <v>95</v>
      </c>
      <c r="AG39" s="191" t="s">
        <v>43</v>
      </c>
      <c r="AH39" s="191" t="s">
        <v>44</v>
      </c>
      <c r="AI39" s="191" t="s">
        <v>39</v>
      </c>
      <c r="AJ39" s="191" t="s">
        <v>36</v>
      </c>
      <c r="AK39" s="191" t="s">
        <v>109</v>
      </c>
      <c r="AL39" s="191" t="s">
        <v>44</v>
      </c>
      <c r="AM39" s="191" t="s">
        <v>45</v>
      </c>
      <c r="AN39" s="191" t="s">
        <v>44</v>
      </c>
      <c r="AO39" s="191" t="s">
        <v>44</v>
      </c>
      <c r="AP39" s="191" t="s">
        <v>44</v>
      </c>
    </row>
    <row r="40" spans="1:42" ht="29">
      <c r="A40" s="191" t="s">
        <v>1270</v>
      </c>
      <c r="B40" s="190">
        <v>3</v>
      </c>
      <c r="C40" s="190">
        <v>5</v>
      </c>
      <c r="D40" s="190">
        <v>7</v>
      </c>
      <c r="E40" s="191" t="s">
        <v>315</v>
      </c>
      <c r="F40" s="190">
        <v>2</v>
      </c>
      <c r="G40" s="191" t="s">
        <v>36</v>
      </c>
      <c r="H40" s="190">
        <v>1</v>
      </c>
      <c r="I40" s="190">
        <v>160</v>
      </c>
      <c r="J40" s="191" t="s">
        <v>54</v>
      </c>
      <c r="K40" s="191" t="s">
        <v>110</v>
      </c>
      <c r="L40" s="191" t="s">
        <v>36</v>
      </c>
      <c r="M40" s="191" t="s">
        <v>37</v>
      </c>
      <c r="N40" s="191" t="s">
        <v>58</v>
      </c>
      <c r="O40" s="191" t="s">
        <v>288</v>
      </c>
      <c r="P40" s="191" t="s">
        <v>41</v>
      </c>
      <c r="Q40" s="191" t="s">
        <v>35</v>
      </c>
      <c r="R40" s="191" t="s">
        <v>42</v>
      </c>
      <c r="S40" s="191" t="s">
        <v>48</v>
      </c>
      <c r="T40" s="191" t="s">
        <v>44</v>
      </c>
      <c r="U40" s="191" t="s">
        <v>89</v>
      </c>
      <c r="V40" s="191" t="s">
        <v>1106</v>
      </c>
      <c r="W40" s="191" t="s">
        <v>43</v>
      </c>
      <c r="X40" s="191" t="s">
        <v>44</v>
      </c>
      <c r="Y40" s="191" t="s">
        <v>43</v>
      </c>
      <c r="Z40" s="191" t="s">
        <v>78</v>
      </c>
      <c r="AA40" s="191" t="s">
        <v>62</v>
      </c>
      <c r="AB40" s="191" t="s">
        <v>50</v>
      </c>
      <c r="AC40" s="191" t="s">
        <v>43</v>
      </c>
      <c r="AD40" s="191" t="s">
        <v>72</v>
      </c>
      <c r="AE40" s="191" t="s">
        <v>44</v>
      </c>
      <c r="AF40" s="191" t="s">
        <v>52</v>
      </c>
      <c r="AG40" s="191" t="s">
        <v>47</v>
      </c>
      <c r="AH40" s="191" t="s">
        <v>44</v>
      </c>
      <c r="AI40" s="191" t="s">
        <v>134</v>
      </c>
      <c r="AJ40" s="191" t="s">
        <v>36</v>
      </c>
      <c r="AK40" s="191" t="s">
        <v>73</v>
      </c>
      <c r="AL40" s="191" t="s">
        <v>44</v>
      </c>
      <c r="AM40" s="191" t="s">
        <v>45</v>
      </c>
      <c r="AN40" s="191" t="s">
        <v>44</v>
      </c>
      <c r="AO40" s="191" t="s">
        <v>44</v>
      </c>
      <c r="AP40" s="191" t="s">
        <v>44</v>
      </c>
    </row>
    <row r="41" spans="1:42" ht="29">
      <c r="A41" s="191" t="s">
        <v>1271</v>
      </c>
      <c r="B41" s="190">
        <v>3</v>
      </c>
      <c r="C41" s="190">
        <v>7</v>
      </c>
      <c r="D41" s="190">
        <v>9</v>
      </c>
      <c r="E41" s="191" t="s">
        <v>318</v>
      </c>
      <c r="F41" s="190">
        <v>1</v>
      </c>
      <c r="G41" s="191" t="s">
        <v>36</v>
      </c>
      <c r="H41" s="190">
        <v>1</v>
      </c>
      <c r="I41" s="190">
        <v>100</v>
      </c>
      <c r="J41" s="191" t="s">
        <v>65</v>
      </c>
      <c r="K41" s="191" t="s">
        <v>40</v>
      </c>
      <c r="L41" s="191" t="s">
        <v>36</v>
      </c>
      <c r="M41" s="191" t="s">
        <v>37</v>
      </c>
      <c r="N41" s="191" t="s">
        <v>108</v>
      </c>
      <c r="O41" s="191" t="s">
        <v>39</v>
      </c>
      <c r="P41" s="191" t="s">
        <v>41</v>
      </c>
      <c r="Q41" s="191" t="s">
        <v>104</v>
      </c>
      <c r="R41" s="191" t="s">
        <v>42</v>
      </c>
      <c r="S41" s="191" t="s">
        <v>48</v>
      </c>
      <c r="T41" s="191" t="s">
        <v>44</v>
      </c>
      <c r="U41" s="191" t="s">
        <v>40</v>
      </c>
      <c r="V41" s="191" t="s">
        <v>1272</v>
      </c>
      <c r="W41" s="191" t="s">
        <v>47</v>
      </c>
      <c r="X41" s="191" t="s">
        <v>44</v>
      </c>
      <c r="Y41" s="191" t="s">
        <v>43</v>
      </c>
      <c r="Z41" s="191" t="s">
        <v>47</v>
      </c>
      <c r="AA41" s="191" t="s">
        <v>36</v>
      </c>
      <c r="AB41" s="191" t="s">
        <v>50</v>
      </c>
      <c r="AC41" s="191" t="s">
        <v>43</v>
      </c>
      <c r="AD41" s="191" t="s">
        <v>72</v>
      </c>
      <c r="AE41" s="191" t="s">
        <v>44</v>
      </c>
      <c r="AF41" s="191" t="s">
        <v>108</v>
      </c>
      <c r="AG41" s="191" t="s">
        <v>47</v>
      </c>
      <c r="AH41" s="191" t="s">
        <v>44</v>
      </c>
      <c r="AI41" s="191" t="s">
        <v>39</v>
      </c>
      <c r="AJ41" s="191" t="s">
        <v>36</v>
      </c>
      <c r="AK41" s="191" t="s">
        <v>109</v>
      </c>
      <c r="AL41" s="191" t="s">
        <v>44</v>
      </c>
      <c r="AM41" s="191" t="s">
        <v>45</v>
      </c>
      <c r="AN41" s="191" t="s">
        <v>44</v>
      </c>
      <c r="AO41" s="191" t="s">
        <v>44</v>
      </c>
      <c r="AP41" s="191" t="s">
        <v>44</v>
      </c>
    </row>
    <row r="42" spans="1:42" ht="29">
      <c r="A42" s="191" t="s">
        <v>1273</v>
      </c>
      <c r="B42" s="190">
        <v>3</v>
      </c>
      <c r="C42" s="190">
        <v>3</v>
      </c>
      <c r="D42" s="190">
        <v>8</v>
      </c>
      <c r="E42" s="191" t="s">
        <v>307</v>
      </c>
      <c r="F42" s="190">
        <v>3</v>
      </c>
      <c r="G42" s="191" t="s">
        <v>36</v>
      </c>
      <c r="H42" s="190">
        <v>1</v>
      </c>
      <c r="I42" s="190">
        <v>90</v>
      </c>
      <c r="J42" s="191" t="s">
        <v>54</v>
      </c>
      <c r="K42" s="191" t="s">
        <v>47</v>
      </c>
      <c r="L42" s="191" t="s">
        <v>36</v>
      </c>
      <c r="M42" s="191" t="s">
        <v>37</v>
      </c>
      <c r="N42" s="191" t="s">
        <v>58</v>
      </c>
      <c r="O42" s="191" t="s">
        <v>39</v>
      </c>
      <c r="P42" s="191" t="s">
        <v>41</v>
      </c>
      <c r="Q42" s="191" t="s">
        <v>78</v>
      </c>
      <c r="R42" s="191" t="s">
        <v>42</v>
      </c>
      <c r="S42" s="191" t="s">
        <v>48</v>
      </c>
      <c r="T42" s="191" t="s">
        <v>44</v>
      </c>
      <c r="U42" s="191" t="s">
        <v>40</v>
      </c>
      <c r="V42" s="191" t="s">
        <v>1106</v>
      </c>
      <c r="W42" s="191" t="s">
        <v>47</v>
      </c>
      <c r="X42" s="191" t="s">
        <v>44</v>
      </c>
      <c r="Y42" s="191" t="s">
        <v>43</v>
      </c>
      <c r="Z42" s="191" t="s">
        <v>43</v>
      </c>
      <c r="AA42" s="191" t="s">
        <v>62</v>
      </c>
      <c r="AB42" s="191" t="s">
        <v>50</v>
      </c>
      <c r="AC42" s="191" t="s">
        <v>43</v>
      </c>
      <c r="AD42" s="191" t="s">
        <v>72</v>
      </c>
      <c r="AE42" s="191" t="s">
        <v>44</v>
      </c>
      <c r="AF42" s="191" t="s">
        <v>95</v>
      </c>
      <c r="AG42" s="191" t="s">
        <v>47</v>
      </c>
      <c r="AH42" s="191" t="s">
        <v>44</v>
      </c>
      <c r="AI42" s="191" t="s">
        <v>39</v>
      </c>
      <c r="AJ42" s="191" t="s">
        <v>36</v>
      </c>
      <c r="AK42" s="191" t="s">
        <v>59</v>
      </c>
      <c r="AL42" s="191" t="s">
        <v>44</v>
      </c>
      <c r="AM42" s="191" t="s">
        <v>47</v>
      </c>
      <c r="AN42" s="191" t="s">
        <v>44</v>
      </c>
      <c r="AO42" s="191" t="s">
        <v>44</v>
      </c>
      <c r="AP42" s="191" t="s">
        <v>44</v>
      </c>
    </row>
    <row r="43" spans="1:42" ht="29">
      <c r="A43" s="191" t="s">
        <v>1274</v>
      </c>
      <c r="B43" s="190">
        <v>3</v>
      </c>
      <c r="C43" s="190">
        <v>7</v>
      </c>
      <c r="D43" s="190">
        <v>8</v>
      </c>
      <c r="E43" s="191" t="s">
        <v>315</v>
      </c>
      <c r="F43" s="190">
        <v>2</v>
      </c>
      <c r="G43" s="191" t="s">
        <v>36</v>
      </c>
      <c r="H43" s="190">
        <v>1</v>
      </c>
      <c r="I43" s="190">
        <v>120</v>
      </c>
      <c r="J43" s="191" t="s">
        <v>54</v>
      </c>
      <c r="K43" s="191" t="s">
        <v>61</v>
      </c>
      <c r="L43" s="191" t="s">
        <v>36</v>
      </c>
      <c r="M43" s="191" t="s">
        <v>37</v>
      </c>
      <c r="N43" s="191" t="s">
        <v>132</v>
      </c>
      <c r="O43" s="191" t="s">
        <v>39</v>
      </c>
      <c r="P43" s="191" t="s">
        <v>41</v>
      </c>
      <c r="Q43" s="191" t="s">
        <v>45</v>
      </c>
      <c r="R43" s="191" t="s">
        <v>42</v>
      </c>
      <c r="S43" s="191" t="s">
        <v>48</v>
      </c>
      <c r="T43" s="191" t="s">
        <v>44</v>
      </c>
      <c r="U43" s="191" t="s">
        <v>1112</v>
      </c>
      <c r="V43" s="191" t="s">
        <v>1106</v>
      </c>
      <c r="W43" s="191" t="s">
        <v>47</v>
      </c>
      <c r="X43" s="191" t="s">
        <v>44</v>
      </c>
      <c r="Y43" s="191" t="s">
        <v>46</v>
      </c>
      <c r="Z43" s="191" t="s">
        <v>43</v>
      </c>
      <c r="AA43" s="191" t="s">
        <v>62</v>
      </c>
      <c r="AB43" s="191" t="s">
        <v>50</v>
      </c>
      <c r="AC43" s="191" t="s">
        <v>47</v>
      </c>
      <c r="AD43" s="191" t="s">
        <v>91</v>
      </c>
      <c r="AE43" s="191" t="s">
        <v>44</v>
      </c>
      <c r="AF43" s="191" t="s">
        <v>132</v>
      </c>
      <c r="AG43" s="191" t="s">
        <v>43</v>
      </c>
      <c r="AH43" s="191" t="s">
        <v>44</v>
      </c>
      <c r="AI43" s="191" t="s">
        <v>134</v>
      </c>
      <c r="AJ43" s="191" t="s">
        <v>36</v>
      </c>
      <c r="AK43" s="191" t="s">
        <v>77</v>
      </c>
      <c r="AL43" s="191" t="s">
        <v>44</v>
      </c>
      <c r="AM43" s="191" t="s">
        <v>45</v>
      </c>
      <c r="AN43" s="191" t="s">
        <v>44</v>
      </c>
      <c r="AO43" s="191" t="s">
        <v>44</v>
      </c>
      <c r="AP43" s="191" t="s">
        <v>44</v>
      </c>
    </row>
    <row r="44" spans="1:42" ht="43.5">
      <c r="A44" s="191" t="s">
        <v>1275</v>
      </c>
      <c r="B44" s="190">
        <v>3</v>
      </c>
      <c r="C44" s="190">
        <v>5</v>
      </c>
      <c r="D44" s="190">
        <v>5</v>
      </c>
      <c r="E44" s="191" t="s">
        <v>311</v>
      </c>
      <c r="F44" s="190">
        <v>6</v>
      </c>
      <c r="G44" s="191" t="s">
        <v>36</v>
      </c>
      <c r="H44" s="190">
        <v>1</v>
      </c>
      <c r="I44" s="190">
        <v>150</v>
      </c>
      <c r="J44" s="191" t="s">
        <v>65</v>
      </c>
      <c r="K44" s="191" t="s">
        <v>47</v>
      </c>
      <c r="L44" s="191" t="s">
        <v>36</v>
      </c>
      <c r="M44" s="191" t="s">
        <v>37</v>
      </c>
      <c r="N44" s="191" t="s">
        <v>58</v>
      </c>
      <c r="O44" s="191" t="s">
        <v>288</v>
      </c>
      <c r="P44" s="191" t="s">
        <v>66</v>
      </c>
      <c r="Q44" s="191" t="s">
        <v>139</v>
      </c>
      <c r="R44" s="191" t="s">
        <v>42</v>
      </c>
      <c r="S44" s="191" t="s">
        <v>48</v>
      </c>
      <c r="T44" s="191" t="s">
        <v>44</v>
      </c>
      <c r="U44" s="191" t="s">
        <v>43</v>
      </c>
      <c r="V44" s="191" t="s">
        <v>1141</v>
      </c>
      <c r="W44" s="191" t="s">
        <v>43</v>
      </c>
      <c r="X44" s="191" t="s">
        <v>44</v>
      </c>
      <c r="Y44" s="191" t="s">
        <v>47</v>
      </c>
      <c r="Z44" s="191" t="s">
        <v>43</v>
      </c>
      <c r="AA44" s="191" t="s">
        <v>105</v>
      </c>
      <c r="AB44" s="191" t="s">
        <v>84</v>
      </c>
      <c r="AC44" s="191" t="s">
        <v>47</v>
      </c>
      <c r="AD44" s="191" t="s">
        <v>72</v>
      </c>
      <c r="AE44" s="191" t="s">
        <v>44</v>
      </c>
      <c r="AF44" s="191" t="s">
        <v>52</v>
      </c>
      <c r="AG44" s="191" t="s">
        <v>47</v>
      </c>
      <c r="AH44" s="191" t="s">
        <v>44</v>
      </c>
      <c r="AI44" s="191" t="s">
        <v>39</v>
      </c>
      <c r="AJ44" s="191" t="s">
        <v>36</v>
      </c>
      <c r="AK44" s="191" t="s">
        <v>73</v>
      </c>
      <c r="AL44" s="191" t="s">
        <v>44</v>
      </c>
      <c r="AM44" s="191" t="s">
        <v>45</v>
      </c>
      <c r="AN44" s="191" t="s">
        <v>44</v>
      </c>
      <c r="AO44" s="191" t="s">
        <v>44</v>
      </c>
      <c r="AP44" s="191" t="s">
        <v>44</v>
      </c>
    </row>
    <row r="45" spans="1:42" ht="29">
      <c r="A45" s="191" t="s">
        <v>1276</v>
      </c>
      <c r="B45" s="190">
        <v>3</v>
      </c>
      <c r="C45" s="190">
        <v>3</v>
      </c>
      <c r="D45" s="190">
        <v>3</v>
      </c>
      <c r="E45" s="191" t="s">
        <v>311</v>
      </c>
      <c r="F45" s="190">
        <v>4</v>
      </c>
      <c r="G45" s="191" t="s">
        <v>36</v>
      </c>
      <c r="H45" s="190">
        <v>1</v>
      </c>
      <c r="I45" s="190">
        <v>200</v>
      </c>
      <c r="J45" s="191" t="s">
        <v>65</v>
      </c>
      <c r="K45" s="191" t="s">
        <v>40</v>
      </c>
      <c r="L45" s="191" t="s">
        <v>36</v>
      </c>
      <c r="M45" s="191" t="s">
        <v>37</v>
      </c>
      <c r="N45" s="191" t="s">
        <v>58</v>
      </c>
      <c r="O45" s="191" t="s">
        <v>39</v>
      </c>
      <c r="P45" s="191" t="s">
        <v>41</v>
      </c>
      <c r="Q45" s="191" t="s">
        <v>127</v>
      </c>
      <c r="R45" s="191" t="s">
        <v>87</v>
      </c>
      <c r="S45" s="191" t="s">
        <v>48</v>
      </c>
      <c r="T45" s="191" t="s">
        <v>44</v>
      </c>
      <c r="U45" s="191" t="s">
        <v>117</v>
      </c>
      <c r="V45" s="191" t="s">
        <v>1141</v>
      </c>
      <c r="W45" s="191" t="s">
        <v>47</v>
      </c>
      <c r="X45" s="191" t="s">
        <v>44</v>
      </c>
      <c r="Y45" s="191" t="s">
        <v>46</v>
      </c>
      <c r="Z45" s="191" t="s">
        <v>43</v>
      </c>
      <c r="AA45" s="191" t="s">
        <v>62</v>
      </c>
      <c r="AB45" s="191" t="s">
        <v>84</v>
      </c>
      <c r="AC45" s="191" t="s">
        <v>47</v>
      </c>
      <c r="AD45" s="191" t="s">
        <v>91</v>
      </c>
      <c r="AE45" s="191" t="s">
        <v>44</v>
      </c>
      <c r="AF45" s="191" t="s">
        <v>95</v>
      </c>
      <c r="AG45" s="191" t="s">
        <v>47</v>
      </c>
      <c r="AH45" s="191" t="s">
        <v>44</v>
      </c>
      <c r="AI45" s="191" t="s">
        <v>39</v>
      </c>
      <c r="AJ45" s="191" t="s">
        <v>36</v>
      </c>
      <c r="AK45" s="191" t="s">
        <v>43</v>
      </c>
      <c r="AL45" s="191" t="s">
        <v>44</v>
      </c>
      <c r="AM45" s="191" t="s">
        <v>89</v>
      </c>
      <c r="AN45" s="191" t="s">
        <v>44</v>
      </c>
      <c r="AO45" s="191" t="s">
        <v>44</v>
      </c>
      <c r="AP45" s="191" t="s">
        <v>44</v>
      </c>
    </row>
    <row r="46" spans="1:42" ht="43.5">
      <c r="A46" s="191" t="s">
        <v>1277</v>
      </c>
      <c r="B46" s="190">
        <v>3</v>
      </c>
      <c r="C46" s="190">
        <v>3</v>
      </c>
      <c r="D46" s="190">
        <v>3</v>
      </c>
      <c r="E46" s="191" t="s">
        <v>315</v>
      </c>
      <c r="F46" s="190">
        <v>2</v>
      </c>
      <c r="G46" s="191" t="s">
        <v>36</v>
      </c>
      <c r="H46" s="190">
        <v>1</v>
      </c>
      <c r="I46" s="190">
        <v>110</v>
      </c>
      <c r="J46" s="191" t="s">
        <v>54</v>
      </c>
      <c r="K46" s="191" t="s">
        <v>40</v>
      </c>
      <c r="L46" s="191" t="s">
        <v>36</v>
      </c>
      <c r="M46" s="191" t="s">
        <v>37</v>
      </c>
      <c r="N46" s="191" t="s">
        <v>58</v>
      </c>
      <c r="O46" s="191" t="s">
        <v>39</v>
      </c>
      <c r="P46" s="191" t="s">
        <v>56</v>
      </c>
      <c r="Q46" s="191" t="s">
        <v>40</v>
      </c>
      <c r="R46" s="191" t="s">
        <v>60</v>
      </c>
      <c r="S46" s="191" t="s">
        <v>48</v>
      </c>
      <c r="T46" s="191" t="s">
        <v>44</v>
      </c>
      <c r="U46" s="191" t="s">
        <v>89</v>
      </c>
      <c r="V46" s="191" t="s">
        <v>1106</v>
      </c>
      <c r="W46" s="191" t="s">
        <v>47</v>
      </c>
      <c r="X46" s="191" t="s">
        <v>44</v>
      </c>
      <c r="Y46" s="191" t="s">
        <v>61</v>
      </c>
      <c r="Z46" s="191" t="s">
        <v>43</v>
      </c>
      <c r="AA46" s="191" t="s">
        <v>49</v>
      </c>
      <c r="AB46" s="191" t="s">
        <v>50</v>
      </c>
      <c r="AC46" s="191" t="s">
        <v>47</v>
      </c>
      <c r="AD46" s="191" t="s">
        <v>91</v>
      </c>
      <c r="AE46" s="191" t="s">
        <v>44</v>
      </c>
      <c r="AF46" s="191" t="s">
        <v>95</v>
      </c>
      <c r="AG46" s="191" t="s">
        <v>47</v>
      </c>
      <c r="AH46" s="191" t="s">
        <v>44</v>
      </c>
      <c r="AI46" s="191" t="s">
        <v>134</v>
      </c>
      <c r="AJ46" s="191" t="s">
        <v>36</v>
      </c>
      <c r="AK46" s="191" t="s">
        <v>89</v>
      </c>
      <c r="AL46" s="191" t="s">
        <v>44</v>
      </c>
      <c r="AM46" s="191" t="s">
        <v>89</v>
      </c>
      <c r="AN46" s="191" t="s">
        <v>44</v>
      </c>
      <c r="AO46" s="191" t="s">
        <v>44</v>
      </c>
      <c r="AP46" s="191" t="s">
        <v>44</v>
      </c>
    </row>
    <row r="47" spans="1:42" ht="29">
      <c r="A47" s="191" t="s">
        <v>1278</v>
      </c>
      <c r="B47" s="190">
        <v>3</v>
      </c>
      <c r="C47" s="190">
        <v>6</v>
      </c>
      <c r="D47" s="193"/>
      <c r="E47" s="191" t="s">
        <v>315</v>
      </c>
      <c r="F47" s="190">
        <v>1</v>
      </c>
      <c r="G47" s="191" t="s">
        <v>36</v>
      </c>
      <c r="H47" s="190">
        <v>1</v>
      </c>
      <c r="I47" s="190">
        <v>90</v>
      </c>
      <c r="J47" s="191" t="s">
        <v>54</v>
      </c>
      <c r="K47" s="191" t="s">
        <v>47</v>
      </c>
      <c r="L47" s="191" t="s">
        <v>36</v>
      </c>
      <c r="M47" s="191" t="s">
        <v>37</v>
      </c>
      <c r="N47" s="191" t="s">
        <v>58</v>
      </c>
      <c r="O47" s="191" t="s">
        <v>39</v>
      </c>
      <c r="P47" s="191" t="s">
        <v>41</v>
      </c>
      <c r="Q47" s="191" t="s">
        <v>40</v>
      </c>
      <c r="R47" s="191" t="s">
        <v>60</v>
      </c>
      <c r="S47" s="191" t="s">
        <v>48</v>
      </c>
      <c r="T47" s="191" t="s">
        <v>44</v>
      </c>
      <c r="U47" s="191" t="s">
        <v>126</v>
      </c>
      <c r="V47" s="191" t="s">
        <v>1106</v>
      </c>
      <c r="W47" s="191" t="s">
        <v>43</v>
      </c>
      <c r="X47" s="191" t="s">
        <v>44</v>
      </c>
      <c r="Y47" s="191" t="s">
        <v>47</v>
      </c>
      <c r="Z47" s="191" t="s">
        <v>46</v>
      </c>
      <c r="AA47" s="191" t="s">
        <v>62</v>
      </c>
      <c r="AB47" s="191" t="s">
        <v>50</v>
      </c>
      <c r="AC47" s="191" t="s">
        <v>43</v>
      </c>
      <c r="AD47" s="191" t="s">
        <v>72</v>
      </c>
      <c r="AE47" s="191" t="s">
        <v>44</v>
      </c>
      <c r="AF47" s="191" t="s">
        <v>95</v>
      </c>
      <c r="AG47" s="191" t="s">
        <v>43</v>
      </c>
      <c r="AH47" s="191" t="s">
        <v>44</v>
      </c>
      <c r="AI47" s="191" t="s">
        <v>39</v>
      </c>
      <c r="AJ47" s="191" t="s">
        <v>36</v>
      </c>
      <c r="AK47" s="191" t="s">
        <v>85</v>
      </c>
      <c r="AL47" s="191" t="s">
        <v>44</v>
      </c>
      <c r="AM47" s="191" t="s">
        <v>45</v>
      </c>
      <c r="AN47" s="191" t="s">
        <v>44</v>
      </c>
      <c r="AO47" s="191" t="s">
        <v>44</v>
      </c>
      <c r="AP47" s="191" t="s">
        <v>44</v>
      </c>
    </row>
    <row r="48" spans="1:42" ht="43.5">
      <c r="A48" s="191" t="s">
        <v>1279</v>
      </c>
      <c r="B48" s="190">
        <v>3</v>
      </c>
      <c r="C48" s="190">
        <v>5</v>
      </c>
      <c r="D48" s="190">
        <v>5</v>
      </c>
      <c r="E48" s="191" t="s">
        <v>311</v>
      </c>
      <c r="F48" s="190">
        <v>3</v>
      </c>
      <c r="G48" s="191" t="s">
        <v>36</v>
      </c>
      <c r="H48" s="190">
        <v>1</v>
      </c>
      <c r="I48" s="190">
        <v>70</v>
      </c>
      <c r="J48" s="191" t="s">
        <v>65</v>
      </c>
      <c r="K48" s="191" t="s">
        <v>61</v>
      </c>
      <c r="L48" s="191" t="s">
        <v>36</v>
      </c>
      <c r="M48" s="191" t="s">
        <v>118</v>
      </c>
      <c r="N48" s="191" t="s">
        <v>58</v>
      </c>
      <c r="O48" s="191" t="s">
        <v>288</v>
      </c>
      <c r="P48" s="191" t="s">
        <v>56</v>
      </c>
      <c r="Q48" s="191" t="s">
        <v>104</v>
      </c>
      <c r="R48" s="191" t="s">
        <v>87</v>
      </c>
      <c r="S48" s="191" t="s">
        <v>48</v>
      </c>
      <c r="T48" s="191" t="s">
        <v>44</v>
      </c>
      <c r="U48" s="191" t="s">
        <v>45</v>
      </c>
      <c r="V48" s="191" t="s">
        <v>1106</v>
      </c>
      <c r="W48" s="191" t="s">
        <v>78</v>
      </c>
      <c r="X48" s="191" t="s">
        <v>44</v>
      </c>
      <c r="Y48" s="191" t="s">
        <v>46</v>
      </c>
      <c r="Z48" s="191" t="s">
        <v>47</v>
      </c>
      <c r="AA48" s="191" t="s">
        <v>49</v>
      </c>
      <c r="AB48" s="191" t="s">
        <v>50</v>
      </c>
      <c r="AC48" s="191" t="s">
        <v>43</v>
      </c>
      <c r="AD48" s="191" t="s">
        <v>51</v>
      </c>
      <c r="AE48" s="191" t="s">
        <v>44</v>
      </c>
      <c r="AF48" s="191" t="s">
        <v>95</v>
      </c>
      <c r="AG48" s="191" t="s">
        <v>47</v>
      </c>
      <c r="AH48" s="191" t="s">
        <v>44</v>
      </c>
      <c r="AI48" s="191" t="s">
        <v>39</v>
      </c>
      <c r="AJ48" s="191" t="s">
        <v>36</v>
      </c>
      <c r="AK48" s="191" t="s">
        <v>71</v>
      </c>
      <c r="AL48" s="191" t="s">
        <v>44</v>
      </c>
      <c r="AM48" s="191" t="s">
        <v>45</v>
      </c>
      <c r="AN48" s="191" t="s">
        <v>44</v>
      </c>
      <c r="AO48" s="191" t="s">
        <v>44</v>
      </c>
      <c r="AP48" s="191" t="s">
        <v>44</v>
      </c>
    </row>
    <row r="49" spans="1:42" ht="29">
      <c r="A49" s="191" t="s">
        <v>1280</v>
      </c>
      <c r="B49" s="190">
        <v>3</v>
      </c>
      <c r="C49" s="190">
        <v>7</v>
      </c>
      <c r="D49" s="190">
        <v>5</v>
      </c>
      <c r="E49" s="191" t="s">
        <v>315</v>
      </c>
      <c r="F49" s="190">
        <v>2</v>
      </c>
      <c r="G49" s="191" t="s">
        <v>36</v>
      </c>
      <c r="H49" s="190">
        <v>1</v>
      </c>
      <c r="I49" s="190">
        <v>95</v>
      </c>
      <c r="J49" s="191" t="s">
        <v>54</v>
      </c>
      <c r="K49" s="191" t="s">
        <v>40</v>
      </c>
      <c r="L49" s="191" t="s">
        <v>36</v>
      </c>
      <c r="M49" s="191" t="s">
        <v>37</v>
      </c>
      <c r="N49" s="191" t="s">
        <v>58</v>
      </c>
      <c r="O49" s="191" t="s">
        <v>39</v>
      </c>
      <c r="P49" s="191" t="s">
        <v>41</v>
      </c>
      <c r="Q49" s="191" t="s">
        <v>40</v>
      </c>
      <c r="R49" s="191" t="s">
        <v>42</v>
      </c>
      <c r="S49" s="191" t="s">
        <v>48</v>
      </c>
      <c r="T49" s="191" t="s">
        <v>44</v>
      </c>
      <c r="U49" s="191" t="s">
        <v>61</v>
      </c>
      <c r="V49" s="191" t="s">
        <v>1106</v>
      </c>
      <c r="W49" s="191" t="s">
        <v>43</v>
      </c>
      <c r="X49" s="191" t="s">
        <v>44</v>
      </c>
      <c r="Y49" s="191" t="s">
        <v>43</v>
      </c>
      <c r="Z49" s="191" t="s">
        <v>43</v>
      </c>
      <c r="AA49" s="191" t="s">
        <v>62</v>
      </c>
      <c r="AB49" s="191" t="s">
        <v>50</v>
      </c>
      <c r="AC49" s="191" t="s">
        <v>47</v>
      </c>
      <c r="AD49" s="191" t="s">
        <v>91</v>
      </c>
      <c r="AE49" s="191" t="s">
        <v>44</v>
      </c>
      <c r="AF49" s="191" t="s">
        <v>95</v>
      </c>
      <c r="AG49" s="191" t="s">
        <v>47</v>
      </c>
      <c r="AH49" s="191" t="s">
        <v>44</v>
      </c>
      <c r="AI49" s="191" t="s">
        <v>39</v>
      </c>
      <c r="AJ49" s="191" t="s">
        <v>36</v>
      </c>
      <c r="AK49" s="191" t="s">
        <v>73</v>
      </c>
      <c r="AL49" s="191" t="s">
        <v>44</v>
      </c>
      <c r="AM49" s="191" t="s">
        <v>89</v>
      </c>
      <c r="AN49" s="191" t="s">
        <v>44</v>
      </c>
      <c r="AO49" s="191" t="s">
        <v>44</v>
      </c>
      <c r="AP49" s="191" t="s">
        <v>44</v>
      </c>
    </row>
    <row r="50" spans="1:42" ht="29">
      <c r="A50" s="191" t="s">
        <v>1281</v>
      </c>
      <c r="B50" s="190">
        <v>3</v>
      </c>
      <c r="C50" s="190">
        <v>7</v>
      </c>
      <c r="D50" s="190">
        <v>7</v>
      </c>
      <c r="E50" s="191" t="s">
        <v>315</v>
      </c>
      <c r="F50" s="190">
        <v>2</v>
      </c>
      <c r="G50" s="191" t="s">
        <v>36</v>
      </c>
      <c r="H50" s="190">
        <v>1</v>
      </c>
      <c r="I50" s="190">
        <v>150</v>
      </c>
      <c r="J50" s="191" t="s">
        <v>65</v>
      </c>
      <c r="K50" s="191" t="s">
        <v>47</v>
      </c>
      <c r="L50" s="191" t="s">
        <v>36</v>
      </c>
      <c r="M50" s="191" t="s">
        <v>37</v>
      </c>
      <c r="N50" s="191" t="s">
        <v>58</v>
      </c>
      <c r="O50" s="191" t="s">
        <v>288</v>
      </c>
      <c r="P50" s="191" t="s">
        <v>41</v>
      </c>
      <c r="Q50" s="191" t="s">
        <v>76</v>
      </c>
      <c r="R50" s="191" t="s">
        <v>60</v>
      </c>
      <c r="S50" s="191" t="s">
        <v>48</v>
      </c>
      <c r="T50" s="191" t="s">
        <v>44</v>
      </c>
      <c r="U50" s="191" t="s">
        <v>45</v>
      </c>
      <c r="V50" s="191" t="s">
        <v>1106</v>
      </c>
      <c r="W50" s="191" t="s">
        <v>47</v>
      </c>
      <c r="X50" s="191" t="s">
        <v>44</v>
      </c>
      <c r="Y50" s="191" t="s">
        <v>43</v>
      </c>
      <c r="Z50" s="191" t="s">
        <v>43</v>
      </c>
      <c r="AA50" s="191" t="s">
        <v>62</v>
      </c>
      <c r="AB50" s="191" t="s">
        <v>84</v>
      </c>
      <c r="AC50" s="191" t="s">
        <v>43</v>
      </c>
      <c r="AD50" s="191" t="s">
        <v>72</v>
      </c>
      <c r="AE50" s="191" t="s">
        <v>44</v>
      </c>
      <c r="AF50" s="191" t="s">
        <v>95</v>
      </c>
      <c r="AG50" s="191" t="s">
        <v>43</v>
      </c>
      <c r="AH50" s="191" t="s">
        <v>44</v>
      </c>
      <c r="AI50" s="191" t="s">
        <v>39</v>
      </c>
      <c r="AJ50" s="191" t="s">
        <v>36</v>
      </c>
      <c r="AK50" s="191" t="s">
        <v>73</v>
      </c>
      <c r="AL50" s="191" t="s">
        <v>44</v>
      </c>
      <c r="AM50" s="191" t="s">
        <v>45</v>
      </c>
      <c r="AN50" s="191" t="s">
        <v>44</v>
      </c>
      <c r="AO50" s="191" t="s">
        <v>44</v>
      </c>
      <c r="AP50" s="191" t="s">
        <v>44</v>
      </c>
    </row>
    <row r="51" spans="1:42" ht="29">
      <c r="A51" s="191" t="s">
        <v>1282</v>
      </c>
      <c r="B51" s="190">
        <v>3</v>
      </c>
      <c r="C51" s="190">
        <v>4</v>
      </c>
      <c r="D51" s="190">
        <v>8</v>
      </c>
      <c r="E51" s="191" t="s">
        <v>311</v>
      </c>
      <c r="F51" s="190">
        <v>4</v>
      </c>
      <c r="G51" s="191" t="s">
        <v>36</v>
      </c>
      <c r="H51" s="190">
        <v>1</v>
      </c>
      <c r="I51" s="190">
        <v>110</v>
      </c>
      <c r="J51" s="191" t="s">
        <v>34</v>
      </c>
      <c r="K51" s="191" t="s">
        <v>40</v>
      </c>
      <c r="L51" s="191" t="s">
        <v>67</v>
      </c>
      <c r="M51" s="191" t="s">
        <v>37</v>
      </c>
      <c r="N51" s="191" t="s">
        <v>38</v>
      </c>
      <c r="O51" s="191" t="s">
        <v>36</v>
      </c>
      <c r="P51" s="191" t="s">
        <v>36</v>
      </c>
      <c r="Q51" s="191" t="s">
        <v>89</v>
      </c>
      <c r="R51" s="191" t="s">
        <v>42</v>
      </c>
      <c r="S51" s="191" t="s">
        <v>48</v>
      </c>
      <c r="T51" s="191" t="s">
        <v>44</v>
      </c>
      <c r="U51" s="191" t="s">
        <v>44</v>
      </c>
      <c r="V51" s="191" t="s">
        <v>44</v>
      </c>
      <c r="W51" s="191" t="s">
        <v>45</v>
      </c>
      <c r="X51" s="191" t="s">
        <v>44</v>
      </c>
      <c r="Y51" s="191" t="s">
        <v>61</v>
      </c>
      <c r="Z51" s="191" t="s">
        <v>40</v>
      </c>
      <c r="AA51" s="191" t="s">
        <v>36</v>
      </c>
      <c r="AB51" s="191" t="s">
        <v>36</v>
      </c>
      <c r="AC51" s="191" t="s">
        <v>46</v>
      </c>
      <c r="AD51" s="191" t="s">
        <v>36</v>
      </c>
      <c r="AE51" s="191" t="s">
        <v>44</v>
      </c>
      <c r="AF51" s="191" t="s">
        <v>95</v>
      </c>
      <c r="AG51" s="191" t="s">
        <v>43</v>
      </c>
      <c r="AH51" s="191" t="s">
        <v>44</v>
      </c>
      <c r="AI51" s="191" t="s">
        <v>39</v>
      </c>
      <c r="AJ51" s="191" t="s">
        <v>36</v>
      </c>
      <c r="AK51" s="191" t="s">
        <v>59</v>
      </c>
      <c r="AL51" s="191" t="s">
        <v>44</v>
      </c>
      <c r="AM51" s="191" t="s">
        <v>43</v>
      </c>
      <c r="AN51" s="191" t="s">
        <v>44</v>
      </c>
      <c r="AO51" s="191" t="s">
        <v>44</v>
      </c>
      <c r="AP51" s="191" t="s">
        <v>44</v>
      </c>
    </row>
    <row r="52" spans="1:42" ht="29">
      <c r="A52" s="191" t="s">
        <v>1283</v>
      </c>
      <c r="B52" s="190">
        <v>3</v>
      </c>
      <c r="C52" s="190">
        <v>3</v>
      </c>
      <c r="D52" s="190">
        <v>2</v>
      </c>
      <c r="E52" s="191" t="s">
        <v>307</v>
      </c>
      <c r="F52" s="190">
        <v>3</v>
      </c>
      <c r="G52" s="191" t="s">
        <v>36</v>
      </c>
      <c r="H52" s="190">
        <v>1</v>
      </c>
      <c r="I52" s="190">
        <v>97</v>
      </c>
      <c r="J52" s="191" t="s">
        <v>80</v>
      </c>
      <c r="K52" s="191" t="s">
        <v>47</v>
      </c>
      <c r="L52" s="191" t="s">
        <v>36</v>
      </c>
      <c r="M52" s="191" t="s">
        <v>37</v>
      </c>
      <c r="N52" s="191" t="s">
        <v>95</v>
      </c>
      <c r="O52" s="191" t="s">
        <v>39</v>
      </c>
      <c r="P52" s="191" t="s">
        <v>41</v>
      </c>
      <c r="Q52" s="191" t="s">
        <v>114</v>
      </c>
      <c r="R52" s="191" t="s">
        <v>82</v>
      </c>
      <c r="S52" s="191" t="s">
        <v>48</v>
      </c>
      <c r="T52" s="191" t="s">
        <v>44</v>
      </c>
      <c r="U52" s="191" t="s">
        <v>40</v>
      </c>
      <c r="V52" s="191" t="s">
        <v>1106</v>
      </c>
      <c r="W52" s="191" t="s">
        <v>43</v>
      </c>
      <c r="X52" s="191" t="s">
        <v>44</v>
      </c>
      <c r="Y52" s="191" t="s">
        <v>43</v>
      </c>
      <c r="Z52" s="191" t="s">
        <v>43</v>
      </c>
      <c r="AA52" s="191" t="s">
        <v>62</v>
      </c>
      <c r="AB52" s="191" t="s">
        <v>84</v>
      </c>
      <c r="AC52" s="191" t="s">
        <v>43</v>
      </c>
      <c r="AD52" s="191" t="s">
        <v>72</v>
      </c>
      <c r="AE52" s="191" t="s">
        <v>44</v>
      </c>
      <c r="AF52" s="191" t="s">
        <v>95</v>
      </c>
      <c r="AG52" s="191" t="s">
        <v>43</v>
      </c>
      <c r="AH52" s="191" t="s">
        <v>44</v>
      </c>
      <c r="AI52" s="191" t="s">
        <v>39</v>
      </c>
      <c r="AJ52" s="191" t="s">
        <v>36</v>
      </c>
      <c r="AK52" s="191" t="s">
        <v>71</v>
      </c>
      <c r="AL52" s="191" t="s">
        <v>44</v>
      </c>
      <c r="AM52" s="191" t="s">
        <v>89</v>
      </c>
      <c r="AN52" s="191" t="s">
        <v>44</v>
      </c>
      <c r="AO52" s="191" t="s">
        <v>44</v>
      </c>
      <c r="AP52" s="191" t="s">
        <v>44</v>
      </c>
    </row>
    <row r="53" spans="1:42" ht="29">
      <c r="A53" s="191" t="s">
        <v>1284</v>
      </c>
      <c r="B53" s="190">
        <v>3</v>
      </c>
      <c r="C53" s="190">
        <v>3</v>
      </c>
      <c r="D53" s="190">
        <v>3</v>
      </c>
      <c r="E53" s="191" t="s">
        <v>315</v>
      </c>
      <c r="F53" s="190">
        <v>4</v>
      </c>
      <c r="G53" s="191" t="s">
        <v>36</v>
      </c>
      <c r="H53" s="190">
        <v>1</v>
      </c>
      <c r="I53" s="190">
        <v>110</v>
      </c>
      <c r="J53" s="191" t="s">
        <v>80</v>
      </c>
      <c r="K53" s="191" t="s">
        <v>61</v>
      </c>
      <c r="L53" s="191" t="s">
        <v>36</v>
      </c>
      <c r="M53" s="191" t="s">
        <v>37</v>
      </c>
      <c r="N53" s="191" t="s">
        <v>95</v>
      </c>
      <c r="O53" s="191" t="s">
        <v>39</v>
      </c>
      <c r="P53" s="191" t="s">
        <v>41</v>
      </c>
      <c r="Q53" s="191" t="s">
        <v>77</v>
      </c>
      <c r="R53" s="191" t="s">
        <v>87</v>
      </c>
      <c r="S53" s="191" t="s">
        <v>48</v>
      </c>
      <c r="T53" s="191" t="s">
        <v>44</v>
      </c>
      <c r="U53" s="191" t="s">
        <v>117</v>
      </c>
      <c r="V53" s="191" t="s">
        <v>1106</v>
      </c>
      <c r="W53" s="191" t="s">
        <v>43</v>
      </c>
      <c r="X53" s="191" t="s">
        <v>44</v>
      </c>
      <c r="Y53" s="191" t="s">
        <v>47</v>
      </c>
      <c r="Z53" s="191" t="s">
        <v>43</v>
      </c>
      <c r="AA53" s="191" t="s">
        <v>49</v>
      </c>
      <c r="AB53" s="191" t="s">
        <v>84</v>
      </c>
      <c r="AC53" s="191" t="s">
        <v>43</v>
      </c>
      <c r="AD53" s="191" t="s">
        <v>72</v>
      </c>
      <c r="AE53" s="191" t="s">
        <v>44</v>
      </c>
      <c r="AF53" s="191" t="s">
        <v>95</v>
      </c>
      <c r="AG53" s="191" t="s">
        <v>43</v>
      </c>
      <c r="AH53" s="191" t="s">
        <v>44</v>
      </c>
      <c r="AI53" s="191" t="s">
        <v>39</v>
      </c>
      <c r="AJ53" s="191" t="s">
        <v>36</v>
      </c>
      <c r="AK53" s="191" t="s">
        <v>85</v>
      </c>
      <c r="AL53" s="191" t="s">
        <v>44</v>
      </c>
      <c r="AM53" s="191" t="s">
        <v>45</v>
      </c>
      <c r="AN53" s="191" t="s">
        <v>44</v>
      </c>
      <c r="AO53" s="191" t="s">
        <v>44</v>
      </c>
      <c r="AP53" s="191" t="s">
        <v>44</v>
      </c>
    </row>
    <row r="54" spans="1:42" ht="29">
      <c r="A54" s="191" t="s">
        <v>1285</v>
      </c>
      <c r="B54" s="190">
        <v>3</v>
      </c>
      <c r="C54" s="190">
        <v>2</v>
      </c>
      <c r="D54" s="190">
        <v>3</v>
      </c>
      <c r="E54" s="191" t="s">
        <v>311</v>
      </c>
      <c r="F54" s="190">
        <v>3</v>
      </c>
      <c r="G54" s="191" t="s">
        <v>36</v>
      </c>
      <c r="H54" s="190">
        <v>1</v>
      </c>
      <c r="I54" s="190">
        <v>140</v>
      </c>
      <c r="J54" s="191" t="s">
        <v>65</v>
      </c>
      <c r="K54" s="191" t="s">
        <v>71</v>
      </c>
      <c r="L54" s="191" t="s">
        <v>36</v>
      </c>
      <c r="M54" s="191" t="s">
        <v>37</v>
      </c>
      <c r="N54" s="191" t="s">
        <v>58</v>
      </c>
      <c r="O54" s="191" t="s">
        <v>39</v>
      </c>
      <c r="P54" s="191" t="s">
        <v>41</v>
      </c>
      <c r="Q54" s="191" t="s">
        <v>59</v>
      </c>
      <c r="R54" s="191" t="s">
        <v>60</v>
      </c>
      <c r="S54" s="191" t="s">
        <v>48</v>
      </c>
      <c r="T54" s="191" t="s">
        <v>44</v>
      </c>
      <c r="U54" s="191" t="s">
        <v>126</v>
      </c>
      <c r="V54" s="191" t="s">
        <v>1106</v>
      </c>
      <c r="W54" s="191" t="s">
        <v>43</v>
      </c>
      <c r="X54" s="191" t="s">
        <v>44</v>
      </c>
      <c r="Y54" s="191" t="s">
        <v>45</v>
      </c>
      <c r="Z54" s="191" t="s">
        <v>43</v>
      </c>
      <c r="AA54" s="191" t="s">
        <v>49</v>
      </c>
      <c r="AB54" s="191" t="s">
        <v>84</v>
      </c>
      <c r="AC54" s="191" t="s">
        <v>43</v>
      </c>
      <c r="AD54" s="191" t="s">
        <v>72</v>
      </c>
      <c r="AE54" s="191" t="s">
        <v>44</v>
      </c>
      <c r="AF54" s="191" t="s">
        <v>95</v>
      </c>
      <c r="AG54" s="191" t="s">
        <v>43</v>
      </c>
      <c r="AH54" s="191" t="s">
        <v>44</v>
      </c>
      <c r="AI54" s="191" t="s">
        <v>39</v>
      </c>
      <c r="AJ54" s="191" t="s">
        <v>36</v>
      </c>
      <c r="AK54" s="191" t="s">
        <v>63</v>
      </c>
      <c r="AL54" s="191" t="s">
        <v>44</v>
      </c>
      <c r="AM54" s="191" t="s">
        <v>45</v>
      </c>
      <c r="AN54" s="191" t="s">
        <v>44</v>
      </c>
      <c r="AO54" s="191" t="s">
        <v>44</v>
      </c>
      <c r="AP54" s="191" t="s">
        <v>44</v>
      </c>
    </row>
    <row r="55" spans="1:42" ht="29">
      <c r="A55" s="191" t="s">
        <v>1286</v>
      </c>
      <c r="B55" s="190">
        <v>3</v>
      </c>
      <c r="C55" s="190">
        <v>8</v>
      </c>
      <c r="D55" s="190">
        <v>6</v>
      </c>
      <c r="E55" s="191" t="s">
        <v>311</v>
      </c>
      <c r="F55" s="190">
        <v>6</v>
      </c>
      <c r="G55" s="191" t="s">
        <v>36</v>
      </c>
      <c r="H55" s="190">
        <v>1</v>
      </c>
      <c r="I55" s="190">
        <v>140</v>
      </c>
      <c r="J55" s="191" t="s">
        <v>80</v>
      </c>
      <c r="K55" s="191" t="s">
        <v>61</v>
      </c>
      <c r="L55" s="191" t="s">
        <v>103</v>
      </c>
      <c r="M55" s="191" t="s">
        <v>37</v>
      </c>
      <c r="N55" s="191" t="s">
        <v>95</v>
      </c>
      <c r="O55" s="191" t="s">
        <v>39</v>
      </c>
      <c r="P55" s="191" t="s">
        <v>41</v>
      </c>
      <c r="Q55" s="191" t="s">
        <v>35</v>
      </c>
      <c r="R55" s="191" t="s">
        <v>82</v>
      </c>
      <c r="S55" s="191" t="s">
        <v>157</v>
      </c>
      <c r="T55" s="191" t="s">
        <v>44</v>
      </c>
      <c r="U55" s="191" t="s">
        <v>47</v>
      </c>
      <c r="V55" s="191" t="s">
        <v>1287</v>
      </c>
      <c r="W55" s="191" t="s">
        <v>46</v>
      </c>
      <c r="X55" s="191" t="s">
        <v>44</v>
      </c>
      <c r="Y55" s="191" t="s">
        <v>46</v>
      </c>
      <c r="Z55" s="191" t="s">
        <v>47</v>
      </c>
      <c r="AA55" s="191" t="s">
        <v>36</v>
      </c>
      <c r="AB55" s="191" t="s">
        <v>36</v>
      </c>
      <c r="AC55" s="191" t="s">
        <v>43</v>
      </c>
      <c r="AD55" s="191" t="s">
        <v>91</v>
      </c>
      <c r="AE55" s="191" t="s">
        <v>44</v>
      </c>
      <c r="AF55" s="191" t="s">
        <v>95</v>
      </c>
      <c r="AG55" s="191" t="s">
        <v>43</v>
      </c>
      <c r="AH55" s="191" t="s">
        <v>44</v>
      </c>
      <c r="AI55" s="191" t="s">
        <v>39</v>
      </c>
      <c r="AJ55" s="191" t="s">
        <v>36</v>
      </c>
      <c r="AK55" s="191" t="s">
        <v>71</v>
      </c>
      <c r="AL55" s="191" t="s">
        <v>44</v>
      </c>
      <c r="AM55" s="191" t="s">
        <v>45</v>
      </c>
      <c r="AN55" s="191" t="s">
        <v>44</v>
      </c>
      <c r="AO55" s="191" t="s">
        <v>44</v>
      </c>
      <c r="AP55" s="191" t="s">
        <v>44</v>
      </c>
    </row>
    <row r="56" spans="1:42" ht="29">
      <c r="A56" s="191" t="s">
        <v>1288</v>
      </c>
      <c r="B56" s="190">
        <v>3</v>
      </c>
      <c r="C56" s="190">
        <v>4</v>
      </c>
      <c r="D56" s="190">
        <v>2</v>
      </c>
      <c r="E56" s="191" t="s">
        <v>311</v>
      </c>
      <c r="F56" s="190">
        <v>4</v>
      </c>
      <c r="G56" s="191" t="s">
        <v>36</v>
      </c>
      <c r="H56" s="190">
        <v>1</v>
      </c>
      <c r="I56" s="190">
        <v>126</v>
      </c>
      <c r="J56" s="191" t="s">
        <v>54</v>
      </c>
      <c r="K56" s="191" t="s">
        <v>40</v>
      </c>
      <c r="L56" s="191" t="s">
        <v>103</v>
      </c>
      <c r="M56" s="191" t="s">
        <v>37</v>
      </c>
      <c r="N56" s="191" t="s">
        <v>58</v>
      </c>
      <c r="O56" s="191" t="s">
        <v>39</v>
      </c>
      <c r="P56" s="191" t="s">
        <v>41</v>
      </c>
      <c r="Q56" s="191" t="s">
        <v>77</v>
      </c>
      <c r="R56" s="191" t="s">
        <v>42</v>
      </c>
      <c r="S56" s="191" t="s">
        <v>48</v>
      </c>
      <c r="T56" s="191" t="s">
        <v>44</v>
      </c>
      <c r="U56" s="191" t="s">
        <v>126</v>
      </c>
      <c r="V56" s="191" t="s">
        <v>1132</v>
      </c>
      <c r="W56" s="191" t="s">
        <v>43</v>
      </c>
      <c r="X56" s="191" t="s">
        <v>44</v>
      </c>
      <c r="Y56" s="191" t="s">
        <v>45</v>
      </c>
      <c r="Z56" s="191" t="s">
        <v>47</v>
      </c>
      <c r="AA56" s="191" t="s">
        <v>49</v>
      </c>
      <c r="AB56" s="191" t="s">
        <v>50</v>
      </c>
      <c r="AC56" s="191" t="s">
        <v>43</v>
      </c>
      <c r="AD56" s="191" t="s">
        <v>72</v>
      </c>
      <c r="AE56" s="191" t="s">
        <v>44</v>
      </c>
      <c r="AF56" s="191" t="s">
        <v>95</v>
      </c>
      <c r="AG56" s="191" t="s">
        <v>47</v>
      </c>
      <c r="AH56" s="191" t="s">
        <v>44</v>
      </c>
      <c r="AI56" s="191" t="s">
        <v>39</v>
      </c>
      <c r="AJ56" s="191" t="s">
        <v>36</v>
      </c>
      <c r="AK56" s="191" t="s">
        <v>71</v>
      </c>
      <c r="AL56" s="191" t="s">
        <v>44</v>
      </c>
      <c r="AM56" s="191" t="s">
        <v>45</v>
      </c>
      <c r="AN56" s="191" t="s">
        <v>44</v>
      </c>
      <c r="AO56" s="191" t="s">
        <v>44</v>
      </c>
      <c r="AP56" s="191" t="s">
        <v>44</v>
      </c>
    </row>
    <row r="57" spans="1:42" ht="43.5">
      <c r="A57" s="191" t="s">
        <v>1289</v>
      </c>
      <c r="B57" s="190">
        <v>2</v>
      </c>
      <c r="C57" s="190">
        <v>3</v>
      </c>
      <c r="D57" s="190">
        <v>3</v>
      </c>
      <c r="E57" s="191" t="s">
        <v>307</v>
      </c>
      <c r="F57" s="190">
        <v>4</v>
      </c>
      <c r="G57" s="191" t="s">
        <v>36</v>
      </c>
      <c r="H57" s="190">
        <v>1</v>
      </c>
      <c r="I57" s="190">
        <v>95</v>
      </c>
      <c r="J57" s="191" t="s">
        <v>65</v>
      </c>
      <c r="K57" s="191" t="s">
        <v>40</v>
      </c>
      <c r="L57" s="191" t="s">
        <v>36</v>
      </c>
      <c r="M57" s="191" t="s">
        <v>37</v>
      </c>
      <c r="N57" s="191" t="s">
        <v>58</v>
      </c>
      <c r="O57" s="191" t="s">
        <v>288</v>
      </c>
      <c r="P57" s="191" t="s">
        <v>56</v>
      </c>
      <c r="Q57" s="191" t="s">
        <v>106</v>
      </c>
      <c r="R57" s="191" t="s">
        <v>42</v>
      </c>
      <c r="S57" s="191" t="s">
        <v>48</v>
      </c>
      <c r="T57" s="191" t="s">
        <v>44</v>
      </c>
      <c r="U57" s="191" t="s">
        <v>45</v>
      </c>
      <c r="V57" s="191" t="s">
        <v>355</v>
      </c>
      <c r="W57" s="191" t="s">
        <v>43</v>
      </c>
      <c r="X57" s="191" t="s">
        <v>44</v>
      </c>
      <c r="Y57" s="191" t="s">
        <v>47</v>
      </c>
      <c r="Z57" s="191" t="s">
        <v>43</v>
      </c>
      <c r="AA57" s="191" t="s">
        <v>49</v>
      </c>
      <c r="AB57" s="191" t="s">
        <v>50</v>
      </c>
      <c r="AC57" s="191" t="s">
        <v>43</v>
      </c>
      <c r="AD57" s="191" t="s">
        <v>72</v>
      </c>
      <c r="AE57" s="191" t="s">
        <v>44</v>
      </c>
      <c r="AF57" s="191" t="s">
        <v>95</v>
      </c>
      <c r="AG57" s="191" t="s">
        <v>47</v>
      </c>
      <c r="AH57" s="191" t="s">
        <v>44</v>
      </c>
      <c r="AI57" s="191" t="s">
        <v>134</v>
      </c>
      <c r="AJ57" s="191" t="s">
        <v>36</v>
      </c>
      <c r="AK57" s="191" t="s">
        <v>120</v>
      </c>
      <c r="AL57" s="191" t="s">
        <v>1290</v>
      </c>
      <c r="AM57" s="191" t="s">
        <v>1291</v>
      </c>
      <c r="AN57" s="191" t="s">
        <v>44</v>
      </c>
      <c r="AO57" s="191" t="s">
        <v>44</v>
      </c>
      <c r="AP57" s="191" t="s">
        <v>44</v>
      </c>
    </row>
    <row r="58" spans="1:42" ht="43.5">
      <c r="A58" s="191" t="s">
        <v>1292</v>
      </c>
      <c r="B58" s="190">
        <v>3</v>
      </c>
      <c r="C58" s="190">
        <v>2</v>
      </c>
      <c r="D58" s="190">
        <v>3</v>
      </c>
      <c r="E58" s="191" t="s">
        <v>311</v>
      </c>
      <c r="F58" s="190">
        <v>5</v>
      </c>
      <c r="G58" s="191" t="s">
        <v>36</v>
      </c>
      <c r="H58" s="190">
        <v>1</v>
      </c>
      <c r="I58" s="190">
        <v>120</v>
      </c>
      <c r="J58" s="191" t="s">
        <v>34</v>
      </c>
      <c r="K58" s="191" t="s">
        <v>47</v>
      </c>
      <c r="L58" s="191" t="s">
        <v>36</v>
      </c>
      <c r="M58" s="191" t="s">
        <v>37</v>
      </c>
      <c r="N58" s="191" t="s">
        <v>58</v>
      </c>
      <c r="O58" s="191" t="s">
        <v>288</v>
      </c>
      <c r="P58" s="191" t="s">
        <v>66</v>
      </c>
      <c r="Q58" s="191" t="s">
        <v>61</v>
      </c>
      <c r="R58" s="191" t="s">
        <v>87</v>
      </c>
      <c r="S58" s="191" t="s">
        <v>48</v>
      </c>
      <c r="T58" s="191" t="s">
        <v>44</v>
      </c>
      <c r="U58" s="191" t="s">
        <v>40</v>
      </c>
      <c r="V58" s="191" t="s">
        <v>1141</v>
      </c>
      <c r="W58" s="191" t="s">
        <v>43</v>
      </c>
      <c r="X58" s="191" t="s">
        <v>44</v>
      </c>
      <c r="Y58" s="191" t="s">
        <v>45</v>
      </c>
      <c r="Z58" s="191" t="s">
        <v>43</v>
      </c>
      <c r="AA58" s="191" t="s">
        <v>49</v>
      </c>
      <c r="AB58" s="191" t="s">
        <v>50</v>
      </c>
      <c r="AC58" s="191" t="s">
        <v>43</v>
      </c>
      <c r="AD58" s="191" t="s">
        <v>72</v>
      </c>
      <c r="AE58" s="191" t="s">
        <v>44</v>
      </c>
      <c r="AF58" s="191" t="s">
        <v>52</v>
      </c>
      <c r="AG58" s="191" t="s">
        <v>47</v>
      </c>
      <c r="AH58" s="191" t="s">
        <v>44</v>
      </c>
      <c r="AI58" s="191" t="s">
        <v>39</v>
      </c>
      <c r="AJ58" s="191" t="s">
        <v>36</v>
      </c>
      <c r="AK58" s="191" t="s">
        <v>63</v>
      </c>
      <c r="AL58" s="191" t="s">
        <v>44</v>
      </c>
      <c r="AM58" s="191" t="s">
        <v>45</v>
      </c>
      <c r="AN58" s="191" t="s">
        <v>44</v>
      </c>
      <c r="AO58" s="191" t="s">
        <v>44</v>
      </c>
      <c r="AP58" s="191" t="s">
        <v>44</v>
      </c>
    </row>
    <row r="59" spans="1:42" ht="29">
      <c r="A59" s="191" t="s">
        <v>1293</v>
      </c>
      <c r="B59" s="190">
        <v>3</v>
      </c>
      <c r="C59" s="190">
        <v>3</v>
      </c>
      <c r="D59" s="190">
        <v>3</v>
      </c>
      <c r="E59" s="191" t="s">
        <v>307</v>
      </c>
      <c r="F59" s="190">
        <v>3</v>
      </c>
      <c r="G59" s="191" t="s">
        <v>36</v>
      </c>
      <c r="H59" s="190">
        <v>1</v>
      </c>
      <c r="I59" s="190">
        <v>150</v>
      </c>
      <c r="J59" s="191" t="s">
        <v>65</v>
      </c>
      <c r="K59" s="191" t="s">
        <v>81</v>
      </c>
      <c r="L59" s="191" t="s">
        <v>103</v>
      </c>
      <c r="M59" s="191" t="s">
        <v>37</v>
      </c>
      <c r="N59" s="191" t="s">
        <v>95</v>
      </c>
      <c r="O59" s="191" t="s">
        <v>39</v>
      </c>
      <c r="P59" s="191" t="s">
        <v>41</v>
      </c>
      <c r="Q59" s="191" t="s">
        <v>40</v>
      </c>
      <c r="R59" s="191" t="s">
        <v>36</v>
      </c>
      <c r="S59" s="191" t="s">
        <v>48</v>
      </c>
      <c r="T59" s="191" t="s">
        <v>44</v>
      </c>
      <c r="U59" s="191" t="s">
        <v>117</v>
      </c>
      <c r="V59" s="191" t="s">
        <v>1141</v>
      </c>
      <c r="W59" s="191" t="s">
        <v>43</v>
      </c>
      <c r="X59" s="191" t="s">
        <v>44</v>
      </c>
      <c r="Y59" s="191" t="s">
        <v>45</v>
      </c>
      <c r="Z59" s="191" t="s">
        <v>46</v>
      </c>
      <c r="AA59" s="191" t="s">
        <v>49</v>
      </c>
      <c r="AB59" s="191" t="s">
        <v>84</v>
      </c>
      <c r="AC59" s="191" t="s">
        <v>43</v>
      </c>
      <c r="AD59" s="191" t="s">
        <v>72</v>
      </c>
      <c r="AE59" s="191" t="s">
        <v>44</v>
      </c>
      <c r="AF59" s="191" t="s">
        <v>95</v>
      </c>
      <c r="AG59" s="191" t="s">
        <v>43</v>
      </c>
      <c r="AH59" s="191" t="s">
        <v>44</v>
      </c>
      <c r="AI59" s="191" t="s">
        <v>39</v>
      </c>
      <c r="AJ59" s="191" t="s">
        <v>36</v>
      </c>
      <c r="AK59" s="191" t="s">
        <v>143</v>
      </c>
      <c r="AL59" s="191" t="s">
        <v>44</v>
      </c>
      <c r="AM59" s="191" t="s">
        <v>45</v>
      </c>
      <c r="AN59" s="191" t="s">
        <v>44</v>
      </c>
      <c r="AO59" s="191" t="s">
        <v>44</v>
      </c>
      <c r="AP59" s="191" t="s">
        <v>44</v>
      </c>
    </row>
    <row r="60" spans="1:42" ht="29">
      <c r="A60" s="191" t="s">
        <v>1294</v>
      </c>
      <c r="B60" s="190">
        <v>3</v>
      </c>
      <c r="C60" s="190">
        <v>3</v>
      </c>
      <c r="D60" s="190">
        <v>3</v>
      </c>
      <c r="E60" s="191" t="s">
        <v>311</v>
      </c>
      <c r="F60" s="190">
        <v>2</v>
      </c>
      <c r="G60" s="191" t="s">
        <v>36</v>
      </c>
      <c r="H60" s="190">
        <v>1</v>
      </c>
      <c r="I60" s="190">
        <v>80</v>
      </c>
      <c r="J60" s="191" t="s">
        <v>54</v>
      </c>
      <c r="K60" s="191" t="s">
        <v>61</v>
      </c>
      <c r="L60" s="191" t="s">
        <v>70</v>
      </c>
      <c r="M60" s="191" t="s">
        <v>37</v>
      </c>
      <c r="N60" s="191" t="s">
        <v>58</v>
      </c>
      <c r="O60" s="191" t="s">
        <v>39</v>
      </c>
      <c r="P60" s="191" t="s">
        <v>41</v>
      </c>
      <c r="Q60" s="191" t="s">
        <v>71</v>
      </c>
      <c r="R60" s="191" t="s">
        <v>42</v>
      </c>
      <c r="S60" s="191" t="s">
        <v>48</v>
      </c>
      <c r="T60" s="191" t="s">
        <v>44</v>
      </c>
      <c r="U60" s="191" t="s">
        <v>40</v>
      </c>
      <c r="V60" s="191" t="s">
        <v>1106</v>
      </c>
      <c r="W60" s="191" t="s">
        <v>43</v>
      </c>
      <c r="X60" s="191" t="s">
        <v>44</v>
      </c>
      <c r="Y60" s="191" t="s">
        <v>45</v>
      </c>
      <c r="Z60" s="191" t="s">
        <v>43</v>
      </c>
      <c r="AA60" s="191" t="s">
        <v>49</v>
      </c>
      <c r="AB60" s="191" t="s">
        <v>50</v>
      </c>
      <c r="AC60" s="191" t="s">
        <v>43</v>
      </c>
      <c r="AD60" s="191" t="s">
        <v>91</v>
      </c>
      <c r="AE60" s="191" t="s">
        <v>44</v>
      </c>
      <c r="AF60" s="191" t="s">
        <v>52</v>
      </c>
      <c r="AG60" s="191" t="s">
        <v>47</v>
      </c>
      <c r="AH60" s="191" t="s">
        <v>44</v>
      </c>
      <c r="AI60" s="191" t="s">
        <v>39</v>
      </c>
      <c r="AJ60" s="191" t="s">
        <v>36</v>
      </c>
      <c r="AK60" s="191" t="s">
        <v>59</v>
      </c>
      <c r="AL60" s="191" t="s">
        <v>44</v>
      </c>
      <c r="AM60" s="191" t="s">
        <v>45</v>
      </c>
      <c r="AN60" s="191" t="s">
        <v>44</v>
      </c>
      <c r="AO60" s="191" t="s">
        <v>44</v>
      </c>
      <c r="AP60" s="191" t="s">
        <v>44</v>
      </c>
    </row>
    <row r="61" spans="1:42" ht="43.5">
      <c r="A61" s="191" t="s">
        <v>1295</v>
      </c>
      <c r="B61" s="190">
        <v>3</v>
      </c>
      <c r="C61" s="190">
        <v>7</v>
      </c>
      <c r="D61" s="190">
        <v>7</v>
      </c>
      <c r="E61" s="191" t="s">
        <v>318</v>
      </c>
      <c r="F61" s="190">
        <v>2</v>
      </c>
      <c r="G61" s="191" t="s">
        <v>36</v>
      </c>
      <c r="H61" s="190">
        <v>1</v>
      </c>
      <c r="I61" s="190">
        <v>110</v>
      </c>
      <c r="J61" s="191" t="s">
        <v>54</v>
      </c>
      <c r="K61" s="191" t="s">
        <v>81</v>
      </c>
      <c r="L61" s="191" t="s">
        <v>67</v>
      </c>
      <c r="M61" s="191" t="s">
        <v>37</v>
      </c>
      <c r="N61" s="191" t="s">
        <v>58</v>
      </c>
      <c r="O61" s="191" t="s">
        <v>288</v>
      </c>
      <c r="P61" s="191" t="s">
        <v>56</v>
      </c>
      <c r="Q61" s="191" t="s">
        <v>76</v>
      </c>
      <c r="R61" s="191" t="s">
        <v>42</v>
      </c>
      <c r="S61" s="191" t="s">
        <v>48</v>
      </c>
      <c r="T61" s="191" t="s">
        <v>44</v>
      </c>
      <c r="U61" s="191" t="s">
        <v>61</v>
      </c>
      <c r="V61" s="191" t="s">
        <v>355</v>
      </c>
      <c r="W61" s="191" t="s">
        <v>47</v>
      </c>
      <c r="X61" s="191" t="s">
        <v>44</v>
      </c>
      <c r="Y61" s="191" t="s">
        <v>45</v>
      </c>
      <c r="Z61" s="191" t="s">
        <v>47</v>
      </c>
      <c r="AA61" s="191" t="s">
        <v>62</v>
      </c>
      <c r="AB61" s="191" t="s">
        <v>84</v>
      </c>
      <c r="AC61" s="191" t="s">
        <v>43</v>
      </c>
      <c r="AD61" s="191" t="s">
        <v>51</v>
      </c>
      <c r="AE61" s="191" t="s">
        <v>44</v>
      </c>
      <c r="AF61" s="191" t="s">
        <v>95</v>
      </c>
      <c r="AG61" s="191" t="s">
        <v>47</v>
      </c>
      <c r="AH61" s="191" t="s">
        <v>44</v>
      </c>
      <c r="AI61" s="191" t="s">
        <v>134</v>
      </c>
      <c r="AJ61" s="191" t="s">
        <v>36</v>
      </c>
      <c r="AK61" s="191" t="s">
        <v>73</v>
      </c>
      <c r="AL61" s="191" t="s">
        <v>44</v>
      </c>
      <c r="AM61" s="191" t="s">
        <v>45</v>
      </c>
      <c r="AN61" s="191" t="s">
        <v>44</v>
      </c>
      <c r="AO61" s="191" t="s">
        <v>44</v>
      </c>
      <c r="AP61" s="191" t="s">
        <v>44</v>
      </c>
    </row>
    <row r="62" spans="1:42" ht="43.5">
      <c r="A62" s="191" t="s">
        <v>1296</v>
      </c>
      <c r="B62" s="190">
        <v>3</v>
      </c>
      <c r="C62" s="190">
        <v>5</v>
      </c>
      <c r="D62" s="190">
        <v>5</v>
      </c>
      <c r="E62" s="191" t="s">
        <v>307</v>
      </c>
      <c r="F62" s="190">
        <v>4</v>
      </c>
      <c r="G62" s="191" t="s">
        <v>36</v>
      </c>
      <c r="H62" s="190">
        <v>1</v>
      </c>
      <c r="I62" s="190">
        <v>200</v>
      </c>
      <c r="J62" s="191" t="s">
        <v>54</v>
      </c>
      <c r="K62" s="191" t="s">
        <v>47</v>
      </c>
      <c r="L62" s="191" t="s">
        <v>70</v>
      </c>
      <c r="M62" s="191" t="s">
        <v>37</v>
      </c>
      <c r="N62" s="191" t="s">
        <v>38</v>
      </c>
      <c r="O62" s="191" t="s">
        <v>288</v>
      </c>
      <c r="P62" s="191" t="s">
        <v>56</v>
      </c>
      <c r="Q62" s="191" t="s">
        <v>76</v>
      </c>
      <c r="R62" s="191" t="s">
        <v>42</v>
      </c>
      <c r="S62" s="191" t="s">
        <v>48</v>
      </c>
      <c r="T62" s="191" t="s">
        <v>44</v>
      </c>
      <c r="U62" s="191" t="s">
        <v>44</v>
      </c>
      <c r="V62" s="191" t="s">
        <v>44</v>
      </c>
      <c r="W62" s="191" t="s">
        <v>45</v>
      </c>
      <c r="X62" s="191" t="s">
        <v>44</v>
      </c>
      <c r="Y62" s="191" t="s">
        <v>61</v>
      </c>
      <c r="Z62" s="191" t="s">
        <v>43</v>
      </c>
      <c r="AA62" s="191" t="s">
        <v>36</v>
      </c>
      <c r="AB62" s="191" t="s">
        <v>36</v>
      </c>
      <c r="AC62" s="191" t="s">
        <v>46</v>
      </c>
      <c r="AD62" s="191" t="s">
        <v>36</v>
      </c>
      <c r="AE62" s="191" t="s">
        <v>44</v>
      </c>
      <c r="AF62" s="191" t="s">
        <v>95</v>
      </c>
      <c r="AG62" s="191" t="s">
        <v>47</v>
      </c>
      <c r="AH62" s="191" t="s">
        <v>44</v>
      </c>
      <c r="AI62" s="191" t="s">
        <v>134</v>
      </c>
      <c r="AJ62" s="191" t="s">
        <v>36</v>
      </c>
      <c r="AK62" s="191" t="s">
        <v>40</v>
      </c>
      <c r="AL62" s="191" t="s">
        <v>44</v>
      </c>
      <c r="AM62" s="191" t="s">
        <v>89</v>
      </c>
      <c r="AN62" s="191" t="s">
        <v>44</v>
      </c>
      <c r="AO62" s="191" t="s">
        <v>44</v>
      </c>
      <c r="AP62" s="191" t="s">
        <v>44</v>
      </c>
    </row>
    <row r="63" spans="1:42" ht="29">
      <c r="A63" s="191" t="s">
        <v>1297</v>
      </c>
      <c r="B63" s="190">
        <v>3</v>
      </c>
      <c r="C63" s="190">
        <v>7</v>
      </c>
      <c r="D63" s="190">
        <v>9</v>
      </c>
      <c r="E63" s="191" t="s">
        <v>318</v>
      </c>
      <c r="F63" s="190">
        <v>1</v>
      </c>
      <c r="G63" s="191" t="s">
        <v>36</v>
      </c>
      <c r="H63" s="190">
        <v>1</v>
      </c>
      <c r="I63" s="190">
        <v>85</v>
      </c>
      <c r="J63" s="191" t="s">
        <v>65</v>
      </c>
      <c r="K63" s="191" t="s">
        <v>78</v>
      </c>
      <c r="L63" s="191" t="s">
        <v>36</v>
      </c>
      <c r="M63" s="191" t="s">
        <v>37</v>
      </c>
      <c r="N63" s="191" t="s">
        <v>108</v>
      </c>
      <c r="O63" s="191" t="s">
        <v>39</v>
      </c>
      <c r="P63" s="191" t="s">
        <v>41</v>
      </c>
      <c r="Q63" s="191" t="s">
        <v>43</v>
      </c>
      <c r="R63" s="191" t="s">
        <v>60</v>
      </c>
      <c r="S63" s="191" t="s">
        <v>48</v>
      </c>
      <c r="T63" s="191" t="s">
        <v>44</v>
      </c>
      <c r="U63" s="191" t="s">
        <v>119</v>
      </c>
      <c r="V63" s="191" t="s">
        <v>1106</v>
      </c>
      <c r="W63" s="191" t="s">
        <v>43</v>
      </c>
      <c r="X63" s="191" t="s">
        <v>44</v>
      </c>
      <c r="Y63" s="191" t="s">
        <v>45</v>
      </c>
      <c r="Z63" s="191" t="s">
        <v>43</v>
      </c>
      <c r="AA63" s="191" t="s">
        <v>62</v>
      </c>
      <c r="AB63" s="191" t="s">
        <v>84</v>
      </c>
      <c r="AC63" s="191" t="s">
        <v>43</v>
      </c>
      <c r="AD63" s="191" t="s">
        <v>72</v>
      </c>
      <c r="AE63" s="191" t="s">
        <v>44</v>
      </c>
      <c r="AF63" s="191" t="s">
        <v>95</v>
      </c>
      <c r="AG63" s="191" t="s">
        <v>47</v>
      </c>
      <c r="AH63" s="191" t="s">
        <v>44</v>
      </c>
      <c r="AI63" s="191" t="s">
        <v>39</v>
      </c>
      <c r="AJ63" s="191" t="s">
        <v>36</v>
      </c>
      <c r="AK63" s="191" t="s">
        <v>124</v>
      </c>
      <c r="AL63" s="191" t="s">
        <v>44</v>
      </c>
      <c r="AM63" s="191" t="s">
        <v>45</v>
      </c>
      <c r="AN63" s="191" t="s">
        <v>44</v>
      </c>
      <c r="AO63" s="191" t="s">
        <v>44</v>
      </c>
      <c r="AP63" s="191" t="s">
        <v>44</v>
      </c>
    </row>
    <row r="64" spans="1:42" ht="29">
      <c r="A64" s="191" t="s">
        <v>1298</v>
      </c>
      <c r="B64" s="190">
        <v>3</v>
      </c>
      <c r="C64" s="190">
        <v>3</v>
      </c>
      <c r="D64" s="190">
        <v>4</v>
      </c>
      <c r="E64" s="191" t="s">
        <v>311</v>
      </c>
      <c r="F64" s="190">
        <v>3</v>
      </c>
      <c r="G64" s="191" t="s">
        <v>36</v>
      </c>
      <c r="H64" s="190">
        <v>1</v>
      </c>
      <c r="I64" s="190">
        <v>136</v>
      </c>
      <c r="J64" s="191" t="s">
        <v>54</v>
      </c>
      <c r="K64" s="191" t="s">
        <v>47</v>
      </c>
      <c r="L64" s="191" t="s">
        <v>36</v>
      </c>
      <c r="M64" s="191" t="s">
        <v>37</v>
      </c>
      <c r="N64" s="191" t="s">
        <v>38</v>
      </c>
      <c r="O64" s="191" t="s">
        <v>288</v>
      </c>
      <c r="P64" s="191" t="s">
        <v>41</v>
      </c>
      <c r="Q64" s="191" t="s">
        <v>139</v>
      </c>
      <c r="R64" s="191" t="s">
        <v>42</v>
      </c>
      <c r="S64" s="191" t="s">
        <v>48</v>
      </c>
      <c r="T64" s="191" t="s">
        <v>44</v>
      </c>
      <c r="U64" s="191" t="s">
        <v>61</v>
      </c>
      <c r="V64" s="191" t="s">
        <v>1106</v>
      </c>
      <c r="W64" s="191" t="s">
        <v>43</v>
      </c>
      <c r="X64" s="191" t="s">
        <v>44</v>
      </c>
      <c r="Y64" s="191" t="s">
        <v>45</v>
      </c>
      <c r="Z64" s="191" t="s">
        <v>43</v>
      </c>
      <c r="AA64" s="191" t="s">
        <v>49</v>
      </c>
      <c r="AB64" s="191" t="s">
        <v>50</v>
      </c>
      <c r="AC64" s="191" t="s">
        <v>43</v>
      </c>
      <c r="AD64" s="191" t="s">
        <v>72</v>
      </c>
      <c r="AE64" s="191" t="s">
        <v>44</v>
      </c>
      <c r="AF64" s="191" t="s">
        <v>52</v>
      </c>
      <c r="AG64" s="191" t="s">
        <v>47</v>
      </c>
      <c r="AH64" s="191" t="s">
        <v>44</v>
      </c>
      <c r="AI64" s="191" t="s">
        <v>39</v>
      </c>
      <c r="AJ64" s="191" t="s">
        <v>36</v>
      </c>
      <c r="AK64" s="191" t="s">
        <v>59</v>
      </c>
      <c r="AL64" s="191" t="s">
        <v>44</v>
      </c>
      <c r="AM64" s="191" t="s">
        <v>45</v>
      </c>
      <c r="AN64" s="191" t="s">
        <v>44</v>
      </c>
      <c r="AO64" s="191" t="s">
        <v>44</v>
      </c>
      <c r="AP64" s="191" t="s">
        <v>44</v>
      </c>
    </row>
    <row r="65" spans="1:42" ht="29">
      <c r="A65" s="191" t="s">
        <v>1299</v>
      </c>
      <c r="B65" s="190">
        <v>3</v>
      </c>
      <c r="C65" s="190">
        <v>5</v>
      </c>
      <c r="D65" s="190">
        <v>3</v>
      </c>
      <c r="E65" s="191" t="s">
        <v>311</v>
      </c>
      <c r="F65" s="190">
        <v>4</v>
      </c>
      <c r="G65" s="191" t="s">
        <v>36</v>
      </c>
      <c r="H65" s="190">
        <v>1</v>
      </c>
      <c r="I65" s="190">
        <v>140</v>
      </c>
      <c r="J65" s="191" t="s">
        <v>54</v>
      </c>
      <c r="K65" s="191" t="s">
        <v>61</v>
      </c>
      <c r="L65" s="191" t="s">
        <v>36</v>
      </c>
      <c r="M65" s="191" t="s">
        <v>37</v>
      </c>
      <c r="N65" s="191" t="s">
        <v>38</v>
      </c>
      <c r="O65" s="191" t="s">
        <v>288</v>
      </c>
      <c r="P65" s="191" t="s">
        <v>36</v>
      </c>
      <c r="Q65" s="191" t="s">
        <v>89</v>
      </c>
      <c r="R65" s="191" t="s">
        <v>42</v>
      </c>
      <c r="S65" s="191" t="s">
        <v>48</v>
      </c>
      <c r="T65" s="191" t="s">
        <v>44</v>
      </c>
      <c r="U65" s="191" t="s">
        <v>44</v>
      </c>
      <c r="V65" s="191" t="s">
        <v>44</v>
      </c>
      <c r="W65" s="191" t="s">
        <v>45</v>
      </c>
      <c r="X65" s="191" t="s">
        <v>44</v>
      </c>
      <c r="Y65" s="191" t="s">
        <v>45</v>
      </c>
      <c r="Z65" s="191" t="s">
        <v>43</v>
      </c>
      <c r="AA65" s="191" t="s">
        <v>67</v>
      </c>
      <c r="AB65" s="191" t="s">
        <v>84</v>
      </c>
      <c r="AC65" s="191" t="s">
        <v>43</v>
      </c>
      <c r="AD65" s="191" t="s">
        <v>36</v>
      </c>
      <c r="AE65" s="191" t="s">
        <v>44</v>
      </c>
      <c r="AF65" s="191" t="s">
        <v>95</v>
      </c>
      <c r="AG65" s="191" t="s">
        <v>43</v>
      </c>
      <c r="AH65" s="191" t="s">
        <v>44</v>
      </c>
      <c r="AI65" s="191" t="s">
        <v>36</v>
      </c>
      <c r="AJ65" s="191" t="s">
        <v>36</v>
      </c>
      <c r="AK65" s="191" t="s">
        <v>73</v>
      </c>
      <c r="AL65" s="191" t="s">
        <v>44</v>
      </c>
      <c r="AM65" s="191" t="s">
        <v>1242</v>
      </c>
      <c r="AN65" s="191" t="s">
        <v>44</v>
      </c>
      <c r="AO65" s="191" t="s">
        <v>44</v>
      </c>
      <c r="AP65" s="191" t="s">
        <v>44</v>
      </c>
    </row>
    <row r="66" spans="1:42" ht="29">
      <c r="A66" s="191" t="s">
        <v>1300</v>
      </c>
      <c r="B66" s="190">
        <v>3</v>
      </c>
      <c r="C66" s="190">
        <v>3</v>
      </c>
      <c r="D66" s="190">
        <v>3</v>
      </c>
      <c r="E66" s="191" t="s">
        <v>307</v>
      </c>
      <c r="F66" s="190">
        <v>2</v>
      </c>
      <c r="G66" s="191" t="s">
        <v>36</v>
      </c>
      <c r="H66" s="190">
        <v>1</v>
      </c>
      <c r="I66" s="190">
        <v>108</v>
      </c>
      <c r="J66" s="191" t="s">
        <v>80</v>
      </c>
      <c r="K66" s="191" t="s">
        <v>61</v>
      </c>
      <c r="L66" s="191" t="s">
        <v>103</v>
      </c>
      <c r="M66" s="191" t="s">
        <v>37</v>
      </c>
      <c r="N66" s="191" t="s">
        <v>95</v>
      </c>
      <c r="O66" s="191" t="s">
        <v>39</v>
      </c>
      <c r="P66" s="191" t="s">
        <v>41</v>
      </c>
      <c r="Q66" s="191" t="s">
        <v>140</v>
      </c>
      <c r="R66" s="191" t="s">
        <v>36</v>
      </c>
      <c r="S66" s="191" t="s">
        <v>48</v>
      </c>
      <c r="T66" s="191" t="s">
        <v>44</v>
      </c>
      <c r="U66" s="191" t="s">
        <v>44</v>
      </c>
      <c r="V66" s="191" t="s">
        <v>44</v>
      </c>
      <c r="W66" s="191" t="s">
        <v>43</v>
      </c>
      <c r="X66" s="191" t="s">
        <v>44</v>
      </c>
      <c r="Y66" s="191" t="s">
        <v>45</v>
      </c>
      <c r="Z66" s="191" t="s">
        <v>43</v>
      </c>
      <c r="AA66" s="191" t="s">
        <v>36</v>
      </c>
      <c r="AB66" s="191" t="s">
        <v>84</v>
      </c>
      <c r="AC66" s="191" t="s">
        <v>47</v>
      </c>
      <c r="AD66" s="191" t="s">
        <v>72</v>
      </c>
      <c r="AE66" s="191" t="s">
        <v>44</v>
      </c>
      <c r="AF66" s="191" t="s">
        <v>95</v>
      </c>
      <c r="AG66" s="191" t="s">
        <v>43</v>
      </c>
      <c r="AH66" s="191" t="s">
        <v>44</v>
      </c>
      <c r="AI66" s="191" t="s">
        <v>39</v>
      </c>
      <c r="AJ66" s="191" t="s">
        <v>36</v>
      </c>
      <c r="AK66" s="191" t="s">
        <v>59</v>
      </c>
      <c r="AL66" s="191" t="s">
        <v>44</v>
      </c>
      <c r="AM66" s="191" t="s">
        <v>45</v>
      </c>
      <c r="AN66" s="191" t="s">
        <v>44</v>
      </c>
      <c r="AO66" s="191" t="s">
        <v>44</v>
      </c>
      <c r="AP66" s="191" t="s">
        <v>44</v>
      </c>
    </row>
    <row r="67" spans="1:42" ht="29">
      <c r="A67" s="191" t="s">
        <v>1301</v>
      </c>
      <c r="B67" s="190">
        <v>3</v>
      </c>
      <c r="C67" s="190">
        <v>5</v>
      </c>
      <c r="D67" s="190">
        <v>3</v>
      </c>
      <c r="E67" s="191" t="s">
        <v>311</v>
      </c>
      <c r="F67" s="190">
        <v>6</v>
      </c>
      <c r="G67" s="191" t="s">
        <v>36</v>
      </c>
      <c r="H67" s="190">
        <v>1</v>
      </c>
      <c r="I67" s="190">
        <v>230</v>
      </c>
      <c r="J67" s="191" t="s">
        <v>65</v>
      </c>
      <c r="K67" s="191" t="s">
        <v>124</v>
      </c>
      <c r="L67" s="191" t="s">
        <v>36</v>
      </c>
      <c r="M67" s="191" t="s">
        <v>37</v>
      </c>
      <c r="N67" s="191" t="s">
        <v>58</v>
      </c>
      <c r="O67" s="191" t="s">
        <v>39</v>
      </c>
      <c r="P67" s="191" t="s">
        <v>41</v>
      </c>
      <c r="Q67" s="191" t="s">
        <v>59</v>
      </c>
      <c r="R67" s="191" t="s">
        <v>87</v>
      </c>
      <c r="S67" s="191" t="s">
        <v>48</v>
      </c>
      <c r="T67" s="191" t="s">
        <v>44</v>
      </c>
      <c r="U67" s="191" t="s">
        <v>119</v>
      </c>
      <c r="V67" s="191" t="s">
        <v>1106</v>
      </c>
      <c r="W67" s="191" t="s">
        <v>46</v>
      </c>
      <c r="X67" s="191" t="s">
        <v>44</v>
      </c>
      <c r="Y67" s="191" t="s">
        <v>45</v>
      </c>
      <c r="Z67" s="191" t="s">
        <v>43</v>
      </c>
      <c r="AA67" s="191" t="s">
        <v>49</v>
      </c>
      <c r="AB67" s="191" t="s">
        <v>50</v>
      </c>
      <c r="AC67" s="191" t="s">
        <v>43</v>
      </c>
      <c r="AD67" s="191" t="s">
        <v>72</v>
      </c>
      <c r="AE67" s="191" t="s">
        <v>44</v>
      </c>
      <c r="AF67" s="191" t="s">
        <v>95</v>
      </c>
      <c r="AG67" s="191" t="s">
        <v>43</v>
      </c>
      <c r="AH67" s="191" t="s">
        <v>44</v>
      </c>
      <c r="AI67" s="191" t="s">
        <v>39</v>
      </c>
      <c r="AJ67" s="191" t="s">
        <v>36</v>
      </c>
      <c r="AK67" s="191" t="s">
        <v>35</v>
      </c>
      <c r="AL67" s="191" t="s">
        <v>44</v>
      </c>
      <c r="AM67" s="191" t="s">
        <v>47</v>
      </c>
      <c r="AN67" s="191" t="s">
        <v>44</v>
      </c>
      <c r="AO67" s="191" t="s">
        <v>44</v>
      </c>
      <c r="AP67" s="191" t="s">
        <v>44</v>
      </c>
    </row>
    <row r="68" spans="1:42" ht="29">
      <c r="A68" s="191" t="s">
        <v>1302</v>
      </c>
      <c r="B68" s="190">
        <v>3</v>
      </c>
      <c r="C68" s="190">
        <v>7</v>
      </c>
      <c r="D68" s="190">
        <v>7</v>
      </c>
      <c r="E68" s="191" t="s">
        <v>318</v>
      </c>
      <c r="F68" s="190">
        <v>2</v>
      </c>
      <c r="G68" s="191" t="s">
        <v>36</v>
      </c>
      <c r="H68" s="190">
        <v>1</v>
      </c>
      <c r="I68" s="190">
        <v>90</v>
      </c>
      <c r="J68" s="191" t="s">
        <v>80</v>
      </c>
      <c r="K68" s="191" t="s">
        <v>40</v>
      </c>
      <c r="L68" s="191" t="s">
        <v>36</v>
      </c>
      <c r="M68" s="191" t="s">
        <v>37</v>
      </c>
      <c r="N68" s="191" t="s">
        <v>95</v>
      </c>
      <c r="O68" s="191" t="s">
        <v>288</v>
      </c>
      <c r="P68" s="191" t="s">
        <v>41</v>
      </c>
      <c r="Q68" s="191" t="s">
        <v>43</v>
      </c>
      <c r="R68" s="191" t="s">
        <v>42</v>
      </c>
      <c r="S68" s="191" t="s">
        <v>48</v>
      </c>
      <c r="T68" s="191" t="s">
        <v>44</v>
      </c>
      <c r="U68" s="191" t="s">
        <v>61</v>
      </c>
      <c r="V68" s="191" t="s">
        <v>1106</v>
      </c>
      <c r="W68" s="191" t="s">
        <v>40</v>
      </c>
      <c r="X68" s="191" t="s">
        <v>44</v>
      </c>
      <c r="Y68" s="191" t="s">
        <v>45</v>
      </c>
      <c r="Z68" s="191" t="s">
        <v>46</v>
      </c>
      <c r="AA68" s="191" t="s">
        <v>49</v>
      </c>
      <c r="AB68" s="191" t="s">
        <v>84</v>
      </c>
      <c r="AC68" s="191" t="s">
        <v>47</v>
      </c>
      <c r="AD68" s="191" t="s">
        <v>51</v>
      </c>
      <c r="AE68" s="191" t="s">
        <v>44</v>
      </c>
      <c r="AF68" s="191" t="s">
        <v>95</v>
      </c>
      <c r="AG68" s="191" t="s">
        <v>43</v>
      </c>
      <c r="AH68" s="191" t="s">
        <v>44</v>
      </c>
      <c r="AI68" s="191" t="s">
        <v>39</v>
      </c>
      <c r="AJ68" s="191" t="s">
        <v>36</v>
      </c>
      <c r="AK68" s="191" t="s">
        <v>35</v>
      </c>
      <c r="AL68" s="191" t="s">
        <v>44</v>
      </c>
      <c r="AM68" s="191" t="s">
        <v>47</v>
      </c>
      <c r="AN68" s="191" t="s">
        <v>44</v>
      </c>
      <c r="AO68" s="191" t="s">
        <v>44</v>
      </c>
      <c r="AP68" s="191" t="s">
        <v>44</v>
      </c>
    </row>
    <row r="69" spans="1:42" ht="43.5">
      <c r="A69" s="191" t="s">
        <v>1303</v>
      </c>
      <c r="B69" s="190">
        <v>3</v>
      </c>
      <c r="C69" s="190">
        <v>7</v>
      </c>
      <c r="D69" s="190">
        <v>7</v>
      </c>
      <c r="E69" s="191" t="s">
        <v>318</v>
      </c>
      <c r="F69" s="190">
        <v>2</v>
      </c>
      <c r="G69" s="191" t="s">
        <v>36</v>
      </c>
      <c r="H69" s="190">
        <v>1</v>
      </c>
      <c r="I69" s="190">
        <v>120</v>
      </c>
      <c r="J69" s="191" t="s">
        <v>34</v>
      </c>
      <c r="K69" s="191" t="s">
        <v>61</v>
      </c>
      <c r="L69" s="191" t="s">
        <v>36</v>
      </c>
      <c r="M69" s="191" t="s">
        <v>37</v>
      </c>
      <c r="N69" s="191" t="s">
        <v>38</v>
      </c>
      <c r="O69" s="191" t="s">
        <v>288</v>
      </c>
      <c r="P69" s="191" t="s">
        <v>66</v>
      </c>
      <c r="Q69" s="191" t="s">
        <v>40</v>
      </c>
      <c r="R69" s="191" t="s">
        <v>42</v>
      </c>
      <c r="S69" s="191" t="s">
        <v>48</v>
      </c>
      <c r="T69" s="191" t="s">
        <v>44</v>
      </c>
      <c r="U69" s="191" t="s">
        <v>43</v>
      </c>
      <c r="V69" s="191" t="s">
        <v>1106</v>
      </c>
      <c r="W69" s="191" t="s">
        <v>43</v>
      </c>
      <c r="X69" s="191" t="s">
        <v>44</v>
      </c>
      <c r="Y69" s="191" t="s">
        <v>43</v>
      </c>
      <c r="Z69" s="191" t="s">
        <v>43</v>
      </c>
      <c r="AA69" s="191" t="s">
        <v>62</v>
      </c>
      <c r="AB69" s="191" t="s">
        <v>50</v>
      </c>
      <c r="AC69" s="191" t="s">
        <v>47</v>
      </c>
      <c r="AD69" s="191" t="s">
        <v>72</v>
      </c>
      <c r="AE69" s="191" t="s">
        <v>44</v>
      </c>
      <c r="AF69" s="191" t="s">
        <v>52</v>
      </c>
      <c r="AG69" s="191" t="s">
        <v>47</v>
      </c>
      <c r="AH69" s="191" t="s">
        <v>44</v>
      </c>
      <c r="AI69" s="191" t="s">
        <v>134</v>
      </c>
      <c r="AJ69" s="191" t="s">
        <v>36</v>
      </c>
      <c r="AK69" s="191" t="s">
        <v>73</v>
      </c>
      <c r="AL69" s="191" t="s">
        <v>44</v>
      </c>
      <c r="AM69" s="191" t="s">
        <v>45</v>
      </c>
      <c r="AN69" s="191" t="s">
        <v>44</v>
      </c>
      <c r="AO69" s="191" t="s">
        <v>44</v>
      </c>
      <c r="AP69" s="191" t="s">
        <v>44</v>
      </c>
    </row>
    <row r="70" spans="1:42" ht="43.5">
      <c r="A70" s="191" t="s">
        <v>1304</v>
      </c>
      <c r="B70" s="190">
        <v>1</v>
      </c>
      <c r="C70" s="190">
        <v>5</v>
      </c>
      <c r="D70" s="190">
        <v>6</v>
      </c>
      <c r="E70" s="191" t="s">
        <v>315</v>
      </c>
      <c r="F70" s="190">
        <v>1</v>
      </c>
      <c r="G70" s="191" t="s">
        <v>36</v>
      </c>
      <c r="H70" s="190">
        <v>1</v>
      </c>
      <c r="I70" s="190">
        <v>149</v>
      </c>
      <c r="J70" s="191" t="s">
        <v>34</v>
      </c>
      <c r="K70" s="191" t="s">
        <v>40</v>
      </c>
      <c r="L70" s="191" t="s">
        <v>70</v>
      </c>
      <c r="M70" s="191" t="s">
        <v>37</v>
      </c>
      <c r="N70" s="191" t="s">
        <v>108</v>
      </c>
      <c r="O70" s="191" t="s">
        <v>288</v>
      </c>
      <c r="P70" s="191" t="s">
        <v>56</v>
      </c>
      <c r="Q70" s="191" t="s">
        <v>112</v>
      </c>
      <c r="R70" s="191" t="s">
        <v>42</v>
      </c>
      <c r="S70" s="191" t="s">
        <v>48</v>
      </c>
      <c r="T70" s="191" t="s">
        <v>44</v>
      </c>
      <c r="U70" s="191" t="s">
        <v>89</v>
      </c>
      <c r="V70" s="191" t="s">
        <v>1106</v>
      </c>
      <c r="W70" s="191" t="s">
        <v>43</v>
      </c>
      <c r="X70" s="191" t="s">
        <v>44</v>
      </c>
      <c r="Y70" s="191" t="s">
        <v>45</v>
      </c>
      <c r="Z70" s="191" t="s">
        <v>43</v>
      </c>
      <c r="AA70" s="191" t="s">
        <v>49</v>
      </c>
      <c r="AB70" s="191" t="s">
        <v>84</v>
      </c>
      <c r="AC70" s="191" t="s">
        <v>43</v>
      </c>
      <c r="AD70" s="191" t="s">
        <v>72</v>
      </c>
      <c r="AE70" s="191" t="s">
        <v>44</v>
      </c>
      <c r="AF70" s="191" t="s">
        <v>95</v>
      </c>
      <c r="AG70" s="191" t="s">
        <v>47</v>
      </c>
      <c r="AH70" s="191" t="s">
        <v>44</v>
      </c>
      <c r="AI70" s="191" t="s">
        <v>39</v>
      </c>
      <c r="AJ70" s="191" t="s">
        <v>36</v>
      </c>
      <c r="AK70" s="191" t="s">
        <v>101</v>
      </c>
      <c r="AL70" s="191" t="s">
        <v>44</v>
      </c>
      <c r="AM70" s="191" t="s">
        <v>89</v>
      </c>
      <c r="AN70" s="191" t="s">
        <v>44</v>
      </c>
      <c r="AO70" s="191" t="s">
        <v>44</v>
      </c>
      <c r="AP70" s="191" t="s">
        <v>44</v>
      </c>
    </row>
    <row r="71" spans="1:42" ht="29">
      <c r="A71" s="191" t="s">
        <v>1305</v>
      </c>
      <c r="B71" s="190">
        <v>3</v>
      </c>
      <c r="C71" s="190">
        <v>7</v>
      </c>
      <c r="D71" s="190">
        <v>7</v>
      </c>
      <c r="E71" s="191" t="s">
        <v>315</v>
      </c>
      <c r="F71" s="190">
        <v>2</v>
      </c>
      <c r="G71" s="191" t="s">
        <v>36</v>
      </c>
      <c r="H71" s="190">
        <v>1</v>
      </c>
      <c r="I71" s="190">
        <v>100</v>
      </c>
      <c r="J71" s="191" t="s">
        <v>54</v>
      </c>
      <c r="K71" s="191" t="s">
        <v>61</v>
      </c>
      <c r="L71" s="191" t="s">
        <v>36</v>
      </c>
      <c r="M71" s="191" t="s">
        <v>37</v>
      </c>
      <c r="N71" s="191" t="s">
        <v>58</v>
      </c>
      <c r="O71" s="191" t="s">
        <v>39</v>
      </c>
      <c r="P71" s="191" t="s">
        <v>41</v>
      </c>
      <c r="Q71" s="191" t="s">
        <v>83</v>
      </c>
      <c r="R71" s="191" t="s">
        <v>42</v>
      </c>
      <c r="S71" s="191" t="s">
        <v>48</v>
      </c>
      <c r="T71" s="191" t="s">
        <v>44</v>
      </c>
      <c r="U71" s="191" t="s">
        <v>1119</v>
      </c>
      <c r="V71" s="191" t="s">
        <v>1121</v>
      </c>
      <c r="W71" s="191" t="s">
        <v>47</v>
      </c>
      <c r="X71" s="191" t="s">
        <v>44</v>
      </c>
      <c r="Y71" s="191" t="s">
        <v>45</v>
      </c>
      <c r="Z71" s="191" t="s">
        <v>43</v>
      </c>
      <c r="AA71" s="191" t="s">
        <v>49</v>
      </c>
      <c r="AB71" s="191" t="s">
        <v>50</v>
      </c>
      <c r="AC71" s="191" t="s">
        <v>47</v>
      </c>
      <c r="AD71" s="191" t="s">
        <v>72</v>
      </c>
      <c r="AE71" s="191" t="s">
        <v>44</v>
      </c>
      <c r="AF71" s="191" t="s">
        <v>95</v>
      </c>
      <c r="AG71" s="191" t="s">
        <v>43</v>
      </c>
      <c r="AH71" s="191" t="s">
        <v>44</v>
      </c>
      <c r="AI71" s="191" t="s">
        <v>39</v>
      </c>
      <c r="AJ71" s="191" t="s">
        <v>36</v>
      </c>
      <c r="AK71" s="191" t="s">
        <v>125</v>
      </c>
      <c r="AL71" s="191" t="s">
        <v>1306</v>
      </c>
      <c r="AM71" s="191" t="s">
        <v>1307</v>
      </c>
      <c r="AN71" s="191" t="s">
        <v>44</v>
      </c>
      <c r="AO71" s="191" t="s">
        <v>44</v>
      </c>
      <c r="AP71" s="191" t="s">
        <v>44</v>
      </c>
    </row>
    <row r="72" spans="1:42" ht="29">
      <c r="A72" s="191" t="s">
        <v>1308</v>
      </c>
      <c r="B72" s="190">
        <v>3</v>
      </c>
      <c r="C72" s="190">
        <v>5</v>
      </c>
      <c r="D72" s="190">
        <v>5</v>
      </c>
      <c r="E72" s="191" t="s">
        <v>315</v>
      </c>
      <c r="F72" s="190">
        <v>2</v>
      </c>
      <c r="G72" s="191" t="s">
        <v>36</v>
      </c>
      <c r="H72" s="190">
        <v>1</v>
      </c>
      <c r="I72" s="190">
        <v>92.2</v>
      </c>
      <c r="J72" s="191" t="s">
        <v>80</v>
      </c>
      <c r="K72" s="191" t="s">
        <v>40</v>
      </c>
      <c r="L72" s="191" t="s">
        <v>70</v>
      </c>
      <c r="M72" s="191" t="s">
        <v>37</v>
      </c>
      <c r="N72" s="191" t="s">
        <v>58</v>
      </c>
      <c r="O72" s="191" t="s">
        <v>39</v>
      </c>
      <c r="P72" s="191" t="s">
        <v>41</v>
      </c>
      <c r="Q72" s="191" t="s">
        <v>40</v>
      </c>
      <c r="R72" s="191" t="s">
        <v>87</v>
      </c>
      <c r="S72" s="191" t="s">
        <v>48</v>
      </c>
      <c r="T72" s="191" t="s">
        <v>44</v>
      </c>
      <c r="U72" s="191" t="s">
        <v>89</v>
      </c>
      <c r="V72" s="191" t="s">
        <v>1106</v>
      </c>
      <c r="W72" s="191" t="s">
        <v>43</v>
      </c>
      <c r="X72" s="191" t="s">
        <v>44</v>
      </c>
      <c r="Y72" s="191" t="s">
        <v>45</v>
      </c>
      <c r="Z72" s="191" t="s">
        <v>43</v>
      </c>
      <c r="AA72" s="191" t="s">
        <v>49</v>
      </c>
      <c r="AB72" s="191" t="s">
        <v>84</v>
      </c>
      <c r="AC72" s="191" t="s">
        <v>43</v>
      </c>
      <c r="AD72" s="191" t="s">
        <v>72</v>
      </c>
      <c r="AE72" s="191" t="s">
        <v>44</v>
      </c>
      <c r="AF72" s="191" t="s">
        <v>95</v>
      </c>
      <c r="AG72" s="191" t="s">
        <v>43</v>
      </c>
      <c r="AH72" s="191" t="s">
        <v>44</v>
      </c>
      <c r="AI72" s="191" t="s">
        <v>39</v>
      </c>
      <c r="AJ72" s="191" t="s">
        <v>36</v>
      </c>
      <c r="AK72" s="191" t="s">
        <v>57</v>
      </c>
      <c r="AL72" s="191" t="s">
        <v>44</v>
      </c>
      <c r="AM72" s="191" t="s">
        <v>45</v>
      </c>
      <c r="AN72" s="191" t="s">
        <v>44</v>
      </c>
      <c r="AO72" s="191" t="s">
        <v>44</v>
      </c>
      <c r="AP72" s="191" t="s">
        <v>44</v>
      </c>
    </row>
    <row r="73" spans="1:42" ht="43.5">
      <c r="A73" s="191" t="s">
        <v>1309</v>
      </c>
      <c r="B73" s="190">
        <v>3</v>
      </c>
      <c r="C73" s="190">
        <v>7</v>
      </c>
      <c r="D73" s="190">
        <v>9</v>
      </c>
      <c r="E73" s="191" t="s">
        <v>318</v>
      </c>
      <c r="F73" s="190">
        <v>1</v>
      </c>
      <c r="G73" s="191" t="s">
        <v>36</v>
      </c>
      <c r="H73" s="190">
        <v>1</v>
      </c>
      <c r="I73" s="190">
        <v>130</v>
      </c>
      <c r="J73" s="191" t="s">
        <v>54</v>
      </c>
      <c r="K73" s="191" t="s">
        <v>61</v>
      </c>
      <c r="L73" s="191" t="s">
        <v>36</v>
      </c>
      <c r="M73" s="191" t="s">
        <v>37</v>
      </c>
      <c r="N73" s="191" t="s">
        <v>38</v>
      </c>
      <c r="O73" s="191" t="s">
        <v>288</v>
      </c>
      <c r="P73" s="191" t="s">
        <v>66</v>
      </c>
      <c r="Q73" s="191" t="s">
        <v>115</v>
      </c>
      <c r="R73" s="191" t="s">
        <v>42</v>
      </c>
      <c r="S73" s="191" t="s">
        <v>133</v>
      </c>
      <c r="T73" s="191" t="s">
        <v>44</v>
      </c>
      <c r="U73" s="191" t="s">
        <v>46</v>
      </c>
      <c r="V73" s="191" t="s">
        <v>1106</v>
      </c>
      <c r="W73" s="191" t="s">
        <v>47</v>
      </c>
      <c r="X73" s="191" t="s">
        <v>44</v>
      </c>
      <c r="Y73" s="191" t="s">
        <v>61</v>
      </c>
      <c r="Z73" s="191" t="s">
        <v>43</v>
      </c>
      <c r="AA73" s="191" t="s">
        <v>62</v>
      </c>
      <c r="AB73" s="191" t="s">
        <v>84</v>
      </c>
      <c r="AC73" s="191" t="s">
        <v>43</v>
      </c>
      <c r="AD73" s="191" t="s">
        <v>72</v>
      </c>
      <c r="AE73" s="191" t="s">
        <v>44</v>
      </c>
      <c r="AF73" s="191" t="s">
        <v>52</v>
      </c>
      <c r="AG73" s="191" t="s">
        <v>47</v>
      </c>
      <c r="AH73" s="191" t="s">
        <v>44</v>
      </c>
      <c r="AI73" s="191" t="s">
        <v>134</v>
      </c>
      <c r="AJ73" s="191" t="s">
        <v>36</v>
      </c>
      <c r="AK73" s="191" t="s">
        <v>59</v>
      </c>
      <c r="AL73" s="191" t="s">
        <v>44</v>
      </c>
      <c r="AM73" s="191" t="s">
        <v>45</v>
      </c>
      <c r="AN73" s="191" t="s">
        <v>44</v>
      </c>
      <c r="AO73" s="191" t="s">
        <v>44</v>
      </c>
      <c r="AP73" s="191" t="s">
        <v>44</v>
      </c>
    </row>
    <row r="74" spans="1:42" ht="29">
      <c r="A74" s="191" t="s">
        <v>1310</v>
      </c>
      <c r="B74" s="190">
        <v>3</v>
      </c>
      <c r="C74" s="190">
        <v>5</v>
      </c>
      <c r="D74" s="190">
        <v>3</v>
      </c>
      <c r="E74" s="191" t="s">
        <v>315</v>
      </c>
      <c r="F74" s="190">
        <v>5</v>
      </c>
      <c r="G74" s="191" t="s">
        <v>36</v>
      </c>
      <c r="H74" s="190">
        <v>1</v>
      </c>
      <c r="I74" s="190">
        <v>1</v>
      </c>
      <c r="J74" s="191" t="s">
        <v>36</v>
      </c>
      <c r="K74" s="191" t="s">
        <v>61</v>
      </c>
      <c r="L74" s="191" t="s">
        <v>36</v>
      </c>
      <c r="M74" s="191" t="s">
        <v>37</v>
      </c>
      <c r="N74" s="191" t="s">
        <v>95</v>
      </c>
      <c r="O74" s="191" t="s">
        <v>36</v>
      </c>
      <c r="P74" s="191" t="s">
        <v>41</v>
      </c>
      <c r="Q74" s="191" t="s">
        <v>137</v>
      </c>
      <c r="R74" s="191" t="s">
        <v>87</v>
      </c>
      <c r="S74" s="191" t="s">
        <v>48</v>
      </c>
      <c r="T74" s="191" t="s">
        <v>44</v>
      </c>
      <c r="U74" s="191" t="s">
        <v>40</v>
      </c>
      <c r="V74" s="191" t="s">
        <v>1106</v>
      </c>
      <c r="W74" s="191" t="s">
        <v>43</v>
      </c>
      <c r="X74" s="191" t="s">
        <v>44</v>
      </c>
      <c r="Y74" s="191" t="s">
        <v>45</v>
      </c>
      <c r="Z74" s="191" t="s">
        <v>43</v>
      </c>
      <c r="AA74" s="191" t="s">
        <v>49</v>
      </c>
      <c r="AB74" s="191" t="s">
        <v>50</v>
      </c>
      <c r="AC74" s="191" t="s">
        <v>47</v>
      </c>
      <c r="AD74" s="191" t="s">
        <v>72</v>
      </c>
      <c r="AE74" s="191" t="s">
        <v>44</v>
      </c>
      <c r="AF74" s="191" t="s">
        <v>95</v>
      </c>
      <c r="AG74" s="191" t="s">
        <v>43</v>
      </c>
      <c r="AH74" s="191" t="s">
        <v>44</v>
      </c>
      <c r="AI74" s="191" t="s">
        <v>39</v>
      </c>
      <c r="AJ74" s="191" t="s">
        <v>36</v>
      </c>
      <c r="AK74" s="191" t="s">
        <v>45</v>
      </c>
      <c r="AL74" s="191" t="s">
        <v>44</v>
      </c>
      <c r="AM74" s="191" t="s">
        <v>45</v>
      </c>
      <c r="AN74" s="191" t="s">
        <v>44</v>
      </c>
      <c r="AO74" s="191" t="s">
        <v>44</v>
      </c>
      <c r="AP74" s="191" t="s">
        <v>44</v>
      </c>
    </row>
    <row r="75" spans="1:42" ht="29">
      <c r="A75" s="191" t="s">
        <v>1311</v>
      </c>
      <c r="B75" s="190">
        <v>3</v>
      </c>
      <c r="C75" s="190">
        <v>5</v>
      </c>
      <c r="D75" s="190">
        <v>5</v>
      </c>
      <c r="E75" s="191" t="s">
        <v>307</v>
      </c>
      <c r="F75" s="190">
        <v>2</v>
      </c>
      <c r="G75" s="191" t="s">
        <v>36</v>
      </c>
      <c r="H75" s="190">
        <v>1</v>
      </c>
      <c r="I75" s="190">
        <v>170</v>
      </c>
      <c r="J75" s="191" t="s">
        <v>34</v>
      </c>
      <c r="K75" s="191" t="s">
        <v>101</v>
      </c>
      <c r="L75" s="191" t="s">
        <v>36</v>
      </c>
      <c r="M75" s="191" t="s">
        <v>37</v>
      </c>
      <c r="N75" s="191" t="s">
        <v>95</v>
      </c>
      <c r="O75" s="191" t="s">
        <v>288</v>
      </c>
      <c r="P75" s="191" t="s">
        <v>102</v>
      </c>
      <c r="Q75" s="191" t="s">
        <v>61</v>
      </c>
      <c r="R75" s="191" t="s">
        <v>42</v>
      </c>
      <c r="S75" s="191" t="s">
        <v>48</v>
      </c>
      <c r="T75" s="191" t="s">
        <v>44</v>
      </c>
      <c r="U75" s="191" t="s">
        <v>44</v>
      </c>
      <c r="V75" s="191" t="s">
        <v>44</v>
      </c>
      <c r="W75" s="191" t="s">
        <v>47</v>
      </c>
      <c r="X75" s="191" t="s">
        <v>44</v>
      </c>
      <c r="Y75" s="191" t="s">
        <v>45</v>
      </c>
      <c r="Z75" s="191" t="s">
        <v>47</v>
      </c>
      <c r="AA75" s="191" t="s">
        <v>105</v>
      </c>
      <c r="AB75" s="191" t="s">
        <v>84</v>
      </c>
      <c r="AC75" s="191" t="s">
        <v>43</v>
      </c>
      <c r="AD75" s="191" t="s">
        <v>72</v>
      </c>
      <c r="AE75" s="191" t="s">
        <v>44</v>
      </c>
      <c r="AF75" s="191" t="s">
        <v>95</v>
      </c>
      <c r="AG75" s="191" t="s">
        <v>47</v>
      </c>
      <c r="AH75" s="191" t="s">
        <v>44</v>
      </c>
      <c r="AI75" s="191" t="s">
        <v>134</v>
      </c>
      <c r="AJ75" s="191" t="s">
        <v>36</v>
      </c>
      <c r="AK75" s="191" t="s">
        <v>47</v>
      </c>
      <c r="AL75" s="191" t="s">
        <v>44</v>
      </c>
      <c r="AM75" s="191" t="s">
        <v>45</v>
      </c>
      <c r="AN75" s="191" t="s">
        <v>44</v>
      </c>
      <c r="AO75" s="191" t="s">
        <v>44</v>
      </c>
      <c r="AP75" s="191" t="s">
        <v>44</v>
      </c>
    </row>
    <row r="76" spans="1:42" ht="43.5">
      <c r="A76" s="191" t="s">
        <v>1312</v>
      </c>
      <c r="B76" s="190">
        <v>3</v>
      </c>
      <c r="C76" s="190">
        <v>4</v>
      </c>
      <c r="D76" s="190">
        <v>8</v>
      </c>
      <c r="E76" s="191" t="s">
        <v>307</v>
      </c>
      <c r="F76" s="190">
        <v>4</v>
      </c>
      <c r="G76" s="191" t="s">
        <v>36</v>
      </c>
      <c r="H76" s="190">
        <v>1</v>
      </c>
      <c r="I76" s="190">
        <v>180</v>
      </c>
      <c r="J76" s="191" t="s">
        <v>65</v>
      </c>
      <c r="K76" s="191" t="s">
        <v>40</v>
      </c>
      <c r="L76" s="191" t="s">
        <v>36</v>
      </c>
      <c r="M76" s="191" t="s">
        <v>37</v>
      </c>
      <c r="N76" s="191" t="s">
        <v>95</v>
      </c>
      <c r="O76" s="191" t="s">
        <v>288</v>
      </c>
      <c r="P76" s="191" t="s">
        <v>56</v>
      </c>
      <c r="Q76" s="191" t="s">
        <v>46</v>
      </c>
      <c r="R76" s="191" t="s">
        <v>42</v>
      </c>
      <c r="S76" s="191" t="s">
        <v>48</v>
      </c>
      <c r="T76" s="191" t="s">
        <v>44</v>
      </c>
      <c r="U76" s="191" t="s">
        <v>46</v>
      </c>
      <c r="V76" s="191" t="s">
        <v>1106</v>
      </c>
      <c r="W76" s="191" t="s">
        <v>47</v>
      </c>
      <c r="X76" s="191" t="s">
        <v>44</v>
      </c>
      <c r="Y76" s="191" t="s">
        <v>45</v>
      </c>
      <c r="Z76" s="191" t="s">
        <v>47</v>
      </c>
      <c r="AA76" s="191" t="s">
        <v>62</v>
      </c>
      <c r="AB76" s="191" t="s">
        <v>50</v>
      </c>
      <c r="AC76" s="191" t="s">
        <v>47</v>
      </c>
      <c r="AD76" s="191" t="s">
        <v>72</v>
      </c>
      <c r="AE76" s="191" t="s">
        <v>44</v>
      </c>
      <c r="AF76" s="191" t="s">
        <v>95</v>
      </c>
      <c r="AG76" s="191" t="s">
        <v>47</v>
      </c>
      <c r="AH76" s="191" t="s">
        <v>44</v>
      </c>
      <c r="AI76" s="191" t="s">
        <v>134</v>
      </c>
      <c r="AJ76" s="191" t="s">
        <v>36</v>
      </c>
      <c r="AK76" s="191" t="s">
        <v>45</v>
      </c>
      <c r="AL76" s="191" t="s">
        <v>44</v>
      </c>
      <c r="AM76" s="191" t="s">
        <v>89</v>
      </c>
      <c r="AN76" s="191" t="s">
        <v>44</v>
      </c>
      <c r="AO76" s="191" t="s">
        <v>44</v>
      </c>
      <c r="AP76" s="191" t="s">
        <v>44</v>
      </c>
    </row>
    <row r="77" spans="1:42" ht="43.5">
      <c r="A77" s="191" t="s">
        <v>1313</v>
      </c>
      <c r="B77" s="190">
        <v>3</v>
      </c>
      <c r="C77" s="190">
        <v>5</v>
      </c>
      <c r="D77" s="190">
        <v>3</v>
      </c>
      <c r="E77" s="191" t="s">
        <v>311</v>
      </c>
      <c r="F77" s="190">
        <v>5</v>
      </c>
      <c r="G77" s="191" t="s">
        <v>36</v>
      </c>
      <c r="H77" s="190">
        <v>1</v>
      </c>
      <c r="I77" s="190">
        <v>1</v>
      </c>
      <c r="J77" s="191" t="s">
        <v>54</v>
      </c>
      <c r="K77" s="191" t="s">
        <v>45</v>
      </c>
      <c r="L77" s="191" t="s">
        <v>107</v>
      </c>
      <c r="M77" s="191" t="s">
        <v>37</v>
      </c>
      <c r="N77" s="191" t="s">
        <v>58</v>
      </c>
      <c r="O77" s="191" t="s">
        <v>39</v>
      </c>
      <c r="P77" s="191" t="s">
        <v>56</v>
      </c>
      <c r="Q77" s="191" t="s">
        <v>128</v>
      </c>
      <c r="R77" s="191" t="s">
        <v>87</v>
      </c>
      <c r="S77" s="191" t="s">
        <v>48</v>
      </c>
      <c r="T77" s="191" t="s">
        <v>44</v>
      </c>
      <c r="U77" s="191" t="s">
        <v>1123</v>
      </c>
      <c r="V77" s="191" t="s">
        <v>1106</v>
      </c>
      <c r="W77" s="191" t="s">
        <v>43</v>
      </c>
      <c r="X77" s="191" t="s">
        <v>44</v>
      </c>
      <c r="Y77" s="191" t="s">
        <v>47</v>
      </c>
      <c r="Z77" s="191" t="s">
        <v>43</v>
      </c>
      <c r="AA77" s="191" t="s">
        <v>62</v>
      </c>
      <c r="AB77" s="191" t="s">
        <v>84</v>
      </c>
      <c r="AC77" s="191" t="s">
        <v>47</v>
      </c>
      <c r="AD77" s="191" t="s">
        <v>91</v>
      </c>
      <c r="AE77" s="191" t="s">
        <v>44</v>
      </c>
      <c r="AF77" s="191" t="s">
        <v>95</v>
      </c>
      <c r="AG77" s="191" t="s">
        <v>43</v>
      </c>
      <c r="AH77" s="191" t="s">
        <v>44</v>
      </c>
      <c r="AI77" s="191" t="s">
        <v>39</v>
      </c>
      <c r="AJ77" s="191" t="s">
        <v>36</v>
      </c>
      <c r="AK77" s="191" t="s">
        <v>109</v>
      </c>
      <c r="AL77" s="191" t="s">
        <v>44</v>
      </c>
      <c r="AM77" s="191" t="s">
        <v>47</v>
      </c>
      <c r="AN77" s="191" t="s">
        <v>44</v>
      </c>
      <c r="AO77" s="191" t="s">
        <v>44</v>
      </c>
      <c r="AP77" s="191" t="s">
        <v>44</v>
      </c>
    </row>
    <row r="78" spans="1:42" ht="43.5">
      <c r="A78" s="191" t="s">
        <v>1314</v>
      </c>
      <c r="B78" s="190">
        <v>3</v>
      </c>
      <c r="C78" s="190">
        <v>4</v>
      </c>
      <c r="D78" s="190">
        <v>4</v>
      </c>
      <c r="E78" s="191" t="s">
        <v>315</v>
      </c>
      <c r="F78" s="190">
        <v>2</v>
      </c>
      <c r="G78" s="191" t="s">
        <v>36</v>
      </c>
      <c r="H78" s="190">
        <v>1</v>
      </c>
      <c r="I78" s="190">
        <v>96</v>
      </c>
      <c r="J78" s="191" t="s">
        <v>54</v>
      </c>
      <c r="K78" s="191" t="s">
        <v>89</v>
      </c>
      <c r="L78" s="191" t="s">
        <v>67</v>
      </c>
      <c r="M78" s="191" t="s">
        <v>37</v>
      </c>
      <c r="N78" s="191" t="s">
        <v>58</v>
      </c>
      <c r="O78" s="191" t="s">
        <v>288</v>
      </c>
      <c r="P78" s="191" t="s">
        <v>66</v>
      </c>
      <c r="Q78" s="191" t="s">
        <v>90</v>
      </c>
      <c r="R78" s="191" t="s">
        <v>60</v>
      </c>
      <c r="S78" s="191" t="s">
        <v>48</v>
      </c>
      <c r="T78" s="191" t="s">
        <v>44</v>
      </c>
      <c r="U78" s="191" t="s">
        <v>117</v>
      </c>
      <c r="V78" s="191" t="s">
        <v>1106</v>
      </c>
      <c r="W78" s="191" t="s">
        <v>43</v>
      </c>
      <c r="X78" s="191" t="s">
        <v>44</v>
      </c>
      <c r="Y78" s="191" t="s">
        <v>43</v>
      </c>
      <c r="Z78" s="191" t="s">
        <v>43</v>
      </c>
      <c r="AA78" s="191" t="s">
        <v>62</v>
      </c>
      <c r="AB78" s="191" t="s">
        <v>84</v>
      </c>
      <c r="AC78" s="191" t="s">
        <v>43</v>
      </c>
      <c r="AD78" s="191" t="s">
        <v>91</v>
      </c>
      <c r="AE78" s="191" t="s">
        <v>44</v>
      </c>
      <c r="AF78" s="191" t="s">
        <v>95</v>
      </c>
      <c r="AG78" s="191" t="s">
        <v>43</v>
      </c>
      <c r="AH78" s="191" t="s">
        <v>44</v>
      </c>
      <c r="AI78" s="191" t="s">
        <v>39</v>
      </c>
      <c r="AJ78" s="191" t="s">
        <v>36</v>
      </c>
      <c r="AK78" s="191" t="s">
        <v>59</v>
      </c>
      <c r="AL78" s="191" t="s">
        <v>44</v>
      </c>
      <c r="AM78" s="191" t="s">
        <v>43</v>
      </c>
      <c r="AN78" s="191" t="s">
        <v>44</v>
      </c>
      <c r="AO78" s="191" t="s">
        <v>44</v>
      </c>
      <c r="AP78" s="191" t="s">
        <v>44</v>
      </c>
    </row>
    <row r="79" spans="1:42" ht="43.5">
      <c r="A79" s="191" t="s">
        <v>1315</v>
      </c>
      <c r="B79" s="190">
        <v>3</v>
      </c>
      <c r="C79" s="190">
        <v>5</v>
      </c>
      <c r="D79" s="190">
        <v>5</v>
      </c>
      <c r="E79" s="191" t="s">
        <v>311</v>
      </c>
      <c r="F79" s="190">
        <v>4</v>
      </c>
      <c r="G79" s="191" t="s">
        <v>36</v>
      </c>
      <c r="H79" s="190">
        <v>1</v>
      </c>
      <c r="I79" s="190">
        <v>148</v>
      </c>
      <c r="J79" s="191" t="s">
        <v>80</v>
      </c>
      <c r="K79" s="191" t="s">
        <v>61</v>
      </c>
      <c r="L79" s="191" t="s">
        <v>36</v>
      </c>
      <c r="M79" s="191" t="s">
        <v>37</v>
      </c>
      <c r="N79" s="191" t="s">
        <v>58</v>
      </c>
      <c r="O79" s="191" t="s">
        <v>288</v>
      </c>
      <c r="P79" s="191" t="s">
        <v>56</v>
      </c>
      <c r="Q79" s="191" t="s">
        <v>90</v>
      </c>
      <c r="R79" s="191" t="s">
        <v>87</v>
      </c>
      <c r="S79" s="191" t="s">
        <v>48</v>
      </c>
      <c r="T79" s="191" t="s">
        <v>44</v>
      </c>
      <c r="U79" s="191" t="s">
        <v>40</v>
      </c>
      <c r="V79" s="191" t="s">
        <v>1106</v>
      </c>
      <c r="W79" s="191" t="s">
        <v>43</v>
      </c>
      <c r="X79" s="191" t="s">
        <v>44</v>
      </c>
      <c r="Y79" s="191" t="s">
        <v>45</v>
      </c>
      <c r="Z79" s="191" t="s">
        <v>46</v>
      </c>
      <c r="AA79" s="191" t="s">
        <v>49</v>
      </c>
      <c r="AB79" s="191" t="s">
        <v>50</v>
      </c>
      <c r="AC79" s="191" t="s">
        <v>43</v>
      </c>
      <c r="AD79" s="191" t="s">
        <v>72</v>
      </c>
      <c r="AE79" s="191" t="s">
        <v>44</v>
      </c>
      <c r="AF79" s="191" t="s">
        <v>52</v>
      </c>
      <c r="AG79" s="191" t="s">
        <v>47</v>
      </c>
      <c r="AH79" s="191" t="s">
        <v>44</v>
      </c>
      <c r="AI79" s="191" t="s">
        <v>134</v>
      </c>
      <c r="AJ79" s="191" t="s">
        <v>36</v>
      </c>
      <c r="AK79" s="191" t="s">
        <v>73</v>
      </c>
      <c r="AL79" s="191" t="s">
        <v>44</v>
      </c>
      <c r="AM79" s="191" t="s">
        <v>45</v>
      </c>
      <c r="AN79" s="191" t="s">
        <v>44</v>
      </c>
      <c r="AO79" s="191" t="s">
        <v>44</v>
      </c>
      <c r="AP79" s="191" t="s">
        <v>44</v>
      </c>
    </row>
    <row r="80" spans="1:42" ht="29">
      <c r="A80" s="191" t="s">
        <v>1316</v>
      </c>
      <c r="B80" s="190">
        <v>3</v>
      </c>
      <c r="C80" s="190">
        <v>7</v>
      </c>
      <c r="D80" s="190">
        <v>9</v>
      </c>
      <c r="E80" s="191" t="s">
        <v>318</v>
      </c>
      <c r="F80" s="190">
        <v>1</v>
      </c>
      <c r="G80" s="191" t="s">
        <v>36</v>
      </c>
      <c r="H80" s="190">
        <v>1</v>
      </c>
      <c r="I80" s="190">
        <v>90</v>
      </c>
      <c r="J80" s="191" t="s">
        <v>80</v>
      </c>
      <c r="K80" s="191" t="s">
        <v>47</v>
      </c>
      <c r="L80" s="191" t="s">
        <v>36</v>
      </c>
      <c r="M80" s="191" t="s">
        <v>37</v>
      </c>
      <c r="N80" s="191" t="s">
        <v>58</v>
      </c>
      <c r="O80" s="191" t="s">
        <v>39</v>
      </c>
      <c r="P80" s="191" t="s">
        <v>41</v>
      </c>
      <c r="Q80" s="191" t="s">
        <v>77</v>
      </c>
      <c r="R80" s="191" t="s">
        <v>87</v>
      </c>
      <c r="S80" s="191" t="s">
        <v>48</v>
      </c>
      <c r="T80" s="191" t="s">
        <v>44</v>
      </c>
      <c r="U80" s="191" t="s">
        <v>117</v>
      </c>
      <c r="V80" s="191" t="s">
        <v>1106</v>
      </c>
      <c r="W80" s="191" t="s">
        <v>43</v>
      </c>
      <c r="X80" s="191" t="s">
        <v>44</v>
      </c>
      <c r="Y80" s="191" t="s">
        <v>45</v>
      </c>
      <c r="Z80" s="191" t="s">
        <v>43</v>
      </c>
      <c r="AA80" s="191" t="s">
        <v>49</v>
      </c>
      <c r="AB80" s="191" t="s">
        <v>84</v>
      </c>
      <c r="AC80" s="191" t="s">
        <v>43</v>
      </c>
      <c r="AD80" s="191" t="s">
        <v>72</v>
      </c>
      <c r="AE80" s="191" t="s">
        <v>44</v>
      </c>
      <c r="AF80" s="191" t="s">
        <v>52</v>
      </c>
      <c r="AG80" s="191" t="s">
        <v>43</v>
      </c>
      <c r="AH80" s="191" t="s">
        <v>44</v>
      </c>
      <c r="AI80" s="191" t="s">
        <v>39</v>
      </c>
      <c r="AJ80" s="191" t="s">
        <v>36</v>
      </c>
      <c r="AK80" s="191" t="s">
        <v>59</v>
      </c>
      <c r="AL80" s="191" t="s">
        <v>44</v>
      </c>
      <c r="AM80" s="191" t="s">
        <v>45</v>
      </c>
      <c r="AN80" s="191" t="s">
        <v>44</v>
      </c>
      <c r="AO80" s="191" t="s">
        <v>44</v>
      </c>
      <c r="AP80" s="191" t="s">
        <v>44</v>
      </c>
    </row>
    <row r="81" spans="1:42" ht="29">
      <c r="A81" s="191" t="s">
        <v>1317</v>
      </c>
      <c r="B81" s="190">
        <v>3</v>
      </c>
      <c r="C81" s="190">
        <v>4</v>
      </c>
      <c r="D81" s="190">
        <v>8</v>
      </c>
      <c r="E81" s="191" t="s">
        <v>315</v>
      </c>
      <c r="F81" s="190">
        <v>4</v>
      </c>
      <c r="G81" s="191" t="s">
        <v>36</v>
      </c>
      <c r="H81" s="190">
        <v>1</v>
      </c>
      <c r="I81" s="190">
        <v>120</v>
      </c>
      <c r="J81" s="191" t="s">
        <v>65</v>
      </c>
      <c r="K81" s="191" t="s">
        <v>101</v>
      </c>
      <c r="L81" s="191" t="s">
        <v>36</v>
      </c>
      <c r="M81" s="191" t="s">
        <v>37</v>
      </c>
      <c r="N81" s="191" t="s">
        <v>95</v>
      </c>
      <c r="O81" s="191" t="s">
        <v>39</v>
      </c>
      <c r="P81" s="191" t="s">
        <v>41</v>
      </c>
      <c r="Q81" s="191" t="s">
        <v>83</v>
      </c>
      <c r="R81" s="191" t="s">
        <v>87</v>
      </c>
      <c r="S81" s="191" t="s">
        <v>48</v>
      </c>
      <c r="T81" s="191" t="s">
        <v>44</v>
      </c>
      <c r="U81" s="191" t="s">
        <v>126</v>
      </c>
      <c r="V81" s="191" t="s">
        <v>1132</v>
      </c>
      <c r="W81" s="191" t="s">
        <v>43</v>
      </c>
      <c r="X81" s="191" t="s">
        <v>44</v>
      </c>
      <c r="Y81" s="191" t="s">
        <v>45</v>
      </c>
      <c r="Z81" s="191" t="s">
        <v>46</v>
      </c>
      <c r="AA81" s="191" t="s">
        <v>49</v>
      </c>
      <c r="AB81" s="191" t="s">
        <v>84</v>
      </c>
      <c r="AC81" s="191" t="s">
        <v>43</v>
      </c>
      <c r="AD81" s="191" t="s">
        <v>72</v>
      </c>
      <c r="AE81" s="191" t="s">
        <v>44</v>
      </c>
      <c r="AF81" s="191" t="s">
        <v>95</v>
      </c>
      <c r="AG81" s="191" t="s">
        <v>43</v>
      </c>
      <c r="AH81" s="191" t="s">
        <v>44</v>
      </c>
      <c r="AI81" s="191" t="s">
        <v>39</v>
      </c>
      <c r="AJ81" s="191" t="s">
        <v>36</v>
      </c>
      <c r="AK81" s="191" t="s">
        <v>77</v>
      </c>
      <c r="AL81" s="191" t="s">
        <v>44</v>
      </c>
      <c r="AM81" s="191" t="s">
        <v>45</v>
      </c>
      <c r="AN81" s="191" t="s">
        <v>44</v>
      </c>
      <c r="AO81" s="191" t="s">
        <v>44</v>
      </c>
      <c r="AP81" s="191" t="s">
        <v>44</v>
      </c>
    </row>
    <row r="82" spans="1:42" ht="29">
      <c r="A82" s="191" t="s">
        <v>1318</v>
      </c>
      <c r="B82" s="190">
        <v>3</v>
      </c>
      <c r="C82" s="190">
        <v>7</v>
      </c>
      <c r="D82" s="190">
        <v>7</v>
      </c>
      <c r="E82" s="191" t="s">
        <v>318</v>
      </c>
      <c r="F82" s="190">
        <v>2</v>
      </c>
      <c r="G82" s="191" t="s">
        <v>36</v>
      </c>
      <c r="H82" s="190">
        <v>1</v>
      </c>
      <c r="I82" s="190">
        <v>146</v>
      </c>
      <c r="J82" s="191" t="s">
        <v>54</v>
      </c>
      <c r="K82" s="191" t="s">
        <v>40</v>
      </c>
      <c r="L82" s="191" t="s">
        <v>70</v>
      </c>
      <c r="M82" s="191" t="s">
        <v>37</v>
      </c>
      <c r="N82" s="191" t="s">
        <v>108</v>
      </c>
      <c r="O82" s="191" t="s">
        <v>39</v>
      </c>
      <c r="P82" s="191" t="s">
        <v>41</v>
      </c>
      <c r="Q82" s="191" t="s">
        <v>77</v>
      </c>
      <c r="R82" s="191" t="s">
        <v>42</v>
      </c>
      <c r="S82" s="191" t="s">
        <v>48</v>
      </c>
      <c r="T82" s="191" t="s">
        <v>44</v>
      </c>
      <c r="U82" s="191" t="s">
        <v>1319</v>
      </c>
      <c r="V82" s="191" t="s">
        <v>1131</v>
      </c>
      <c r="W82" s="191" t="s">
        <v>40</v>
      </c>
      <c r="X82" s="191" t="s">
        <v>44</v>
      </c>
      <c r="Y82" s="191" t="s">
        <v>61</v>
      </c>
      <c r="Z82" s="191" t="s">
        <v>40</v>
      </c>
      <c r="AA82" s="191" t="s">
        <v>36</v>
      </c>
      <c r="AB82" s="191" t="s">
        <v>36</v>
      </c>
      <c r="AC82" s="191" t="s">
        <v>43</v>
      </c>
      <c r="AD82" s="191" t="s">
        <v>91</v>
      </c>
      <c r="AE82" s="191" t="s">
        <v>44</v>
      </c>
      <c r="AF82" s="191" t="s">
        <v>95</v>
      </c>
      <c r="AG82" s="191" t="s">
        <v>43</v>
      </c>
      <c r="AH82" s="191" t="s">
        <v>44</v>
      </c>
      <c r="AI82" s="191" t="s">
        <v>39</v>
      </c>
      <c r="AJ82" s="191" t="s">
        <v>36</v>
      </c>
      <c r="AK82" s="191" t="s">
        <v>85</v>
      </c>
      <c r="AL82" s="191" t="s">
        <v>44</v>
      </c>
      <c r="AM82" s="191" t="s">
        <v>43</v>
      </c>
      <c r="AN82" s="191" t="s">
        <v>44</v>
      </c>
      <c r="AO82" s="191" t="s">
        <v>44</v>
      </c>
      <c r="AP82" s="191" t="s">
        <v>44</v>
      </c>
    </row>
    <row r="83" spans="1:42" ht="43.5">
      <c r="A83" s="191" t="s">
        <v>1320</v>
      </c>
      <c r="B83" s="190">
        <v>3</v>
      </c>
      <c r="C83" s="190">
        <v>7</v>
      </c>
      <c r="D83" s="190">
        <v>7</v>
      </c>
      <c r="E83" s="191" t="s">
        <v>318</v>
      </c>
      <c r="F83" s="190">
        <v>2</v>
      </c>
      <c r="G83" s="191" t="s">
        <v>36</v>
      </c>
      <c r="H83" s="190">
        <v>1</v>
      </c>
      <c r="I83" s="190">
        <v>160</v>
      </c>
      <c r="J83" s="191" t="s">
        <v>34</v>
      </c>
      <c r="K83" s="191" t="s">
        <v>40</v>
      </c>
      <c r="L83" s="191" t="s">
        <v>67</v>
      </c>
      <c r="M83" s="191" t="s">
        <v>37</v>
      </c>
      <c r="N83" s="191" t="s">
        <v>38</v>
      </c>
      <c r="O83" s="191" t="s">
        <v>288</v>
      </c>
      <c r="P83" s="191" t="s">
        <v>56</v>
      </c>
      <c r="Q83" s="191" t="s">
        <v>96</v>
      </c>
      <c r="R83" s="191" t="s">
        <v>42</v>
      </c>
      <c r="S83" s="191" t="s">
        <v>48</v>
      </c>
      <c r="T83" s="191" t="s">
        <v>44</v>
      </c>
      <c r="U83" s="191" t="s">
        <v>44</v>
      </c>
      <c r="V83" s="191" t="s">
        <v>44</v>
      </c>
      <c r="W83" s="191" t="s">
        <v>47</v>
      </c>
      <c r="X83" s="191" t="s">
        <v>44</v>
      </c>
      <c r="Y83" s="191" t="s">
        <v>61</v>
      </c>
      <c r="Z83" s="191" t="s">
        <v>43</v>
      </c>
      <c r="AA83" s="191" t="s">
        <v>62</v>
      </c>
      <c r="AB83" s="191" t="s">
        <v>84</v>
      </c>
      <c r="AC83" s="191" t="s">
        <v>47</v>
      </c>
      <c r="AD83" s="191" t="s">
        <v>72</v>
      </c>
      <c r="AE83" s="191" t="s">
        <v>44</v>
      </c>
      <c r="AF83" s="191" t="s">
        <v>95</v>
      </c>
      <c r="AG83" s="191" t="s">
        <v>47</v>
      </c>
      <c r="AH83" s="191" t="s">
        <v>44</v>
      </c>
      <c r="AI83" s="191" t="s">
        <v>134</v>
      </c>
      <c r="AJ83" s="191" t="s">
        <v>36</v>
      </c>
      <c r="AK83" s="191" t="s">
        <v>85</v>
      </c>
      <c r="AL83" s="191" t="s">
        <v>44</v>
      </c>
      <c r="AM83" s="191" t="s">
        <v>1242</v>
      </c>
      <c r="AN83" s="191" t="s">
        <v>44</v>
      </c>
      <c r="AO83" s="191" t="s">
        <v>44</v>
      </c>
      <c r="AP83" s="191" t="s">
        <v>44</v>
      </c>
    </row>
    <row r="84" spans="1:42" ht="29">
      <c r="A84" s="191" t="s">
        <v>1321</v>
      </c>
      <c r="B84" s="190">
        <v>3</v>
      </c>
      <c r="C84" s="190">
        <v>3</v>
      </c>
      <c r="D84" s="190">
        <v>3</v>
      </c>
      <c r="E84" s="191" t="s">
        <v>311</v>
      </c>
      <c r="F84" s="190">
        <v>3</v>
      </c>
      <c r="G84" s="191" t="s">
        <v>36</v>
      </c>
      <c r="H84" s="190">
        <v>1</v>
      </c>
      <c r="I84" s="190">
        <v>85</v>
      </c>
      <c r="J84" s="191" t="s">
        <v>80</v>
      </c>
      <c r="K84" s="191" t="s">
        <v>89</v>
      </c>
      <c r="L84" s="191" t="s">
        <v>103</v>
      </c>
      <c r="M84" s="191" t="s">
        <v>37</v>
      </c>
      <c r="N84" s="191" t="s">
        <v>95</v>
      </c>
      <c r="O84" s="191" t="s">
        <v>288</v>
      </c>
      <c r="P84" s="191" t="s">
        <v>41</v>
      </c>
      <c r="Q84" s="191" t="s">
        <v>40</v>
      </c>
      <c r="R84" s="191" t="s">
        <v>87</v>
      </c>
      <c r="S84" s="191" t="s">
        <v>48</v>
      </c>
      <c r="T84" s="191" t="s">
        <v>44</v>
      </c>
      <c r="U84" s="191" t="s">
        <v>89</v>
      </c>
      <c r="V84" s="191" t="s">
        <v>1141</v>
      </c>
      <c r="W84" s="191" t="s">
        <v>43</v>
      </c>
      <c r="X84" s="191" t="s">
        <v>44</v>
      </c>
      <c r="Y84" s="191" t="s">
        <v>43</v>
      </c>
      <c r="Z84" s="191" t="s">
        <v>46</v>
      </c>
      <c r="AA84" s="191" t="s">
        <v>49</v>
      </c>
      <c r="AB84" s="191" t="s">
        <v>84</v>
      </c>
      <c r="AC84" s="191" t="s">
        <v>43</v>
      </c>
      <c r="AD84" s="191" t="s">
        <v>72</v>
      </c>
      <c r="AE84" s="191" t="s">
        <v>44</v>
      </c>
      <c r="AF84" s="191" t="s">
        <v>95</v>
      </c>
      <c r="AG84" s="191" t="s">
        <v>43</v>
      </c>
      <c r="AH84" s="191" t="s">
        <v>44</v>
      </c>
      <c r="AI84" s="191" t="s">
        <v>39</v>
      </c>
      <c r="AJ84" s="191" t="s">
        <v>36</v>
      </c>
      <c r="AK84" s="191" t="s">
        <v>40</v>
      </c>
      <c r="AL84" s="191" t="s">
        <v>44</v>
      </c>
      <c r="AM84" s="191" t="s">
        <v>47</v>
      </c>
      <c r="AN84" s="191" t="s">
        <v>44</v>
      </c>
      <c r="AO84" s="191" t="s">
        <v>44</v>
      </c>
      <c r="AP84" s="191" t="s">
        <v>44</v>
      </c>
    </row>
    <row r="85" spans="1:42" ht="29">
      <c r="A85" s="191" t="s">
        <v>1322</v>
      </c>
      <c r="B85" s="190">
        <v>3</v>
      </c>
      <c r="C85" s="190">
        <v>7</v>
      </c>
      <c r="D85" s="190">
        <v>9</v>
      </c>
      <c r="E85" s="191" t="s">
        <v>318</v>
      </c>
      <c r="F85" s="190">
        <v>1</v>
      </c>
      <c r="G85" s="191" t="s">
        <v>36</v>
      </c>
      <c r="H85" s="190">
        <v>1</v>
      </c>
      <c r="I85" s="190">
        <v>70</v>
      </c>
      <c r="J85" s="191" t="s">
        <v>65</v>
      </c>
      <c r="K85" s="191" t="s">
        <v>101</v>
      </c>
      <c r="L85" s="191" t="s">
        <v>67</v>
      </c>
      <c r="M85" s="191" t="s">
        <v>37</v>
      </c>
      <c r="N85" s="191" t="s">
        <v>108</v>
      </c>
      <c r="O85" s="191" t="s">
        <v>288</v>
      </c>
      <c r="P85" s="191" t="s">
        <v>41</v>
      </c>
      <c r="Q85" s="191" t="s">
        <v>40</v>
      </c>
      <c r="R85" s="191" t="s">
        <v>42</v>
      </c>
      <c r="S85" s="191" t="s">
        <v>48</v>
      </c>
      <c r="T85" s="191" t="s">
        <v>44</v>
      </c>
      <c r="U85" s="191" t="s">
        <v>44</v>
      </c>
      <c r="V85" s="191" t="s">
        <v>44</v>
      </c>
      <c r="W85" s="191" t="s">
        <v>47</v>
      </c>
      <c r="X85" s="191" t="s">
        <v>44</v>
      </c>
      <c r="Y85" s="191" t="s">
        <v>47</v>
      </c>
      <c r="Z85" s="191" t="s">
        <v>43</v>
      </c>
      <c r="AA85" s="191" t="s">
        <v>49</v>
      </c>
      <c r="AB85" s="191" t="s">
        <v>84</v>
      </c>
      <c r="AC85" s="191" t="s">
        <v>43</v>
      </c>
      <c r="AD85" s="191" t="s">
        <v>72</v>
      </c>
      <c r="AE85" s="191" t="s">
        <v>44</v>
      </c>
      <c r="AF85" s="191" t="s">
        <v>95</v>
      </c>
      <c r="AG85" s="191" t="s">
        <v>47</v>
      </c>
      <c r="AH85" s="191" t="s">
        <v>44</v>
      </c>
      <c r="AI85" s="191" t="s">
        <v>134</v>
      </c>
      <c r="AJ85" s="191" t="s">
        <v>36</v>
      </c>
      <c r="AK85" s="191" t="s">
        <v>73</v>
      </c>
      <c r="AL85" s="191" t="s">
        <v>44</v>
      </c>
      <c r="AM85" s="191" t="s">
        <v>45</v>
      </c>
      <c r="AN85" s="191" t="s">
        <v>44</v>
      </c>
      <c r="AO85" s="191" t="s">
        <v>44</v>
      </c>
      <c r="AP85" s="191" t="s">
        <v>44</v>
      </c>
    </row>
    <row r="86" spans="1:42" ht="29">
      <c r="A86" s="191" t="s">
        <v>1323</v>
      </c>
      <c r="B86" s="190">
        <v>3</v>
      </c>
      <c r="C86" s="190">
        <v>3</v>
      </c>
      <c r="D86" s="190">
        <v>2</v>
      </c>
      <c r="E86" s="191" t="s">
        <v>311</v>
      </c>
      <c r="F86" s="190">
        <v>5</v>
      </c>
      <c r="G86" s="191" t="s">
        <v>36</v>
      </c>
      <c r="H86" s="190">
        <v>1</v>
      </c>
      <c r="I86" s="190">
        <v>210</v>
      </c>
      <c r="J86" s="191" t="s">
        <v>34</v>
      </c>
      <c r="K86" s="191" t="s">
        <v>61</v>
      </c>
      <c r="L86" s="191" t="s">
        <v>155</v>
      </c>
      <c r="M86" s="191" t="s">
        <v>37</v>
      </c>
      <c r="N86" s="191" t="s">
        <v>38</v>
      </c>
      <c r="O86" s="191" t="s">
        <v>288</v>
      </c>
      <c r="P86" s="191" t="s">
        <v>41</v>
      </c>
      <c r="Q86" s="191" t="s">
        <v>88</v>
      </c>
      <c r="R86" s="191" t="s">
        <v>42</v>
      </c>
      <c r="S86" s="191" t="s">
        <v>48</v>
      </c>
      <c r="T86" s="191" t="s">
        <v>44</v>
      </c>
      <c r="U86" s="191" t="s">
        <v>117</v>
      </c>
      <c r="V86" s="191" t="s">
        <v>1106</v>
      </c>
      <c r="W86" s="191" t="s">
        <v>40</v>
      </c>
      <c r="X86" s="191" t="s">
        <v>1324</v>
      </c>
      <c r="Y86" s="191" t="s">
        <v>43</v>
      </c>
      <c r="Z86" s="191" t="s">
        <v>43</v>
      </c>
      <c r="AA86" s="191" t="s">
        <v>62</v>
      </c>
      <c r="AB86" s="191" t="s">
        <v>50</v>
      </c>
      <c r="AC86" s="191" t="s">
        <v>43</v>
      </c>
      <c r="AD86" s="191" t="s">
        <v>72</v>
      </c>
      <c r="AE86" s="191" t="s">
        <v>44</v>
      </c>
      <c r="AF86" s="191" t="s">
        <v>52</v>
      </c>
      <c r="AG86" s="191" t="s">
        <v>47</v>
      </c>
      <c r="AH86" s="191" t="s">
        <v>44</v>
      </c>
      <c r="AI86" s="191" t="s">
        <v>134</v>
      </c>
      <c r="AJ86" s="191" t="s">
        <v>36</v>
      </c>
      <c r="AK86" s="191" t="s">
        <v>40</v>
      </c>
      <c r="AL86" s="191" t="s">
        <v>44</v>
      </c>
      <c r="AM86" s="191" t="s">
        <v>89</v>
      </c>
      <c r="AN86" s="191" t="s">
        <v>44</v>
      </c>
      <c r="AO86" s="191" t="s">
        <v>44</v>
      </c>
      <c r="AP86" s="191" t="s">
        <v>44</v>
      </c>
    </row>
    <row r="87" spans="1:42" ht="29">
      <c r="A87" s="191" t="s">
        <v>1325</v>
      </c>
      <c r="B87" s="190">
        <v>3</v>
      </c>
      <c r="C87" s="190">
        <v>3</v>
      </c>
      <c r="D87" s="190">
        <v>9</v>
      </c>
      <c r="E87" s="191" t="s">
        <v>311</v>
      </c>
      <c r="F87" s="190">
        <v>2</v>
      </c>
      <c r="G87" s="191" t="s">
        <v>36</v>
      </c>
      <c r="H87" s="190">
        <v>1</v>
      </c>
      <c r="I87" s="190">
        <v>100</v>
      </c>
      <c r="J87" s="191" t="s">
        <v>65</v>
      </c>
      <c r="K87" s="191" t="s">
        <v>78</v>
      </c>
      <c r="L87" s="191" t="s">
        <v>36</v>
      </c>
      <c r="M87" s="191" t="s">
        <v>37</v>
      </c>
      <c r="N87" s="191" t="s">
        <v>58</v>
      </c>
      <c r="O87" s="191" t="s">
        <v>288</v>
      </c>
      <c r="P87" s="191" t="s">
        <v>36</v>
      </c>
      <c r="Q87" s="191" t="s">
        <v>89</v>
      </c>
      <c r="R87" s="191" t="s">
        <v>42</v>
      </c>
      <c r="S87" s="191" t="s">
        <v>48</v>
      </c>
      <c r="T87" s="191" t="s">
        <v>44</v>
      </c>
      <c r="U87" s="191" t="s">
        <v>44</v>
      </c>
      <c r="V87" s="191" t="s">
        <v>44</v>
      </c>
      <c r="W87" s="191" t="s">
        <v>45</v>
      </c>
      <c r="X87" s="191" t="s">
        <v>44</v>
      </c>
      <c r="Y87" s="191" t="s">
        <v>61</v>
      </c>
      <c r="Z87" s="191" t="s">
        <v>40</v>
      </c>
      <c r="AA87" s="191" t="s">
        <v>36</v>
      </c>
      <c r="AB87" s="191" t="s">
        <v>36</v>
      </c>
      <c r="AC87" s="191" t="s">
        <v>46</v>
      </c>
      <c r="AD87" s="191" t="s">
        <v>36</v>
      </c>
      <c r="AE87" s="191" t="s">
        <v>44</v>
      </c>
      <c r="AF87" s="191" t="s">
        <v>95</v>
      </c>
      <c r="AG87" s="191" t="s">
        <v>47</v>
      </c>
      <c r="AH87" s="191" t="s">
        <v>44</v>
      </c>
      <c r="AI87" s="191" t="s">
        <v>39</v>
      </c>
      <c r="AJ87" s="191" t="s">
        <v>36</v>
      </c>
      <c r="AK87" s="191" t="s">
        <v>71</v>
      </c>
      <c r="AL87" s="191" t="s">
        <v>44</v>
      </c>
      <c r="AM87" s="191" t="s">
        <v>89</v>
      </c>
      <c r="AN87" s="191" t="s">
        <v>44</v>
      </c>
      <c r="AO87" s="191" t="s">
        <v>44</v>
      </c>
      <c r="AP87" s="191" t="s">
        <v>44</v>
      </c>
    </row>
    <row r="88" spans="1:42" ht="43.5">
      <c r="A88" s="191" t="s">
        <v>1326</v>
      </c>
      <c r="B88" s="190">
        <v>3</v>
      </c>
      <c r="C88" s="190">
        <v>7</v>
      </c>
      <c r="D88" s="190">
        <v>7</v>
      </c>
      <c r="E88" s="191" t="s">
        <v>318</v>
      </c>
      <c r="F88" s="190">
        <v>2</v>
      </c>
      <c r="G88" s="191" t="s">
        <v>36</v>
      </c>
      <c r="H88" s="190">
        <v>1</v>
      </c>
      <c r="I88" s="190">
        <v>145</v>
      </c>
      <c r="J88" s="191" t="s">
        <v>54</v>
      </c>
      <c r="K88" s="191" t="s">
        <v>61</v>
      </c>
      <c r="L88" s="191" t="s">
        <v>36</v>
      </c>
      <c r="M88" s="191" t="s">
        <v>37</v>
      </c>
      <c r="N88" s="191" t="s">
        <v>38</v>
      </c>
      <c r="O88" s="191" t="s">
        <v>99</v>
      </c>
      <c r="P88" s="191" t="s">
        <v>66</v>
      </c>
      <c r="Q88" s="191" t="s">
        <v>71</v>
      </c>
      <c r="R88" s="191" t="s">
        <v>42</v>
      </c>
      <c r="S88" s="191" t="s">
        <v>48</v>
      </c>
      <c r="T88" s="191" t="s">
        <v>44</v>
      </c>
      <c r="U88" s="191" t="s">
        <v>126</v>
      </c>
      <c r="V88" s="191" t="s">
        <v>355</v>
      </c>
      <c r="W88" s="191" t="s">
        <v>43</v>
      </c>
      <c r="X88" s="191" t="s">
        <v>44</v>
      </c>
      <c r="Y88" s="191" t="s">
        <v>43</v>
      </c>
      <c r="Z88" s="191" t="s">
        <v>43</v>
      </c>
      <c r="AA88" s="191" t="s">
        <v>49</v>
      </c>
      <c r="AB88" s="191" t="s">
        <v>84</v>
      </c>
      <c r="AC88" s="191" t="s">
        <v>43</v>
      </c>
      <c r="AD88" s="191" t="s">
        <v>72</v>
      </c>
      <c r="AE88" s="191" t="s">
        <v>44</v>
      </c>
      <c r="AF88" s="191" t="s">
        <v>52</v>
      </c>
      <c r="AG88" s="191" t="s">
        <v>47</v>
      </c>
      <c r="AH88" s="191" t="s">
        <v>44</v>
      </c>
      <c r="AI88" s="191" t="s">
        <v>39</v>
      </c>
      <c r="AJ88" s="191" t="s">
        <v>36</v>
      </c>
      <c r="AK88" s="191" t="s">
        <v>40</v>
      </c>
      <c r="AL88" s="191" t="s">
        <v>44</v>
      </c>
      <c r="AM88" s="191" t="s">
        <v>45</v>
      </c>
      <c r="AN88" s="191" t="s">
        <v>44</v>
      </c>
      <c r="AO88" s="191" t="s">
        <v>44</v>
      </c>
      <c r="AP88" s="191" t="s">
        <v>44</v>
      </c>
    </row>
    <row r="89" spans="1:42" ht="43.5">
      <c r="A89" s="191" t="s">
        <v>1327</v>
      </c>
      <c r="B89" s="190">
        <v>3</v>
      </c>
      <c r="C89" s="190">
        <v>2</v>
      </c>
      <c r="D89" s="190">
        <v>3</v>
      </c>
      <c r="E89" s="191" t="s">
        <v>311</v>
      </c>
      <c r="F89" s="190">
        <v>6</v>
      </c>
      <c r="G89" s="191" t="s">
        <v>36</v>
      </c>
      <c r="H89" s="190">
        <v>1</v>
      </c>
      <c r="I89" s="190">
        <v>130</v>
      </c>
      <c r="J89" s="191" t="s">
        <v>54</v>
      </c>
      <c r="K89" s="191" t="s">
        <v>47</v>
      </c>
      <c r="L89" s="191" t="s">
        <v>67</v>
      </c>
      <c r="M89" s="191" t="s">
        <v>37</v>
      </c>
      <c r="N89" s="191" t="s">
        <v>38</v>
      </c>
      <c r="O89" s="191" t="s">
        <v>288</v>
      </c>
      <c r="P89" s="191" t="s">
        <v>56</v>
      </c>
      <c r="Q89" s="191" t="s">
        <v>90</v>
      </c>
      <c r="R89" s="191" t="s">
        <v>42</v>
      </c>
      <c r="S89" s="191" t="s">
        <v>48</v>
      </c>
      <c r="T89" s="191" t="s">
        <v>44</v>
      </c>
      <c r="U89" s="191" t="s">
        <v>45</v>
      </c>
      <c r="V89" s="191" t="s">
        <v>1106</v>
      </c>
      <c r="W89" s="191" t="s">
        <v>78</v>
      </c>
      <c r="X89" s="191" t="s">
        <v>44</v>
      </c>
      <c r="Y89" s="191" t="s">
        <v>43</v>
      </c>
      <c r="Z89" s="191" t="s">
        <v>47</v>
      </c>
      <c r="AA89" s="191" t="s">
        <v>49</v>
      </c>
      <c r="AB89" s="191" t="s">
        <v>84</v>
      </c>
      <c r="AC89" s="191" t="s">
        <v>47</v>
      </c>
      <c r="AD89" s="191" t="s">
        <v>72</v>
      </c>
      <c r="AE89" s="191" t="s">
        <v>44</v>
      </c>
      <c r="AF89" s="191" t="s">
        <v>95</v>
      </c>
      <c r="AG89" s="191" t="s">
        <v>43</v>
      </c>
      <c r="AH89" s="191" t="s">
        <v>44</v>
      </c>
      <c r="AI89" s="191" t="s">
        <v>134</v>
      </c>
      <c r="AJ89" s="191" t="s">
        <v>36</v>
      </c>
      <c r="AK89" s="191" t="s">
        <v>43</v>
      </c>
      <c r="AL89" s="191" t="s">
        <v>44</v>
      </c>
      <c r="AM89" s="191" t="s">
        <v>45</v>
      </c>
      <c r="AN89" s="191" t="s">
        <v>44</v>
      </c>
      <c r="AO89" s="191" t="s">
        <v>44</v>
      </c>
      <c r="AP89" s="191" t="s">
        <v>44</v>
      </c>
    </row>
    <row r="90" spans="1:42" ht="29">
      <c r="A90" s="191" t="s">
        <v>1328</v>
      </c>
      <c r="B90" s="190">
        <v>3</v>
      </c>
      <c r="C90" s="190">
        <v>7</v>
      </c>
      <c r="D90" s="190">
        <v>7</v>
      </c>
      <c r="E90" s="191" t="s">
        <v>318</v>
      </c>
      <c r="F90" s="190">
        <v>3</v>
      </c>
      <c r="G90" s="191" t="s">
        <v>36</v>
      </c>
      <c r="H90" s="190">
        <v>1</v>
      </c>
      <c r="I90" s="190">
        <v>107</v>
      </c>
      <c r="J90" s="191" t="s">
        <v>54</v>
      </c>
      <c r="K90" s="191" t="s">
        <v>47</v>
      </c>
      <c r="L90" s="191" t="s">
        <v>36</v>
      </c>
      <c r="M90" s="191" t="s">
        <v>37</v>
      </c>
      <c r="N90" s="191" t="s">
        <v>58</v>
      </c>
      <c r="O90" s="191" t="s">
        <v>39</v>
      </c>
      <c r="P90" s="191" t="s">
        <v>41</v>
      </c>
      <c r="Q90" s="191" t="s">
        <v>40</v>
      </c>
      <c r="R90" s="191" t="s">
        <v>42</v>
      </c>
      <c r="S90" s="191" t="s">
        <v>48</v>
      </c>
      <c r="T90" s="191" t="s">
        <v>44</v>
      </c>
      <c r="U90" s="191" t="s">
        <v>117</v>
      </c>
      <c r="V90" s="191" t="s">
        <v>1106</v>
      </c>
      <c r="W90" s="191" t="s">
        <v>43</v>
      </c>
      <c r="X90" s="191" t="s">
        <v>44</v>
      </c>
      <c r="Y90" s="191" t="s">
        <v>45</v>
      </c>
      <c r="Z90" s="191" t="s">
        <v>43</v>
      </c>
      <c r="AA90" s="191" t="s">
        <v>49</v>
      </c>
      <c r="AB90" s="191" t="s">
        <v>84</v>
      </c>
      <c r="AC90" s="191" t="s">
        <v>43</v>
      </c>
      <c r="AD90" s="191" t="s">
        <v>51</v>
      </c>
      <c r="AE90" s="191" t="s">
        <v>44</v>
      </c>
      <c r="AF90" s="191" t="s">
        <v>95</v>
      </c>
      <c r="AG90" s="191" t="s">
        <v>43</v>
      </c>
      <c r="AH90" s="191" t="s">
        <v>44</v>
      </c>
      <c r="AI90" s="191" t="s">
        <v>39</v>
      </c>
      <c r="AJ90" s="191" t="s">
        <v>36</v>
      </c>
      <c r="AK90" s="191" t="s">
        <v>78</v>
      </c>
      <c r="AL90" s="191" t="s">
        <v>44</v>
      </c>
      <c r="AM90" s="191" t="s">
        <v>1242</v>
      </c>
      <c r="AN90" s="191" t="s">
        <v>44</v>
      </c>
      <c r="AO90" s="191" t="s">
        <v>44</v>
      </c>
      <c r="AP90" s="191" t="s">
        <v>44</v>
      </c>
    </row>
    <row r="91" spans="1:42" ht="43.5">
      <c r="A91" s="191" t="s">
        <v>1329</v>
      </c>
      <c r="B91" s="190">
        <v>3</v>
      </c>
      <c r="C91" s="190">
        <v>7</v>
      </c>
      <c r="D91" s="190">
        <v>7</v>
      </c>
      <c r="E91" s="191" t="s">
        <v>318</v>
      </c>
      <c r="F91" s="190">
        <v>2</v>
      </c>
      <c r="G91" s="191" t="s">
        <v>36</v>
      </c>
      <c r="H91" s="190">
        <v>1</v>
      </c>
      <c r="I91" s="190">
        <v>120</v>
      </c>
      <c r="J91" s="191" t="s">
        <v>65</v>
      </c>
      <c r="K91" s="191" t="s">
        <v>40</v>
      </c>
      <c r="L91" s="191" t="s">
        <v>67</v>
      </c>
      <c r="M91" s="191" t="s">
        <v>37</v>
      </c>
      <c r="N91" s="191" t="s">
        <v>95</v>
      </c>
      <c r="O91" s="191" t="s">
        <v>288</v>
      </c>
      <c r="P91" s="191" t="s">
        <v>56</v>
      </c>
      <c r="Q91" s="191" t="s">
        <v>135</v>
      </c>
      <c r="R91" s="191" t="s">
        <v>87</v>
      </c>
      <c r="S91" s="191" t="s">
        <v>48</v>
      </c>
      <c r="T91" s="191" t="s">
        <v>44</v>
      </c>
      <c r="U91" s="191" t="s">
        <v>44</v>
      </c>
      <c r="V91" s="191" t="s">
        <v>44</v>
      </c>
      <c r="W91" s="191" t="s">
        <v>47</v>
      </c>
      <c r="X91" s="191" t="s">
        <v>44</v>
      </c>
      <c r="Y91" s="191" t="s">
        <v>45</v>
      </c>
      <c r="Z91" s="191" t="s">
        <v>43</v>
      </c>
      <c r="AA91" s="191" t="s">
        <v>62</v>
      </c>
      <c r="AB91" s="191" t="s">
        <v>84</v>
      </c>
      <c r="AC91" s="191" t="s">
        <v>43</v>
      </c>
      <c r="AD91" s="191" t="s">
        <v>72</v>
      </c>
      <c r="AE91" s="191" t="s">
        <v>44</v>
      </c>
      <c r="AF91" s="191" t="s">
        <v>95</v>
      </c>
      <c r="AG91" s="191" t="s">
        <v>43</v>
      </c>
      <c r="AH91" s="191" t="s">
        <v>44</v>
      </c>
      <c r="AI91" s="191" t="s">
        <v>39</v>
      </c>
      <c r="AJ91" s="191" t="s">
        <v>36</v>
      </c>
      <c r="AK91" s="191" t="s">
        <v>57</v>
      </c>
      <c r="AL91" s="191" t="s">
        <v>44</v>
      </c>
      <c r="AM91" s="191" t="s">
        <v>45</v>
      </c>
      <c r="AN91" s="191" t="s">
        <v>44</v>
      </c>
      <c r="AO91" s="191" t="s">
        <v>44</v>
      </c>
      <c r="AP91" s="191" t="s">
        <v>44</v>
      </c>
    </row>
    <row r="92" spans="1:42" ht="29">
      <c r="A92" s="191" t="s">
        <v>1330</v>
      </c>
      <c r="B92" s="190">
        <v>3</v>
      </c>
      <c r="C92" s="190">
        <v>7</v>
      </c>
      <c r="D92" s="190">
        <v>9</v>
      </c>
      <c r="E92" s="191" t="s">
        <v>318</v>
      </c>
      <c r="F92" s="190">
        <v>1</v>
      </c>
      <c r="G92" s="191" t="s">
        <v>36</v>
      </c>
      <c r="H92" s="190">
        <v>1</v>
      </c>
      <c r="I92" s="190">
        <v>10</v>
      </c>
      <c r="J92" s="191" t="s">
        <v>80</v>
      </c>
      <c r="K92" s="191" t="s">
        <v>46</v>
      </c>
      <c r="L92" s="191" t="s">
        <v>36</v>
      </c>
      <c r="M92" s="191" t="s">
        <v>37</v>
      </c>
      <c r="N92" s="191" t="s">
        <v>95</v>
      </c>
      <c r="O92" s="191" t="s">
        <v>39</v>
      </c>
      <c r="P92" s="191" t="s">
        <v>41</v>
      </c>
      <c r="Q92" s="191" t="s">
        <v>83</v>
      </c>
      <c r="R92" s="191" t="s">
        <v>87</v>
      </c>
      <c r="S92" s="191" t="s">
        <v>48</v>
      </c>
      <c r="T92" s="191" t="s">
        <v>44</v>
      </c>
      <c r="U92" s="191" t="s">
        <v>666</v>
      </c>
      <c r="V92" s="191" t="s">
        <v>1106</v>
      </c>
      <c r="W92" s="191" t="s">
        <v>43</v>
      </c>
      <c r="X92" s="191" t="s">
        <v>44</v>
      </c>
      <c r="Y92" s="191" t="s">
        <v>45</v>
      </c>
      <c r="Z92" s="191" t="s">
        <v>43</v>
      </c>
      <c r="AA92" s="191" t="s">
        <v>62</v>
      </c>
      <c r="AB92" s="191" t="s">
        <v>84</v>
      </c>
      <c r="AC92" s="191" t="s">
        <v>43</v>
      </c>
      <c r="AD92" s="191" t="s">
        <v>72</v>
      </c>
      <c r="AE92" s="191" t="s">
        <v>44</v>
      </c>
      <c r="AF92" s="191" t="s">
        <v>95</v>
      </c>
      <c r="AG92" s="191" t="s">
        <v>47</v>
      </c>
      <c r="AH92" s="191" t="s">
        <v>44</v>
      </c>
      <c r="AI92" s="191" t="s">
        <v>39</v>
      </c>
      <c r="AJ92" s="191" t="s">
        <v>36</v>
      </c>
      <c r="AK92" s="191" t="s">
        <v>73</v>
      </c>
      <c r="AL92" s="191" t="s">
        <v>44</v>
      </c>
      <c r="AM92" s="191" t="s">
        <v>89</v>
      </c>
      <c r="AN92" s="191" t="s">
        <v>44</v>
      </c>
      <c r="AO92" s="191" t="s">
        <v>44</v>
      </c>
      <c r="AP92" s="191" t="s">
        <v>44</v>
      </c>
    </row>
    <row r="93" spans="1:42" ht="29">
      <c r="A93" s="191" t="s">
        <v>1331</v>
      </c>
      <c r="B93" s="190">
        <v>3</v>
      </c>
      <c r="C93" s="190">
        <v>5</v>
      </c>
      <c r="D93" s="190">
        <v>6</v>
      </c>
      <c r="E93" s="191" t="s">
        <v>315</v>
      </c>
      <c r="F93" s="190">
        <v>6</v>
      </c>
      <c r="G93" s="191" t="s">
        <v>36</v>
      </c>
      <c r="H93" s="190">
        <v>1</v>
      </c>
      <c r="I93" s="190">
        <v>240</v>
      </c>
      <c r="J93" s="191" t="s">
        <v>34</v>
      </c>
      <c r="K93" s="191" t="s">
        <v>40</v>
      </c>
      <c r="L93" s="191" t="s">
        <v>67</v>
      </c>
      <c r="M93" s="191" t="s">
        <v>37</v>
      </c>
      <c r="N93" s="191" t="s">
        <v>38</v>
      </c>
      <c r="O93" s="191" t="s">
        <v>288</v>
      </c>
      <c r="P93" s="191" t="s">
        <v>98</v>
      </c>
      <c r="Q93" s="191" t="s">
        <v>115</v>
      </c>
      <c r="R93" s="191" t="s">
        <v>42</v>
      </c>
      <c r="S93" s="191" t="s">
        <v>48</v>
      </c>
      <c r="T93" s="191" t="s">
        <v>44</v>
      </c>
      <c r="U93" s="191" t="s">
        <v>46</v>
      </c>
      <c r="V93" s="191" t="s">
        <v>1106</v>
      </c>
      <c r="W93" s="191" t="s">
        <v>47</v>
      </c>
      <c r="X93" s="191" t="s">
        <v>44</v>
      </c>
      <c r="Y93" s="191" t="s">
        <v>45</v>
      </c>
      <c r="Z93" s="191" t="s">
        <v>43</v>
      </c>
      <c r="AA93" s="191" t="s">
        <v>62</v>
      </c>
      <c r="AB93" s="191" t="s">
        <v>50</v>
      </c>
      <c r="AC93" s="191" t="s">
        <v>43</v>
      </c>
      <c r="AD93" s="191" t="s">
        <v>51</v>
      </c>
      <c r="AE93" s="191" t="s">
        <v>44</v>
      </c>
      <c r="AF93" s="191" t="s">
        <v>95</v>
      </c>
      <c r="AG93" s="191" t="s">
        <v>47</v>
      </c>
      <c r="AH93" s="191" t="s">
        <v>44</v>
      </c>
      <c r="AI93" s="191" t="s">
        <v>134</v>
      </c>
      <c r="AJ93" s="191" t="s">
        <v>36</v>
      </c>
      <c r="AK93" s="191" t="s">
        <v>85</v>
      </c>
      <c r="AL93" s="191" t="s">
        <v>44</v>
      </c>
      <c r="AM93" s="191" t="s">
        <v>109</v>
      </c>
      <c r="AN93" s="191" t="s">
        <v>44</v>
      </c>
      <c r="AO93" s="191" t="s">
        <v>44</v>
      </c>
      <c r="AP93" s="191" t="s">
        <v>44</v>
      </c>
    </row>
    <row r="94" spans="1:42" ht="29">
      <c r="A94" s="191" t="s">
        <v>1332</v>
      </c>
      <c r="B94" s="190">
        <v>3</v>
      </c>
      <c r="C94" s="190">
        <v>3</v>
      </c>
      <c r="D94" s="190">
        <v>3</v>
      </c>
      <c r="E94" s="191" t="s">
        <v>307</v>
      </c>
      <c r="F94" s="190">
        <v>2</v>
      </c>
      <c r="G94" s="191" t="s">
        <v>36</v>
      </c>
      <c r="H94" s="190">
        <v>1</v>
      </c>
      <c r="I94" s="190">
        <v>160</v>
      </c>
      <c r="J94" s="191" t="s">
        <v>65</v>
      </c>
      <c r="K94" s="191" t="s">
        <v>124</v>
      </c>
      <c r="L94" s="191" t="s">
        <v>36</v>
      </c>
      <c r="M94" s="191" t="s">
        <v>37</v>
      </c>
      <c r="N94" s="191" t="s">
        <v>38</v>
      </c>
      <c r="O94" s="191" t="s">
        <v>288</v>
      </c>
      <c r="P94" s="191" t="s">
        <v>98</v>
      </c>
      <c r="Q94" s="191" t="s">
        <v>115</v>
      </c>
      <c r="R94" s="191" t="s">
        <v>42</v>
      </c>
      <c r="S94" s="191" t="s">
        <v>48</v>
      </c>
      <c r="T94" s="191" t="s">
        <v>44</v>
      </c>
      <c r="U94" s="191" t="s">
        <v>43</v>
      </c>
      <c r="V94" s="191" t="s">
        <v>1106</v>
      </c>
      <c r="W94" s="191" t="s">
        <v>47</v>
      </c>
      <c r="X94" s="191" t="s">
        <v>44</v>
      </c>
      <c r="Y94" s="191" t="s">
        <v>45</v>
      </c>
      <c r="Z94" s="191" t="s">
        <v>47</v>
      </c>
      <c r="AA94" s="191" t="s">
        <v>62</v>
      </c>
      <c r="AB94" s="191" t="s">
        <v>50</v>
      </c>
      <c r="AC94" s="191" t="s">
        <v>47</v>
      </c>
      <c r="AD94" s="191" t="s">
        <v>91</v>
      </c>
      <c r="AE94" s="191" t="s">
        <v>44</v>
      </c>
      <c r="AF94" s="191" t="s">
        <v>95</v>
      </c>
      <c r="AG94" s="191" t="s">
        <v>47</v>
      </c>
      <c r="AH94" s="191" t="s">
        <v>44</v>
      </c>
      <c r="AI94" s="191" t="s">
        <v>134</v>
      </c>
      <c r="AJ94" s="191" t="s">
        <v>36</v>
      </c>
      <c r="AK94" s="191" t="s">
        <v>109</v>
      </c>
      <c r="AL94" s="191" t="s">
        <v>44</v>
      </c>
      <c r="AM94" s="191" t="s">
        <v>89</v>
      </c>
      <c r="AN94" s="191" t="s">
        <v>44</v>
      </c>
      <c r="AO94" s="191" t="s">
        <v>44</v>
      </c>
      <c r="AP94" s="191" t="s">
        <v>44</v>
      </c>
    </row>
    <row r="95" spans="1:42" ht="29">
      <c r="A95" s="191" t="s">
        <v>1333</v>
      </c>
      <c r="B95" s="190">
        <v>3</v>
      </c>
      <c r="C95" s="190">
        <v>3</v>
      </c>
      <c r="D95" s="190">
        <v>5</v>
      </c>
      <c r="E95" s="191" t="s">
        <v>36</v>
      </c>
      <c r="F95" s="190">
        <v>4</v>
      </c>
      <c r="G95" s="191" t="s">
        <v>36</v>
      </c>
      <c r="H95" s="190">
        <v>1</v>
      </c>
      <c r="I95" s="190">
        <v>90</v>
      </c>
      <c r="J95" s="191" t="s">
        <v>54</v>
      </c>
      <c r="K95" s="191" t="s">
        <v>47</v>
      </c>
      <c r="L95" s="191" t="s">
        <v>103</v>
      </c>
      <c r="M95" s="191" t="s">
        <v>37</v>
      </c>
      <c r="N95" s="191" t="s">
        <v>38</v>
      </c>
      <c r="O95" s="191" t="s">
        <v>288</v>
      </c>
      <c r="P95" s="191" t="s">
        <v>36</v>
      </c>
      <c r="Q95" s="191" t="s">
        <v>89</v>
      </c>
      <c r="R95" s="191" t="s">
        <v>42</v>
      </c>
      <c r="S95" s="191" t="s">
        <v>48</v>
      </c>
      <c r="T95" s="191" t="s">
        <v>44</v>
      </c>
      <c r="U95" s="191" t="s">
        <v>44</v>
      </c>
      <c r="V95" s="191" t="s">
        <v>44</v>
      </c>
      <c r="W95" s="191" t="s">
        <v>45</v>
      </c>
      <c r="X95" s="191" t="s">
        <v>44</v>
      </c>
      <c r="Y95" s="191" t="s">
        <v>61</v>
      </c>
      <c r="Z95" s="191" t="s">
        <v>40</v>
      </c>
      <c r="AA95" s="191" t="s">
        <v>36</v>
      </c>
      <c r="AB95" s="191" t="s">
        <v>36</v>
      </c>
      <c r="AC95" s="191" t="s">
        <v>46</v>
      </c>
      <c r="AD95" s="191" t="s">
        <v>36</v>
      </c>
      <c r="AE95" s="191" t="s">
        <v>44</v>
      </c>
      <c r="AF95" s="191" t="s">
        <v>95</v>
      </c>
      <c r="AG95" s="191" t="s">
        <v>47</v>
      </c>
      <c r="AH95" s="191" t="s">
        <v>44</v>
      </c>
      <c r="AI95" s="191" t="s">
        <v>134</v>
      </c>
      <c r="AJ95" s="191" t="s">
        <v>36</v>
      </c>
      <c r="AK95" s="191" t="s">
        <v>40</v>
      </c>
      <c r="AL95" s="191" t="s">
        <v>44</v>
      </c>
      <c r="AM95" s="191" t="s">
        <v>45</v>
      </c>
      <c r="AN95" s="191" t="s">
        <v>44</v>
      </c>
      <c r="AO95" s="191" t="s">
        <v>44</v>
      </c>
      <c r="AP95" s="191" t="s">
        <v>44</v>
      </c>
    </row>
    <row r="96" spans="1:42" ht="29">
      <c r="A96" s="191" t="s">
        <v>1334</v>
      </c>
      <c r="B96" s="190">
        <v>3</v>
      </c>
      <c r="C96" s="190">
        <v>7</v>
      </c>
      <c r="D96" s="190">
        <v>9</v>
      </c>
      <c r="E96" s="191" t="s">
        <v>318</v>
      </c>
      <c r="F96" s="190">
        <v>1</v>
      </c>
      <c r="G96" s="191" t="s">
        <v>36</v>
      </c>
      <c r="H96" s="190">
        <v>1</v>
      </c>
      <c r="I96" s="190">
        <v>100</v>
      </c>
      <c r="J96" s="191" t="s">
        <v>54</v>
      </c>
      <c r="K96" s="191" t="s">
        <v>61</v>
      </c>
      <c r="L96" s="191" t="s">
        <v>36</v>
      </c>
      <c r="M96" s="191" t="s">
        <v>37</v>
      </c>
      <c r="N96" s="191" t="s">
        <v>58</v>
      </c>
      <c r="O96" s="191" t="s">
        <v>288</v>
      </c>
      <c r="P96" s="191" t="s">
        <v>41</v>
      </c>
      <c r="Q96" s="191" t="s">
        <v>46</v>
      </c>
      <c r="R96" s="191" t="s">
        <v>42</v>
      </c>
      <c r="S96" s="191" t="s">
        <v>48</v>
      </c>
      <c r="T96" s="191" t="s">
        <v>44</v>
      </c>
      <c r="U96" s="191" t="s">
        <v>61</v>
      </c>
      <c r="V96" s="191" t="s">
        <v>1106</v>
      </c>
      <c r="W96" s="191" t="s">
        <v>47</v>
      </c>
      <c r="X96" s="191" t="s">
        <v>44</v>
      </c>
      <c r="Y96" s="191" t="s">
        <v>47</v>
      </c>
      <c r="Z96" s="191" t="s">
        <v>43</v>
      </c>
      <c r="AA96" s="191" t="s">
        <v>62</v>
      </c>
      <c r="AB96" s="191" t="s">
        <v>50</v>
      </c>
      <c r="AC96" s="191" t="s">
        <v>47</v>
      </c>
      <c r="AD96" s="191" t="s">
        <v>72</v>
      </c>
      <c r="AE96" s="191" t="s">
        <v>44</v>
      </c>
      <c r="AF96" s="191" t="s">
        <v>52</v>
      </c>
      <c r="AG96" s="191" t="s">
        <v>47</v>
      </c>
      <c r="AH96" s="191" t="s">
        <v>44</v>
      </c>
      <c r="AI96" s="191" t="s">
        <v>134</v>
      </c>
      <c r="AJ96" s="191" t="s">
        <v>36</v>
      </c>
      <c r="AK96" s="191" t="s">
        <v>73</v>
      </c>
      <c r="AL96" s="191" t="s">
        <v>44</v>
      </c>
      <c r="AM96" s="191" t="s">
        <v>1307</v>
      </c>
      <c r="AN96" s="191" t="s">
        <v>44</v>
      </c>
      <c r="AO96" s="191" t="s">
        <v>44</v>
      </c>
      <c r="AP96" s="191" t="s">
        <v>44</v>
      </c>
    </row>
    <row r="97" spans="1:42" ht="29">
      <c r="A97" s="191" t="s">
        <v>1335</v>
      </c>
      <c r="B97" s="190">
        <v>3</v>
      </c>
      <c r="C97" s="190">
        <v>7</v>
      </c>
      <c r="D97" s="190">
        <v>3</v>
      </c>
      <c r="E97" s="191" t="s">
        <v>315</v>
      </c>
      <c r="F97" s="190">
        <v>2</v>
      </c>
      <c r="G97" s="191" t="s">
        <v>36</v>
      </c>
      <c r="H97" s="190">
        <v>1</v>
      </c>
      <c r="I97" s="190">
        <v>99</v>
      </c>
      <c r="J97" s="191" t="s">
        <v>80</v>
      </c>
      <c r="K97" s="191" t="s">
        <v>40</v>
      </c>
      <c r="L97" s="191" t="s">
        <v>36</v>
      </c>
      <c r="M97" s="191" t="s">
        <v>37</v>
      </c>
      <c r="N97" s="191" t="s">
        <v>95</v>
      </c>
      <c r="O97" s="191" t="s">
        <v>39</v>
      </c>
      <c r="P97" s="191" t="s">
        <v>41</v>
      </c>
      <c r="Q97" s="191" t="s">
        <v>77</v>
      </c>
      <c r="R97" s="191" t="s">
        <v>42</v>
      </c>
      <c r="S97" s="191" t="s">
        <v>48</v>
      </c>
      <c r="T97" s="191" t="s">
        <v>44</v>
      </c>
      <c r="U97" s="191" t="s">
        <v>119</v>
      </c>
      <c r="V97" s="191" t="s">
        <v>1106</v>
      </c>
      <c r="W97" s="191" t="s">
        <v>43</v>
      </c>
      <c r="X97" s="191" t="s">
        <v>44</v>
      </c>
      <c r="Y97" s="191" t="s">
        <v>47</v>
      </c>
      <c r="Z97" s="191" t="s">
        <v>43</v>
      </c>
      <c r="AA97" s="191" t="s">
        <v>62</v>
      </c>
      <c r="AB97" s="191" t="s">
        <v>84</v>
      </c>
      <c r="AC97" s="191" t="s">
        <v>47</v>
      </c>
      <c r="AD97" s="191" t="s">
        <v>72</v>
      </c>
      <c r="AE97" s="191" t="s">
        <v>44</v>
      </c>
      <c r="AF97" s="191" t="s">
        <v>95</v>
      </c>
      <c r="AG97" s="191" t="s">
        <v>43</v>
      </c>
      <c r="AH97" s="191" t="s">
        <v>44</v>
      </c>
      <c r="AI97" s="191" t="s">
        <v>39</v>
      </c>
      <c r="AJ97" s="191" t="s">
        <v>36</v>
      </c>
      <c r="AK97" s="191" t="s">
        <v>45</v>
      </c>
      <c r="AL97" s="191" t="s">
        <v>44</v>
      </c>
      <c r="AM97" s="191" t="s">
        <v>47</v>
      </c>
      <c r="AN97" s="191" t="s">
        <v>44</v>
      </c>
      <c r="AO97" s="191" t="s">
        <v>44</v>
      </c>
      <c r="AP97" s="191" t="s">
        <v>44</v>
      </c>
    </row>
    <row r="98" spans="1:42" ht="43.5">
      <c r="A98" s="191" t="s">
        <v>1336</v>
      </c>
      <c r="B98" s="190">
        <v>3</v>
      </c>
      <c r="C98" s="190">
        <v>7</v>
      </c>
      <c r="D98" s="190">
        <v>8</v>
      </c>
      <c r="E98" s="191" t="s">
        <v>315</v>
      </c>
      <c r="F98" s="190">
        <v>2</v>
      </c>
      <c r="G98" s="191" t="s">
        <v>36</v>
      </c>
      <c r="H98" s="190">
        <v>1</v>
      </c>
      <c r="I98" s="190">
        <v>130</v>
      </c>
      <c r="J98" s="191" t="s">
        <v>54</v>
      </c>
      <c r="K98" s="191" t="s">
        <v>40</v>
      </c>
      <c r="L98" s="191" t="s">
        <v>67</v>
      </c>
      <c r="M98" s="191" t="s">
        <v>37</v>
      </c>
      <c r="N98" s="191" t="s">
        <v>58</v>
      </c>
      <c r="O98" s="191" t="s">
        <v>288</v>
      </c>
      <c r="P98" s="191" t="s">
        <v>66</v>
      </c>
      <c r="Q98" s="191" t="s">
        <v>135</v>
      </c>
      <c r="R98" s="191" t="s">
        <v>42</v>
      </c>
      <c r="S98" s="191" t="s">
        <v>48</v>
      </c>
      <c r="T98" s="191" t="s">
        <v>44</v>
      </c>
      <c r="U98" s="191" t="s">
        <v>1337</v>
      </c>
      <c r="V98" s="191" t="s">
        <v>1106</v>
      </c>
      <c r="W98" s="191" t="s">
        <v>43</v>
      </c>
      <c r="X98" s="191" t="s">
        <v>44</v>
      </c>
      <c r="Y98" s="191" t="s">
        <v>45</v>
      </c>
      <c r="Z98" s="191" t="s">
        <v>43</v>
      </c>
      <c r="AA98" s="191" t="s">
        <v>62</v>
      </c>
      <c r="AB98" s="191" t="s">
        <v>50</v>
      </c>
      <c r="AC98" s="191" t="s">
        <v>43</v>
      </c>
      <c r="AD98" s="191" t="s">
        <v>72</v>
      </c>
      <c r="AE98" s="191" t="s">
        <v>44</v>
      </c>
      <c r="AF98" s="191" t="s">
        <v>95</v>
      </c>
      <c r="AG98" s="191" t="s">
        <v>47</v>
      </c>
      <c r="AH98" s="191" t="s">
        <v>44</v>
      </c>
      <c r="AI98" s="191" t="s">
        <v>39</v>
      </c>
      <c r="AJ98" s="191" t="s">
        <v>36</v>
      </c>
      <c r="AK98" s="191" t="s">
        <v>71</v>
      </c>
      <c r="AL98" s="191" t="s">
        <v>44</v>
      </c>
      <c r="AM98" s="191" t="s">
        <v>1242</v>
      </c>
      <c r="AN98" s="191" t="s">
        <v>44</v>
      </c>
      <c r="AO98" s="191" t="s">
        <v>44</v>
      </c>
      <c r="AP98" s="191" t="s">
        <v>44</v>
      </c>
    </row>
    <row r="99" spans="1:42" ht="43.5">
      <c r="A99" s="191" t="s">
        <v>1338</v>
      </c>
      <c r="B99" s="190">
        <v>3</v>
      </c>
      <c r="C99" s="190">
        <v>7</v>
      </c>
      <c r="D99" s="190">
        <v>9</v>
      </c>
      <c r="E99" s="191" t="s">
        <v>318</v>
      </c>
      <c r="F99" s="190">
        <v>1</v>
      </c>
      <c r="G99" s="191" t="s">
        <v>36</v>
      </c>
      <c r="H99" s="190">
        <v>1</v>
      </c>
      <c r="I99" s="190">
        <v>130</v>
      </c>
      <c r="J99" s="191" t="s">
        <v>54</v>
      </c>
      <c r="K99" s="191" t="s">
        <v>81</v>
      </c>
      <c r="L99" s="191" t="s">
        <v>36</v>
      </c>
      <c r="M99" s="191" t="s">
        <v>37</v>
      </c>
      <c r="N99" s="191" t="s">
        <v>38</v>
      </c>
      <c r="O99" s="191" t="s">
        <v>288</v>
      </c>
      <c r="P99" s="191" t="s">
        <v>56</v>
      </c>
      <c r="Q99" s="191" t="s">
        <v>46</v>
      </c>
      <c r="R99" s="191" t="s">
        <v>42</v>
      </c>
      <c r="S99" s="191" t="s">
        <v>48</v>
      </c>
      <c r="T99" s="191" t="s">
        <v>44</v>
      </c>
      <c r="U99" s="191" t="s">
        <v>46</v>
      </c>
      <c r="V99" s="191" t="s">
        <v>1106</v>
      </c>
      <c r="W99" s="191" t="s">
        <v>78</v>
      </c>
      <c r="X99" s="191" t="s">
        <v>44</v>
      </c>
      <c r="Y99" s="191" t="s">
        <v>45</v>
      </c>
      <c r="Z99" s="191" t="s">
        <v>43</v>
      </c>
      <c r="AA99" s="191" t="s">
        <v>62</v>
      </c>
      <c r="AB99" s="191" t="s">
        <v>50</v>
      </c>
      <c r="AC99" s="191" t="s">
        <v>43</v>
      </c>
      <c r="AD99" s="191" t="s">
        <v>72</v>
      </c>
      <c r="AE99" s="191" t="s">
        <v>44</v>
      </c>
      <c r="AF99" s="191" t="s">
        <v>52</v>
      </c>
      <c r="AG99" s="191" t="s">
        <v>47</v>
      </c>
      <c r="AH99" s="191" t="s">
        <v>44</v>
      </c>
      <c r="AI99" s="191" t="s">
        <v>134</v>
      </c>
      <c r="AJ99" s="191" t="s">
        <v>36</v>
      </c>
      <c r="AK99" s="191" t="s">
        <v>109</v>
      </c>
      <c r="AL99" s="191" t="s">
        <v>44</v>
      </c>
      <c r="AM99" s="191" t="s">
        <v>89</v>
      </c>
      <c r="AN99" s="191" t="s">
        <v>44</v>
      </c>
      <c r="AO99" s="191" t="s">
        <v>44</v>
      </c>
      <c r="AP99" s="191" t="s">
        <v>44</v>
      </c>
    </row>
    <row r="100" spans="1:42" ht="29">
      <c r="A100" s="191" t="s">
        <v>1339</v>
      </c>
      <c r="B100" s="190">
        <v>3</v>
      </c>
      <c r="C100" s="190">
        <v>5</v>
      </c>
      <c r="D100" s="190">
        <v>5</v>
      </c>
      <c r="E100" s="191" t="s">
        <v>311</v>
      </c>
      <c r="F100" s="190">
        <v>4</v>
      </c>
      <c r="G100" s="191" t="s">
        <v>36</v>
      </c>
      <c r="H100" s="190">
        <v>1</v>
      </c>
      <c r="I100" s="190">
        <v>250</v>
      </c>
      <c r="J100" s="191" t="s">
        <v>34</v>
      </c>
      <c r="K100" s="191" t="s">
        <v>47</v>
      </c>
      <c r="L100" s="191" t="s">
        <v>36</v>
      </c>
      <c r="M100" s="191" t="s">
        <v>37</v>
      </c>
      <c r="N100" s="191" t="s">
        <v>38</v>
      </c>
      <c r="O100" s="191" t="s">
        <v>288</v>
      </c>
      <c r="P100" s="191" t="s">
        <v>41</v>
      </c>
      <c r="Q100" s="191" t="s">
        <v>43</v>
      </c>
      <c r="R100" s="191" t="s">
        <v>42</v>
      </c>
      <c r="S100" s="191" t="s">
        <v>48</v>
      </c>
      <c r="T100" s="191" t="s">
        <v>44</v>
      </c>
      <c r="U100" s="191" t="s">
        <v>61</v>
      </c>
      <c r="V100" s="191" t="s">
        <v>1106</v>
      </c>
      <c r="W100" s="191" t="s">
        <v>43</v>
      </c>
      <c r="X100" s="191" t="s">
        <v>44</v>
      </c>
      <c r="Y100" s="191" t="s">
        <v>43</v>
      </c>
      <c r="Z100" s="191" t="s">
        <v>43</v>
      </c>
      <c r="AA100" s="191" t="s">
        <v>62</v>
      </c>
      <c r="AB100" s="191" t="s">
        <v>50</v>
      </c>
      <c r="AC100" s="191" t="s">
        <v>78</v>
      </c>
      <c r="AD100" s="191" t="s">
        <v>91</v>
      </c>
      <c r="AE100" s="191" t="s">
        <v>44</v>
      </c>
      <c r="AF100" s="191" t="s">
        <v>95</v>
      </c>
      <c r="AG100" s="191" t="s">
        <v>47</v>
      </c>
      <c r="AH100" s="191" t="s">
        <v>44</v>
      </c>
      <c r="AI100" s="191" t="s">
        <v>39</v>
      </c>
      <c r="AJ100" s="191" t="s">
        <v>36</v>
      </c>
      <c r="AK100" s="191" t="s">
        <v>59</v>
      </c>
      <c r="AL100" s="191" t="s">
        <v>44</v>
      </c>
      <c r="AM100" s="191" t="s">
        <v>1242</v>
      </c>
      <c r="AN100" s="191" t="s">
        <v>44</v>
      </c>
      <c r="AO100" s="191" t="s">
        <v>44</v>
      </c>
      <c r="AP100" s="191" t="s">
        <v>44</v>
      </c>
    </row>
    <row r="101" spans="1:42" ht="43.5">
      <c r="A101" s="191" t="s">
        <v>1340</v>
      </c>
      <c r="B101" s="190">
        <v>3</v>
      </c>
      <c r="C101" s="190">
        <v>5</v>
      </c>
      <c r="D101" s="190">
        <v>3</v>
      </c>
      <c r="E101" s="191" t="s">
        <v>315</v>
      </c>
      <c r="F101" s="190">
        <v>4</v>
      </c>
      <c r="G101" s="191" t="s">
        <v>36</v>
      </c>
      <c r="H101" s="190">
        <v>1</v>
      </c>
      <c r="I101" s="190">
        <v>150</v>
      </c>
      <c r="J101" s="191" t="s">
        <v>54</v>
      </c>
      <c r="K101" s="191" t="s">
        <v>40</v>
      </c>
      <c r="L101" s="191" t="s">
        <v>67</v>
      </c>
      <c r="M101" s="191" t="s">
        <v>37</v>
      </c>
      <c r="N101" s="191" t="s">
        <v>38</v>
      </c>
      <c r="O101" s="191" t="s">
        <v>288</v>
      </c>
      <c r="P101" s="191" t="s">
        <v>56</v>
      </c>
      <c r="Q101" s="191" t="s">
        <v>106</v>
      </c>
      <c r="R101" s="191" t="s">
        <v>60</v>
      </c>
      <c r="S101" s="191" t="s">
        <v>48</v>
      </c>
      <c r="T101" s="191" t="s">
        <v>44</v>
      </c>
      <c r="U101" s="191" t="s">
        <v>45</v>
      </c>
      <c r="V101" s="191" t="s">
        <v>1106</v>
      </c>
      <c r="W101" s="191" t="s">
        <v>43</v>
      </c>
      <c r="X101" s="191" t="s">
        <v>44</v>
      </c>
      <c r="Y101" s="191" t="s">
        <v>43</v>
      </c>
      <c r="Z101" s="191" t="s">
        <v>43</v>
      </c>
      <c r="AA101" s="191" t="s">
        <v>49</v>
      </c>
      <c r="AB101" s="191" t="s">
        <v>84</v>
      </c>
      <c r="AC101" s="191" t="s">
        <v>43</v>
      </c>
      <c r="AD101" s="191" t="s">
        <v>72</v>
      </c>
      <c r="AE101" s="191" t="s">
        <v>44</v>
      </c>
      <c r="AF101" s="191" t="s">
        <v>95</v>
      </c>
      <c r="AG101" s="191" t="s">
        <v>43</v>
      </c>
      <c r="AH101" s="191" t="s">
        <v>44</v>
      </c>
      <c r="AI101" s="191" t="s">
        <v>39</v>
      </c>
      <c r="AJ101" s="191" t="s">
        <v>36</v>
      </c>
      <c r="AK101" s="191" t="s">
        <v>85</v>
      </c>
      <c r="AL101" s="191" t="s">
        <v>44</v>
      </c>
      <c r="AM101" s="191" t="s">
        <v>89</v>
      </c>
      <c r="AN101" s="191" t="s">
        <v>44</v>
      </c>
      <c r="AO101" s="191" t="s">
        <v>44</v>
      </c>
      <c r="AP101" s="191" t="s">
        <v>44</v>
      </c>
    </row>
    <row r="102" spans="1:42" ht="43.5">
      <c r="A102" s="191" t="s">
        <v>1341</v>
      </c>
      <c r="B102" s="190">
        <v>3</v>
      </c>
      <c r="C102" s="190">
        <v>3</v>
      </c>
      <c r="D102" s="190">
        <v>3</v>
      </c>
      <c r="E102" s="191" t="s">
        <v>315</v>
      </c>
      <c r="F102" s="190">
        <v>2</v>
      </c>
      <c r="G102" s="191" t="s">
        <v>36</v>
      </c>
      <c r="H102" s="190">
        <v>1</v>
      </c>
      <c r="I102" s="190">
        <v>130</v>
      </c>
      <c r="J102" s="191" t="s">
        <v>80</v>
      </c>
      <c r="K102" s="191" t="s">
        <v>45</v>
      </c>
      <c r="L102" s="191" t="s">
        <v>67</v>
      </c>
      <c r="M102" s="191" t="s">
        <v>37</v>
      </c>
      <c r="N102" s="191" t="s">
        <v>38</v>
      </c>
      <c r="O102" s="191" t="s">
        <v>288</v>
      </c>
      <c r="P102" s="191" t="s">
        <v>66</v>
      </c>
      <c r="Q102" s="191" t="s">
        <v>43</v>
      </c>
      <c r="R102" s="191" t="s">
        <v>87</v>
      </c>
      <c r="S102" s="191" t="s">
        <v>48</v>
      </c>
      <c r="T102" s="191" t="s">
        <v>44</v>
      </c>
      <c r="U102" s="191" t="s">
        <v>46</v>
      </c>
      <c r="V102" s="191" t="s">
        <v>1106</v>
      </c>
      <c r="W102" s="191" t="s">
        <v>43</v>
      </c>
      <c r="X102" s="191" t="s">
        <v>44</v>
      </c>
      <c r="Y102" s="191" t="s">
        <v>45</v>
      </c>
      <c r="Z102" s="191" t="s">
        <v>43</v>
      </c>
      <c r="AA102" s="191" t="s">
        <v>49</v>
      </c>
      <c r="AB102" s="191" t="s">
        <v>50</v>
      </c>
      <c r="AC102" s="191" t="s">
        <v>43</v>
      </c>
      <c r="AD102" s="191" t="s">
        <v>51</v>
      </c>
      <c r="AE102" s="191" t="s">
        <v>44</v>
      </c>
      <c r="AF102" s="191" t="s">
        <v>95</v>
      </c>
      <c r="AG102" s="191" t="s">
        <v>43</v>
      </c>
      <c r="AH102" s="191" t="s">
        <v>44</v>
      </c>
      <c r="AI102" s="191" t="s">
        <v>134</v>
      </c>
      <c r="AJ102" s="191" t="s">
        <v>36</v>
      </c>
      <c r="AK102" s="191" t="s">
        <v>63</v>
      </c>
      <c r="AL102" s="191" t="s">
        <v>44</v>
      </c>
      <c r="AM102" s="191" t="s">
        <v>45</v>
      </c>
      <c r="AN102" s="191" t="s">
        <v>44</v>
      </c>
      <c r="AO102" s="191" t="s">
        <v>44</v>
      </c>
      <c r="AP102" s="191" t="s">
        <v>44</v>
      </c>
    </row>
    <row r="103" spans="1:42" ht="43.5">
      <c r="A103" s="191" t="s">
        <v>1342</v>
      </c>
      <c r="B103" s="190">
        <v>3</v>
      </c>
      <c r="C103" s="190">
        <v>5</v>
      </c>
      <c r="D103" s="190">
        <v>3</v>
      </c>
      <c r="E103" s="191" t="s">
        <v>307</v>
      </c>
      <c r="F103" s="190">
        <v>51</v>
      </c>
      <c r="G103" s="191" t="s">
        <v>36</v>
      </c>
      <c r="H103" s="190">
        <v>1</v>
      </c>
      <c r="I103" s="190">
        <v>130</v>
      </c>
      <c r="J103" s="191" t="s">
        <v>54</v>
      </c>
      <c r="K103" s="191" t="s">
        <v>61</v>
      </c>
      <c r="L103" s="191" t="s">
        <v>103</v>
      </c>
      <c r="M103" s="191" t="s">
        <v>37</v>
      </c>
      <c r="N103" s="191" t="s">
        <v>58</v>
      </c>
      <c r="O103" s="191" t="s">
        <v>39</v>
      </c>
      <c r="P103" s="191" t="s">
        <v>56</v>
      </c>
      <c r="Q103" s="191" t="s">
        <v>35</v>
      </c>
      <c r="R103" s="191" t="s">
        <v>87</v>
      </c>
      <c r="S103" s="191" t="s">
        <v>48</v>
      </c>
      <c r="T103" s="191" t="s">
        <v>44</v>
      </c>
      <c r="U103" s="191" t="s">
        <v>44</v>
      </c>
      <c r="V103" s="191" t="s">
        <v>44</v>
      </c>
      <c r="W103" s="191" t="s">
        <v>45</v>
      </c>
      <c r="X103" s="191" t="s">
        <v>44</v>
      </c>
      <c r="Y103" s="191" t="s">
        <v>45</v>
      </c>
      <c r="Z103" s="191" t="s">
        <v>43</v>
      </c>
      <c r="AA103" s="191" t="s">
        <v>67</v>
      </c>
      <c r="AB103" s="191" t="s">
        <v>67</v>
      </c>
      <c r="AC103" s="191" t="s">
        <v>43</v>
      </c>
      <c r="AD103" s="191" t="s">
        <v>72</v>
      </c>
      <c r="AE103" s="191" t="s">
        <v>44</v>
      </c>
      <c r="AF103" s="191" t="s">
        <v>95</v>
      </c>
      <c r="AG103" s="191" t="s">
        <v>47</v>
      </c>
      <c r="AH103" s="191" t="s">
        <v>44</v>
      </c>
      <c r="AI103" s="191" t="s">
        <v>39</v>
      </c>
      <c r="AJ103" s="191" t="s">
        <v>36</v>
      </c>
      <c r="AK103" s="191" t="s">
        <v>63</v>
      </c>
      <c r="AL103" s="191" t="s">
        <v>44</v>
      </c>
      <c r="AM103" s="191" t="s">
        <v>45</v>
      </c>
      <c r="AN103" s="191" t="s">
        <v>44</v>
      </c>
      <c r="AO103" s="191" t="s">
        <v>44</v>
      </c>
      <c r="AP103" s="191" t="s">
        <v>44</v>
      </c>
    </row>
    <row r="104" spans="1:42" ht="43.5">
      <c r="A104" s="191" t="s">
        <v>1343</v>
      </c>
      <c r="B104" s="190">
        <v>3</v>
      </c>
      <c r="C104" s="190">
        <v>5</v>
      </c>
      <c r="D104" s="190">
        <v>9</v>
      </c>
      <c r="E104" s="191" t="s">
        <v>311</v>
      </c>
      <c r="F104" s="190">
        <v>1</v>
      </c>
      <c r="G104" s="191" t="s">
        <v>36</v>
      </c>
      <c r="H104" s="190">
        <v>1</v>
      </c>
      <c r="I104" s="190">
        <v>110</v>
      </c>
      <c r="J104" s="191" t="s">
        <v>54</v>
      </c>
      <c r="K104" s="191" t="s">
        <v>89</v>
      </c>
      <c r="L104" s="191" t="s">
        <v>36</v>
      </c>
      <c r="M104" s="191" t="s">
        <v>37</v>
      </c>
      <c r="N104" s="191" t="s">
        <v>58</v>
      </c>
      <c r="O104" s="191" t="s">
        <v>288</v>
      </c>
      <c r="P104" s="191" t="s">
        <v>66</v>
      </c>
      <c r="Q104" s="191" t="s">
        <v>43</v>
      </c>
      <c r="R104" s="191" t="s">
        <v>42</v>
      </c>
      <c r="S104" s="191" t="s">
        <v>48</v>
      </c>
      <c r="T104" s="191" t="s">
        <v>44</v>
      </c>
      <c r="U104" s="191" t="s">
        <v>43</v>
      </c>
      <c r="V104" s="191" t="s">
        <v>1106</v>
      </c>
      <c r="W104" s="191" t="s">
        <v>43</v>
      </c>
      <c r="X104" s="191" t="s">
        <v>44</v>
      </c>
      <c r="Y104" s="191" t="s">
        <v>45</v>
      </c>
      <c r="Z104" s="191" t="s">
        <v>43</v>
      </c>
      <c r="AA104" s="191" t="s">
        <v>49</v>
      </c>
      <c r="AB104" s="191" t="s">
        <v>50</v>
      </c>
      <c r="AC104" s="191" t="s">
        <v>43</v>
      </c>
      <c r="AD104" s="191" t="s">
        <v>72</v>
      </c>
      <c r="AE104" s="191" t="s">
        <v>44</v>
      </c>
      <c r="AF104" s="191" t="s">
        <v>95</v>
      </c>
      <c r="AG104" s="191" t="s">
        <v>47</v>
      </c>
      <c r="AH104" s="191" t="s">
        <v>44</v>
      </c>
      <c r="AI104" s="191" t="s">
        <v>134</v>
      </c>
      <c r="AJ104" s="191" t="s">
        <v>36</v>
      </c>
      <c r="AK104" s="191" t="s">
        <v>43</v>
      </c>
      <c r="AL104" s="191" t="s">
        <v>44</v>
      </c>
      <c r="AM104" s="191" t="s">
        <v>89</v>
      </c>
      <c r="AN104" s="191" t="s">
        <v>44</v>
      </c>
      <c r="AO104" s="191" t="s">
        <v>44</v>
      </c>
      <c r="AP104" s="191" t="s">
        <v>44</v>
      </c>
    </row>
    <row r="105" spans="1:42" ht="43.5">
      <c r="A105" s="191" t="s">
        <v>1344</v>
      </c>
      <c r="B105" s="190">
        <v>3</v>
      </c>
      <c r="C105" s="190">
        <v>5</v>
      </c>
      <c r="D105" s="190">
        <v>5</v>
      </c>
      <c r="E105" s="191" t="s">
        <v>315</v>
      </c>
      <c r="F105" s="190">
        <v>5</v>
      </c>
      <c r="G105" s="191" t="s">
        <v>36</v>
      </c>
      <c r="H105" s="190">
        <v>1</v>
      </c>
      <c r="I105" s="190">
        <v>150</v>
      </c>
      <c r="J105" s="191" t="s">
        <v>54</v>
      </c>
      <c r="K105" s="191" t="s">
        <v>61</v>
      </c>
      <c r="L105" s="191" t="s">
        <v>67</v>
      </c>
      <c r="M105" s="191" t="s">
        <v>37</v>
      </c>
      <c r="N105" s="191" t="s">
        <v>95</v>
      </c>
      <c r="O105" s="191" t="s">
        <v>288</v>
      </c>
      <c r="P105" s="191" t="s">
        <v>56</v>
      </c>
      <c r="Q105" s="191" t="s">
        <v>90</v>
      </c>
      <c r="R105" s="191" t="s">
        <v>42</v>
      </c>
      <c r="S105" s="191" t="s">
        <v>48</v>
      </c>
      <c r="T105" s="191" t="s">
        <v>44</v>
      </c>
      <c r="U105" s="191" t="s">
        <v>46</v>
      </c>
      <c r="V105" s="191" t="s">
        <v>1106</v>
      </c>
      <c r="W105" s="191" t="s">
        <v>43</v>
      </c>
      <c r="X105" s="191" t="s">
        <v>44</v>
      </c>
      <c r="Y105" s="191" t="s">
        <v>47</v>
      </c>
      <c r="Z105" s="191" t="s">
        <v>43</v>
      </c>
      <c r="AA105" s="191" t="s">
        <v>62</v>
      </c>
      <c r="AB105" s="191" t="s">
        <v>84</v>
      </c>
      <c r="AC105" s="191" t="s">
        <v>47</v>
      </c>
      <c r="AD105" s="191" t="s">
        <v>91</v>
      </c>
      <c r="AE105" s="191" t="s">
        <v>44</v>
      </c>
      <c r="AF105" s="191" t="s">
        <v>95</v>
      </c>
      <c r="AG105" s="191" t="s">
        <v>47</v>
      </c>
      <c r="AH105" s="191" t="s">
        <v>44</v>
      </c>
      <c r="AI105" s="191" t="s">
        <v>134</v>
      </c>
      <c r="AJ105" s="191" t="s">
        <v>36</v>
      </c>
      <c r="AK105" s="191" t="s">
        <v>146</v>
      </c>
      <c r="AL105" s="191" t="s">
        <v>1142</v>
      </c>
      <c r="AM105" s="191" t="s">
        <v>109</v>
      </c>
      <c r="AN105" s="191" t="s">
        <v>44</v>
      </c>
      <c r="AO105" s="191" t="s">
        <v>44</v>
      </c>
      <c r="AP105" s="191" t="s">
        <v>44</v>
      </c>
    </row>
    <row r="106" spans="1:42" ht="43.5">
      <c r="A106" s="191" t="s">
        <v>1345</v>
      </c>
      <c r="B106" s="190">
        <v>3</v>
      </c>
      <c r="C106" s="190">
        <v>4</v>
      </c>
      <c r="D106" s="190">
        <v>3</v>
      </c>
      <c r="E106" s="191" t="s">
        <v>311</v>
      </c>
      <c r="F106" s="190">
        <v>4</v>
      </c>
      <c r="G106" s="191" t="s">
        <v>36</v>
      </c>
      <c r="H106" s="190">
        <v>2</v>
      </c>
      <c r="I106" s="190">
        <v>72</v>
      </c>
      <c r="J106" s="191" t="s">
        <v>65</v>
      </c>
      <c r="K106" s="191" t="s">
        <v>40</v>
      </c>
      <c r="L106" s="191" t="s">
        <v>36</v>
      </c>
      <c r="M106" s="191" t="s">
        <v>37</v>
      </c>
      <c r="N106" s="191" t="s">
        <v>58</v>
      </c>
      <c r="O106" s="191" t="s">
        <v>288</v>
      </c>
      <c r="P106" s="191" t="s">
        <v>56</v>
      </c>
      <c r="Q106" s="191" t="s">
        <v>43</v>
      </c>
      <c r="R106" s="191" t="s">
        <v>42</v>
      </c>
      <c r="S106" s="191" t="s">
        <v>48</v>
      </c>
      <c r="T106" s="191" t="s">
        <v>44</v>
      </c>
      <c r="U106" s="191" t="s">
        <v>126</v>
      </c>
      <c r="V106" s="191" t="s">
        <v>1106</v>
      </c>
      <c r="W106" s="191" t="s">
        <v>43</v>
      </c>
      <c r="X106" s="191" t="s">
        <v>44</v>
      </c>
      <c r="Y106" s="191" t="s">
        <v>46</v>
      </c>
      <c r="Z106" s="191" t="s">
        <v>47</v>
      </c>
      <c r="AA106" s="191" t="s">
        <v>49</v>
      </c>
      <c r="AB106" s="191" t="s">
        <v>84</v>
      </c>
      <c r="AC106" s="191" t="s">
        <v>43</v>
      </c>
      <c r="AD106" s="191" t="s">
        <v>72</v>
      </c>
      <c r="AE106" s="191" t="s">
        <v>44</v>
      </c>
      <c r="AF106" s="191" t="s">
        <v>95</v>
      </c>
      <c r="AG106" s="191" t="s">
        <v>43</v>
      </c>
      <c r="AH106" s="191" t="s">
        <v>44</v>
      </c>
      <c r="AI106" s="191" t="s">
        <v>39</v>
      </c>
      <c r="AJ106" s="191" t="s">
        <v>36</v>
      </c>
      <c r="AK106" s="191" t="s">
        <v>150</v>
      </c>
      <c r="AL106" s="191" t="s">
        <v>44</v>
      </c>
      <c r="AM106" s="191" t="s">
        <v>119</v>
      </c>
      <c r="AN106" s="191" t="s">
        <v>667</v>
      </c>
      <c r="AO106" s="191" t="s">
        <v>44</v>
      </c>
      <c r="AP106" s="191" t="s">
        <v>44</v>
      </c>
    </row>
    <row r="107" spans="1:42" ht="29">
      <c r="A107" s="191" t="s">
        <v>1346</v>
      </c>
      <c r="B107" s="190">
        <v>3</v>
      </c>
      <c r="C107" s="190">
        <v>6</v>
      </c>
      <c r="D107" s="190">
        <v>7</v>
      </c>
      <c r="E107" s="191" t="s">
        <v>315</v>
      </c>
      <c r="F107" s="190">
        <v>3</v>
      </c>
      <c r="G107" s="191" t="s">
        <v>36</v>
      </c>
      <c r="H107" s="190">
        <v>1</v>
      </c>
      <c r="I107" s="190">
        <v>140</v>
      </c>
      <c r="J107" s="191" t="s">
        <v>54</v>
      </c>
      <c r="K107" s="191" t="s">
        <v>40</v>
      </c>
      <c r="L107" s="191" t="s">
        <v>36</v>
      </c>
      <c r="M107" s="191" t="s">
        <v>37</v>
      </c>
      <c r="N107" s="191" t="s">
        <v>95</v>
      </c>
      <c r="O107" s="191" t="s">
        <v>39</v>
      </c>
      <c r="P107" s="191" t="s">
        <v>41</v>
      </c>
      <c r="Q107" s="191" t="s">
        <v>77</v>
      </c>
      <c r="R107" s="191" t="s">
        <v>60</v>
      </c>
      <c r="S107" s="191" t="s">
        <v>48</v>
      </c>
      <c r="T107" s="191" t="s">
        <v>44</v>
      </c>
      <c r="U107" s="191" t="s">
        <v>666</v>
      </c>
      <c r="V107" s="191" t="s">
        <v>1106</v>
      </c>
      <c r="W107" s="191" t="s">
        <v>43</v>
      </c>
      <c r="X107" s="191" t="s">
        <v>44</v>
      </c>
      <c r="Y107" s="191" t="s">
        <v>43</v>
      </c>
      <c r="Z107" s="191" t="s">
        <v>43</v>
      </c>
      <c r="AA107" s="191" t="s">
        <v>49</v>
      </c>
      <c r="AB107" s="191" t="s">
        <v>50</v>
      </c>
      <c r="AC107" s="191" t="s">
        <v>47</v>
      </c>
      <c r="AD107" s="191" t="s">
        <v>91</v>
      </c>
      <c r="AE107" s="191" t="s">
        <v>44</v>
      </c>
      <c r="AF107" s="191" t="s">
        <v>95</v>
      </c>
      <c r="AG107" s="191" t="s">
        <v>43</v>
      </c>
      <c r="AH107" s="191" t="s">
        <v>44</v>
      </c>
      <c r="AI107" s="191" t="s">
        <v>39</v>
      </c>
      <c r="AJ107" s="191" t="s">
        <v>36</v>
      </c>
      <c r="AK107" s="191" t="s">
        <v>77</v>
      </c>
      <c r="AL107" s="191" t="s">
        <v>44</v>
      </c>
      <c r="AM107" s="191" t="s">
        <v>89</v>
      </c>
      <c r="AN107" s="191" t="s">
        <v>44</v>
      </c>
      <c r="AO107" s="191" t="s">
        <v>44</v>
      </c>
      <c r="AP107" s="191" t="s">
        <v>44</v>
      </c>
    </row>
    <row r="108" spans="1:42" ht="29">
      <c r="A108" s="191" t="s">
        <v>1347</v>
      </c>
      <c r="B108" s="190">
        <v>3</v>
      </c>
      <c r="C108" s="190">
        <v>5</v>
      </c>
      <c r="D108" s="190">
        <v>9</v>
      </c>
      <c r="E108" s="191" t="s">
        <v>315</v>
      </c>
      <c r="F108" s="190">
        <v>1</v>
      </c>
      <c r="G108" s="191" t="s">
        <v>36</v>
      </c>
      <c r="H108" s="190">
        <v>1</v>
      </c>
      <c r="I108" s="190">
        <v>84</v>
      </c>
      <c r="J108" s="191" t="s">
        <v>54</v>
      </c>
      <c r="K108" s="191" t="s">
        <v>47</v>
      </c>
      <c r="L108" s="191" t="s">
        <v>67</v>
      </c>
      <c r="M108" s="191" t="s">
        <v>37</v>
      </c>
      <c r="N108" s="191" t="s">
        <v>58</v>
      </c>
      <c r="O108" s="191" t="s">
        <v>39</v>
      </c>
      <c r="P108" s="191" t="s">
        <v>41</v>
      </c>
      <c r="Q108" s="191" t="s">
        <v>71</v>
      </c>
      <c r="R108" s="191" t="s">
        <v>87</v>
      </c>
      <c r="S108" s="191" t="s">
        <v>48</v>
      </c>
      <c r="T108" s="191" t="s">
        <v>44</v>
      </c>
      <c r="U108" s="191" t="s">
        <v>117</v>
      </c>
      <c r="V108" s="191" t="s">
        <v>1106</v>
      </c>
      <c r="W108" s="191" t="s">
        <v>43</v>
      </c>
      <c r="X108" s="191" t="s">
        <v>44</v>
      </c>
      <c r="Y108" s="191" t="s">
        <v>45</v>
      </c>
      <c r="Z108" s="191" t="s">
        <v>43</v>
      </c>
      <c r="AA108" s="191" t="s">
        <v>62</v>
      </c>
      <c r="AB108" s="191" t="s">
        <v>84</v>
      </c>
      <c r="AC108" s="191" t="s">
        <v>43</v>
      </c>
      <c r="AD108" s="191" t="s">
        <v>72</v>
      </c>
      <c r="AE108" s="191" t="s">
        <v>44</v>
      </c>
      <c r="AF108" s="191" t="s">
        <v>95</v>
      </c>
      <c r="AG108" s="191" t="s">
        <v>47</v>
      </c>
      <c r="AH108" s="191" t="s">
        <v>44</v>
      </c>
      <c r="AI108" s="191" t="s">
        <v>39</v>
      </c>
      <c r="AJ108" s="191" t="s">
        <v>36</v>
      </c>
      <c r="AK108" s="191" t="s">
        <v>73</v>
      </c>
      <c r="AL108" s="191" t="s">
        <v>44</v>
      </c>
      <c r="AM108" s="191" t="s">
        <v>45</v>
      </c>
      <c r="AN108" s="191" t="s">
        <v>44</v>
      </c>
      <c r="AO108" s="191" t="s">
        <v>44</v>
      </c>
      <c r="AP108" s="191" t="s">
        <v>44</v>
      </c>
    </row>
    <row r="109" spans="1:42" ht="43.5">
      <c r="A109" s="191" t="s">
        <v>1348</v>
      </c>
      <c r="B109" s="190">
        <v>3</v>
      </c>
      <c r="C109" s="190">
        <v>5</v>
      </c>
      <c r="D109" s="190">
        <v>3</v>
      </c>
      <c r="E109" s="191" t="s">
        <v>311</v>
      </c>
      <c r="F109" s="190">
        <v>4</v>
      </c>
      <c r="G109" s="191" t="s">
        <v>36</v>
      </c>
      <c r="H109" s="190">
        <v>1</v>
      </c>
      <c r="I109" s="190">
        <v>104</v>
      </c>
      <c r="J109" s="191" t="s">
        <v>54</v>
      </c>
      <c r="K109" s="191" t="s">
        <v>61</v>
      </c>
      <c r="L109" s="191" t="s">
        <v>70</v>
      </c>
      <c r="M109" s="191" t="s">
        <v>37</v>
      </c>
      <c r="N109" s="191" t="s">
        <v>38</v>
      </c>
      <c r="O109" s="191" t="s">
        <v>288</v>
      </c>
      <c r="P109" s="191" t="s">
        <v>66</v>
      </c>
      <c r="Q109" s="191" t="s">
        <v>61</v>
      </c>
      <c r="R109" s="191" t="s">
        <v>42</v>
      </c>
      <c r="S109" s="191" t="s">
        <v>48</v>
      </c>
      <c r="T109" s="191" t="s">
        <v>44</v>
      </c>
      <c r="U109" s="191" t="s">
        <v>126</v>
      </c>
      <c r="V109" s="191" t="s">
        <v>1106</v>
      </c>
      <c r="W109" s="191" t="s">
        <v>43</v>
      </c>
      <c r="X109" s="191" t="s">
        <v>44</v>
      </c>
      <c r="Y109" s="191" t="s">
        <v>45</v>
      </c>
      <c r="Z109" s="191" t="s">
        <v>43</v>
      </c>
      <c r="AA109" s="191" t="s">
        <v>62</v>
      </c>
      <c r="AB109" s="191" t="s">
        <v>84</v>
      </c>
      <c r="AC109" s="191" t="s">
        <v>43</v>
      </c>
      <c r="AD109" s="191" t="s">
        <v>72</v>
      </c>
      <c r="AE109" s="191" t="s">
        <v>44</v>
      </c>
      <c r="AF109" s="191" t="s">
        <v>95</v>
      </c>
      <c r="AG109" s="191" t="s">
        <v>78</v>
      </c>
      <c r="AH109" s="191" t="s">
        <v>44</v>
      </c>
      <c r="AI109" s="191" t="s">
        <v>39</v>
      </c>
      <c r="AJ109" s="191" t="s">
        <v>36</v>
      </c>
      <c r="AK109" s="191" t="s">
        <v>148</v>
      </c>
      <c r="AL109" s="191" t="s">
        <v>44</v>
      </c>
      <c r="AM109" s="191" t="s">
        <v>119</v>
      </c>
      <c r="AN109" s="191" t="s">
        <v>44</v>
      </c>
      <c r="AO109" s="191" t="s">
        <v>44</v>
      </c>
      <c r="AP109" s="191" t="s">
        <v>44</v>
      </c>
    </row>
    <row r="110" spans="1:42" ht="29">
      <c r="A110" s="191" t="s">
        <v>1349</v>
      </c>
      <c r="B110" s="190">
        <v>3</v>
      </c>
      <c r="C110" s="190">
        <v>3</v>
      </c>
      <c r="D110" s="190">
        <v>4</v>
      </c>
      <c r="E110" s="191" t="s">
        <v>315</v>
      </c>
      <c r="F110" s="190">
        <v>3</v>
      </c>
      <c r="G110" s="191" t="s">
        <v>36</v>
      </c>
      <c r="H110" s="190">
        <v>1</v>
      </c>
      <c r="I110" s="190">
        <v>0</v>
      </c>
      <c r="J110" s="191" t="s">
        <v>34</v>
      </c>
      <c r="K110" s="191" t="s">
        <v>47</v>
      </c>
      <c r="L110" s="191" t="s">
        <v>67</v>
      </c>
      <c r="M110" s="191" t="s">
        <v>37</v>
      </c>
      <c r="N110" s="191" t="s">
        <v>58</v>
      </c>
      <c r="O110" s="191" t="s">
        <v>39</v>
      </c>
      <c r="P110" s="191" t="s">
        <v>41</v>
      </c>
      <c r="Q110" s="191" t="s">
        <v>78</v>
      </c>
      <c r="R110" s="191" t="s">
        <v>60</v>
      </c>
      <c r="S110" s="191" t="s">
        <v>48</v>
      </c>
      <c r="T110" s="191" t="s">
        <v>44</v>
      </c>
      <c r="U110" s="191" t="s">
        <v>117</v>
      </c>
      <c r="V110" s="191" t="s">
        <v>1106</v>
      </c>
      <c r="W110" s="191" t="s">
        <v>43</v>
      </c>
      <c r="X110" s="191" t="s">
        <v>44</v>
      </c>
      <c r="Y110" s="191" t="s">
        <v>45</v>
      </c>
      <c r="Z110" s="191" t="s">
        <v>43</v>
      </c>
      <c r="AA110" s="191" t="s">
        <v>49</v>
      </c>
      <c r="AB110" s="191" t="s">
        <v>84</v>
      </c>
      <c r="AC110" s="191" t="s">
        <v>47</v>
      </c>
      <c r="AD110" s="191" t="s">
        <v>72</v>
      </c>
      <c r="AE110" s="191" t="s">
        <v>44</v>
      </c>
      <c r="AF110" s="191" t="s">
        <v>95</v>
      </c>
      <c r="AG110" s="191" t="s">
        <v>43</v>
      </c>
      <c r="AH110" s="191" t="s">
        <v>44</v>
      </c>
      <c r="AI110" s="191" t="s">
        <v>39</v>
      </c>
      <c r="AJ110" s="191" t="s">
        <v>36</v>
      </c>
      <c r="AK110" s="191" t="s">
        <v>78</v>
      </c>
      <c r="AL110" s="191" t="s">
        <v>44</v>
      </c>
      <c r="AM110" s="191" t="s">
        <v>45</v>
      </c>
      <c r="AN110" s="191" t="s">
        <v>44</v>
      </c>
      <c r="AO110" s="191" t="s">
        <v>44</v>
      </c>
      <c r="AP110" s="191" t="s">
        <v>44</v>
      </c>
    </row>
    <row r="111" spans="1:42" ht="29">
      <c r="A111" s="191" t="s">
        <v>1350</v>
      </c>
      <c r="B111" s="190">
        <v>3</v>
      </c>
      <c r="C111" s="190">
        <v>7</v>
      </c>
      <c r="D111" s="190">
        <v>8</v>
      </c>
      <c r="E111" s="191" t="s">
        <v>318</v>
      </c>
      <c r="F111" s="190">
        <v>2</v>
      </c>
      <c r="G111" s="191" t="s">
        <v>36</v>
      </c>
      <c r="H111" s="190">
        <v>1</v>
      </c>
      <c r="I111" s="190">
        <v>155</v>
      </c>
      <c r="J111" s="191" t="s">
        <v>54</v>
      </c>
      <c r="K111" s="191" t="s">
        <v>40</v>
      </c>
      <c r="L111" s="191" t="s">
        <v>36</v>
      </c>
      <c r="M111" s="191" t="s">
        <v>37</v>
      </c>
      <c r="N111" s="191" t="s">
        <v>58</v>
      </c>
      <c r="O111" s="191" t="s">
        <v>39</v>
      </c>
      <c r="P111" s="191" t="s">
        <v>41</v>
      </c>
      <c r="Q111" s="191" t="s">
        <v>77</v>
      </c>
      <c r="R111" s="191" t="s">
        <v>42</v>
      </c>
      <c r="S111" s="191" t="s">
        <v>48</v>
      </c>
      <c r="T111" s="191" t="s">
        <v>44</v>
      </c>
      <c r="U111" s="191" t="s">
        <v>89</v>
      </c>
      <c r="V111" s="191" t="s">
        <v>1106</v>
      </c>
      <c r="W111" s="191" t="s">
        <v>43</v>
      </c>
      <c r="X111" s="191" t="s">
        <v>44</v>
      </c>
      <c r="Y111" s="191" t="s">
        <v>43</v>
      </c>
      <c r="Z111" s="191" t="s">
        <v>43</v>
      </c>
      <c r="AA111" s="191" t="s">
        <v>49</v>
      </c>
      <c r="AB111" s="191" t="s">
        <v>50</v>
      </c>
      <c r="AC111" s="191" t="s">
        <v>47</v>
      </c>
      <c r="AD111" s="191" t="s">
        <v>72</v>
      </c>
      <c r="AE111" s="191" t="s">
        <v>44</v>
      </c>
      <c r="AF111" s="191" t="s">
        <v>95</v>
      </c>
      <c r="AG111" s="191" t="s">
        <v>43</v>
      </c>
      <c r="AH111" s="191" t="s">
        <v>44</v>
      </c>
      <c r="AI111" s="191" t="s">
        <v>39</v>
      </c>
      <c r="AJ111" s="191" t="s">
        <v>36</v>
      </c>
      <c r="AK111" s="191" t="s">
        <v>73</v>
      </c>
      <c r="AL111" s="191" t="s">
        <v>44</v>
      </c>
      <c r="AM111" s="191" t="s">
        <v>89</v>
      </c>
      <c r="AN111" s="191" t="s">
        <v>44</v>
      </c>
      <c r="AO111" s="191" t="s">
        <v>44</v>
      </c>
      <c r="AP111" s="191" t="s">
        <v>44</v>
      </c>
    </row>
    <row r="112" spans="1:42" ht="43.5">
      <c r="A112" s="191" t="s">
        <v>1351</v>
      </c>
      <c r="B112" s="190">
        <v>3</v>
      </c>
      <c r="C112" s="190">
        <v>5</v>
      </c>
      <c r="D112" s="190">
        <v>5</v>
      </c>
      <c r="E112" s="191" t="s">
        <v>311</v>
      </c>
      <c r="F112" s="190">
        <v>2</v>
      </c>
      <c r="G112" s="191" t="s">
        <v>36</v>
      </c>
      <c r="H112" s="190">
        <v>1</v>
      </c>
      <c r="I112" s="190">
        <v>100</v>
      </c>
      <c r="J112" s="191" t="s">
        <v>80</v>
      </c>
      <c r="K112" s="191" t="s">
        <v>47</v>
      </c>
      <c r="L112" s="191" t="s">
        <v>107</v>
      </c>
      <c r="M112" s="191" t="s">
        <v>37</v>
      </c>
      <c r="N112" s="191" t="s">
        <v>58</v>
      </c>
      <c r="O112" s="191" t="s">
        <v>288</v>
      </c>
      <c r="P112" s="191" t="s">
        <v>56</v>
      </c>
      <c r="Q112" s="191" t="s">
        <v>43</v>
      </c>
      <c r="R112" s="191" t="s">
        <v>60</v>
      </c>
      <c r="S112" s="191" t="s">
        <v>48</v>
      </c>
      <c r="T112" s="191" t="s">
        <v>44</v>
      </c>
      <c r="U112" s="191" t="s">
        <v>45</v>
      </c>
      <c r="V112" s="191" t="s">
        <v>1106</v>
      </c>
      <c r="W112" s="191" t="s">
        <v>43</v>
      </c>
      <c r="X112" s="191" t="s">
        <v>44</v>
      </c>
      <c r="Y112" s="191" t="s">
        <v>45</v>
      </c>
      <c r="Z112" s="191" t="s">
        <v>43</v>
      </c>
      <c r="AA112" s="191" t="s">
        <v>49</v>
      </c>
      <c r="AB112" s="191" t="s">
        <v>50</v>
      </c>
      <c r="AC112" s="191" t="s">
        <v>47</v>
      </c>
      <c r="AD112" s="191" t="s">
        <v>72</v>
      </c>
      <c r="AE112" s="191" t="s">
        <v>44</v>
      </c>
      <c r="AF112" s="191" t="s">
        <v>52</v>
      </c>
      <c r="AG112" s="191" t="s">
        <v>47</v>
      </c>
      <c r="AH112" s="191" t="s">
        <v>44</v>
      </c>
      <c r="AI112" s="191" t="s">
        <v>39</v>
      </c>
      <c r="AJ112" s="191" t="s">
        <v>36</v>
      </c>
      <c r="AK112" s="191" t="s">
        <v>104</v>
      </c>
      <c r="AL112" s="191" t="s">
        <v>1352</v>
      </c>
      <c r="AM112" s="191" t="s">
        <v>126</v>
      </c>
      <c r="AN112" s="191" t="s">
        <v>44</v>
      </c>
      <c r="AO112" s="191" t="s">
        <v>44</v>
      </c>
      <c r="AP112" s="191" t="s">
        <v>44</v>
      </c>
    </row>
    <row r="113" spans="1:42" ht="43.5">
      <c r="A113" s="191" t="s">
        <v>1353</v>
      </c>
      <c r="B113" s="190">
        <v>3</v>
      </c>
      <c r="C113" s="190">
        <v>6</v>
      </c>
      <c r="D113" s="190">
        <v>3</v>
      </c>
      <c r="E113" s="191" t="s">
        <v>315</v>
      </c>
      <c r="F113" s="190">
        <v>2</v>
      </c>
      <c r="G113" s="191" t="s">
        <v>36</v>
      </c>
      <c r="H113" s="190">
        <v>1</v>
      </c>
      <c r="I113" s="190">
        <v>160</v>
      </c>
      <c r="J113" s="191" t="s">
        <v>80</v>
      </c>
      <c r="K113" s="191" t="s">
        <v>61</v>
      </c>
      <c r="L113" s="191" t="s">
        <v>103</v>
      </c>
      <c r="M113" s="191" t="s">
        <v>37</v>
      </c>
      <c r="N113" s="191" t="s">
        <v>58</v>
      </c>
      <c r="O113" s="191" t="s">
        <v>288</v>
      </c>
      <c r="P113" s="191" t="s">
        <v>56</v>
      </c>
      <c r="Q113" s="191" t="s">
        <v>90</v>
      </c>
      <c r="R113" s="191" t="s">
        <v>60</v>
      </c>
      <c r="S113" s="191" t="s">
        <v>48</v>
      </c>
      <c r="T113" s="191" t="s">
        <v>44</v>
      </c>
      <c r="U113" s="191" t="s">
        <v>46</v>
      </c>
      <c r="V113" s="191" t="s">
        <v>1106</v>
      </c>
      <c r="W113" s="191" t="s">
        <v>43</v>
      </c>
      <c r="X113" s="191" t="s">
        <v>44</v>
      </c>
      <c r="Y113" s="191" t="s">
        <v>43</v>
      </c>
      <c r="Z113" s="191" t="s">
        <v>43</v>
      </c>
      <c r="AA113" s="191" t="s">
        <v>49</v>
      </c>
      <c r="AB113" s="191" t="s">
        <v>50</v>
      </c>
      <c r="AC113" s="191" t="s">
        <v>43</v>
      </c>
      <c r="AD113" s="191" t="s">
        <v>129</v>
      </c>
      <c r="AE113" s="191" t="s">
        <v>665</v>
      </c>
      <c r="AF113" s="191" t="s">
        <v>95</v>
      </c>
      <c r="AG113" s="191" t="s">
        <v>47</v>
      </c>
      <c r="AH113" s="191" t="s">
        <v>44</v>
      </c>
      <c r="AI113" s="191" t="s">
        <v>134</v>
      </c>
      <c r="AJ113" s="191" t="s">
        <v>36</v>
      </c>
      <c r="AK113" s="191" t="s">
        <v>43</v>
      </c>
      <c r="AL113" s="191" t="s">
        <v>44</v>
      </c>
      <c r="AM113" s="191" t="s">
        <v>63</v>
      </c>
      <c r="AN113" s="191" t="s">
        <v>44</v>
      </c>
      <c r="AO113" s="191" t="s">
        <v>44</v>
      </c>
      <c r="AP113" s="191" t="s">
        <v>44</v>
      </c>
    </row>
    <row r="114" spans="1:42" ht="43.5">
      <c r="A114" s="191" t="s">
        <v>1354</v>
      </c>
      <c r="B114" s="190">
        <v>3</v>
      </c>
      <c r="C114" s="190">
        <v>5</v>
      </c>
      <c r="D114" s="190">
        <v>2</v>
      </c>
      <c r="E114" s="191" t="s">
        <v>311</v>
      </c>
      <c r="F114" s="190">
        <v>6</v>
      </c>
      <c r="G114" s="191" t="s">
        <v>36</v>
      </c>
      <c r="H114" s="190">
        <v>1</v>
      </c>
      <c r="I114" s="190">
        <v>180</v>
      </c>
      <c r="J114" s="191" t="s">
        <v>54</v>
      </c>
      <c r="K114" s="191" t="s">
        <v>81</v>
      </c>
      <c r="L114" s="191" t="s">
        <v>36</v>
      </c>
      <c r="M114" s="191" t="s">
        <v>37</v>
      </c>
      <c r="N114" s="191" t="s">
        <v>38</v>
      </c>
      <c r="O114" s="191" t="s">
        <v>99</v>
      </c>
      <c r="P114" s="191" t="s">
        <v>66</v>
      </c>
      <c r="Q114" s="191" t="s">
        <v>43</v>
      </c>
      <c r="R114" s="191" t="s">
        <v>42</v>
      </c>
      <c r="S114" s="191" t="s">
        <v>48</v>
      </c>
      <c r="T114" s="191" t="s">
        <v>44</v>
      </c>
      <c r="U114" s="191" t="s">
        <v>1134</v>
      </c>
      <c r="V114" s="191" t="s">
        <v>1106</v>
      </c>
      <c r="W114" s="191" t="s">
        <v>47</v>
      </c>
      <c r="X114" s="191" t="s">
        <v>44</v>
      </c>
      <c r="Y114" s="191" t="s">
        <v>43</v>
      </c>
      <c r="Z114" s="191" t="s">
        <v>43</v>
      </c>
      <c r="AA114" s="191" t="s">
        <v>49</v>
      </c>
      <c r="AB114" s="191" t="s">
        <v>50</v>
      </c>
      <c r="AC114" s="191" t="s">
        <v>43</v>
      </c>
      <c r="AD114" s="191" t="s">
        <v>72</v>
      </c>
      <c r="AE114" s="191" t="s">
        <v>44</v>
      </c>
      <c r="AF114" s="191" t="s">
        <v>95</v>
      </c>
      <c r="AG114" s="191" t="s">
        <v>47</v>
      </c>
      <c r="AH114" s="191" t="s">
        <v>44</v>
      </c>
      <c r="AI114" s="191" t="s">
        <v>134</v>
      </c>
      <c r="AJ114" s="191" t="s">
        <v>36</v>
      </c>
      <c r="AK114" s="191" t="s">
        <v>71</v>
      </c>
      <c r="AL114" s="191" t="s">
        <v>44</v>
      </c>
      <c r="AM114" s="191" t="s">
        <v>89</v>
      </c>
      <c r="AN114" s="191" t="s">
        <v>44</v>
      </c>
      <c r="AO114" s="191" t="s">
        <v>44</v>
      </c>
      <c r="AP114" s="191" t="s">
        <v>44</v>
      </c>
    </row>
    <row r="115" spans="1:42" ht="29">
      <c r="A115" s="191" t="s">
        <v>1355</v>
      </c>
      <c r="B115" s="190">
        <v>3</v>
      </c>
      <c r="C115" s="190">
        <v>3</v>
      </c>
      <c r="D115" s="190">
        <v>4</v>
      </c>
      <c r="E115" s="191" t="s">
        <v>315</v>
      </c>
      <c r="F115" s="190">
        <v>4</v>
      </c>
      <c r="G115" s="191" t="s">
        <v>36</v>
      </c>
      <c r="H115" s="190">
        <v>1</v>
      </c>
      <c r="I115" s="190">
        <v>105</v>
      </c>
      <c r="J115" s="191" t="s">
        <v>116</v>
      </c>
      <c r="K115" s="191" t="s">
        <v>43</v>
      </c>
      <c r="L115" s="191" t="s">
        <v>67</v>
      </c>
      <c r="M115" s="191" t="s">
        <v>37</v>
      </c>
      <c r="N115" s="191" t="s">
        <v>95</v>
      </c>
      <c r="O115" s="191" t="s">
        <v>39</v>
      </c>
      <c r="P115" s="191" t="s">
        <v>41</v>
      </c>
      <c r="Q115" s="191" t="s">
        <v>43</v>
      </c>
      <c r="R115" s="191" t="s">
        <v>82</v>
      </c>
      <c r="S115" s="191" t="s">
        <v>48</v>
      </c>
      <c r="T115" s="191" t="s">
        <v>44</v>
      </c>
      <c r="U115" s="191" t="s">
        <v>45</v>
      </c>
      <c r="V115" s="191" t="s">
        <v>1106</v>
      </c>
      <c r="W115" s="191" t="s">
        <v>43</v>
      </c>
      <c r="X115" s="191" t="s">
        <v>44</v>
      </c>
      <c r="Y115" s="191" t="s">
        <v>45</v>
      </c>
      <c r="Z115" s="191" t="s">
        <v>47</v>
      </c>
      <c r="AA115" s="191" t="s">
        <v>62</v>
      </c>
      <c r="AB115" s="191" t="s">
        <v>50</v>
      </c>
      <c r="AC115" s="191" t="s">
        <v>47</v>
      </c>
      <c r="AD115" s="191" t="s">
        <v>91</v>
      </c>
      <c r="AE115" s="191" t="s">
        <v>44</v>
      </c>
      <c r="AF115" s="191" t="s">
        <v>130</v>
      </c>
      <c r="AG115" s="191" t="s">
        <v>43</v>
      </c>
      <c r="AH115" s="191" t="s">
        <v>44</v>
      </c>
      <c r="AI115" s="191" t="s">
        <v>39</v>
      </c>
      <c r="AJ115" s="191" t="s">
        <v>36</v>
      </c>
      <c r="AK115" s="191" t="s">
        <v>73</v>
      </c>
      <c r="AL115" s="191" t="s">
        <v>44</v>
      </c>
      <c r="AM115" s="191" t="s">
        <v>45</v>
      </c>
      <c r="AN115" s="191" t="s">
        <v>44</v>
      </c>
      <c r="AO115" s="191" t="s">
        <v>44</v>
      </c>
      <c r="AP115" s="191" t="s">
        <v>44</v>
      </c>
    </row>
    <row r="116" spans="1:42" ht="29">
      <c r="A116" s="191" t="s">
        <v>1356</v>
      </c>
      <c r="B116" s="190">
        <v>3</v>
      </c>
      <c r="C116" s="190">
        <v>4</v>
      </c>
      <c r="D116" s="190">
        <v>3</v>
      </c>
      <c r="E116" s="191" t="s">
        <v>311</v>
      </c>
      <c r="F116" s="190">
        <v>4</v>
      </c>
      <c r="G116" s="191" t="s">
        <v>36</v>
      </c>
      <c r="H116" s="190">
        <v>1</v>
      </c>
      <c r="I116" s="190">
        <v>107</v>
      </c>
      <c r="J116" s="191" t="s">
        <v>80</v>
      </c>
      <c r="K116" s="191" t="s">
        <v>61</v>
      </c>
      <c r="L116" s="191" t="s">
        <v>103</v>
      </c>
      <c r="M116" s="191" t="s">
        <v>37</v>
      </c>
      <c r="N116" s="191" t="s">
        <v>58</v>
      </c>
      <c r="O116" s="191" t="s">
        <v>39</v>
      </c>
      <c r="P116" s="191" t="s">
        <v>41</v>
      </c>
      <c r="Q116" s="191" t="s">
        <v>104</v>
      </c>
      <c r="R116" s="191" t="s">
        <v>60</v>
      </c>
      <c r="S116" s="191" t="s">
        <v>48</v>
      </c>
      <c r="T116" s="191" t="s">
        <v>44</v>
      </c>
      <c r="U116" s="191" t="s">
        <v>61</v>
      </c>
      <c r="V116" s="191" t="s">
        <v>1106</v>
      </c>
      <c r="W116" s="191" t="s">
        <v>47</v>
      </c>
      <c r="X116" s="191" t="s">
        <v>44</v>
      </c>
      <c r="Y116" s="191" t="s">
        <v>45</v>
      </c>
      <c r="Z116" s="191" t="s">
        <v>43</v>
      </c>
      <c r="AA116" s="191" t="s">
        <v>49</v>
      </c>
      <c r="AB116" s="191" t="s">
        <v>50</v>
      </c>
      <c r="AC116" s="191" t="s">
        <v>43</v>
      </c>
      <c r="AD116" s="191" t="s">
        <v>72</v>
      </c>
      <c r="AE116" s="191" t="s">
        <v>44</v>
      </c>
      <c r="AF116" s="191" t="s">
        <v>95</v>
      </c>
      <c r="AG116" s="191" t="s">
        <v>47</v>
      </c>
      <c r="AH116" s="191" t="s">
        <v>44</v>
      </c>
      <c r="AI116" s="191" t="s">
        <v>39</v>
      </c>
      <c r="AJ116" s="191" t="s">
        <v>36</v>
      </c>
      <c r="AK116" s="191" t="s">
        <v>59</v>
      </c>
      <c r="AL116" s="191" t="s">
        <v>44</v>
      </c>
      <c r="AM116" s="191" t="s">
        <v>1357</v>
      </c>
      <c r="AN116" s="191" t="s">
        <v>44</v>
      </c>
      <c r="AO116" s="191" t="s">
        <v>44</v>
      </c>
      <c r="AP116" s="191" t="s">
        <v>44</v>
      </c>
    </row>
    <row r="117" spans="1:42" ht="29">
      <c r="A117" s="191" t="s">
        <v>1358</v>
      </c>
      <c r="B117" s="190">
        <v>3</v>
      </c>
      <c r="C117" s="190">
        <v>3</v>
      </c>
      <c r="D117" s="190">
        <v>3</v>
      </c>
      <c r="E117" s="191" t="s">
        <v>311</v>
      </c>
      <c r="F117" s="190">
        <v>3</v>
      </c>
      <c r="G117" s="191" t="s">
        <v>36</v>
      </c>
      <c r="H117" s="190">
        <v>1</v>
      </c>
      <c r="I117" s="190">
        <v>100</v>
      </c>
      <c r="J117" s="191" t="s">
        <v>65</v>
      </c>
      <c r="K117" s="191" t="s">
        <v>47</v>
      </c>
      <c r="L117" s="191" t="s">
        <v>70</v>
      </c>
      <c r="M117" s="191" t="s">
        <v>37</v>
      </c>
      <c r="N117" s="191" t="s">
        <v>38</v>
      </c>
      <c r="O117" s="191" t="s">
        <v>36</v>
      </c>
      <c r="P117" s="191" t="s">
        <v>36</v>
      </c>
      <c r="Q117" s="191" t="s">
        <v>44</v>
      </c>
      <c r="R117" s="191" t="s">
        <v>42</v>
      </c>
      <c r="S117" s="191" t="s">
        <v>48</v>
      </c>
      <c r="T117" s="191" t="s">
        <v>44</v>
      </c>
      <c r="U117" s="191" t="s">
        <v>44</v>
      </c>
      <c r="V117" s="191" t="s">
        <v>44</v>
      </c>
      <c r="W117" s="191" t="s">
        <v>45</v>
      </c>
      <c r="X117" s="191" t="s">
        <v>44</v>
      </c>
      <c r="Y117" s="191" t="s">
        <v>61</v>
      </c>
      <c r="Z117" s="191" t="s">
        <v>40</v>
      </c>
      <c r="AA117" s="191" t="s">
        <v>36</v>
      </c>
      <c r="AB117" s="191" t="s">
        <v>36</v>
      </c>
      <c r="AC117" s="191" t="s">
        <v>46</v>
      </c>
      <c r="AD117" s="191" t="s">
        <v>36</v>
      </c>
      <c r="AE117" s="191" t="s">
        <v>44</v>
      </c>
      <c r="AF117" s="191" t="s">
        <v>95</v>
      </c>
      <c r="AG117" s="191" t="s">
        <v>43</v>
      </c>
      <c r="AH117" s="191" t="s">
        <v>44</v>
      </c>
      <c r="AI117" s="191" t="s">
        <v>39</v>
      </c>
      <c r="AJ117" s="191" t="s">
        <v>36</v>
      </c>
      <c r="AK117" s="191" t="s">
        <v>73</v>
      </c>
      <c r="AL117" s="191" t="s">
        <v>44</v>
      </c>
      <c r="AM117" s="191" t="s">
        <v>89</v>
      </c>
      <c r="AN117" s="191" t="s">
        <v>44</v>
      </c>
      <c r="AO117" s="191" t="s">
        <v>44</v>
      </c>
      <c r="AP117" s="191" t="s">
        <v>44</v>
      </c>
    </row>
    <row r="118" spans="1:42" ht="43.5">
      <c r="A118" s="191" t="s">
        <v>1359</v>
      </c>
      <c r="B118" s="190">
        <v>1</v>
      </c>
      <c r="C118" s="190">
        <v>7</v>
      </c>
      <c r="D118" s="190">
        <v>7</v>
      </c>
      <c r="E118" s="191" t="s">
        <v>315</v>
      </c>
      <c r="F118" s="190">
        <v>2</v>
      </c>
      <c r="G118" s="191" t="s">
        <v>36</v>
      </c>
      <c r="H118" s="190">
        <v>1</v>
      </c>
      <c r="I118" s="190">
        <v>160</v>
      </c>
      <c r="J118" s="191" t="s">
        <v>34</v>
      </c>
      <c r="K118" s="191" t="s">
        <v>47</v>
      </c>
      <c r="L118" s="191" t="s">
        <v>70</v>
      </c>
      <c r="M118" s="191" t="s">
        <v>37</v>
      </c>
      <c r="N118" s="191" t="s">
        <v>38</v>
      </c>
      <c r="O118" s="191" t="s">
        <v>288</v>
      </c>
      <c r="P118" s="191" t="s">
        <v>56</v>
      </c>
      <c r="Q118" s="191" t="s">
        <v>46</v>
      </c>
      <c r="R118" s="191" t="s">
        <v>42</v>
      </c>
      <c r="S118" s="191" t="s">
        <v>48</v>
      </c>
      <c r="T118" s="191" t="s">
        <v>44</v>
      </c>
      <c r="U118" s="191" t="s">
        <v>40</v>
      </c>
      <c r="V118" s="191" t="s">
        <v>1106</v>
      </c>
      <c r="W118" s="191" t="s">
        <v>43</v>
      </c>
      <c r="X118" s="191" t="s">
        <v>44</v>
      </c>
      <c r="Y118" s="191" t="s">
        <v>45</v>
      </c>
      <c r="Z118" s="191" t="s">
        <v>43</v>
      </c>
      <c r="AA118" s="191" t="s">
        <v>49</v>
      </c>
      <c r="AB118" s="191" t="s">
        <v>50</v>
      </c>
      <c r="AC118" s="191" t="s">
        <v>47</v>
      </c>
      <c r="AD118" s="191" t="s">
        <v>72</v>
      </c>
      <c r="AE118" s="191" t="s">
        <v>44</v>
      </c>
      <c r="AF118" s="191" t="s">
        <v>52</v>
      </c>
      <c r="AG118" s="191" t="s">
        <v>47</v>
      </c>
      <c r="AH118" s="191" t="s">
        <v>44</v>
      </c>
      <c r="AI118" s="191" t="s">
        <v>134</v>
      </c>
      <c r="AJ118" s="191" t="s">
        <v>36</v>
      </c>
      <c r="AK118" s="191" t="s">
        <v>143</v>
      </c>
      <c r="AL118" s="191" t="s">
        <v>44</v>
      </c>
      <c r="AM118" s="191" t="s">
        <v>1360</v>
      </c>
      <c r="AN118" s="191" t="s">
        <v>44</v>
      </c>
      <c r="AO118" s="191" t="s">
        <v>44</v>
      </c>
      <c r="AP118" s="191" t="s">
        <v>44</v>
      </c>
    </row>
    <row r="119" spans="1:42" ht="43.5">
      <c r="A119" s="191" t="s">
        <v>1361</v>
      </c>
      <c r="B119" s="190">
        <v>3</v>
      </c>
      <c r="C119" s="190">
        <v>7</v>
      </c>
      <c r="D119" s="190">
        <v>7</v>
      </c>
      <c r="E119" s="191" t="s">
        <v>318</v>
      </c>
      <c r="F119" s="190">
        <v>2</v>
      </c>
      <c r="G119" s="191" t="s">
        <v>36</v>
      </c>
      <c r="H119" s="190">
        <v>1</v>
      </c>
      <c r="I119" s="190">
        <v>100</v>
      </c>
      <c r="J119" s="191" t="s">
        <v>54</v>
      </c>
      <c r="K119" s="191" t="s">
        <v>40</v>
      </c>
      <c r="L119" s="191" t="s">
        <v>67</v>
      </c>
      <c r="M119" s="191" t="s">
        <v>37</v>
      </c>
      <c r="N119" s="191" t="s">
        <v>58</v>
      </c>
      <c r="O119" s="191" t="s">
        <v>288</v>
      </c>
      <c r="P119" s="191" t="s">
        <v>56</v>
      </c>
      <c r="Q119" s="191" t="s">
        <v>86</v>
      </c>
      <c r="R119" s="191" t="s">
        <v>42</v>
      </c>
      <c r="S119" s="191" t="s">
        <v>48</v>
      </c>
      <c r="T119" s="191" t="s">
        <v>44</v>
      </c>
      <c r="U119" s="191" t="s">
        <v>40</v>
      </c>
      <c r="V119" s="191" t="s">
        <v>1106</v>
      </c>
      <c r="W119" s="191" t="s">
        <v>78</v>
      </c>
      <c r="X119" s="191" t="s">
        <v>44</v>
      </c>
      <c r="Y119" s="191" t="s">
        <v>61</v>
      </c>
      <c r="Z119" s="191" t="s">
        <v>47</v>
      </c>
      <c r="AA119" s="191" t="s">
        <v>62</v>
      </c>
      <c r="AB119" s="191" t="s">
        <v>50</v>
      </c>
      <c r="AC119" s="191" t="s">
        <v>47</v>
      </c>
      <c r="AD119" s="191" t="s">
        <v>72</v>
      </c>
      <c r="AE119" s="191" t="s">
        <v>44</v>
      </c>
      <c r="AF119" s="191" t="s">
        <v>95</v>
      </c>
      <c r="AG119" s="191" t="s">
        <v>47</v>
      </c>
      <c r="AH119" s="191" t="s">
        <v>44</v>
      </c>
      <c r="AI119" s="191" t="s">
        <v>39</v>
      </c>
      <c r="AJ119" s="191" t="s">
        <v>36</v>
      </c>
      <c r="AK119" s="191" t="s">
        <v>149</v>
      </c>
      <c r="AL119" s="191" t="s">
        <v>44</v>
      </c>
      <c r="AM119" s="191" t="s">
        <v>1362</v>
      </c>
      <c r="AN119" s="191" t="s">
        <v>44</v>
      </c>
      <c r="AO119" s="191" t="s">
        <v>44</v>
      </c>
      <c r="AP119" s="191" t="s">
        <v>44</v>
      </c>
    </row>
    <row r="120" spans="1:42" ht="29">
      <c r="A120" s="191" t="s">
        <v>1363</v>
      </c>
      <c r="B120" s="190">
        <v>3</v>
      </c>
      <c r="C120" s="190">
        <v>7</v>
      </c>
      <c r="D120" s="190">
        <v>8</v>
      </c>
      <c r="E120" s="191" t="s">
        <v>318</v>
      </c>
      <c r="F120" s="190">
        <v>2</v>
      </c>
      <c r="G120" s="191" t="s">
        <v>36</v>
      </c>
      <c r="H120" s="190">
        <v>1</v>
      </c>
      <c r="I120" s="190">
        <v>120</v>
      </c>
      <c r="J120" s="191" t="s">
        <v>54</v>
      </c>
      <c r="K120" s="191" t="s">
        <v>47</v>
      </c>
      <c r="L120" s="191" t="s">
        <v>36</v>
      </c>
      <c r="M120" s="191" t="s">
        <v>37</v>
      </c>
      <c r="N120" s="191" t="s">
        <v>58</v>
      </c>
      <c r="O120" s="191" t="s">
        <v>39</v>
      </c>
      <c r="P120" s="191" t="s">
        <v>41</v>
      </c>
      <c r="Q120" s="191" t="s">
        <v>40</v>
      </c>
      <c r="R120" s="191" t="s">
        <v>42</v>
      </c>
      <c r="S120" s="191" t="s">
        <v>48</v>
      </c>
      <c r="T120" s="191" t="s">
        <v>44</v>
      </c>
      <c r="U120" s="191" t="s">
        <v>117</v>
      </c>
      <c r="V120" s="191" t="s">
        <v>1106</v>
      </c>
      <c r="W120" s="191" t="s">
        <v>43</v>
      </c>
      <c r="X120" s="191" t="s">
        <v>44</v>
      </c>
      <c r="Y120" s="191" t="s">
        <v>47</v>
      </c>
      <c r="Z120" s="191" t="s">
        <v>43</v>
      </c>
      <c r="AA120" s="191" t="s">
        <v>62</v>
      </c>
      <c r="AB120" s="191" t="s">
        <v>50</v>
      </c>
      <c r="AC120" s="191" t="s">
        <v>43</v>
      </c>
      <c r="AD120" s="191" t="s">
        <v>72</v>
      </c>
      <c r="AE120" s="191" t="s">
        <v>44</v>
      </c>
      <c r="AF120" s="191" t="s">
        <v>95</v>
      </c>
      <c r="AG120" s="191" t="s">
        <v>47</v>
      </c>
      <c r="AH120" s="191" t="s">
        <v>44</v>
      </c>
      <c r="AI120" s="191" t="s">
        <v>39</v>
      </c>
      <c r="AJ120" s="191" t="s">
        <v>36</v>
      </c>
      <c r="AK120" s="191" t="s">
        <v>73</v>
      </c>
      <c r="AL120" s="191" t="s">
        <v>44</v>
      </c>
      <c r="AM120" s="191" t="s">
        <v>1242</v>
      </c>
      <c r="AN120" s="191" t="s">
        <v>44</v>
      </c>
      <c r="AO120" s="191" t="s">
        <v>44</v>
      </c>
      <c r="AP120" s="191" t="s">
        <v>44</v>
      </c>
    </row>
    <row r="121" spans="1:42" ht="43.5">
      <c r="A121" s="191" t="s">
        <v>1364</v>
      </c>
      <c r="B121" s="190">
        <v>3</v>
      </c>
      <c r="C121" s="190">
        <v>7</v>
      </c>
      <c r="D121" s="190">
        <v>7</v>
      </c>
      <c r="E121" s="191" t="s">
        <v>318</v>
      </c>
      <c r="F121" s="190">
        <v>2</v>
      </c>
      <c r="G121" s="191" t="s">
        <v>36</v>
      </c>
      <c r="H121" s="190">
        <v>1</v>
      </c>
      <c r="I121" s="190">
        <v>97</v>
      </c>
      <c r="J121" s="191" t="s">
        <v>54</v>
      </c>
      <c r="K121" s="191" t="s">
        <v>81</v>
      </c>
      <c r="L121" s="191" t="s">
        <v>67</v>
      </c>
      <c r="M121" s="191" t="s">
        <v>37</v>
      </c>
      <c r="N121" s="191" t="s">
        <v>58</v>
      </c>
      <c r="O121" s="191" t="s">
        <v>288</v>
      </c>
      <c r="P121" s="191" t="s">
        <v>66</v>
      </c>
      <c r="Q121" s="191" t="s">
        <v>43</v>
      </c>
      <c r="R121" s="191" t="s">
        <v>87</v>
      </c>
      <c r="S121" s="191" t="s">
        <v>48</v>
      </c>
      <c r="T121" s="191" t="s">
        <v>44</v>
      </c>
      <c r="U121" s="191" t="s">
        <v>46</v>
      </c>
      <c r="V121" s="191" t="s">
        <v>1106</v>
      </c>
      <c r="W121" s="191" t="s">
        <v>43</v>
      </c>
      <c r="X121" s="191" t="s">
        <v>44</v>
      </c>
      <c r="Y121" s="191" t="s">
        <v>45</v>
      </c>
      <c r="Z121" s="191" t="s">
        <v>47</v>
      </c>
      <c r="AA121" s="191" t="s">
        <v>49</v>
      </c>
      <c r="AB121" s="191" t="s">
        <v>50</v>
      </c>
      <c r="AC121" s="191" t="s">
        <v>43</v>
      </c>
      <c r="AD121" s="191" t="s">
        <v>72</v>
      </c>
      <c r="AE121" s="191" t="s">
        <v>44</v>
      </c>
      <c r="AF121" s="191" t="s">
        <v>95</v>
      </c>
      <c r="AG121" s="191" t="s">
        <v>43</v>
      </c>
      <c r="AH121" s="191" t="s">
        <v>44</v>
      </c>
      <c r="AI121" s="191" t="s">
        <v>39</v>
      </c>
      <c r="AJ121" s="191" t="s">
        <v>36</v>
      </c>
      <c r="AK121" s="191" t="s">
        <v>59</v>
      </c>
      <c r="AL121" s="191" t="s">
        <v>44</v>
      </c>
      <c r="AM121" s="191" t="s">
        <v>45</v>
      </c>
      <c r="AN121" s="191" t="s">
        <v>44</v>
      </c>
      <c r="AO121" s="191" t="s">
        <v>44</v>
      </c>
      <c r="AP121" s="191" t="s">
        <v>44</v>
      </c>
    </row>
    <row r="122" spans="1:42" ht="29">
      <c r="A122" s="191" t="s">
        <v>1365</v>
      </c>
      <c r="B122" s="190">
        <v>3</v>
      </c>
      <c r="C122" s="190">
        <v>7</v>
      </c>
      <c r="D122" s="190">
        <v>9</v>
      </c>
      <c r="E122" s="191" t="s">
        <v>318</v>
      </c>
      <c r="F122" s="190">
        <v>2</v>
      </c>
      <c r="G122" s="191" t="s">
        <v>36</v>
      </c>
      <c r="H122" s="190">
        <v>1</v>
      </c>
      <c r="I122" s="190">
        <v>110</v>
      </c>
      <c r="J122" s="191" t="s">
        <v>65</v>
      </c>
      <c r="K122" s="191" t="s">
        <v>61</v>
      </c>
      <c r="L122" s="191" t="s">
        <v>36</v>
      </c>
      <c r="M122" s="191" t="s">
        <v>37</v>
      </c>
      <c r="N122" s="191" t="s">
        <v>58</v>
      </c>
      <c r="O122" s="191" t="s">
        <v>288</v>
      </c>
      <c r="P122" s="191" t="s">
        <v>41</v>
      </c>
      <c r="Q122" s="191" t="s">
        <v>139</v>
      </c>
      <c r="R122" s="191" t="s">
        <v>87</v>
      </c>
      <c r="S122" s="191" t="s">
        <v>48</v>
      </c>
      <c r="T122" s="191" t="s">
        <v>44</v>
      </c>
      <c r="U122" s="191" t="s">
        <v>46</v>
      </c>
      <c r="V122" s="191" t="s">
        <v>1106</v>
      </c>
      <c r="W122" s="191" t="s">
        <v>43</v>
      </c>
      <c r="X122" s="191" t="s">
        <v>44</v>
      </c>
      <c r="Y122" s="191" t="s">
        <v>47</v>
      </c>
      <c r="Z122" s="191" t="s">
        <v>43</v>
      </c>
      <c r="AA122" s="191" t="s">
        <v>49</v>
      </c>
      <c r="AB122" s="191" t="s">
        <v>50</v>
      </c>
      <c r="AC122" s="191" t="s">
        <v>47</v>
      </c>
      <c r="AD122" s="191" t="s">
        <v>72</v>
      </c>
      <c r="AE122" s="191" t="s">
        <v>44</v>
      </c>
      <c r="AF122" s="191" t="s">
        <v>52</v>
      </c>
      <c r="AG122" s="191" t="s">
        <v>47</v>
      </c>
      <c r="AH122" s="191" t="s">
        <v>44</v>
      </c>
      <c r="AI122" s="191" t="s">
        <v>134</v>
      </c>
      <c r="AJ122" s="191" t="s">
        <v>36</v>
      </c>
      <c r="AK122" s="191" t="s">
        <v>73</v>
      </c>
      <c r="AL122" s="191" t="s">
        <v>44</v>
      </c>
      <c r="AM122" s="191" t="s">
        <v>89</v>
      </c>
      <c r="AN122" s="191" t="s">
        <v>44</v>
      </c>
      <c r="AO122" s="191" t="s">
        <v>44</v>
      </c>
      <c r="AP122" s="191" t="s">
        <v>44</v>
      </c>
    </row>
    <row r="123" spans="1:42" ht="29">
      <c r="A123" s="191" t="s">
        <v>1366</v>
      </c>
      <c r="B123" s="190">
        <v>3</v>
      </c>
      <c r="C123" s="190">
        <v>4</v>
      </c>
      <c r="D123" s="190">
        <v>9</v>
      </c>
      <c r="E123" s="191" t="s">
        <v>311</v>
      </c>
      <c r="F123" s="190">
        <v>1</v>
      </c>
      <c r="G123" s="191" t="s">
        <v>36</v>
      </c>
      <c r="H123" s="190">
        <v>1</v>
      </c>
      <c r="I123" s="190">
        <v>110</v>
      </c>
      <c r="J123" s="191" t="s">
        <v>65</v>
      </c>
      <c r="K123" s="191" t="s">
        <v>40</v>
      </c>
      <c r="L123" s="191" t="s">
        <v>36</v>
      </c>
      <c r="M123" s="191" t="s">
        <v>37</v>
      </c>
      <c r="N123" s="191" t="s">
        <v>95</v>
      </c>
      <c r="O123" s="191" t="s">
        <v>39</v>
      </c>
      <c r="P123" s="191" t="s">
        <v>41</v>
      </c>
      <c r="Q123" s="191" t="s">
        <v>78</v>
      </c>
      <c r="R123" s="191" t="s">
        <v>87</v>
      </c>
      <c r="S123" s="191" t="s">
        <v>48</v>
      </c>
      <c r="T123" s="191" t="s">
        <v>44</v>
      </c>
      <c r="U123" s="191" t="s">
        <v>40</v>
      </c>
      <c r="V123" s="191" t="s">
        <v>355</v>
      </c>
      <c r="W123" s="191" t="s">
        <v>47</v>
      </c>
      <c r="X123" s="191" t="s">
        <v>44</v>
      </c>
      <c r="Y123" s="191" t="s">
        <v>61</v>
      </c>
      <c r="Z123" s="191" t="s">
        <v>43</v>
      </c>
      <c r="AA123" s="191" t="s">
        <v>49</v>
      </c>
      <c r="AB123" s="191" t="s">
        <v>50</v>
      </c>
      <c r="AC123" s="191" t="s">
        <v>47</v>
      </c>
      <c r="AD123" s="191" t="s">
        <v>91</v>
      </c>
      <c r="AE123" s="191" t="s">
        <v>44</v>
      </c>
      <c r="AF123" s="191" t="s">
        <v>95</v>
      </c>
      <c r="AG123" s="191" t="s">
        <v>43</v>
      </c>
      <c r="AH123" s="191" t="s">
        <v>44</v>
      </c>
      <c r="AI123" s="191" t="s">
        <v>39</v>
      </c>
      <c r="AJ123" s="191" t="s">
        <v>36</v>
      </c>
      <c r="AK123" s="191" t="s">
        <v>149</v>
      </c>
      <c r="AL123" s="191" t="s">
        <v>44</v>
      </c>
      <c r="AM123" s="191" t="s">
        <v>89</v>
      </c>
      <c r="AN123" s="191" t="s">
        <v>44</v>
      </c>
      <c r="AO123" s="191" t="s">
        <v>44</v>
      </c>
      <c r="AP123" s="191" t="s">
        <v>44</v>
      </c>
    </row>
    <row r="124" spans="1:42" ht="43.5">
      <c r="A124" s="191" t="s">
        <v>1367</v>
      </c>
      <c r="B124" s="190">
        <v>3</v>
      </c>
      <c r="C124" s="190">
        <v>5</v>
      </c>
      <c r="D124" s="190">
        <v>3</v>
      </c>
      <c r="E124" s="191" t="s">
        <v>315</v>
      </c>
      <c r="F124" s="190">
        <v>3</v>
      </c>
      <c r="G124" s="191" t="s">
        <v>36</v>
      </c>
      <c r="H124" s="190">
        <v>1</v>
      </c>
      <c r="I124" s="190">
        <v>108</v>
      </c>
      <c r="J124" s="191" t="s">
        <v>80</v>
      </c>
      <c r="K124" s="191" t="s">
        <v>40</v>
      </c>
      <c r="L124" s="191" t="s">
        <v>36</v>
      </c>
      <c r="M124" s="191" t="s">
        <v>37</v>
      </c>
      <c r="N124" s="191" t="s">
        <v>95</v>
      </c>
      <c r="O124" s="191" t="s">
        <v>288</v>
      </c>
      <c r="P124" s="191" t="s">
        <v>56</v>
      </c>
      <c r="Q124" s="191" t="s">
        <v>145</v>
      </c>
      <c r="R124" s="191" t="s">
        <v>87</v>
      </c>
      <c r="S124" s="191" t="s">
        <v>48</v>
      </c>
      <c r="T124" s="191" t="s">
        <v>44</v>
      </c>
      <c r="U124" s="191" t="s">
        <v>46</v>
      </c>
      <c r="V124" s="191" t="s">
        <v>1106</v>
      </c>
      <c r="W124" s="191" t="s">
        <v>46</v>
      </c>
      <c r="X124" s="191" t="s">
        <v>44</v>
      </c>
      <c r="Y124" s="191" t="s">
        <v>45</v>
      </c>
      <c r="Z124" s="191" t="s">
        <v>43</v>
      </c>
      <c r="AA124" s="191" t="s">
        <v>49</v>
      </c>
      <c r="AB124" s="191" t="s">
        <v>50</v>
      </c>
      <c r="AC124" s="191" t="s">
        <v>43</v>
      </c>
      <c r="AD124" s="191" t="s">
        <v>91</v>
      </c>
      <c r="AE124" s="191" t="s">
        <v>44</v>
      </c>
      <c r="AF124" s="191" t="s">
        <v>95</v>
      </c>
      <c r="AG124" s="191" t="s">
        <v>47</v>
      </c>
      <c r="AH124" s="191" t="s">
        <v>44</v>
      </c>
      <c r="AI124" s="191" t="s">
        <v>134</v>
      </c>
      <c r="AJ124" s="191" t="s">
        <v>36</v>
      </c>
      <c r="AK124" s="191" t="s">
        <v>73</v>
      </c>
      <c r="AL124" s="191" t="s">
        <v>44</v>
      </c>
      <c r="AM124" s="191" t="s">
        <v>45</v>
      </c>
      <c r="AN124" s="191" t="s">
        <v>44</v>
      </c>
      <c r="AO124" s="191" t="s">
        <v>44</v>
      </c>
      <c r="AP124" s="191" t="s">
        <v>44</v>
      </c>
    </row>
    <row r="125" spans="1:42" ht="29">
      <c r="A125" s="191" t="s">
        <v>1368</v>
      </c>
      <c r="B125" s="190">
        <v>3</v>
      </c>
      <c r="C125" s="190">
        <v>3</v>
      </c>
      <c r="D125" s="190">
        <v>7</v>
      </c>
      <c r="E125" s="191" t="s">
        <v>315</v>
      </c>
      <c r="F125" s="190">
        <v>3</v>
      </c>
      <c r="G125" s="191" t="s">
        <v>36</v>
      </c>
      <c r="H125" s="190">
        <v>1</v>
      </c>
      <c r="I125" s="190">
        <v>90</v>
      </c>
      <c r="J125" s="191" t="s">
        <v>80</v>
      </c>
      <c r="K125" s="191" t="s">
        <v>40</v>
      </c>
      <c r="L125" s="191" t="s">
        <v>67</v>
      </c>
      <c r="M125" s="191" t="s">
        <v>37</v>
      </c>
      <c r="N125" s="191" t="s">
        <v>58</v>
      </c>
      <c r="O125" s="191" t="s">
        <v>288</v>
      </c>
      <c r="P125" s="191" t="s">
        <v>41</v>
      </c>
      <c r="Q125" s="191" t="s">
        <v>40</v>
      </c>
      <c r="R125" s="191" t="s">
        <v>87</v>
      </c>
      <c r="S125" s="191" t="s">
        <v>48</v>
      </c>
      <c r="T125" s="191" t="s">
        <v>44</v>
      </c>
      <c r="U125" s="191" t="s">
        <v>46</v>
      </c>
      <c r="V125" s="191" t="s">
        <v>1106</v>
      </c>
      <c r="W125" s="191" t="s">
        <v>43</v>
      </c>
      <c r="X125" s="191" t="s">
        <v>44</v>
      </c>
      <c r="Y125" s="191" t="s">
        <v>45</v>
      </c>
      <c r="Z125" s="191" t="s">
        <v>43</v>
      </c>
      <c r="AA125" s="191" t="s">
        <v>49</v>
      </c>
      <c r="AB125" s="191" t="s">
        <v>84</v>
      </c>
      <c r="AC125" s="191" t="s">
        <v>43</v>
      </c>
      <c r="AD125" s="191" t="s">
        <v>72</v>
      </c>
      <c r="AE125" s="191" t="s">
        <v>44</v>
      </c>
      <c r="AF125" s="191" t="s">
        <v>52</v>
      </c>
      <c r="AG125" s="191" t="s">
        <v>47</v>
      </c>
      <c r="AH125" s="191" t="s">
        <v>44</v>
      </c>
      <c r="AI125" s="191" t="s">
        <v>134</v>
      </c>
      <c r="AJ125" s="191" t="s">
        <v>36</v>
      </c>
      <c r="AK125" s="191" t="s">
        <v>59</v>
      </c>
      <c r="AL125" s="191" t="s">
        <v>44</v>
      </c>
      <c r="AM125" s="191" t="s">
        <v>47</v>
      </c>
      <c r="AN125" s="191" t="s">
        <v>44</v>
      </c>
      <c r="AO125" s="191" t="s">
        <v>44</v>
      </c>
      <c r="AP125" s="191" t="s">
        <v>44</v>
      </c>
    </row>
    <row r="126" spans="1:42" ht="43.5">
      <c r="A126" s="191" t="s">
        <v>1369</v>
      </c>
      <c r="B126" s="190">
        <v>3</v>
      </c>
      <c r="C126" s="190">
        <v>5</v>
      </c>
      <c r="D126" s="190">
        <v>3</v>
      </c>
      <c r="E126" s="191" t="s">
        <v>315</v>
      </c>
      <c r="F126" s="190">
        <v>2</v>
      </c>
      <c r="G126" s="191" t="s">
        <v>36</v>
      </c>
      <c r="H126" s="190">
        <v>1</v>
      </c>
      <c r="I126" s="190">
        <v>150</v>
      </c>
      <c r="J126" s="191" t="s">
        <v>65</v>
      </c>
      <c r="K126" s="191" t="s">
        <v>35</v>
      </c>
      <c r="L126" s="191" t="s">
        <v>36</v>
      </c>
      <c r="M126" s="191" t="s">
        <v>37</v>
      </c>
      <c r="N126" s="191" t="s">
        <v>58</v>
      </c>
      <c r="O126" s="191" t="s">
        <v>288</v>
      </c>
      <c r="P126" s="191" t="s">
        <v>66</v>
      </c>
      <c r="Q126" s="191" t="s">
        <v>76</v>
      </c>
      <c r="R126" s="191" t="s">
        <v>60</v>
      </c>
      <c r="S126" s="191" t="s">
        <v>48</v>
      </c>
      <c r="T126" s="191" t="s">
        <v>44</v>
      </c>
      <c r="U126" s="191" t="s">
        <v>61</v>
      </c>
      <c r="V126" s="191" t="s">
        <v>1106</v>
      </c>
      <c r="W126" s="191" t="s">
        <v>43</v>
      </c>
      <c r="X126" s="191" t="s">
        <v>44</v>
      </c>
      <c r="Y126" s="191" t="s">
        <v>43</v>
      </c>
      <c r="Z126" s="191" t="s">
        <v>43</v>
      </c>
      <c r="AA126" s="191" t="s">
        <v>62</v>
      </c>
      <c r="AB126" s="191" t="s">
        <v>50</v>
      </c>
      <c r="AC126" s="191" t="s">
        <v>43</v>
      </c>
      <c r="AD126" s="191" t="s">
        <v>72</v>
      </c>
      <c r="AE126" s="191" t="s">
        <v>44</v>
      </c>
      <c r="AF126" s="191" t="s">
        <v>95</v>
      </c>
      <c r="AG126" s="191" t="s">
        <v>47</v>
      </c>
      <c r="AH126" s="191" t="s">
        <v>44</v>
      </c>
      <c r="AI126" s="191" t="s">
        <v>39</v>
      </c>
      <c r="AJ126" s="191" t="s">
        <v>36</v>
      </c>
      <c r="AK126" s="191" t="s">
        <v>73</v>
      </c>
      <c r="AL126" s="191" t="s">
        <v>44</v>
      </c>
      <c r="AM126" s="191" t="s">
        <v>89</v>
      </c>
      <c r="AN126" s="191" t="s">
        <v>44</v>
      </c>
      <c r="AO126" s="191" t="s">
        <v>44</v>
      </c>
      <c r="AP126" s="191" t="s">
        <v>44</v>
      </c>
    </row>
    <row r="127" spans="1:42" ht="29">
      <c r="A127" s="191" t="s">
        <v>1370</v>
      </c>
      <c r="B127" s="190">
        <v>3</v>
      </c>
      <c r="C127" s="190">
        <v>7</v>
      </c>
      <c r="D127" s="190">
        <v>9</v>
      </c>
      <c r="E127" s="191" t="s">
        <v>318</v>
      </c>
      <c r="F127" s="190">
        <v>1</v>
      </c>
      <c r="G127" s="191" t="s">
        <v>36</v>
      </c>
      <c r="H127" s="190">
        <v>1</v>
      </c>
      <c r="I127" s="190">
        <v>120</v>
      </c>
      <c r="J127" s="191" t="s">
        <v>54</v>
      </c>
      <c r="K127" s="191" t="s">
        <v>61</v>
      </c>
      <c r="L127" s="191" t="s">
        <v>36</v>
      </c>
      <c r="M127" s="191" t="s">
        <v>37</v>
      </c>
      <c r="N127" s="191" t="s">
        <v>58</v>
      </c>
      <c r="O127" s="191" t="s">
        <v>288</v>
      </c>
      <c r="P127" s="191" t="s">
        <v>41</v>
      </c>
      <c r="Q127" s="191" t="s">
        <v>43</v>
      </c>
      <c r="R127" s="191" t="s">
        <v>42</v>
      </c>
      <c r="S127" s="191" t="s">
        <v>48</v>
      </c>
      <c r="T127" s="191" t="s">
        <v>44</v>
      </c>
      <c r="U127" s="191" t="s">
        <v>61</v>
      </c>
      <c r="V127" s="191" t="s">
        <v>1106</v>
      </c>
      <c r="W127" s="191" t="s">
        <v>43</v>
      </c>
      <c r="X127" s="191" t="s">
        <v>44</v>
      </c>
      <c r="Y127" s="191" t="s">
        <v>45</v>
      </c>
      <c r="Z127" s="191" t="s">
        <v>47</v>
      </c>
      <c r="AA127" s="191" t="s">
        <v>49</v>
      </c>
      <c r="AB127" s="191" t="s">
        <v>50</v>
      </c>
      <c r="AC127" s="191" t="s">
        <v>43</v>
      </c>
      <c r="AD127" s="191" t="s">
        <v>72</v>
      </c>
      <c r="AE127" s="191" t="s">
        <v>44</v>
      </c>
      <c r="AF127" s="191" t="s">
        <v>95</v>
      </c>
      <c r="AG127" s="191" t="s">
        <v>47</v>
      </c>
      <c r="AH127" s="191" t="s">
        <v>44</v>
      </c>
      <c r="AI127" s="191" t="s">
        <v>39</v>
      </c>
      <c r="AJ127" s="191" t="s">
        <v>36</v>
      </c>
      <c r="AK127" s="191" t="s">
        <v>73</v>
      </c>
      <c r="AL127" s="191" t="s">
        <v>44</v>
      </c>
      <c r="AM127" s="191" t="s">
        <v>45</v>
      </c>
      <c r="AN127" s="191" t="s">
        <v>44</v>
      </c>
      <c r="AO127" s="191" t="s">
        <v>44</v>
      </c>
      <c r="AP127" s="191" t="s">
        <v>44</v>
      </c>
    </row>
    <row r="128" spans="1:42" ht="43.5">
      <c r="A128" s="191" t="s">
        <v>1371</v>
      </c>
      <c r="B128" s="190">
        <v>3</v>
      </c>
      <c r="C128" s="190">
        <v>2</v>
      </c>
      <c r="D128" s="190">
        <v>2</v>
      </c>
      <c r="E128" s="191" t="s">
        <v>315</v>
      </c>
      <c r="F128" s="190">
        <v>2</v>
      </c>
      <c r="G128" s="191" t="s">
        <v>36</v>
      </c>
      <c r="H128" s="190">
        <v>1</v>
      </c>
      <c r="I128" s="190">
        <v>110</v>
      </c>
      <c r="J128" s="191" t="s">
        <v>80</v>
      </c>
      <c r="K128" s="191" t="s">
        <v>61</v>
      </c>
      <c r="L128" s="191" t="s">
        <v>36</v>
      </c>
      <c r="M128" s="191" t="s">
        <v>37</v>
      </c>
      <c r="N128" s="191" t="s">
        <v>58</v>
      </c>
      <c r="O128" s="191" t="s">
        <v>288</v>
      </c>
      <c r="P128" s="191" t="s">
        <v>66</v>
      </c>
      <c r="Q128" s="191" t="s">
        <v>88</v>
      </c>
      <c r="R128" s="191" t="s">
        <v>87</v>
      </c>
      <c r="S128" s="191" t="s">
        <v>48</v>
      </c>
      <c r="T128" s="191" t="s">
        <v>44</v>
      </c>
      <c r="U128" s="191" t="s">
        <v>40</v>
      </c>
      <c r="V128" s="191" t="s">
        <v>355</v>
      </c>
      <c r="W128" s="191" t="s">
        <v>47</v>
      </c>
      <c r="X128" s="191" t="s">
        <v>44</v>
      </c>
      <c r="Y128" s="191" t="s">
        <v>61</v>
      </c>
      <c r="Z128" s="191" t="s">
        <v>43</v>
      </c>
      <c r="AA128" s="191" t="s">
        <v>62</v>
      </c>
      <c r="AB128" s="191" t="s">
        <v>50</v>
      </c>
      <c r="AC128" s="191" t="s">
        <v>47</v>
      </c>
      <c r="AD128" s="191" t="s">
        <v>91</v>
      </c>
      <c r="AE128" s="191" t="s">
        <v>44</v>
      </c>
      <c r="AF128" s="191" t="s">
        <v>95</v>
      </c>
      <c r="AG128" s="191" t="s">
        <v>47</v>
      </c>
      <c r="AH128" s="191" t="s">
        <v>44</v>
      </c>
      <c r="AI128" s="191" t="s">
        <v>134</v>
      </c>
      <c r="AJ128" s="191" t="s">
        <v>36</v>
      </c>
      <c r="AK128" s="191" t="s">
        <v>59</v>
      </c>
      <c r="AL128" s="191" t="s">
        <v>44</v>
      </c>
      <c r="AM128" s="191" t="s">
        <v>1242</v>
      </c>
      <c r="AN128" s="191" t="s">
        <v>44</v>
      </c>
      <c r="AO128" s="191" t="s">
        <v>44</v>
      </c>
      <c r="AP128" s="191" t="s">
        <v>44</v>
      </c>
    </row>
    <row r="129" spans="1:42" ht="29">
      <c r="A129" s="191" t="s">
        <v>1372</v>
      </c>
      <c r="B129" s="190">
        <v>3</v>
      </c>
      <c r="C129" s="190">
        <v>3</v>
      </c>
      <c r="D129" s="190">
        <v>9</v>
      </c>
      <c r="E129" s="191" t="s">
        <v>315</v>
      </c>
      <c r="F129" s="190">
        <v>1</v>
      </c>
      <c r="G129" s="191" t="s">
        <v>36</v>
      </c>
      <c r="H129" s="190">
        <v>1</v>
      </c>
      <c r="I129" s="190">
        <v>100</v>
      </c>
      <c r="J129" s="191" t="s">
        <v>54</v>
      </c>
      <c r="K129" s="191" t="s">
        <v>40</v>
      </c>
      <c r="L129" s="191" t="s">
        <v>36</v>
      </c>
      <c r="M129" s="191" t="s">
        <v>37</v>
      </c>
      <c r="N129" s="191" t="s">
        <v>58</v>
      </c>
      <c r="O129" s="191" t="s">
        <v>39</v>
      </c>
      <c r="P129" s="191" t="s">
        <v>41</v>
      </c>
      <c r="Q129" s="191" t="s">
        <v>40</v>
      </c>
      <c r="R129" s="191" t="s">
        <v>60</v>
      </c>
      <c r="S129" s="191" t="s">
        <v>48</v>
      </c>
      <c r="T129" s="191" t="s">
        <v>44</v>
      </c>
      <c r="U129" s="191" t="s">
        <v>126</v>
      </c>
      <c r="V129" s="191" t="s">
        <v>1106</v>
      </c>
      <c r="W129" s="191" t="s">
        <v>43</v>
      </c>
      <c r="X129" s="191" t="s">
        <v>44</v>
      </c>
      <c r="Y129" s="191" t="s">
        <v>45</v>
      </c>
      <c r="Z129" s="191" t="s">
        <v>47</v>
      </c>
      <c r="AA129" s="191" t="s">
        <v>49</v>
      </c>
      <c r="AB129" s="191" t="s">
        <v>84</v>
      </c>
      <c r="AC129" s="191" t="s">
        <v>43</v>
      </c>
      <c r="AD129" s="191" t="s">
        <v>72</v>
      </c>
      <c r="AE129" s="191" t="s">
        <v>44</v>
      </c>
      <c r="AF129" s="191" t="s">
        <v>95</v>
      </c>
      <c r="AG129" s="191" t="s">
        <v>43</v>
      </c>
      <c r="AH129" s="191" t="s">
        <v>44</v>
      </c>
      <c r="AI129" s="191" t="s">
        <v>39</v>
      </c>
      <c r="AJ129" s="191" t="s">
        <v>36</v>
      </c>
      <c r="AK129" s="191" t="s">
        <v>45</v>
      </c>
      <c r="AL129" s="191" t="s">
        <v>44</v>
      </c>
      <c r="AM129" s="191" t="s">
        <v>89</v>
      </c>
      <c r="AN129" s="191" t="s">
        <v>44</v>
      </c>
      <c r="AO129" s="191" t="s">
        <v>44</v>
      </c>
      <c r="AP129" s="191" t="s">
        <v>44</v>
      </c>
    </row>
    <row r="130" spans="1:42" ht="29">
      <c r="A130" s="191" t="s">
        <v>1373</v>
      </c>
      <c r="B130" s="190">
        <v>3</v>
      </c>
      <c r="C130" s="190">
        <v>3</v>
      </c>
      <c r="D130" s="190">
        <v>3</v>
      </c>
      <c r="E130" s="191" t="s">
        <v>315</v>
      </c>
      <c r="F130" s="190">
        <v>2</v>
      </c>
      <c r="G130" s="191" t="s">
        <v>36</v>
      </c>
      <c r="H130" s="190">
        <v>1</v>
      </c>
      <c r="I130" s="190">
        <v>120</v>
      </c>
      <c r="J130" s="191" t="s">
        <v>80</v>
      </c>
      <c r="K130" s="191" t="s">
        <v>61</v>
      </c>
      <c r="L130" s="191" t="s">
        <v>36</v>
      </c>
      <c r="M130" s="191" t="s">
        <v>37</v>
      </c>
      <c r="N130" s="191" t="s">
        <v>58</v>
      </c>
      <c r="O130" s="191" t="s">
        <v>39</v>
      </c>
      <c r="P130" s="191" t="s">
        <v>41</v>
      </c>
      <c r="Q130" s="191" t="s">
        <v>135</v>
      </c>
      <c r="R130" s="191" t="s">
        <v>60</v>
      </c>
      <c r="S130" s="191" t="s">
        <v>48</v>
      </c>
      <c r="T130" s="191" t="s">
        <v>44</v>
      </c>
      <c r="U130" s="191" t="s">
        <v>126</v>
      </c>
      <c r="V130" s="191" t="s">
        <v>1106</v>
      </c>
      <c r="W130" s="191" t="s">
        <v>47</v>
      </c>
      <c r="X130" s="191" t="s">
        <v>44</v>
      </c>
      <c r="Y130" s="191" t="s">
        <v>47</v>
      </c>
      <c r="Z130" s="191" t="s">
        <v>43</v>
      </c>
      <c r="AA130" s="191" t="s">
        <v>49</v>
      </c>
      <c r="AB130" s="191" t="s">
        <v>50</v>
      </c>
      <c r="AC130" s="191" t="s">
        <v>47</v>
      </c>
      <c r="AD130" s="191" t="s">
        <v>72</v>
      </c>
      <c r="AE130" s="191" t="s">
        <v>44</v>
      </c>
      <c r="AF130" s="191" t="s">
        <v>95</v>
      </c>
      <c r="AG130" s="191" t="s">
        <v>47</v>
      </c>
      <c r="AH130" s="191" t="s">
        <v>44</v>
      </c>
      <c r="AI130" s="191" t="s">
        <v>39</v>
      </c>
      <c r="AJ130" s="191" t="s">
        <v>36</v>
      </c>
      <c r="AK130" s="191" t="s">
        <v>140</v>
      </c>
      <c r="AL130" s="191" t="s">
        <v>44</v>
      </c>
      <c r="AM130" s="191" t="s">
        <v>45</v>
      </c>
      <c r="AN130" s="191" t="s">
        <v>44</v>
      </c>
      <c r="AO130" s="191" t="s">
        <v>44</v>
      </c>
      <c r="AP130" s="191" t="s">
        <v>44</v>
      </c>
    </row>
    <row r="131" spans="1:42" ht="43.5">
      <c r="A131" s="191" t="s">
        <v>1374</v>
      </c>
      <c r="B131" s="190">
        <v>3</v>
      </c>
      <c r="C131" s="190">
        <v>7</v>
      </c>
      <c r="D131" s="190">
        <v>7</v>
      </c>
      <c r="E131" s="191" t="s">
        <v>318</v>
      </c>
      <c r="F131" s="190">
        <v>2</v>
      </c>
      <c r="G131" s="191" t="s">
        <v>36</v>
      </c>
      <c r="H131" s="190">
        <v>1</v>
      </c>
      <c r="I131" s="190">
        <v>120</v>
      </c>
      <c r="J131" s="191" t="s">
        <v>54</v>
      </c>
      <c r="K131" s="191" t="s">
        <v>40</v>
      </c>
      <c r="L131" s="191" t="s">
        <v>36</v>
      </c>
      <c r="M131" s="191" t="s">
        <v>37</v>
      </c>
      <c r="N131" s="191" t="s">
        <v>58</v>
      </c>
      <c r="O131" s="191" t="s">
        <v>288</v>
      </c>
      <c r="P131" s="191" t="s">
        <v>56</v>
      </c>
      <c r="Q131" s="191" t="s">
        <v>43</v>
      </c>
      <c r="R131" s="191" t="s">
        <v>42</v>
      </c>
      <c r="S131" s="191" t="s">
        <v>48</v>
      </c>
      <c r="T131" s="191" t="s">
        <v>44</v>
      </c>
      <c r="U131" s="191" t="s">
        <v>1112</v>
      </c>
      <c r="V131" s="191" t="s">
        <v>1106</v>
      </c>
      <c r="W131" s="191" t="s">
        <v>43</v>
      </c>
      <c r="X131" s="191" t="s">
        <v>44</v>
      </c>
      <c r="Y131" s="191" t="s">
        <v>45</v>
      </c>
      <c r="Z131" s="191" t="s">
        <v>43</v>
      </c>
      <c r="AA131" s="191" t="s">
        <v>62</v>
      </c>
      <c r="AB131" s="191" t="s">
        <v>50</v>
      </c>
      <c r="AC131" s="191" t="s">
        <v>43</v>
      </c>
      <c r="AD131" s="191" t="s">
        <v>91</v>
      </c>
      <c r="AE131" s="191" t="s">
        <v>44</v>
      </c>
      <c r="AF131" s="191" t="s">
        <v>95</v>
      </c>
      <c r="AG131" s="191" t="s">
        <v>47</v>
      </c>
      <c r="AH131" s="191" t="s">
        <v>44</v>
      </c>
      <c r="AI131" s="191" t="s">
        <v>134</v>
      </c>
      <c r="AJ131" s="191" t="s">
        <v>36</v>
      </c>
      <c r="AK131" s="191" t="s">
        <v>59</v>
      </c>
      <c r="AL131" s="191" t="s">
        <v>44</v>
      </c>
      <c r="AM131" s="191" t="s">
        <v>89</v>
      </c>
      <c r="AN131" s="191" t="s">
        <v>44</v>
      </c>
      <c r="AO131" s="191" t="s">
        <v>44</v>
      </c>
      <c r="AP131" s="191" t="s">
        <v>44</v>
      </c>
    </row>
    <row r="132" spans="1:42" ht="29">
      <c r="A132" s="191" t="s">
        <v>1375</v>
      </c>
      <c r="B132" s="190">
        <v>3</v>
      </c>
      <c r="C132" s="190">
        <v>7</v>
      </c>
      <c r="D132" s="190">
        <v>3</v>
      </c>
      <c r="E132" s="191" t="s">
        <v>318</v>
      </c>
      <c r="F132" s="190">
        <v>2</v>
      </c>
      <c r="G132" s="191" t="s">
        <v>36</v>
      </c>
      <c r="H132" s="190">
        <v>1</v>
      </c>
      <c r="I132" s="190">
        <v>37</v>
      </c>
      <c r="J132" s="191" t="s">
        <v>54</v>
      </c>
      <c r="K132" s="191" t="s">
        <v>40</v>
      </c>
      <c r="L132" s="191" t="s">
        <v>36</v>
      </c>
      <c r="M132" s="191" t="s">
        <v>37</v>
      </c>
      <c r="N132" s="191" t="s">
        <v>58</v>
      </c>
      <c r="O132" s="191" t="s">
        <v>39</v>
      </c>
      <c r="P132" s="191" t="s">
        <v>41</v>
      </c>
      <c r="Q132" s="191" t="s">
        <v>77</v>
      </c>
      <c r="R132" s="191" t="s">
        <v>60</v>
      </c>
      <c r="S132" s="191" t="s">
        <v>48</v>
      </c>
      <c r="T132" s="191" t="s">
        <v>44</v>
      </c>
      <c r="U132" s="191" t="s">
        <v>117</v>
      </c>
      <c r="V132" s="191" t="s">
        <v>1106</v>
      </c>
      <c r="W132" s="191" t="s">
        <v>43</v>
      </c>
      <c r="X132" s="191" t="s">
        <v>44</v>
      </c>
      <c r="Y132" s="191" t="s">
        <v>47</v>
      </c>
      <c r="Z132" s="191" t="s">
        <v>43</v>
      </c>
      <c r="AA132" s="191" t="s">
        <v>49</v>
      </c>
      <c r="AB132" s="191" t="s">
        <v>84</v>
      </c>
      <c r="AC132" s="191" t="s">
        <v>47</v>
      </c>
      <c r="AD132" s="191" t="s">
        <v>91</v>
      </c>
      <c r="AE132" s="191" t="s">
        <v>44</v>
      </c>
      <c r="AF132" s="191" t="s">
        <v>95</v>
      </c>
      <c r="AG132" s="191" t="s">
        <v>47</v>
      </c>
      <c r="AH132" s="191" t="s">
        <v>44</v>
      </c>
      <c r="AI132" s="191" t="s">
        <v>39</v>
      </c>
      <c r="AJ132" s="191" t="s">
        <v>36</v>
      </c>
      <c r="AK132" s="191" t="s">
        <v>63</v>
      </c>
      <c r="AL132" s="191" t="s">
        <v>44</v>
      </c>
      <c r="AM132" s="191" t="s">
        <v>89</v>
      </c>
      <c r="AN132" s="191" t="s">
        <v>44</v>
      </c>
      <c r="AO132" s="191" t="s">
        <v>44</v>
      </c>
      <c r="AP132" s="191" t="s">
        <v>44</v>
      </c>
    </row>
    <row r="133" spans="1:42" ht="29">
      <c r="A133" s="191" t="s">
        <v>1376</v>
      </c>
      <c r="B133" s="190">
        <v>3</v>
      </c>
      <c r="C133" s="190">
        <v>3</v>
      </c>
      <c r="D133" s="190">
        <v>5</v>
      </c>
      <c r="E133" s="191" t="s">
        <v>307</v>
      </c>
      <c r="F133" s="190">
        <v>4</v>
      </c>
      <c r="G133" s="191" t="s">
        <v>36</v>
      </c>
      <c r="H133" s="190">
        <v>1</v>
      </c>
      <c r="I133" s="190">
        <v>135</v>
      </c>
      <c r="J133" s="191" t="s">
        <v>54</v>
      </c>
      <c r="K133" s="191" t="s">
        <v>40</v>
      </c>
      <c r="L133" s="191" t="s">
        <v>70</v>
      </c>
      <c r="M133" s="191" t="s">
        <v>37</v>
      </c>
      <c r="N133" s="191" t="s">
        <v>38</v>
      </c>
      <c r="O133" s="191" t="s">
        <v>288</v>
      </c>
      <c r="P133" s="191" t="s">
        <v>102</v>
      </c>
      <c r="Q133" s="191" t="s">
        <v>88</v>
      </c>
      <c r="R133" s="191" t="s">
        <v>42</v>
      </c>
      <c r="S133" s="191" t="s">
        <v>48</v>
      </c>
      <c r="T133" s="191" t="s">
        <v>44</v>
      </c>
      <c r="U133" s="191" t="s">
        <v>44</v>
      </c>
      <c r="V133" s="191" t="s">
        <v>44</v>
      </c>
      <c r="W133" s="191" t="s">
        <v>45</v>
      </c>
      <c r="X133" s="191" t="s">
        <v>44</v>
      </c>
      <c r="Y133" s="191" t="s">
        <v>45</v>
      </c>
      <c r="Z133" s="191" t="s">
        <v>43</v>
      </c>
      <c r="AA133" s="191" t="s">
        <v>62</v>
      </c>
      <c r="AB133" s="191" t="s">
        <v>50</v>
      </c>
      <c r="AC133" s="191" t="s">
        <v>43</v>
      </c>
      <c r="AD133" s="191" t="s">
        <v>91</v>
      </c>
      <c r="AE133" s="191" t="s">
        <v>44</v>
      </c>
      <c r="AF133" s="191" t="s">
        <v>52</v>
      </c>
      <c r="AG133" s="191" t="s">
        <v>47</v>
      </c>
      <c r="AH133" s="191" t="s">
        <v>44</v>
      </c>
      <c r="AI133" s="191" t="s">
        <v>134</v>
      </c>
      <c r="AJ133" s="191" t="s">
        <v>36</v>
      </c>
      <c r="AK133" s="191" t="s">
        <v>35</v>
      </c>
      <c r="AL133" s="191" t="s">
        <v>44</v>
      </c>
      <c r="AM133" s="191" t="s">
        <v>89</v>
      </c>
      <c r="AN133" s="191" t="s">
        <v>44</v>
      </c>
      <c r="AO133" s="191" t="s">
        <v>44</v>
      </c>
      <c r="AP133" s="191" t="s">
        <v>44</v>
      </c>
    </row>
    <row r="134" spans="1:42" ht="29">
      <c r="A134" s="191" t="s">
        <v>1377</v>
      </c>
      <c r="B134" s="190">
        <v>3</v>
      </c>
      <c r="C134" s="190">
        <v>7</v>
      </c>
      <c r="D134" s="190">
        <v>3</v>
      </c>
      <c r="E134" s="191" t="s">
        <v>318</v>
      </c>
      <c r="F134" s="190">
        <v>2</v>
      </c>
      <c r="G134" s="191" t="s">
        <v>36</v>
      </c>
      <c r="H134" s="190">
        <v>1</v>
      </c>
      <c r="I134" s="190">
        <v>108</v>
      </c>
      <c r="J134" s="191" t="s">
        <v>54</v>
      </c>
      <c r="K134" s="191" t="s">
        <v>40</v>
      </c>
      <c r="L134" s="191" t="s">
        <v>70</v>
      </c>
      <c r="M134" s="191" t="s">
        <v>37</v>
      </c>
      <c r="N134" s="191" t="s">
        <v>58</v>
      </c>
      <c r="O134" s="191" t="s">
        <v>39</v>
      </c>
      <c r="P134" s="191" t="s">
        <v>41</v>
      </c>
      <c r="Q134" s="191" t="s">
        <v>77</v>
      </c>
      <c r="R134" s="191" t="s">
        <v>60</v>
      </c>
      <c r="S134" s="191" t="s">
        <v>48</v>
      </c>
      <c r="T134" s="191" t="s">
        <v>44</v>
      </c>
      <c r="U134" s="191" t="s">
        <v>126</v>
      </c>
      <c r="V134" s="191" t="s">
        <v>355</v>
      </c>
      <c r="W134" s="191" t="s">
        <v>43</v>
      </c>
      <c r="X134" s="191" t="s">
        <v>44</v>
      </c>
      <c r="Y134" s="191" t="s">
        <v>43</v>
      </c>
      <c r="Z134" s="191" t="s">
        <v>43</v>
      </c>
      <c r="AA134" s="191" t="s">
        <v>62</v>
      </c>
      <c r="AB134" s="191" t="s">
        <v>84</v>
      </c>
      <c r="AC134" s="191" t="s">
        <v>43</v>
      </c>
      <c r="AD134" s="191" t="s">
        <v>91</v>
      </c>
      <c r="AE134" s="191" t="s">
        <v>44</v>
      </c>
      <c r="AF134" s="191" t="s">
        <v>95</v>
      </c>
      <c r="AG134" s="191" t="s">
        <v>43</v>
      </c>
      <c r="AH134" s="191" t="s">
        <v>44</v>
      </c>
      <c r="AI134" s="191" t="s">
        <v>39</v>
      </c>
      <c r="AJ134" s="191" t="s">
        <v>36</v>
      </c>
      <c r="AK134" s="191" t="s">
        <v>35</v>
      </c>
      <c r="AL134" s="191" t="s">
        <v>44</v>
      </c>
      <c r="AM134" s="191" t="s">
        <v>1242</v>
      </c>
      <c r="AN134" s="191" t="s">
        <v>44</v>
      </c>
      <c r="AO134" s="191" t="s">
        <v>44</v>
      </c>
      <c r="AP134" s="191" t="s">
        <v>44</v>
      </c>
    </row>
    <row r="135" spans="1:42" ht="29">
      <c r="A135" s="191" t="s">
        <v>1378</v>
      </c>
      <c r="B135" s="190">
        <v>3</v>
      </c>
      <c r="C135" s="190">
        <v>7</v>
      </c>
      <c r="D135" s="190">
        <v>7</v>
      </c>
      <c r="E135" s="191" t="s">
        <v>315</v>
      </c>
      <c r="F135" s="190">
        <v>2</v>
      </c>
      <c r="G135" s="191" t="s">
        <v>36</v>
      </c>
      <c r="H135" s="190">
        <v>1</v>
      </c>
      <c r="I135" s="190">
        <v>180</v>
      </c>
      <c r="J135" s="191" t="s">
        <v>65</v>
      </c>
      <c r="K135" s="191" t="s">
        <v>81</v>
      </c>
      <c r="L135" s="191" t="s">
        <v>36</v>
      </c>
      <c r="M135" s="191" t="s">
        <v>37</v>
      </c>
      <c r="N135" s="191" t="s">
        <v>58</v>
      </c>
      <c r="O135" s="191" t="s">
        <v>39</v>
      </c>
      <c r="P135" s="191" t="s">
        <v>41</v>
      </c>
      <c r="Q135" s="191" t="s">
        <v>40</v>
      </c>
      <c r="R135" s="191" t="s">
        <v>87</v>
      </c>
      <c r="S135" s="191" t="s">
        <v>48</v>
      </c>
      <c r="T135" s="191" t="s">
        <v>44</v>
      </c>
      <c r="U135" s="191" t="s">
        <v>1109</v>
      </c>
      <c r="V135" s="191" t="s">
        <v>1106</v>
      </c>
      <c r="W135" s="191" t="s">
        <v>43</v>
      </c>
      <c r="X135" s="191" t="s">
        <v>44</v>
      </c>
      <c r="Y135" s="191" t="s">
        <v>47</v>
      </c>
      <c r="Z135" s="191" t="s">
        <v>43</v>
      </c>
      <c r="AA135" s="191" t="s">
        <v>62</v>
      </c>
      <c r="AB135" s="191" t="s">
        <v>50</v>
      </c>
      <c r="AC135" s="191" t="s">
        <v>43</v>
      </c>
      <c r="AD135" s="191" t="s">
        <v>91</v>
      </c>
      <c r="AE135" s="191" t="s">
        <v>44</v>
      </c>
      <c r="AF135" s="191" t="s">
        <v>95</v>
      </c>
      <c r="AG135" s="191" t="s">
        <v>43</v>
      </c>
      <c r="AH135" s="191" t="s">
        <v>44</v>
      </c>
      <c r="AI135" s="191" t="s">
        <v>39</v>
      </c>
      <c r="AJ135" s="191" t="s">
        <v>36</v>
      </c>
      <c r="AK135" s="191" t="s">
        <v>59</v>
      </c>
      <c r="AL135" s="191" t="s">
        <v>44</v>
      </c>
      <c r="AM135" s="191" t="s">
        <v>1242</v>
      </c>
      <c r="AN135" s="191" t="s">
        <v>44</v>
      </c>
      <c r="AO135" s="191" t="s">
        <v>44</v>
      </c>
      <c r="AP135" s="191" t="s">
        <v>44</v>
      </c>
    </row>
    <row r="136" spans="1:42" ht="43.5">
      <c r="A136" s="191" t="s">
        <v>1379</v>
      </c>
      <c r="B136" s="190">
        <v>3</v>
      </c>
      <c r="C136" s="190">
        <v>7</v>
      </c>
      <c r="D136" s="190">
        <v>9</v>
      </c>
      <c r="E136" s="191" t="s">
        <v>318</v>
      </c>
      <c r="F136" s="190">
        <v>1</v>
      </c>
      <c r="G136" s="191" t="s">
        <v>36</v>
      </c>
      <c r="H136" s="190">
        <v>1</v>
      </c>
      <c r="I136" s="190">
        <v>100</v>
      </c>
      <c r="J136" s="191" t="s">
        <v>80</v>
      </c>
      <c r="K136" s="191" t="s">
        <v>61</v>
      </c>
      <c r="L136" s="191" t="s">
        <v>36</v>
      </c>
      <c r="M136" s="191" t="s">
        <v>37</v>
      </c>
      <c r="N136" s="191" t="s">
        <v>95</v>
      </c>
      <c r="O136" s="191" t="s">
        <v>288</v>
      </c>
      <c r="P136" s="191" t="s">
        <v>66</v>
      </c>
      <c r="Q136" s="191" t="s">
        <v>40</v>
      </c>
      <c r="R136" s="191" t="s">
        <v>60</v>
      </c>
      <c r="S136" s="191" t="s">
        <v>48</v>
      </c>
      <c r="T136" s="191" t="s">
        <v>44</v>
      </c>
      <c r="U136" s="191" t="s">
        <v>40</v>
      </c>
      <c r="V136" s="191" t="s">
        <v>1106</v>
      </c>
      <c r="W136" s="191" t="s">
        <v>47</v>
      </c>
      <c r="X136" s="191" t="s">
        <v>44</v>
      </c>
      <c r="Y136" s="191" t="s">
        <v>45</v>
      </c>
      <c r="Z136" s="191" t="s">
        <v>43</v>
      </c>
      <c r="AA136" s="191" t="s">
        <v>62</v>
      </c>
      <c r="AB136" s="191" t="s">
        <v>50</v>
      </c>
      <c r="AC136" s="191" t="s">
        <v>43</v>
      </c>
      <c r="AD136" s="191" t="s">
        <v>72</v>
      </c>
      <c r="AE136" s="191" t="s">
        <v>44</v>
      </c>
      <c r="AF136" s="191" t="s">
        <v>95</v>
      </c>
      <c r="AG136" s="191" t="s">
        <v>43</v>
      </c>
      <c r="AH136" s="191" t="s">
        <v>44</v>
      </c>
      <c r="AI136" s="191" t="s">
        <v>134</v>
      </c>
      <c r="AJ136" s="191" t="s">
        <v>36</v>
      </c>
      <c r="AK136" s="191" t="s">
        <v>59</v>
      </c>
      <c r="AL136" s="191" t="s">
        <v>44</v>
      </c>
      <c r="AM136" s="191" t="s">
        <v>74</v>
      </c>
      <c r="AN136" s="191" t="s">
        <v>44</v>
      </c>
      <c r="AO136" s="191" t="s">
        <v>44</v>
      </c>
      <c r="AP136" s="191" t="s">
        <v>44</v>
      </c>
    </row>
    <row r="137" spans="1:42" ht="43.5">
      <c r="A137" s="191" t="s">
        <v>1380</v>
      </c>
      <c r="B137" s="190">
        <v>3</v>
      </c>
      <c r="C137" s="190">
        <v>6</v>
      </c>
      <c r="D137" s="192">
        <v>9</v>
      </c>
      <c r="E137" s="191" t="s">
        <v>311</v>
      </c>
      <c r="F137" s="190">
        <v>3</v>
      </c>
      <c r="G137" s="191" t="s">
        <v>36</v>
      </c>
      <c r="H137" s="190">
        <v>1</v>
      </c>
      <c r="I137" s="190">
        <v>140</v>
      </c>
      <c r="J137" s="191" t="s">
        <v>34</v>
      </c>
      <c r="K137" s="191" t="s">
        <v>61</v>
      </c>
      <c r="L137" s="191" t="s">
        <v>70</v>
      </c>
      <c r="M137" s="191" t="s">
        <v>37</v>
      </c>
      <c r="N137" s="191" t="s">
        <v>58</v>
      </c>
      <c r="O137" s="191" t="s">
        <v>288</v>
      </c>
      <c r="P137" s="191" t="s">
        <v>66</v>
      </c>
      <c r="Q137" s="191" t="s">
        <v>90</v>
      </c>
      <c r="R137" s="191" t="s">
        <v>42</v>
      </c>
      <c r="S137" s="191" t="s">
        <v>48</v>
      </c>
      <c r="T137" s="191" t="s">
        <v>44</v>
      </c>
      <c r="U137" s="191" t="s">
        <v>45</v>
      </c>
      <c r="V137" s="191" t="s">
        <v>1106</v>
      </c>
      <c r="W137" s="191" t="s">
        <v>43</v>
      </c>
      <c r="X137" s="191" t="s">
        <v>44</v>
      </c>
      <c r="Y137" s="191" t="s">
        <v>43</v>
      </c>
      <c r="Z137" s="191" t="s">
        <v>43</v>
      </c>
      <c r="AA137" s="191" t="s">
        <v>49</v>
      </c>
      <c r="AB137" s="191" t="s">
        <v>84</v>
      </c>
      <c r="AC137" s="191" t="s">
        <v>43</v>
      </c>
      <c r="AD137" s="191" t="s">
        <v>72</v>
      </c>
      <c r="AE137" s="191" t="s">
        <v>44</v>
      </c>
      <c r="AF137" s="191" t="s">
        <v>95</v>
      </c>
      <c r="AG137" s="191" t="s">
        <v>47</v>
      </c>
      <c r="AH137" s="191" t="s">
        <v>44</v>
      </c>
      <c r="AI137" s="191" t="s">
        <v>134</v>
      </c>
      <c r="AJ137" s="191" t="s">
        <v>36</v>
      </c>
      <c r="AK137" s="191" t="s">
        <v>63</v>
      </c>
      <c r="AL137" s="191" t="s">
        <v>44</v>
      </c>
      <c r="AM137" s="191" t="s">
        <v>1307</v>
      </c>
      <c r="AN137" s="191" t="s">
        <v>44</v>
      </c>
      <c r="AO137" s="191" t="s">
        <v>44</v>
      </c>
      <c r="AP137" s="191" t="s">
        <v>44</v>
      </c>
    </row>
    <row r="138" spans="1:42" ht="29">
      <c r="A138" s="191" t="s">
        <v>1381</v>
      </c>
      <c r="B138" s="190">
        <v>3</v>
      </c>
      <c r="C138" s="190">
        <v>4</v>
      </c>
      <c r="D138" s="190">
        <v>3</v>
      </c>
      <c r="E138" s="191" t="s">
        <v>307</v>
      </c>
      <c r="F138" s="190">
        <v>2</v>
      </c>
      <c r="G138" s="191" t="s">
        <v>36</v>
      </c>
      <c r="H138" s="190">
        <v>1</v>
      </c>
      <c r="I138" s="190">
        <v>70</v>
      </c>
      <c r="J138" s="191" t="s">
        <v>54</v>
      </c>
      <c r="K138" s="191" t="s">
        <v>61</v>
      </c>
      <c r="L138" s="191" t="s">
        <v>67</v>
      </c>
      <c r="M138" s="191" t="s">
        <v>37</v>
      </c>
      <c r="N138" s="191" t="s">
        <v>58</v>
      </c>
      <c r="O138" s="191" t="s">
        <v>39</v>
      </c>
      <c r="P138" s="191" t="s">
        <v>41</v>
      </c>
      <c r="Q138" s="191" t="s">
        <v>43</v>
      </c>
      <c r="R138" s="191" t="s">
        <v>42</v>
      </c>
      <c r="S138" s="191" t="s">
        <v>48</v>
      </c>
      <c r="T138" s="191" t="s">
        <v>44</v>
      </c>
      <c r="U138" s="191" t="s">
        <v>126</v>
      </c>
      <c r="V138" s="191" t="s">
        <v>1106</v>
      </c>
      <c r="W138" s="191" t="s">
        <v>43</v>
      </c>
      <c r="X138" s="191" t="s">
        <v>44</v>
      </c>
      <c r="Y138" s="191" t="s">
        <v>47</v>
      </c>
      <c r="Z138" s="191" t="s">
        <v>43</v>
      </c>
      <c r="AA138" s="191" t="s">
        <v>62</v>
      </c>
      <c r="AB138" s="191" t="s">
        <v>50</v>
      </c>
      <c r="AC138" s="191" t="s">
        <v>43</v>
      </c>
      <c r="AD138" s="191" t="s">
        <v>91</v>
      </c>
      <c r="AE138" s="191" t="s">
        <v>44</v>
      </c>
      <c r="AF138" s="191" t="s">
        <v>130</v>
      </c>
      <c r="AG138" s="191" t="s">
        <v>47</v>
      </c>
      <c r="AH138" s="191" t="s">
        <v>44</v>
      </c>
      <c r="AI138" s="191" t="s">
        <v>134</v>
      </c>
      <c r="AJ138" s="191" t="s">
        <v>36</v>
      </c>
      <c r="AK138" s="191" t="s">
        <v>45</v>
      </c>
      <c r="AL138" s="191" t="s">
        <v>44</v>
      </c>
      <c r="AM138" s="191" t="s">
        <v>45</v>
      </c>
      <c r="AN138" s="191" t="s">
        <v>44</v>
      </c>
      <c r="AO138" s="191" t="s">
        <v>44</v>
      </c>
      <c r="AP138" s="191" t="s">
        <v>44</v>
      </c>
    </row>
    <row r="139" spans="1:42" ht="43.5">
      <c r="A139" s="191" t="s">
        <v>1382</v>
      </c>
      <c r="B139" s="190">
        <v>3</v>
      </c>
      <c r="C139" s="190">
        <v>7</v>
      </c>
      <c r="D139" s="190">
        <v>5</v>
      </c>
      <c r="E139" s="191" t="s">
        <v>315</v>
      </c>
      <c r="F139" s="190">
        <v>2</v>
      </c>
      <c r="G139" s="191" t="s">
        <v>36</v>
      </c>
      <c r="H139" s="190">
        <v>1</v>
      </c>
      <c r="I139" s="190">
        <v>140</v>
      </c>
      <c r="J139" s="191" t="s">
        <v>54</v>
      </c>
      <c r="K139" s="191" t="s">
        <v>47</v>
      </c>
      <c r="L139" s="191" t="s">
        <v>36</v>
      </c>
      <c r="M139" s="191" t="s">
        <v>37</v>
      </c>
      <c r="N139" s="191" t="s">
        <v>58</v>
      </c>
      <c r="O139" s="191" t="s">
        <v>288</v>
      </c>
      <c r="P139" s="191" t="s">
        <v>66</v>
      </c>
      <c r="Q139" s="191" t="s">
        <v>43</v>
      </c>
      <c r="R139" s="191" t="s">
        <v>42</v>
      </c>
      <c r="S139" s="191" t="s">
        <v>48</v>
      </c>
      <c r="T139" s="191" t="s">
        <v>44</v>
      </c>
      <c r="U139" s="191" t="s">
        <v>47</v>
      </c>
      <c r="V139" s="191" t="s">
        <v>1108</v>
      </c>
      <c r="W139" s="191" t="s">
        <v>43</v>
      </c>
      <c r="X139" s="191" t="s">
        <v>44</v>
      </c>
      <c r="Y139" s="191" t="s">
        <v>45</v>
      </c>
      <c r="Z139" s="191" t="s">
        <v>43</v>
      </c>
      <c r="AA139" s="191" t="s">
        <v>49</v>
      </c>
      <c r="AB139" s="191" t="s">
        <v>84</v>
      </c>
      <c r="AC139" s="191" t="s">
        <v>43</v>
      </c>
      <c r="AD139" s="191" t="s">
        <v>72</v>
      </c>
      <c r="AE139" s="191" t="s">
        <v>44</v>
      </c>
      <c r="AF139" s="191" t="s">
        <v>95</v>
      </c>
      <c r="AG139" s="191" t="s">
        <v>47</v>
      </c>
      <c r="AH139" s="191" t="s">
        <v>44</v>
      </c>
      <c r="AI139" s="191" t="s">
        <v>134</v>
      </c>
      <c r="AJ139" s="191" t="s">
        <v>36</v>
      </c>
      <c r="AK139" s="191" t="s">
        <v>63</v>
      </c>
      <c r="AL139" s="191" t="s">
        <v>44</v>
      </c>
      <c r="AM139" s="191" t="s">
        <v>74</v>
      </c>
      <c r="AN139" s="191" t="s">
        <v>44</v>
      </c>
      <c r="AO139" s="191" t="s">
        <v>44</v>
      </c>
      <c r="AP139" s="191" t="s">
        <v>44</v>
      </c>
    </row>
    <row r="140" spans="1:42" ht="29">
      <c r="A140" s="191" t="s">
        <v>1383</v>
      </c>
      <c r="B140" s="190">
        <v>3</v>
      </c>
      <c r="C140" s="190">
        <v>5</v>
      </c>
      <c r="D140" s="190">
        <v>5</v>
      </c>
      <c r="E140" s="191" t="s">
        <v>311</v>
      </c>
      <c r="F140" s="190">
        <v>4</v>
      </c>
      <c r="G140" s="191" t="s">
        <v>36</v>
      </c>
      <c r="H140" s="190">
        <v>1</v>
      </c>
      <c r="I140" s="190">
        <v>100</v>
      </c>
      <c r="J140" s="191" t="s">
        <v>34</v>
      </c>
      <c r="K140" s="191" t="s">
        <v>43</v>
      </c>
      <c r="L140" s="191" t="s">
        <v>67</v>
      </c>
      <c r="M140" s="191" t="s">
        <v>37</v>
      </c>
      <c r="N140" s="191" t="s">
        <v>95</v>
      </c>
      <c r="O140" s="191" t="s">
        <v>39</v>
      </c>
      <c r="P140" s="191" t="s">
        <v>41</v>
      </c>
      <c r="Q140" s="191" t="s">
        <v>77</v>
      </c>
      <c r="R140" s="191" t="s">
        <v>36</v>
      </c>
      <c r="S140" s="191" t="s">
        <v>48</v>
      </c>
      <c r="T140" s="191" t="s">
        <v>44</v>
      </c>
      <c r="U140" s="191" t="s">
        <v>119</v>
      </c>
      <c r="V140" s="191" t="s">
        <v>1106</v>
      </c>
      <c r="W140" s="191" t="s">
        <v>43</v>
      </c>
      <c r="X140" s="191" t="s">
        <v>44</v>
      </c>
      <c r="Y140" s="191" t="s">
        <v>45</v>
      </c>
      <c r="Z140" s="191" t="s">
        <v>43</v>
      </c>
      <c r="AA140" s="191" t="s">
        <v>49</v>
      </c>
      <c r="AB140" s="191" t="s">
        <v>84</v>
      </c>
      <c r="AC140" s="191" t="s">
        <v>43</v>
      </c>
      <c r="AD140" s="191" t="s">
        <v>72</v>
      </c>
      <c r="AE140" s="191" t="s">
        <v>44</v>
      </c>
      <c r="AF140" s="191" t="s">
        <v>132</v>
      </c>
      <c r="AG140" s="191" t="s">
        <v>43</v>
      </c>
      <c r="AH140" s="191" t="s">
        <v>44</v>
      </c>
      <c r="AI140" s="191" t="s">
        <v>39</v>
      </c>
      <c r="AJ140" s="191" t="s">
        <v>36</v>
      </c>
      <c r="AK140" s="191" t="s">
        <v>109</v>
      </c>
      <c r="AL140" s="191" t="s">
        <v>44</v>
      </c>
      <c r="AM140" s="191" t="s">
        <v>45</v>
      </c>
      <c r="AN140" s="191" t="s">
        <v>44</v>
      </c>
      <c r="AO140" s="191" t="s">
        <v>44</v>
      </c>
      <c r="AP140" s="191" t="s">
        <v>44</v>
      </c>
    </row>
    <row r="141" spans="1:42" ht="29">
      <c r="A141" s="191" t="s">
        <v>1384</v>
      </c>
      <c r="B141" s="190">
        <v>3</v>
      </c>
      <c r="C141" s="190">
        <v>5</v>
      </c>
      <c r="D141" s="190">
        <v>5</v>
      </c>
      <c r="E141" s="191" t="s">
        <v>315</v>
      </c>
      <c r="F141" s="190">
        <v>4</v>
      </c>
      <c r="G141" s="191" t="s">
        <v>36</v>
      </c>
      <c r="H141" s="190">
        <v>1</v>
      </c>
      <c r="I141" s="190">
        <v>140</v>
      </c>
      <c r="J141" s="191" t="s">
        <v>80</v>
      </c>
      <c r="K141" s="191" t="s">
        <v>61</v>
      </c>
      <c r="L141" s="191" t="s">
        <v>67</v>
      </c>
      <c r="M141" s="191" t="s">
        <v>37</v>
      </c>
      <c r="N141" s="191" t="s">
        <v>58</v>
      </c>
      <c r="O141" s="191" t="s">
        <v>288</v>
      </c>
      <c r="P141" s="191" t="s">
        <v>41</v>
      </c>
      <c r="Q141" s="191" t="s">
        <v>78</v>
      </c>
      <c r="R141" s="191" t="s">
        <v>87</v>
      </c>
      <c r="S141" s="191" t="s">
        <v>48</v>
      </c>
      <c r="T141" s="191" t="s">
        <v>44</v>
      </c>
      <c r="U141" s="191" t="s">
        <v>45</v>
      </c>
      <c r="V141" s="191" t="s">
        <v>1106</v>
      </c>
      <c r="W141" s="191" t="s">
        <v>43</v>
      </c>
      <c r="X141" s="191" t="s">
        <v>44</v>
      </c>
      <c r="Y141" s="191" t="s">
        <v>43</v>
      </c>
      <c r="Z141" s="191" t="s">
        <v>43</v>
      </c>
      <c r="AA141" s="191" t="s">
        <v>49</v>
      </c>
      <c r="AB141" s="191" t="s">
        <v>50</v>
      </c>
      <c r="AC141" s="191" t="s">
        <v>43</v>
      </c>
      <c r="AD141" s="191" t="s">
        <v>72</v>
      </c>
      <c r="AE141" s="191" t="s">
        <v>44</v>
      </c>
      <c r="AF141" s="191" t="s">
        <v>95</v>
      </c>
      <c r="AG141" s="191" t="s">
        <v>47</v>
      </c>
      <c r="AH141" s="191" t="s">
        <v>44</v>
      </c>
      <c r="AI141" s="191" t="s">
        <v>134</v>
      </c>
      <c r="AJ141" s="191" t="s">
        <v>36</v>
      </c>
      <c r="AK141" s="191" t="s">
        <v>85</v>
      </c>
      <c r="AL141" s="191" t="s">
        <v>44</v>
      </c>
      <c r="AM141" s="191" t="s">
        <v>89</v>
      </c>
      <c r="AN141" s="191" t="s">
        <v>44</v>
      </c>
      <c r="AO141" s="191" t="s">
        <v>44</v>
      </c>
      <c r="AP141" s="191" t="s">
        <v>44</v>
      </c>
    </row>
    <row r="142" spans="1:42" ht="29">
      <c r="A142" s="191" t="s">
        <v>1385</v>
      </c>
      <c r="B142" s="190">
        <v>3</v>
      </c>
      <c r="C142" s="190">
        <v>2</v>
      </c>
      <c r="D142" s="190">
        <v>3</v>
      </c>
      <c r="E142" s="191" t="s">
        <v>315</v>
      </c>
      <c r="F142" s="190">
        <v>2</v>
      </c>
      <c r="G142" s="191" t="s">
        <v>36</v>
      </c>
      <c r="H142" s="190">
        <v>1</v>
      </c>
      <c r="I142" s="190">
        <v>120</v>
      </c>
      <c r="J142" s="191" t="s">
        <v>65</v>
      </c>
      <c r="K142" s="191" t="s">
        <v>47</v>
      </c>
      <c r="L142" s="191" t="s">
        <v>67</v>
      </c>
      <c r="M142" s="191" t="s">
        <v>37</v>
      </c>
      <c r="N142" s="191" t="s">
        <v>58</v>
      </c>
      <c r="O142" s="191" t="s">
        <v>39</v>
      </c>
      <c r="P142" s="191" t="s">
        <v>41</v>
      </c>
      <c r="Q142" s="191" t="s">
        <v>77</v>
      </c>
      <c r="R142" s="191" t="s">
        <v>42</v>
      </c>
      <c r="S142" s="191" t="s">
        <v>48</v>
      </c>
      <c r="T142" s="191" t="s">
        <v>44</v>
      </c>
      <c r="U142" s="191" t="s">
        <v>119</v>
      </c>
      <c r="V142" s="191" t="s">
        <v>1106</v>
      </c>
      <c r="W142" s="191" t="s">
        <v>47</v>
      </c>
      <c r="X142" s="191" t="s">
        <v>44</v>
      </c>
      <c r="Y142" s="191" t="s">
        <v>43</v>
      </c>
      <c r="Z142" s="191" t="s">
        <v>43</v>
      </c>
      <c r="AA142" s="191" t="s">
        <v>62</v>
      </c>
      <c r="AB142" s="191" t="s">
        <v>50</v>
      </c>
      <c r="AC142" s="191" t="s">
        <v>47</v>
      </c>
      <c r="AD142" s="191" t="s">
        <v>72</v>
      </c>
      <c r="AE142" s="191" t="s">
        <v>44</v>
      </c>
      <c r="AF142" s="191" t="s">
        <v>95</v>
      </c>
      <c r="AG142" s="191" t="s">
        <v>47</v>
      </c>
      <c r="AH142" s="191" t="s">
        <v>44</v>
      </c>
      <c r="AI142" s="191" t="s">
        <v>39</v>
      </c>
      <c r="AJ142" s="191" t="s">
        <v>36</v>
      </c>
      <c r="AK142" s="191" t="s">
        <v>59</v>
      </c>
      <c r="AL142" s="191" t="s">
        <v>44</v>
      </c>
      <c r="AM142" s="191" t="s">
        <v>89</v>
      </c>
      <c r="AN142" s="191" t="s">
        <v>44</v>
      </c>
      <c r="AO142" s="191" t="s">
        <v>44</v>
      </c>
      <c r="AP142" s="191" t="s">
        <v>44</v>
      </c>
    </row>
    <row r="143" spans="1:42" ht="29">
      <c r="A143" s="191" t="s">
        <v>1386</v>
      </c>
      <c r="B143" s="190">
        <v>3</v>
      </c>
      <c r="C143" s="190">
        <v>8</v>
      </c>
      <c r="D143" s="190">
        <v>8</v>
      </c>
      <c r="E143" s="191" t="s">
        <v>307</v>
      </c>
      <c r="F143" s="190">
        <v>4</v>
      </c>
      <c r="G143" s="191" t="s">
        <v>36</v>
      </c>
      <c r="H143" s="190">
        <v>2</v>
      </c>
      <c r="I143" s="190">
        <v>120</v>
      </c>
      <c r="J143" s="191" t="s">
        <v>65</v>
      </c>
      <c r="K143" s="191" t="s">
        <v>47</v>
      </c>
      <c r="L143" s="191" t="s">
        <v>36</v>
      </c>
      <c r="M143" s="191" t="s">
        <v>37</v>
      </c>
      <c r="N143" s="191" t="s">
        <v>58</v>
      </c>
      <c r="O143" s="191" t="s">
        <v>39</v>
      </c>
      <c r="P143" s="191" t="s">
        <v>41</v>
      </c>
      <c r="Q143" s="191" t="s">
        <v>61</v>
      </c>
      <c r="R143" s="191" t="s">
        <v>82</v>
      </c>
      <c r="S143" s="191" t="s">
        <v>48</v>
      </c>
      <c r="T143" s="191" t="s">
        <v>44</v>
      </c>
      <c r="U143" s="191" t="s">
        <v>1118</v>
      </c>
      <c r="V143" s="191" t="s">
        <v>1106</v>
      </c>
      <c r="W143" s="191" t="s">
        <v>45</v>
      </c>
      <c r="X143" s="191" t="s">
        <v>44</v>
      </c>
      <c r="Y143" s="191" t="s">
        <v>45</v>
      </c>
      <c r="Z143" s="191" t="s">
        <v>47</v>
      </c>
      <c r="AA143" s="191" t="s">
        <v>67</v>
      </c>
      <c r="AB143" s="191" t="s">
        <v>84</v>
      </c>
      <c r="AC143" s="191" t="s">
        <v>43</v>
      </c>
      <c r="AD143" s="191" t="s">
        <v>91</v>
      </c>
      <c r="AE143" s="191" t="s">
        <v>44</v>
      </c>
      <c r="AF143" s="191" t="s">
        <v>95</v>
      </c>
      <c r="AG143" s="191" t="s">
        <v>47</v>
      </c>
      <c r="AH143" s="191" t="s">
        <v>44</v>
      </c>
      <c r="AI143" s="191" t="s">
        <v>39</v>
      </c>
      <c r="AJ143" s="191" t="s">
        <v>36</v>
      </c>
      <c r="AK143" s="191" t="s">
        <v>77</v>
      </c>
      <c r="AL143" s="191" t="s">
        <v>44</v>
      </c>
      <c r="AM143" s="191" t="s">
        <v>45</v>
      </c>
      <c r="AN143" s="191" t="s">
        <v>44</v>
      </c>
      <c r="AO143" s="191" t="s">
        <v>44</v>
      </c>
      <c r="AP143" s="191" t="s">
        <v>44</v>
      </c>
    </row>
    <row r="144" spans="1:42" ht="43.5">
      <c r="A144" s="191" t="s">
        <v>1387</v>
      </c>
      <c r="B144" s="190">
        <v>3</v>
      </c>
      <c r="C144" s="190">
        <v>3</v>
      </c>
      <c r="D144" s="190">
        <v>5</v>
      </c>
      <c r="E144" s="191" t="s">
        <v>307</v>
      </c>
      <c r="F144" s="190">
        <v>4</v>
      </c>
      <c r="G144" s="191" t="s">
        <v>36</v>
      </c>
      <c r="H144" s="190">
        <v>1</v>
      </c>
      <c r="I144" s="190">
        <v>90</v>
      </c>
      <c r="J144" s="191" t="s">
        <v>54</v>
      </c>
      <c r="K144" s="191" t="s">
        <v>40</v>
      </c>
      <c r="L144" s="191" t="s">
        <v>103</v>
      </c>
      <c r="M144" s="191" t="s">
        <v>37</v>
      </c>
      <c r="N144" s="191" t="s">
        <v>38</v>
      </c>
      <c r="O144" s="191" t="s">
        <v>99</v>
      </c>
      <c r="P144" s="191" t="s">
        <v>66</v>
      </c>
      <c r="Q144" s="191" t="s">
        <v>43</v>
      </c>
      <c r="R144" s="191" t="s">
        <v>87</v>
      </c>
      <c r="S144" s="191" t="s">
        <v>48</v>
      </c>
      <c r="T144" s="191" t="s">
        <v>44</v>
      </c>
      <c r="U144" s="191" t="s">
        <v>126</v>
      </c>
      <c r="V144" s="191" t="s">
        <v>1106</v>
      </c>
      <c r="W144" s="191" t="s">
        <v>45</v>
      </c>
      <c r="X144" s="191" t="s">
        <v>44</v>
      </c>
      <c r="Y144" s="191" t="s">
        <v>47</v>
      </c>
      <c r="Z144" s="191" t="s">
        <v>40</v>
      </c>
      <c r="AA144" s="191" t="s">
        <v>49</v>
      </c>
      <c r="AB144" s="191" t="s">
        <v>50</v>
      </c>
      <c r="AC144" s="191" t="s">
        <v>43</v>
      </c>
      <c r="AD144" s="191" t="s">
        <v>72</v>
      </c>
      <c r="AE144" s="191" t="s">
        <v>44</v>
      </c>
      <c r="AF144" s="191" t="s">
        <v>95</v>
      </c>
      <c r="AG144" s="191" t="s">
        <v>43</v>
      </c>
      <c r="AH144" s="191" t="s">
        <v>44</v>
      </c>
      <c r="AI144" s="191" t="s">
        <v>39</v>
      </c>
      <c r="AJ144" s="191" t="s">
        <v>36</v>
      </c>
      <c r="AK144" s="191" t="s">
        <v>43</v>
      </c>
      <c r="AL144" s="191" t="s">
        <v>44</v>
      </c>
      <c r="AM144" s="191" t="s">
        <v>45</v>
      </c>
      <c r="AN144" s="191" t="s">
        <v>44</v>
      </c>
      <c r="AO144" s="191" t="s">
        <v>44</v>
      </c>
      <c r="AP144" s="191" t="s">
        <v>44</v>
      </c>
    </row>
    <row r="145" spans="1:42" ht="29">
      <c r="A145" s="191" t="s">
        <v>1388</v>
      </c>
      <c r="B145" s="190">
        <v>3</v>
      </c>
      <c r="C145" s="190">
        <v>7</v>
      </c>
      <c r="D145" s="190">
        <v>9</v>
      </c>
      <c r="E145" s="191" t="s">
        <v>318</v>
      </c>
      <c r="F145" s="190">
        <v>1</v>
      </c>
      <c r="G145" s="191" t="s">
        <v>36</v>
      </c>
      <c r="H145" s="190">
        <v>1</v>
      </c>
      <c r="I145" s="190">
        <v>60</v>
      </c>
      <c r="J145" s="191" t="s">
        <v>65</v>
      </c>
      <c r="K145" s="191" t="s">
        <v>61</v>
      </c>
      <c r="L145" s="191" t="s">
        <v>67</v>
      </c>
      <c r="M145" s="191" t="s">
        <v>37</v>
      </c>
      <c r="N145" s="191" t="s">
        <v>58</v>
      </c>
      <c r="O145" s="191" t="s">
        <v>39</v>
      </c>
      <c r="P145" s="191" t="s">
        <v>41</v>
      </c>
      <c r="Q145" s="191" t="s">
        <v>141</v>
      </c>
      <c r="R145" s="191" t="s">
        <v>42</v>
      </c>
      <c r="S145" s="191" t="s">
        <v>48</v>
      </c>
      <c r="T145" s="191" t="s">
        <v>44</v>
      </c>
      <c r="U145" s="191" t="s">
        <v>61</v>
      </c>
      <c r="V145" s="191" t="s">
        <v>1106</v>
      </c>
      <c r="W145" s="191" t="s">
        <v>43</v>
      </c>
      <c r="X145" s="191" t="s">
        <v>44</v>
      </c>
      <c r="Y145" s="191" t="s">
        <v>61</v>
      </c>
      <c r="Z145" s="191" t="s">
        <v>47</v>
      </c>
      <c r="AA145" s="191" t="s">
        <v>62</v>
      </c>
      <c r="AB145" s="191" t="s">
        <v>84</v>
      </c>
      <c r="AC145" s="191" t="s">
        <v>43</v>
      </c>
      <c r="AD145" s="191" t="s">
        <v>72</v>
      </c>
      <c r="AE145" s="191" t="s">
        <v>44</v>
      </c>
      <c r="AF145" s="191" t="s">
        <v>95</v>
      </c>
      <c r="AG145" s="191" t="s">
        <v>47</v>
      </c>
      <c r="AH145" s="191" t="s">
        <v>44</v>
      </c>
      <c r="AI145" s="191" t="s">
        <v>39</v>
      </c>
      <c r="AJ145" s="191" t="s">
        <v>36</v>
      </c>
      <c r="AK145" s="191" t="s">
        <v>92</v>
      </c>
      <c r="AL145" s="191" t="s">
        <v>44</v>
      </c>
      <c r="AM145" s="191" t="s">
        <v>45</v>
      </c>
      <c r="AN145" s="191" t="s">
        <v>44</v>
      </c>
      <c r="AO145" s="191" t="s">
        <v>44</v>
      </c>
      <c r="AP145" s="191" t="s">
        <v>44</v>
      </c>
    </row>
    <row r="146" spans="1:42" ht="29">
      <c r="A146" s="191" t="s">
        <v>1389</v>
      </c>
      <c r="B146" s="190">
        <v>3</v>
      </c>
      <c r="C146" s="190">
        <v>2</v>
      </c>
      <c r="D146" s="190">
        <v>6</v>
      </c>
      <c r="E146" s="191" t="s">
        <v>315</v>
      </c>
      <c r="F146" s="190">
        <v>3</v>
      </c>
      <c r="G146" s="191" t="s">
        <v>36</v>
      </c>
      <c r="H146" s="190">
        <v>1</v>
      </c>
      <c r="I146" s="190">
        <v>90</v>
      </c>
      <c r="J146" s="191" t="s">
        <v>65</v>
      </c>
      <c r="K146" s="191" t="s">
        <v>61</v>
      </c>
      <c r="L146" s="191" t="s">
        <v>36</v>
      </c>
      <c r="M146" s="191" t="s">
        <v>37</v>
      </c>
      <c r="N146" s="191" t="s">
        <v>58</v>
      </c>
      <c r="O146" s="191" t="s">
        <v>39</v>
      </c>
      <c r="P146" s="191" t="s">
        <v>41</v>
      </c>
      <c r="Q146" s="191" t="s">
        <v>40</v>
      </c>
      <c r="R146" s="191" t="s">
        <v>42</v>
      </c>
      <c r="S146" s="191" t="s">
        <v>48</v>
      </c>
      <c r="T146" s="191" t="s">
        <v>44</v>
      </c>
      <c r="U146" s="191" t="s">
        <v>117</v>
      </c>
      <c r="V146" s="191" t="s">
        <v>1106</v>
      </c>
      <c r="W146" s="191" t="s">
        <v>43</v>
      </c>
      <c r="X146" s="191" t="s">
        <v>44</v>
      </c>
      <c r="Y146" s="191" t="s">
        <v>43</v>
      </c>
      <c r="Z146" s="191" t="s">
        <v>46</v>
      </c>
      <c r="AA146" s="191" t="s">
        <v>62</v>
      </c>
      <c r="AB146" s="191" t="s">
        <v>50</v>
      </c>
      <c r="AC146" s="191" t="s">
        <v>43</v>
      </c>
      <c r="AD146" s="191" t="s">
        <v>91</v>
      </c>
      <c r="AE146" s="191" t="s">
        <v>44</v>
      </c>
      <c r="AF146" s="191" t="s">
        <v>95</v>
      </c>
      <c r="AG146" s="191" t="s">
        <v>47</v>
      </c>
      <c r="AH146" s="191" t="s">
        <v>44</v>
      </c>
      <c r="AI146" s="191" t="s">
        <v>39</v>
      </c>
      <c r="AJ146" s="191" t="s">
        <v>36</v>
      </c>
      <c r="AK146" s="191" t="s">
        <v>43</v>
      </c>
      <c r="AL146" s="191" t="s">
        <v>44</v>
      </c>
      <c r="AM146" s="191" t="s">
        <v>45</v>
      </c>
      <c r="AN146" s="191" t="s">
        <v>44</v>
      </c>
      <c r="AO146" s="191" t="s">
        <v>44</v>
      </c>
      <c r="AP146" s="191" t="s">
        <v>44</v>
      </c>
    </row>
    <row r="147" spans="1:42" ht="43.5">
      <c r="A147" s="191" t="s">
        <v>1390</v>
      </c>
      <c r="B147" s="190">
        <v>3</v>
      </c>
      <c r="C147" s="190">
        <v>3</v>
      </c>
      <c r="D147" s="190">
        <v>9</v>
      </c>
      <c r="E147" s="191" t="s">
        <v>315</v>
      </c>
      <c r="F147" s="190">
        <v>3</v>
      </c>
      <c r="G147" s="191" t="s">
        <v>36</v>
      </c>
      <c r="H147" s="190">
        <v>1</v>
      </c>
      <c r="I147" s="190">
        <v>94</v>
      </c>
      <c r="J147" s="191" t="s">
        <v>36</v>
      </c>
      <c r="K147" s="191" t="s">
        <v>61</v>
      </c>
      <c r="L147" s="191" t="s">
        <v>67</v>
      </c>
      <c r="M147" s="191" t="s">
        <v>37</v>
      </c>
      <c r="N147" s="191" t="s">
        <v>95</v>
      </c>
      <c r="O147" s="191" t="s">
        <v>288</v>
      </c>
      <c r="P147" s="191" t="s">
        <v>56</v>
      </c>
      <c r="Q147" s="191" t="s">
        <v>40</v>
      </c>
      <c r="R147" s="191" t="s">
        <v>87</v>
      </c>
      <c r="S147" s="191" t="s">
        <v>48</v>
      </c>
      <c r="T147" s="191" t="s">
        <v>44</v>
      </c>
      <c r="U147" s="191" t="s">
        <v>46</v>
      </c>
      <c r="V147" s="191" t="s">
        <v>1106</v>
      </c>
      <c r="W147" s="191" t="s">
        <v>43</v>
      </c>
      <c r="X147" s="191" t="s">
        <v>44</v>
      </c>
      <c r="Y147" s="191" t="s">
        <v>45</v>
      </c>
      <c r="Z147" s="191" t="s">
        <v>46</v>
      </c>
      <c r="AA147" s="191" t="s">
        <v>49</v>
      </c>
      <c r="AB147" s="191" t="s">
        <v>50</v>
      </c>
      <c r="AC147" s="191" t="s">
        <v>43</v>
      </c>
      <c r="AD147" s="191" t="s">
        <v>36</v>
      </c>
      <c r="AE147" s="191" t="s">
        <v>44</v>
      </c>
      <c r="AF147" s="191" t="s">
        <v>95</v>
      </c>
      <c r="AG147" s="191" t="s">
        <v>43</v>
      </c>
      <c r="AH147" s="191" t="s">
        <v>44</v>
      </c>
      <c r="AI147" s="191" t="s">
        <v>39</v>
      </c>
      <c r="AJ147" s="191" t="s">
        <v>36</v>
      </c>
      <c r="AK147" s="191" t="s">
        <v>43</v>
      </c>
      <c r="AL147" s="191" t="s">
        <v>44</v>
      </c>
      <c r="AM147" s="191" t="s">
        <v>45</v>
      </c>
      <c r="AN147" s="191" t="s">
        <v>44</v>
      </c>
      <c r="AO147" s="191" t="s">
        <v>44</v>
      </c>
      <c r="AP147" s="191" t="s">
        <v>44</v>
      </c>
    </row>
    <row r="148" spans="1:42" ht="43.5">
      <c r="A148" s="191" t="s">
        <v>1391</v>
      </c>
      <c r="B148" s="190">
        <v>3</v>
      </c>
      <c r="C148" s="190">
        <v>6</v>
      </c>
      <c r="D148" s="190">
        <v>6</v>
      </c>
      <c r="E148" s="191" t="s">
        <v>315</v>
      </c>
      <c r="F148" s="190">
        <v>4</v>
      </c>
      <c r="G148" s="191" t="s">
        <v>36</v>
      </c>
      <c r="H148" s="190">
        <v>1</v>
      </c>
      <c r="I148" s="190">
        <v>170</v>
      </c>
      <c r="J148" s="191" t="s">
        <v>34</v>
      </c>
      <c r="K148" s="191" t="s">
        <v>81</v>
      </c>
      <c r="L148" s="191" t="s">
        <v>67</v>
      </c>
      <c r="M148" s="191" t="s">
        <v>37</v>
      </c>
      <c r="N148" s="191" t="s">
        <v>58</v>
      </c>
      <c r="O148" s="191" t="s">
        <v>39</v>
      </c>
      <c r="P148" s="191" t="s">
        <v>41</v>
      </c>
      <c r="Q148" s="191" t="s">
        <v>77</v>
      </c>
      <c r="R148" s="191" t="s">
        <v>87</v>
      </c>
      <c r="S148" s="191" t="s">
        <v>133</v>
      </c>
      <c r="T148" s="191" t="s">
        <v>44</v>
      </c>
      <c r="U148" s="191" t="s">
        <v>117</v>
      </c>
      <c r="V148" s="191" t="s">
        <v>1106</v>
      </c>
      <c r="W148" s="191" t="s">
        <v>43</v>
      </c>
      <c r="X148" s="191" t="s">
        <v>44</v>
      </c>
      <c r="Y148" s="191" t="s">
        <v>45</v>
      </c>
      <c r="Z148" s="191" t="s">
        <v>43</v>
      </c>
      <c r="AA148" s="191" t="s">
        <v>49</v>
      </c>
      <c r="AB148" s="191" t="s">
        <v>84</v>
      </c>
      <c r="AC148" s="191" t="s">
        <v>43</v>
      </c>
      <c r="AD148" s="191" t="s">
        <v>91</v>
      </c>
      <c r="AE148" s="191" t="s">
        <v>44</v>
      </c>
      <c r="AF148" s="191" t="s">
        <v>95</v>
      </c>
      <c r="AG148" s="191" t="s">
        <v>43</v>
      </c>
      <c r="AH148" s="191" t="s">
        <v>44</v>
      </c>
      <c r="AI148" s="191" t="s">
        <v>39</v>
      </c>
      <c r="AJ148" s="191" t="s">
        <v>36</v>
      </c>
      <c r="AK148" s="191" t="s">
        <v>73</v>
      </c>
      <c r="AL148" s="191" t="s">
        <v>44</v>
      </c>
      <c r="AM148" s="191" t="s">
        <v>74</v>
      </c>
      <c r="AN148" s="191" t="s">
        <v>44</v>
      </c>
      <c r="AO148" s="191" t="s">
        <v>44</v>
      </c>
      <c r="AP148" s="191" t="s">
        <v>44</v>
      </c>
    </row>
    <row r="149" spans="1:42" ht="29">
      <c r="A149" s="191" t="s">
        <v>1392</v>
      </c>
      <c r="B149" s="190">
        <v>3</v>
      </c>
      <c r="C149" s="190">
        <v>5</v>
      </c>
      <c r="D149" s="190">
        <v>5</v>
      </c>
      <c r="E149" s="191" t="s">
        <v>311</v>
      </c>
      <c r="F149" s="190">
        <v>2</v>
      </c>
      <c r="G149" s="191" t="s">
        <v>36</v>
      </c>
      <c r="H149" s="190">
        <v>1</v>
      </c>
      <c r="I149" s="190">
        <v>139</v>
      </c>
      <c r="J149" s="191" t="s">
        <v>80</v>
      </c>
      <c r="K149" s="191" t="s">
        <v>61</v>
      </c>
      <c r="L149" s="191" t="s">
        <v>36</v>
      </c>
      <c r="M149" s="191" t="s">
        <v>37</v>
      </c>
      <c r="N149" s="191" t="s">
        <v>58</v>
      </c>
      <c r="O149" s="191" t="s">
        <v>288</v>
      </c>
      <c r="P149" s="191" t="s">
        <v>123</v>
      </c>
      <c r="Q149" s="191" t="s">
        <v>89</v>
      </c>
      <c r="R149" s="191" t="s">
        <v>60</v>
      </c>
      <c r="S149" s="191" t="s">
        <v>48</v>
      </c>
      <c r="T149" s="191" t="s">
        <v>44</v>
      </c>
      <c r="U149" s="191" t="s">
        <v>44</v>
      </c>
      <c r="V149" s="191" t="s">
        <v>44</v>
      </c>
      <c r="W149" s="191" t="s">
        <v>45</v>
      </c>
      <c r="X149" s="191" t="s">
        <v>44</v>
      </c>
      <c r="Y149" s="191" t="s">
        <v>45</v>
      </c>
      <c r="Z149" s="191" t="s">
        <v>43</v>
      </c>
      <c r="AA149" s="191" t="s">
        <v>67</v>
      </c>
      <c r="AB149" s="191" t="s">
        <v>67</v>
      </c>
      <c r="AC149" s="191" t="s">
        <v>43</v>
      </c>
      <c r="AD149" s="191" t="s">
        <v>36</v>
      </c>
      <c r="AE149" s="191" t="s">
        <v>44</v>
      </c>
      <c r="AF149" s="191" t="s">
        <v>95</v>
      </c>
      <c r="AG149" s="191" t="s">
        <v>47</v>
      </c>
      <c r="AH149" s="191" t="s">
        <v>44</v>
      </c>
      <c r="AI149" s="191" t="s">
        <v>134</v>
      </c>
      <c r="AJ149" s="191" t="s">
        <v>36</v>
      </c>
      <c r="AK149" s="191" t="s">
        <v>73</v>
      </c>
      <c r="AL149" s="191" t="s">
        <v>44</v>
      </c>
      <c r="AM149" s="191" t="s">
        <v>74</v>
      </c>
      <c r="AN149" s="191" t="s">
        <v>44</v>
      </c>
      <c r="AO149" s="191" t="s">
        <v>44</v>
      </c>
      <c r="AP149" s="191" t="s">
        <v>44</v>
      </c>
    </row>
    <row r="150" spans="1:42" ht="43.5">
      <c r="A150" s="191" t="s">
        <v>1393</v>
      </c>
      <c r="B150" s="190">
        <v>3</v>
      </c>
      <c r="C150" s="190">
        <v>7</v>
      </c>
      <c r="D150" s="190">
        <v>9</v>
      </c>
      <c r="E150" s="191" t="s">
        <v>318</v>
      </c>
      <c r="F150" s="190">
        <v>1</v>
      </c>
      <c r="G150" s="191" t="s">
        <v>36</v>
      </c>
      <c r="H150" s="190">
        <v>1</v>
      </c>
      <c r="I150" s="190">
        <v>100</v>
      </c>
      <c r="J150" s="191" t="s">
        <v>54</v>
      </c>
      <c r="K150" s="191" t="s">
        <v>92</v>
      </c>
      <c r="L150" s="191" t="s">
        <v>36</v>
      </c>
      <c r="M150" s="191" t="s">
        <v>37</v>
      </c>
      <c r="N150" s="191" t="s">
        <v>58</v>
      </c>
      <c r="O150" s="191" t="s">
        <v>288</v>
      </c>
      <c r="P150" s="191" t="s">
        <v>66</v>
      </c>
      <c r="Q150" s="191" t="s">
        <v>43</v>
      </c>
      <c r="R150" s="191" t="s">
        <v>60</v>
      </c>
      <c r="S150" s="191" t="s">
        <v>48</v>
      </c>
      <c r="T150" s="191" t="s">
        <v>44</v>
      </c>
      <c r="U150" s="191" t="s">
        <v>43</v>
      </c>
      <c r="V150" s="191" t="s">
        <v>1106</v>
      </c>
      <c r="W150" s="191" t="s">
        <v>40</v>
      </c>
      <c r="X150" s="191" t="s">
        <v>44</v>
      </c>
      <c r="Y150" s="191" t="s">
        <v>45</v>
      </c>
      <c r="Z150" s="191" t="s">
        <v>43</v>
      </c>
      <c r="AA150" s="191" t="s">
        <v>62</v>
      </c>
      <c r="AB150" s="191" t="s">
        <v>50</v>
      </c>
      <c r="AC150" s="191" t="s">
        <v>43</v>
      </c>
      <c r="AD150" s="191" t="s">
        <v>51</v>
      </c>
      <c r="AE150" s="191" t="s">
        <v>44</v>
      </c>
      <c r="AF150" s="191" t="s">
        <v>52</v>
      </c>
      <c r="AG150" s="191" t="s">
        <v>47</v>
      </c>
      <c r="AH150" s="191" t="s">
        <v>44</v>
      </c>
      <c r="AI150" s="191" t="s">
        <v>134</v>
      </c>
      <c r="AJ150" s="191" t="s">
        <v>36</v>
      </c>
      <c r="AK150" s="191" t="s">
        <v>57</v>
      </c>
      <c r="AL150" s="191" t="s">
        <v>44</v>
      </c>
      <c r="AM150" s="191" t="s">
        <v>126</v>
      </c>
      <c r="AN150" s="191" t="s">
        <v>44</v>
      </c>
      <c r="AO150" s="191" t="s">
        <v>44</v>
      </c>
      <c r="AP150" s="191" t="s">
        <v>44</v>
      </c>
    </row>
    <row r="151" spans="1:42" ht="29">
      <c r="A151" s="191" t="s">
        <v>1394</v>
      </c>
      <c r="B151" s="190">
        <v>3</v>
      </c>
      <c r="C151" s="190">
        <v>5</v>
      </c>
      <c r="D151" s="190">
        <v>3</v>
      </c>
      <c r="E151" s="191" t="s">
        <v>311</v>
      </c>
      <c r="F151" s="190">
        <v>3</v>
      </c>
      <c r="G151" s="191" t="s">
        <v>36</v>
      </c>
      <c r="H151" s="190">
        <v>1</v>
      </c>
      <c r="I151" s="190">
        <v>137.76</v>
      </c>
      <c r="J151" s="191" t="s">
        <v>54</v>
      </c>
      <c r="K151" s="191" t="s">
        <v>61</v>
      </c>
      <c r="L151" s="191" t="s">
        <v>55</v>
      </c>
      <c r="M151" s="191" t="s">
        <v>37</v>
      </c>
      <c r="N151" s="191" t="s">
        <v>38</v>
      </c>
      <c r="O151" s="191" t="s">
        <v>288</v>
      </c>
      <c r="P151" s="191" t="s">
        <v>102</v>
      </c>
      <c r="Q151" s="191" t="s">
        <v>61</v>
      </c>
      <c r="R151" s="191" t="s">
        <v>42</v>
      </c>
      <c r="S151" s="191" t="s">
        <v>48</v>
      </c>
      <c r="T151" s="191" t="s">
        <v>44</v>
      </c>
      <c r="U151" s="191" t="s">
        <v>44</v>
      </c>
      <c r="V151" s="191" t="s">
        <v>44</v>
      </c>
      <c r="W151" s="191" t="s">
        <v>47</v>
      </c>
      <c r="X151" s="191" t="s">
        <v>44</v>
      </c>
      <c r="Y151" s="191" t="s">
        <v>45</v>
      </c>
      <c r="Z151" s="191" t="s">
        <v>43</v>
      </c>
      <c r="AA151" s="191" t="s">
        <v>49</v>
      </c>
      <c r="AB151" s="191" t="s">
        <v>84</v>
      </c>
      <c r="AC151" s="191" t="s">
        <v>43</v>
      </c>
      <c r="AD151" s="191" t="s">
        <v>72</v>
      </c>
      <c r="AE151" s="191" t="s">
        <v>44</v>
      </c>
      <c r="AF151" s="191" t="s">
        <v>95</v>
      </c>
      <c r="AG151" s="191" t="s">
        <v>43</v>
      </c>
      <c r="AH151" s="191" t="s">
        <v>44</v>
      </c>
      <c r="AI151" s="191" t="s">
        <v>134</v>
      </c>
      <c r="AJ151" s="191" t="s">
        <v>36</v>
      </c>
      <c r="AK151" s="191" t="s">
        <v>150</v>
      </c>
      <c r="AL151" s="191" t="s">
        <v>44</v>
      </c>
      <c r="AM151" s="191" t="s">
        <v>74</v>
      </c>
      <c r="AN151" s="191" t="s">
        <v>44</v>
      </c>
      <c r="AO151" s="191" t="s">
        <v>44</v>
      </c>
      <c r="AP151" s="191" t="s">
        <v>44</v>
      </c>
    </row>
    <row r="152" spans="1:42" ht="43.5">
      <c r="A152" s="191" t="s">
        <v>1395</v>
      </c>
      <c r="B152" s="190">
        <v>3</v>
      </c>
      <c r="C152" s="190">
        <v>7</v>
      </c>
      <c r="D152" s="190">
        <v>3</v>
      </c>
      <c r="E152" s="191" t="s">
        <v>315</v>
      </c>
      <c r="F152" s="190">
        <v>3</v>
      </c>
      <c r="G152" s="191" t="s">
        <v>36</v>
      </c>
      <c r="H152" s="190">
        <v>1</v>
      </c>
      <c r="I152" s="190">
        <v>140</v>
      </c>
      <c r="J152" s="191" t="s">
        <v>54</v>
      </c>
      <c r="K152" s="191" t="s">
        <v>40</v>
      </c>
      <c r="L152" s="191" t="s">
        <v>36</v>
      </c>
      <c r="M152" s="191" t="s">
        <v>37</v>
      </c>
      <c r="N152" s="191" t="s">
        <v>58</v>
      </c>
      <c r="O152" s="191" t="s">
        <v>288</v>
      </c>
      <c r="P152" s="191" t="s">
        <v>56</v>
      </c>
      <c r="Q152" s="191" t="s">
        <v>78</v>
      </c>
      <c r="R152" s="191" t="s">
        <v>42</v>
      </c>
      <c r="S152" s="191" t="s">
        <v>48</v>
      </c>
      <c r="T152" s="191" t="s">
        <v>44</v>
      </c>
      <c r="U152" s="191" t="s">
        <v>61</v>
      </c>
      <c r="V152" s="191" t="s">
        <v>1106</v>
      </c>
      <c r="W152" s="191" t="s">
        <v>43</v>
      </c>
      <c r="X152" s="191" t="s">
        <v>44</v>
      </c>
      <c r="Y152" s="191" t="s">
        <v>43</v>
      </c>
      <c r="Z152" s="191" t="s">
        <v>43</v>
      </c>
      <c r="AA152" s="191" t="s">
        <v>49</v>
      </c>
      <c r="AB152" s="191" t="s">
        <v>84</v>
      </c>
      <c r="AC152" s="191" t="s">
        <v>47</v>
      </c>
      <c r="AD152" s="191" t="s">
        <v>72</v>
      </c>
      <c r="AE152" s="191" t="s">
        <v>44</v>
      </c>
      <c r="AF152" s="191" t="s">
        <v>95</v>
      </c>
      <c r="AG152" s="191" t="s">
        <v>43</v>
      </c>
      <c r="AH152" s="191" t="s">
        <v>44</v>
      </c>
      <c r="AI152" s="191" t="s">
        <v>39</v>
      </c>
      <c r="AJ152" s="191" t="s">
        <v>36</v>
      </c>
      <c r="AK152" s="191" t="s">
        <v>71</v>
      </c>
      <c r="AL152" s="191" t="s">
        <v>44</v>
      </c>
      <c r="AM152" s="191" t="s">
        <v>45</v>
      </c>
      <c r="AN152" s="191" t="s">
        <v>44</v>
      </c>
      <c r="AO152" s="191" t="s">
        <v>44</v>
      </c>
      <c r="AP152" s="191" t="s">
        <v>44</v>
      </c>
    </row>
    <row r="153" spans="1:42" ht="29">
      <c r="A153" s="191" t="s">
        <v>1396</v>
      </c>
      <c r="B153" s="190">
        <v>3</v>
      </c>
      <c r="C153" s="190">
        <v>5</v>
      </c>
      <c r="D153" s="190">
        <v>9</v>
      </c>
      <c r="E153" s="191" t="s">
        <v>315</v>
      </c>
      <c r="F153" s="190">
        <v>2</v>
      </c>
      <c r="G153" s="191" t="s">
        <v>36</v>
      </c>
      <c r="H153" s="190">
        <v>1</v>
      </c>
      <c r="I153" s="190">
        <v>150</v>
      </c>
      <c r="J153" s="191" t="s">
        <v>54</v>
      </c>
      <c r="K153" s="191" t="s">
        <v>47</v>
      </c>
      <c r="L153" s="191" t="s">
        <v>36</v>
      </c>
      <c r="M153" s="191" t="s">
        <v>37</v>
      </c>
      <c r="N153" s="191" t="s">
        <v>38</v>
      </c>
      <c r="O153" s="191" t="s">
        <v>288</v>
      </c>
      <c r="P153" s="191" t="s">
        <v>41</v>
      </c>
      <c r="Q153" s="191" t="s">
        <v>90</v>
      </c>
      <c r="R153" s="191" t="s">
        <v>42</v>
      </c>
      <c r="S153" s="191" t="s">
        <v>48</v>
      </c>
      <c r="T153" s="191" t="s">
        <v>44</v>
      </c>
      <c r="U153" s="191" t="s">
        <v>43</v>
      </c>
      <c r="V153" s="191" t="s">
        <v>1106</v>
      </c>
      <c r="W153" s="191" t="s">
        <v>43</v>
      </c>
      <c r="X153" s="191" t="s">
        <v>44</v>
      </c>
      <c r="Y153" s="191" t="s">
        <v>47</v>
      </c>
      <c r="Z153" s="191" t="s">
        <v>43</v>
      </c>
      <c r="AA153" s="191" t="s">
        <v>62</v>
      </c>
      <c r="AB153" s="191" t="s">
        <v>84</v>
      </c>
      <c r="AC153" s="191" t="s">
        <v>43</v>
      </c>
      <c r="AD153" s="191" t="s">
        <v>72</v>
      </c>
      <c r="AE153" s="191" t="s">
        <v>44</v>
      </c>
      <c r="AF153" s="191" t="s">
        <v>95</v>
      </c>
      <c r="AG153" s="191" t="s">
        <v>47</v>
      </c>
      <c r="AH153" s="191" t="s">
        <v>44</v>
      </c>
      <c r="AI153" s="191" t="s">
        <v>134</v>
      </c>
      <c r="AJ153" s="191" t="s">
        <v>36</v>
      </c>
      <c r="AK153" s="191" t="s">
        <v>57</v>
      </c>
      <c r="AL153" s="191" t="s">
        <v>44</v>
      </c>
      <c r="AM153" s="191" t="s">
        <v>45</v>
      </c>
      <c r="AN153" s="191" t="s">
        <v>44</v>
      </c>
      <c r="AO153" s="191" t="s">
        <v>44</v>
      </c>
      <c r="AP153" s="191" t="s">
        <v>44</v>
      </c>
    </row>
    <row r="154" spans="1:42" ht="43.5">
      <c r="A154" s="191" t="s">
        <v>1397</v>
      </c>
      <c r="B154" s="190">
        <v>3</v>
      </c>
      <c r="C154" s="190">
        <v>7</v>
      </c>
      <c r="D154" s="190">
        <v>7</v>
      </c>
      <c r="E154" s="191" t="s">
        <v>318</v>
      </c>
      <c r="F154" s="190">
        <v>2</v>
      </c>
      <c r="G154" s="191" t="s">
        <v>36</v>
      </c>
      <c r="H154" s="190">
        <v>1</v>
      </c>
      <c r="I154" s="190">
        <v>400</v>
      </c>
      <c r="J154" s="191" t="s">
        <v>65</v>
      </c>
      <c r="K154" s="191" t="s">
        <v>40</v>
      </c>
      <c r="L154" s="191" t="s">
        <v>36</v>
      </c>
      <c r="M154" s="191" t="s">
        <v>37</v>
      </c>
      <c r="N154" s="191" t="s">
        <v>38</v>
      </c>
      <c r="O154" s="191" t="s">
        <v>288</v>
      </c>
      <c r="P154" s="191" t="s">
        <v>56</v>
      </c>
      <c r="Q154" s="191" t="s">
        <v>83</v>
      </c>
      <c r="R154" s="191" t="s">
        <v>42</v>
      </c>
      <c r="S154" s="191" t="s">
        <v>48</v>
      </c>
      <c r="T154" s="191" t="s">
        <v>44</v>
      </c>
      <c r="U154" s="191" t="s">
        <v>45</v>
      </c>
      <c r="V154" s="191" t="s">
        <v>1106</v>
      </c>
      <c r="W154" s="191" t="s">
        <v>47</v>
      </c>
      <c r="X154" s="191" t="s">
        <v>44</v>
      </c>
      <c r="Y154" s="191" t="s">
        <v>61</v>
      </c>
      <c r="Z154" s="191" t="s">
        <v>43</v>
      </c>
      <c r="AA154" s="191" t="s">
        <v>49</v>
      </c>
      <c r="AB154" s="191" t="s">
        <v>84</v>
      </c>
      <c r="AC154" s="191" t="s">
        <v>43</v>
      </c>
      <c r="AD154" s="191" t="s">
        <v>51</v>
      </c>
      <c r="AE154" s="191" t="s">
        <v>44</v>
      </c>
      <c r="AF154" s="191" t="s">
        <v>95</v>
      </c>
      <c r="AG154" s="191" t="s">
        <v>47</v>
      </c>
      <c r="AH154" s="191" t="s">
        <v>44</v>
      </c>
      <c r="AI154" s="191" t="s">
        <v>134</v>
      </c>
      <c r="AJ154" s="191" t="s">
        <v>36</v>
      </c>
      <c r="AK154" s="191" t="s">
        <v>59</v>
      </c>
      <c r="AL154" s="191" t="s">
        <v>44</v>
      </c>
      <c r="AM154" s="191" t="s">
        <v>1247</v>
      </c>
      <c r="AN154" s="191" t="s">
        <v>44</v>
      </c>
      <c r="AO154" s="191" t="s">
        <v>44</v>
      </c>
      <c r="AP154" s="191" t="s">
        <v>44</v>
      </c>
    </row>
    <row r="155" spans="1:42" ht="29">
      <c r="A155" s="191" t="s">
        <v>1398</v>
      </c>
      <c r="B155" s="190">
        <v>3</v>
      </c>
      <c r="C155" s="190">
        <v>7</v>
      </c>
      <c r="D155" s="190">
        <v>7</v>
      </c>
      <c r="E155" s="191" t="s">
        <v>318</v>
      </c>
      <c r="F155" s="190">
        <v>3</v>
      </c>
      <c r="G155" s="191" t="s">
        <v>36</v>
      </c>
      <c r="H155" s="190">
        <v>1</v>
      </c>
      <c r="I155" s="190">
        <v>110</v>
      </c>
      <c r="J155" s="191" t="s">
        <v>80</v>
      </c>
      <c r="K155" s="191" t="s">
        <v>61</v>
      </c>
      <c r="L155" s="191" t="s">
        <v>36</v>
      </c>
      <c r="M155" s="191" t="s">
        <v>37</v>
      </c>
      <c r="N155" s="191" t="s">
        <v>58</v>
      </c>
      <c r="O155" s="191" t="s">
        <v>288</v>
      </c>
      <c r="P155" s="191" t="s">
        <v>41</v>
      </c>
      <c r="Q155" s="191" t="s">
        <v>40</v>
      </c>
      <c r="R155" s="191" t="s">
        <v>60</v>
      </c>
      <c r="S155" s="191" t="s">
        <v>48</v>
      </c>
      <c r="T155" s="191" t="s">
        <v>44</v>
      </c>
      <c r="U155" s="191" t="s">
        <v>126</v>
      </c>
      <c r="V155" s="191" t="s">
        <v>1106</v>
      </c>
      <c r="W155" s="191" t="s">
        <v>43</v>
      </c>
      <c r="X155" s="191" t="s">
        <v>44</v>
      </c>
      <c r="Y155" s="191" t="s">
        <v>45</v>
      </c>
      <c r="Z155" s="191" t="s">
        <v>43</v>
      </c>
      <c r="AA155" s="191" t="s">
        <v>62</v>
      </c>
      <c r="AB155" s="191" t="s">
        <v>50</v>
      </c>
      <c r="AC155" s="191" t="s">
        <v>43</v>
      </c>
      <c r="AD155" s="191" t="s">
        <v>72</v>
      </c>
      <c r="AE155" s="191" t="s">
        <v>44</v>
      </c>
      <c r="AF155" s="191" t="s">
        <v>52</v>
      </c>
      <c r="AG155" s="191" t="s">
        <v>47</v>
      </c>
      <c r="AH155" s="191" t="s">
        <v>44</v>
      </c>
      <c r="AI155" s="191" t="s">
        <v>134</v>
      </c>
      <c r="AJ155" s="191" t="s">
        <v>36</v>
      </c>
      <c r="AK155" s="191" t="s">
        <v>35</v>
      </c>
      <c r="AL155" s="191" t="s">
        <v>44</v>
      </c>
      <c r="AM155" s="191" t="s">
        <v>45</v>
      </c>
      <c r="AN155" s="191" t="s">
        <v>44</v>
      </c>
      <c r="AO155" s="191" t="s">
        <v>44</v>
      </c>
      <c r="AP155" s="191" t="s">
        <v>44</v>
      </c>
    </row>
    <row r="156" spans="1:42" ht="29">
      <c r="A156" s="191" t="s">
        <v>1399</v>
      </c>
      <c r="B156" s="190">
        <v>3</v>
      </c>
      <c r="C156" s="190">
        <v>7</v>
      </c>
      <c r="D156" s="190">
        <v>7</v>
      </c>
      <c r="E156" s="191" t="s">
        <v>315</v>
      </c>
      <c r="F156" s="190">
        <v>2</v>
      </c>
      <c r="G156" s="191" t="s">
        <v>36</v>
      </c>
      <c r="H156" s="190">
        <v>1</v>
      </c>
      <c r="I156" s="190">
        <v>100</v>
      </c>
      <c r="J156" s="191" t="s">
        <v>65</v>
      </c>
      <c r="K156" s="191" t="s">
        <v>61</v>
      </c>
      <c r="L156" s="191" t="s">
        <v>36</v>
      </c>
      <c r="M156" s="191" t="s">
        <v>37</v>
      </c>
      <c r="N156" s="191" t="s">
        <v>95</v>
      </c>
      <c r="O156" s="191" t="s">
        <v>39</v>
      </c>
      <c r="P156" s="191" t="s">
        <v>41</v>
      </c>
      <c r="Q156" s="191" t="s">
        <v>77</v>
      </c>
      <c r="R156" s="191" t="s">
        <v>36</v>
      </c>
      <c r="S156" s="191" t="s">
        <v>48</v>
      </c>
      <c r="T156" s="191" t="s">
        <v>44</v>
      </c>
      <c r="U156" s="191" t="s">
        <v>1111</v>
      </c>
      <c r="V156" s="191" t="s">
        <v>1106</v>
      </c>
      <c r="W156" s="191" t="s">
        <v>43</v>
      </c>
      <c r="X156" s="191" t="s">
        <v>44</v>
      </c>
      <c r="Y156" s="191" t="s">
        <v>45</v>
      </c>
      <c r="Z156" s="191" t="s">
        <v>43</v>
      </c>
      <c r="AA156" s="191" t="s">
        <v>49</v>
      </c>
      <c r="AB156" s="191" t="s">
        <v>50</v>
      </c>
      <c r="AC156" s="191" t="s">
        <v>43</v>
      </c>
      <c r="AD156" s="191" t="s">
        <v>72</v>
      </c>
      <c r="AE156" s="191" t="s">
        <v>44</v>
      </c>
      <c r="AF156" s="191" t="s">
        <v>95</v>
      </c>
      <c r="AG156" s="191" t="s">
        <v>47</v>
      </c>
      <c r="AH156" s="191" t="s">
        <v>44</v>
      </c>
      <c r="AI156" s="191" t="s">
        <v>39</v>
      </c>
      <c r="AJ156" s="191" t="s">
        <v>36</v>
      </c>
      <c r="AK156" s="191" t="s">
        <v>59</v>
      </c>
      <c r="AL156" s="191" t="s">
        <v>44</v>
      </c>
      <c r="AM156" s="191" t="s">
        <v>45</v>
      </c>
      <c r="AN156" s="191" t="s">
        <v>44</v>
      </c>
      <c r="AO156" s="191" t="s">
        <v>44</v>
      </c>
      <c r="AP156" s="191" t="s">
        <v>44</v>
      </c>
    </row>
    <row r="157" spans="1:42" ht="29">
      <c r="A157" s="191" t="s">
        <v>1400</v>
      </c>
      <c r="B157" s="190">
        <v>3</v>
      </c>
      <c r="C157" s="190">
        <v>7</v>
      </c>
      <c r="D157" s="190">
        <v>7</v>
      </c>
      <c r="E157" s="191" t="s">
        <v>315</v>
      </c>
      <c r="F157" s="190">
        <v>2</v>
      </c>
      <c r="G157" s="191" t="s">
        <v>36</v>
      </c>
      <c r="H157" s="190">
        <v>1</v>
      </c>
      <c r="I157" s="190">
        <v>100</v>
      </c>
      <c r="J157" s="191" t="s">
        <v>116</v>
      </c>
      <c r="K157" s="191" t="s">
        <v>61</v>
      </c>
      <c r="L157" s="191" t="s">
        <v>36</v>
      </c>
      <c r="M157" s="191" t="s">
        <v>37</v>
      </c>
      <c r="N157" s="191" t="s">
        <v>58</v>
      </c>
      <c r="O157" s="191" t="s">
        <v>39</v>
      </c>
      <c r="P157" s="191" t="s">
        <v>41</v>
      </c>
      <c r="Q157" s="191" t="s">
        <v>83</v>
      </c>
      <c r="R157" s="191" t="s">
        <v>82</v>
      </c>
      <c r="S157" s="191" t="s">
        <v>48</v>
      </c>
      <c r="T157" s="191" t="s">
        <v>44</v>
      </c>
      <c r="U157" s="191" t="s">
        <v>117</v>
      </c>
      <c r="V157" s="191" t="s">
        <v>1106</v>
      </c>
      <c r="W157" s="191" t="s">
        <v>43</v>
      </c>
      <c r="X157" s="191" t="s">
        <v>44</v>
      </c>
      <c r="Y157" s="191" t="s">
        <v>47</v>
      </c>
      <c r="Z157" s="191" t="s">
        <v>43</v>
      </c>
      <c r="AA157" s="191" t="s">
        <v>62</v>
      </c>
      <c r="AB157" s="191" t="s">
        <v>84</v>
      </c>
      <c r="AC157" s="191" t="s">
        <v>47</v>
      </c>
      <c r="AD157" s="191" t="s">
        <v>72</v>
      </c>
      <c r="AE157" s="191" t="s">
        <v>44</v>
      </c>
      <c r="AF157" s="191" t="s">
        <v>95</v>
      </c>
      <c r="AG157" s="191" t="s">
        <v>43</v>
      </c>
      <c r="AH157" s="191" t="s">
        <v>44</v>
      </c>
      <c r="AI157" s="191" t="s">
        <v>39</v>
      </c>
      <c r="AJ157" s="191" t="s">
        <v>36</v>
      </c>
      <c r="AK157" s="191" t="s">
        <v>73</v>
      </c>
      <c r="AL157" s="191" t="s">
        <v>44</v>
      </c>
      <c r="AM157" s="191" t="s">
        <v>45</v>
      </c>
      <c r="AN157" s="191" t="s">
        <v>44</v>
      </c>
      <c r="AO157" s="191" t="s">
        <v>44</v>
      </c>
      <c r="AP157" s="191" t="s">
        <v>44</v>
      </c>
    </row>
    <row r="158" spans="1:42" ht="29">
      <c r="A158" s="191" t="s">
        <v>1401</v>
      </c>
      <c r="B158" s="190">
        <v>3</v>
      </c>
      <c r="C158" s="190">
        <v>7</v>
      </c>
      <c r="D158" s="190">
        <v>7</v>
      </c>
      <c r="E158" s="191" t="s">
        <v>318</v>
      </c>
      <c r="F158" s="190">
        <v>2</v>
      </c>
      <c r="G158" s="191" t="s">
        <v>36</v>
      </c>
      <c r="H158" s="190">
        <v>1</v>
      </c>
      <c r="I158" s="190">
        <v>65</v>
      </c>
      <c r="J158" s="191" t="s">
        <v>80</v>
      </c>
      <c r="K158" s="191" t="s">
        <v>46</v>
      </c>
      <c r="L158" s="191" t="s">
        <v>36</v>
      </c>
      <c r="M158" s="191" t="s">
        <v>37</v>
      </c>
      <c r="N158" s="191" t="s">
        <v>58</v>
      </c>
      <c r="O158" s="191" t="s">
        <v>39</v>
      </c>
      <c r="P158" s="191" t="s">
        <v>41</v>
      </c>
      <c r="Q158" s="191" t="s">
        <v>35</v>
      </c>
      <c r="R158" s="191" t="s">
        <v>60</v>
      </c>
      <c r="S158" s="191" t="s">
        <v>48</v>
      </c>
      <c r="T158" s="191" t="s">
        <v>44</v>
      </c>
      <c r="U158" s="191" t="s">
        <v>119</v>
      </c>
      <c r="V158" s="191" t="s">
        <v>1106</v>
      </c>
      <c r="W158" s="191" t="s">
        <v>43</v>
      </c>
      <c r="X158" s="191" t="s">
        <v>44</v>
      </c>
      <c r="Y158" s="191" t="s">
        <v>43</v>
      </c>
      <c r="Z158" s="191" t="s">
        <v>47</v>
      </c>
      <c r="AA158" s="191" t="s">
        <v>49</v>
      </c>
      <c r="AB158" s="191" t="s">
        <v>50</v>
      </c>
      <c r="AC158" s="191" t="s">
        <v>47</v>
      </c>
      <c r="AD158" s="191" t="s">
        <v>91</v>
      </c>
      <c r="AE158" s="191" t="s">
        <v>44</v>
      </c>
      <c r="AF158" s="191" t="s">
        <v>95</v>
      </c>
      <c r="AG158" s="191" t="s">
        <v>47</v>
      </c>
      <c r="AH158" s="191" t="s">
        <v>44</v>
      </c>
      <c r="AI158" s="191" t="s">
        <v>39</v>
      </c>
      <c r="AJ158" s="191" t="s">
        <v>36</v>
      </c>
      <c r="AK158" s="191" t="s">
        <v>114</v>
      </c>
      <c r="AL158" s="191" t="s">
        <v>1110</v>
      </c>
      <c r="AM158" s="191" t="s">
        <v>89</v>
      </c>
      <c r="AN158" s="191" t="s">
        <v>44</v>
      </c>
      <c r="AO158" s="191" t="s">
        <v>44</v>
      </c>
      <c r="AP158" s="191" t="s">
        <v>44</v>
      </c>
    </row>
    <row r="159" spans="1:42" ht="29">
      <c r="A159" s="191" t="s">
        <v>1402</v>
      </c>
      <c r="B159" s="190">
        <v>3</v>
      </c>
      <c r="C159" s="190">
        <v>5</v>
      </c>
      <c r="D159" s="190">
        <v>3</v>
      </c>
      <c r="E159" s="191" t="s">
        <v>307</v>
      </c>
      <c r="F159" s="190">
        <v>2</v>
      </c>
      <c r="G159" s="191" t="s">
        <v>36</v>
      </c>
      <c r="H159" s="190">
        <v>1</v>
      </c>
      <c r="I159" s="190">
        <v>89</v>
      </c>
      <c r="J159" s="191" t="s">
        <v>80</v>
      </c>
      <c r="K159" s="191" t="s">
        <v>61</v>
      </c>
      <c r="L159" s="191" t="s">
        <v>55</v>
      </c>
      <c r="M159" s="191" t="s">
        <v>37</v>
      </c>
      <c r="N159" s="191" t="s">
        <v>58</v>
      </c>
      <c r="O159" s="191" t="s">
        <v>288</v>
      </c>
      <c r="P159" s="191" t="s">
        <v>123</v>
      </c>
      <c r="Q159" s="191" t="s">
        <v>89</v>
      </c>
      <c r="R159" s="191" t="s">
        <v>87</v>
      </c>
      <c r="S159" s="191" t="s">
        <v>48</v>
      </c>
      <c r="T159" s="191" t="s">
        <v>44</v>
      </c>
      <c r="U159" s="191" t="s">
        <v>1120</v>
      </c>
      <c r="V159" s="191" t="s">
        <v>44</v>
      </c>
      <c r="W159" s="191" t="s">
        <v>45</v>
      </c>
      <c r="X159" s="191" t="s">
        <v>44</v>
      </c>
      <c r="Y159" s="191" t="s">
        <v>61</v>
      </c>
      <c r="Z159" s="191" t="s">
        <v>43</v>
      </c>
      <c r="AA159" s="191" t="s">
        <v>36</v>
      </c>
      <c r="AB159" s="191" t="s">
        <v>36</v>
      </c>
      <c r="AC159" s="191" t="s">
        <v>46</v>
      </c>
      <c r="AD159" s="191" t="s">
        <v>36</v>
      </c>
      <c r="AE159" s="191" t="s">
        <v>44</v>
      </c>
      <c r="AF159" s="191" t="s">
        <v>130</v>
      </c>
      <c r="AG159" s="191" t="s">
        <v>47</v>
      </c>
      <c r="AH159" s="191" t="s">
        <v>44</v>
      </c>
      <c r="AI159" s="191" t="s">
        <v>134</v>
      </c>
      <c r="AJ159" s="191" t="s">
        <v>36</v>
      </c>
      <c r="AK159" s="191" t="s">
        <v>71</v>
      </c>
      <c r="AL159" s="191" t="s">
        <v>44</v>
      </c>
      <c r="AM159" s="191" t="s">
        <v>45</v>
      </c>
      <c r="AN159" s="191" t="s">
        <v>44</v>
      </c>
      <c r="AO159" s="191" t="s">
        <v>44</v>
      </c>
      <c r="AP159" s="191" t="s">
        <v>44</v>
      </c>
    </row>
    <row r="160" spans="1:42" ht="29">
      <c r="A160" s="191" t="s">
        <v>1403</v>
      </c>
      <c r="B160" s="190">
        <v>3</v>
      </c>
      <c r="C160" s="190">
        <v>7</v>
      </c>
      <c r="D160" s="190">
        <v>7</v>
      </c>
      <c r="E160" s="191" t="s">
        <v>315</v>
      </c>
      <c r="F160" s="190">
        <v>2</v>
      </c>
      <c r="G160" s="191" t="s">
        <v>36</v>
      </c>
      <c r="H160" s="190">
        <v>1</v>
      </c>
      <c r="I160" s="190">
        <v>85</v>
      </c>
      <c r="J160" s="191" t="s">
        <v>116</v>
      </c>
      <c r="K160" s="191" t="s">
        <v>61</v>
      </c>
      <c r="L160" s="191" t="s">
        <v>103</v>
      </c>
      <c r="M160" s="191" t="s">
        <v>37</v>
      </c>
      <c r="N160" s="191" t="s">
        <v>36</v>
      </c>
      <c r="O160" s="191" t="s">
        <v>36</v>
      </c>
      <c r="P160" s="191" t="s">
        <v>36</v>
      </c>
      <c r="Q160" s="191" t="s">
        <v>89</v>
      </c>
      <c r="R160" s="191" t="s">
        <v>36</v>
      </c>
      <c r="S160" s="191" t="s">
        <v>48</v>
      </c>
      <c r="T160" s="191" t="s">
        <v>44</v>
      </c>
      <c r="U160" s="191" t="s">
        <v>46</v>
      </c>
      <c r="V160" s="191" t="s">
        <v>1106</v>
      </c>
      <c r="W160" s="191" t="s">
        <v>145</v>
      </c>
      <c r="X160" s="191" t="s">
        <v>1404</v>
      </c>
      <c r="Y160" s="191" t="s">
        <v>46</v>
      </c>
      <c r="Z160" s="191" t="s">
        <v>47</v>
      </c>
      <c r="AA160" s="191" t="s">
        <v>36</v>
      </c>
      <c r="AB160" s="191" t="s">
        <v>84</v>
      </c>
      <c r="AC160" s="191" t="s">
        <v>43</v>
      </c>
      <c r="AD160" s="191" t="s">
        <v>72</v>
      </c>
      <c r="AE160" s="191" t="s">
        <v>44</v>
      </c>
      <c r="AF160" s="191" t="s">
        <v>95</v>
      </c>
      <c r="AG160" s="191" t="s">
        <v>46</v>
      </c>
      <c r="AH160" s="191" t="s">
        <v>1405</v>
      </c>
      <c r="AI160" s="191" t="s">
        <v>39</v>
      </c>
      <c r="AJ160" s="191" t="s">
        <v>36</v>
      </c>
      <c r="AK160" s="191" t="s">
        <v>63</v>
      </c>
      <c r="AL160" s="191" t="s">
        <v>44</v>
      </c>
      <c r="AM160" s="191" t="s">
        <v>1242</v>
      </c>
      <c r="AN160" s="191" t="s">
        <v>44</v>
      </c>
      <c r="AO160" s="191" t="s">
        <v>44</v>
      </c>
      <c r="AP160" s="191" t="s">
        <v>44</v>
      </c>
    </row>
    <row r="161" spans="1:42" ht="29">
      <c r="A161" s="191" t="s">
        <v>1406</v>
      </c>
      <c r="B161" s="190">
        <v>3</v>
      </c>
      <c r="C161" s="190">
        <v>7</v>
      </c>
      <c r="D161" s="190">
        <v>7</v>
      </c>
      <c r="E161" s="191" t="s">
        <v>318</v>
      </c>
      <c r="F161" s="190">
        <v>3</v>
      </c>
      <c r="G161" s="191" t="s">
        <v>36</v>
      </c>
      <c r="H161" s="190">
        <v>1</v>
      </c>
      <c r="I161" s="190">
        <v>120</v>
      </c>
      <c r="J161" s="191" t="s">
        <v>54</v>
      </c>
      <c r="K161" s="191" t="s">
        <v>40</v>
      </c>
      <c r="L161" s="191" t="s">
        <v>36</v>
      </c>
      <c r="M161" s="191" t="s">
        <v>37</v>
      </c>
      <c r="N161" s="191" t="s">
        <v>58</v>
      </c>
      <c r="O161" s="191" t="s">
        <v>39</v>
      </c>
      <c r="P161" s="191" t="s">
        <v>41</v>
      </c>
      <c r="Q161" s="191" t="s">
        <v>40</v>
      </c>
      <c r="R161" s="191" t="s">
        <v>87</v>
      </c>
      <c r="S161" s="191" t="s">
        <v>48</v>
      </c>
      <c r="T161" s="191" t="s">
        <v>44</v>
      </c>
      <c r="U161" s="191" t="s">
        <v>119</v>
      </c>
      <c r="V161" s="191" t="s">
        <v>1106</v>
      </c>
      <c r="W161" s="191" t="s">
        <v>43</v>
      </c>
      <c r="X161" s="191" t="s">
        <v>44</v>
      </c>
      <c r="Y161" s="191" t="s">
        <v>47</v>
      </c>
      <c r="Z161" s="191" t="s">
        <v>43</v>
      </c>
      <c r="AA161" s="191" t="s">
        <v>49</v>
      </c>
      <c r="AB161" s="191" t="s">
        <v>50</v>
      </c>
      <c r="AC161" s="191" t="s">
        <v>47</v>
      </c>
      <c r="AD161" s="191" t="s">
        <v>91</v>
      </c>
      <c r="AE161" s="191" t="s">
        <v>44</v>
      </c>
      <c r="AF161" s="191" t="s">
        <v>52</v>
      </c>
      <c r="AG161" s="191" t="s">
        <v>47</v>
      </c>
      <c r="AH161" s="191" t="s">
        <v>44</v>
      </c>
      <c r="AI161" s="191" t="s">
        <v>134</v>
      </c>
      <c r="AJ161" s="191" t="s">
        <v>36</v>
      </c>
      <c r="AK161" s="191" t="s">
        <v>43</v>
      </c>
      <c r="AL161" s="191" t="s">
        <v>44</v>
      </c>
      <c r="AM161" s="191" t="s">
        <v>89</v>
      </c>
      <c r="AN161" s="191" t="s">
        <v>44</v>
      </c>
      <c r="AO161" s="191" t="s">
        <v>44</v>
      </c>
      <c r="AP161" s="191" t="s">
        <v>44</v>
      </c>
    </row>
    <row r="162" spans="1:42" ht="29">
      <c r="A162" s="191" t="s">
        <v>1407</v>
      </c>
      <c r="B162" s="190">
        <v>3</v>
      </c>
      <c r="C162" s="190">
        <v>5</v>
      </c>
      <c r="D162" s="190">
        <v>3</v>
      </c>
      <c r="E162" s="191" t="s">
        <v>311</v>
      </c>
      <c r="F162" s="190">
        <v>4</v>
      </c>
      <c r="G162" s="191" t="s">
        <v>36</v>
      </c>
      <c r="H162" s="190">
        <v>1</v>
      </c>
      <c r="I162" s="190">
        <v>150</v>
      </c>
      <c r="J162" s="191" t="s">
        <v>65</v>
      </c>
      <c r="K162" s="191" t="s">
        <v>61</v>
      </c>
      <c r="L162" s="191" t="s">
        <v>36</v>
      </c>
      <c r="M162" s="191" t="s">
        <v>37</v>
      </c>
      <c r="N162" s="191" t="s">
        <v>58</v>
      </c>
      <c r="O162" s="191" t="s">
        <v>39</v>
      </c>
      <c r="P162" s="191" t="s">
        <v>41</v>
      </c>
      <c r="Q162" s="191" t="s">
        <v>77</v>
      </c>
      <c r="R162" s="191" t="s">
        <v>42</v>
      </c>
      <c r="S162" s="191" t="s">
        <v>48</v>
      </c>
      <c r="T162" s="191" t="s">
        <v>44</v>
      </c>
      <c r="U162" s="191" t="s">
        <v>1408</v>
      </c>
      <c r="V162" s="191" t="s">
        <v>1106</v>
      </c>
      <c r="W162" s="191" t="s">
        <v>43</v>
      </c>
      <c r="X162" s="191" t="s">
        <v>44</v>
      </c>
      <c r="Y162" s="191" t="s">
        <v>45</v>
      </c>
      <c r="Z162" s="191" t="s">
        <v>43</v>
      </c>
      <c r="AA162" s="191" t="s">
        <v>62</v>
      </c>
      <c r="AB162" s="191" t="s">
        <v>84</v>
      </c>
      <c r="AC162" s="191" t="s">
        <v>43</v>
      </c>
      <c r="AD162" s="191" t="s">
        <v>129</v>
      </c>
      <c r="AE162" s="191" t="s">
        <v>1409</v>
      </c>
      <c r="AF162" s="191" t="s">
        <v>95</v>
      </c>
      <c r="AG162" s="191" t="s">
        <v>47</v>
      </c>
      <c r="AH162" s="191" t="s">
        <v>44</v>
      </c>
      <c r="AI162" s="191" t="s">
        <v>39</v>
      </c>
      <c r="AJ162" s="191" t="s">
        <v>36</v>
      </c>
      <c r="AK162" s="191" t="s">
        <v>77</v>
      </c>
      <c r="AL162" s="191" t="s">
        <v>44</v>
      </c>
      <c r="AM162" s="191" t="s">
        <v>47</v>
      </c>
      <c r="AN162" s="191" t="s">
        <v>44</v>
      </c>
      <c r="AO162" s="191" t="s">
        <v>44</v>
      </c>
      <c r="AP162" s="191" t="s">
        <v>44</v>
      </c>
    </row>
    <row r="163" spans="1:42" ht="29">
      <c r="A163" s="191" t="s">
        <v>1410</v>
      </c>
      <c r="B163" s="190">
        <v>3</v>
      </c>
      <c r="C163" s="190">
        <v>8</v>
      </c>
      <c r="D163" s="190">
        <v>3</v>
      </c>
      <c r="E163" s="191" t="s">
        <v>315</v>
      </c>
      <c r="F163" s="190">
        <v>2</v>
      </c>
      <c r="G163" s="191" t="s">
        <v>36</v>
      </c>
      <c r="H163" s="190">
        <v>1</v>
      </c>
      <c r="I163" s="190">
        <v>80</v>
      </c>
      <c r="J163" s="191" t="s">
        <v>54</v>
      </c>
      <c r="K163" s="191" t="s">
        <v>40</v>
      </c>
      <c r="L163" s="191" t="s">
        <v>36</v>
      </c>
      <c r="M163" s="191" t="s">
        <v>37</v>
      </c>
      <c r="N163" s="191" t="s">
        <v>58</v>
      </c>
      <c r="O163" s="191" t="s">
        <v>39</v>
      </c>
      <c r="P163" s="191" t="s">
        <v>41</v>
      </c>
      <c r="Q163" s="191" t="s">
        <v>40</v>
      </c>
      <c r="R163" s="191" t="s">
        <v>60</v>
      </c>
      <c r="S163" s="191" t="s">
        <v>48</v>
      </c>
      <c r="T163" s="191" t="s">
        <v>44</v>
      </c>
      <c r="U163" s="191" t="s">
        <v>117</v>
      </c>
      <c r="V163" s="191" t="s">
        <v>1106</v>
      </c>
      <c r="W163" s="191" t="s">
        <v>47</v>
      </c>
      <c r="X163" s="191" t="s">
        <v>44</v>
      </c>
      <c r="Y163" s="191" t="s">
        <v>46</v>
      </c>
      <c r="Z163" s="191" t="s">
        <v>43</v>
      </c>
      <c r="AA163" s="191" t="s">
        <v>49</v>
      </c>
      <c r="AB163" s="191" t="s">
        <v>50</v>
      </c>
      <c r="AC163" s="191" t="s">
        <v>47</v>
      </c>
      <c r="AD163" s="191" t="s">
        <v>91</v>
      </c>
      <c r="AE163" s="191" t="s">
        <v>44</v>
      </c>
      <c r="AF163" s="191" t="s">
        <v>95</v>
      </c>
      <c r="AG163" s="191" t="s">
        <v>47</v>
      </c>
      <c r="AH163" s="191" t="s">
        <v>44</v>
      </c>
      <c r="AI163" s="191" t="s">
        <v>39</v>
      </c>
      <c r="AJ163" s="191" t="s">
        <v>36</v>
      </c>
      <c r="AK163" s="191" t="s">
        <v>59</v>
      </c>
      <c r="AL163" s="191" t="s">
        <v>44</v>
      </c>
      <c r="AM163" s="191" t="s">
        <v>47</v>
      </c>
      <c r="AN163" s="191" t="s">
        <v>44</v>
      </c>
      <c r="AO163" s="191" t="s">
        <v>44</v>
      </c>
      <c r="AP163" s="191" t="s">
        <v>44</v>
      </c>
    </row>
    <row r="164" spans="1:42" ht="43.5">
      <c r="A164" s="191" t="s">
        <v>1411</v>
      </c>
      <c r="B164" s="190">
        <v>3</v>
      </c>
      <c r="C164" s="190">
        <v>3</v>
      </c>
      <c r="D164" s="190">
        <v>3</v>
      </c>
      <c r="E164" s="191" t="s">
        <v>307</v>
      </c>
      <c r="F164" s="190">
        <v>4</v>
      </c>
      <c r="G164" s="191" t="s">
        <v>36</v>
      </c>
      <c r="H164" s="190">
        <v>1</v>
      </c>
      <c r="I164" s="190">
        <v>86</v>
      </c>
      <c r="J164" s="191" t="s">
        <v>80</v>
      </c>
      <c r="K164" s="191" t="s">
        <v>47</v>
      </c>
      <c r="L164" s="191" t="s">
        <v>36</v>
      </c>
      <c r="M164" s="191" t="s">
        <v>37</v>
      </c>
      <c r="N164" s="191" t="s">
        <v>58</v>
      </c>
      <c r="O164" s="191" t="s">
        <v>288</v>
      </c>
      <c r="P164" s="191" t="s">
        <v>56</v>
      </c>
      <c r="Q164" s="191" t="s">
        <v>86</v>
      </c>
      <c r="R164" s="191" t="s">
        <v>87</v>
      </c>
      <c r="S164" s="191" t="s">
        <v>48</v>
      </c>
      <c r="T164" s="191" t="s">
        <v>44</v>
      </c>
      <c r="U164" s="191" t="s">
        <v>61</v>
      </c>
      <c r="V164" s="191" t="s">
        <v>1106</v>
      </c>
      <c r="W164" s="191" t="s">
        <v>40</v>
      </c>
      <c r="X164" s="191" t="s">
        <v>44</v>
      </c>
      <c r="Y164" s="191" t="s">
        <v>45</v>
      </c>
      <c r="Z164" s="191" t="s">
        <v>47</v>
      </c>
      <c r="AA164" s="191" t="s">
        <v>49</v>
      </c>
      <c r="AB164" s="191" t="s">
        <v>84</v>
      </c>
      <c r="AC164" s="191" t="s">
        <v>43</v>
      </c>
      <c r="AD164" s="191" t="s">
        <v>72</v>
      </c>
      <c r="AE164" s="191" t="s">
        <v>44</v>
      </c>
      <c r="AF164" s="191" t="s">
        <v>95</v>
      </c>
      <c r="AG164" s="191" t="s">
        <v>47</v>
      </c>
      <c r="AH164" s="191" t="s">
        <v>44</v>
      </c>
      <c r="AI164" s="191" t="s">
        <v>39</v>
      </c>
      <c r="AJ164" s="191" t="s">
        <v>36</v>
      </c>
      <c r="AK164" s="191" t="s">
        <v>59</v>
      </c>
      <c r="AL164" s="191" t="s">
        <v>44</v>
      </c>
      <c r="AM164" s="191" t="s">
        <v>47</v>
      </c>
      <c r="AN164" s="191" t="s">
        <v>44</v>
      </c>
      <c r="AO164" s="191" t="s">
        <v>44</v>
      </c>
      <c r="AP164" s="191" t="s">
        <v>44</v>
      </c>
    </row>
    <row r="165" spans="1:42" ht="29">
      <c r="A165" s="191" t="s">
        <v>1412</v>
      </c>
      <c r="B165" s="190">
        <v>3</v>
      </c>
      <c r="C165" s="190">
        <v>4</v>
      </c>
      <c r="D165" s="190">
        <v>9</v>
      </c>
      <c r="E165" s="191" t="s">
        <v>315</v>
      </c>
      <c r="F165" s="190">
        <v>1</v>
      </c>
      <c r="G165" s="191" t="s">
        <v>36</v>
      </c>
      <c r="H165" s="190">
        <v>1</v>
      </c>
      <c r="I165" s="190">
        <v>110</v>
      </c>
      <c r="J165" s="191" t="s">
        <v>54</v>
      </c>
      <c r="K165" s="191" t="s">
        <v>40</v>
      </c>
      <c r="L165" s="191" t="s">
        <v>36</v>
      </c>
      <c r="M165" s="191" t="s">
        <v>37</v>
      </c>
      <c r="N165" s="191" t="s">
        <v>58</v>
      </c>
      <c r="O165" s="191" t="s">
        <v>39</v>
      </c>
      <c r="P165" s="191" t="s">
        <v>41</v>
      </c>
      <c r="Q165" s="191" t="s">
        <v>63</v>
      </c>
      <c r="R165" s="191" t="s">
        <v>42</v>
      </c>
      <c r="S165" s="191" t="s">
        <v>48</v>
      </c>
      <c r="T165" s="191" t="s">
        <v>44</v>
      </c>
      <c r="U165" s="191" t="s">
        <v>117</v>
      </c>
      <c r="V165" s="191" t="s">
        <v>1106</v>
      </c>
      <c r="W165" s="191" t="s">
        <v>47</v>
      </c>
      <c r="X165" s="191" t="s">
        <v>44</v>
      </c>
      <c r="Y165" s="191" t="s">
        <v>47</v>
      </c>
      <c r="Z165" s="191" t="s">
        <v>43</v>
      </c>
      <c r="AA165" s="191" t="s">
        <v>49</v>
      </c>
      <c r="AB165" s="191" t="s">
        <v>50</v>
      </c>
      <c r="AC165" s="191" t="s">
        <v>47</v>
      </c>
      <c r="AD165" s="191" t="s">
        <v>91</v>
      </c>
      <c r="AE165" s="191" t="s">
        <v>44</v>
      </c>
      <c r="AF165" s="191" t="s">
        <v>95</v>
      </c>
      <c r="AG165" s="191" t="s">
        <v>47</v>
      </c>
      <c r="AH165" s="191" t="s">
        <v>44</v>
      </c>
      <c r="AI165" s="191" t="s">
        <v>39</v>
      </c>
      <c r="AJ165" s="191" t="s">
        <v>36</v>
      </c>
      <c r="AK165" s="191" t="s">
        <v>59</v>
      </c>
      <c r="AL165" s="191" t="s">
        <v>44</v>
      </c>
      <c r="AM165" s="191" t="s">
        <v>1242</v>
      </c>
      <c r="AN165" s="191" t="s">
        <v>44</v>
      </c>
      <c r="AO165" s="191" t="s">
        <v>44</v>
      </c>
      <c r="AP165" s="191" t="s">
        <v>44</v>
      </c>
    </row>
    <row r="166" spans="1:42" ht="29">
      <c r="A166" s="191" t="s">
        <v>1413</v>
      </c>
      <c r="B166" s="190">
        <v>3</v>
      </c>
      <c r="C166" s="190">
        <v>5</v>
      </c>
      <c r="D166" s="190">
        <v>9</v>
      </c>
      <c r="E166" s="191" t="s">
        <v>311</v>
      </c>
      <c r="F166" s="190">
        <v>4</v>
      </c>
      <c r="G166" s="191" t="s">
        <v>36</v>
      </c>
      <c r="H166" s="190">
        <v>1</v>
      </c>
      <c r="I166" s="190">
        <v>150</v>
      </c>
      <c r="J166" s="191" t="s">
        <v>65</v>
      </c>
      <c r="K166" s="191" t="s">
        <v>61</v>
      </c>
      <c r="L166" s="191" t="s">
        <v>36</v>
      </c>
      <c r="M166" s="191" t="s">
        <v>37</v>
      </c>
      <c r="N166" s="191" t="s">
        <v>38</v>
      </c>
      <c r="O166" s="191" t="s">
        <v>39</v>
      </c>
      <c r="P166" s="191" t="s">
        <v>41</v>
      </c>
      <c r="Q166" s="191" t="s">
        <v>104</v>
      </c>
      <c r="R166" s="191" t="s">
        <v>60</v>
      </c>
      <c r="S166" s="191" t="s">
        <v>48</v>
      </c>
      <c r="T166" s="191" t="s">
        <v>44</v>
      </c>
      <c r="U166" s="191" t="s">
        <v>1109</v>
      </c>
      <c r="V166" s="191" t="s">
        <v>1106</v>
      </c>
      <c r="W166" s="191" t="s">
        <v>43</v>
      </c>
      <c r="X166" s="191" t="s">
        <v>44</v>
      </c>
      <c r="Y166" s="191" t="s">
        <v>45</v>
      </c>
      <c r="Z166" s="191" t="s">
        <v>43</v>
      </c>
      <c r="AA166" s="191" t="s">
        <v>62</v>
      </c>
      <c r="AB166" s="191" t="s">
        <v>50</v>
      </c>
      <c r="AC166" s="191" t="s">
        <v>47</v>
      </c>
      <c r="AD166" s="191" t="s">
        <v>72</v>
      </c>
      <c r="AE166" s="191" t="s">
        <v>44</v>
      </c>
      <c r="AF166" s="191" t="s">
        <v>95</v>
      </c>
      <c r="AG166" s="191" t="s">
        <v>78</v>
      </c>
      <c r="AH166" s="191" t="s">
        <v>44</v>
      </c>
      <c r="AI166" s="191" t="s">
        <v>39</v>
      </c>
      <c r="AJ166" s="191" t="s">
        <v>36</v>
      </c>
      <c r="AK166" s="191" t="s">
        <v>57</v>
      </c>
      <c r="AL166" s="191" t="s">
        <v>44</v>
      </c>
      <c r="AM166" s="191" t="s">
        <v>156</v>
      </c>
      <c r="AN166" s="191" t="s">
        <v>44</v>
      </c>
      <c r="AO166" s="191" t="s">
        <v>44</v>
      </c>
      <c r="AP166" s="191" t="s">
        <v>44</v>
      </c>
    </row>
    <row r="167" spans="1:42" ht="29">
      <c r="A167" s="191" t="s">
        <v>1414</v>
      </c>
      <c r="B167" s="190">
        <v>3</v>
      </c>
      <c r="C167" s="190">
        <v>7</v>
      </c>
      <c r="D167" s="190">
        <v>7</v>
      </c>
      <c r="E167" s="191" t="s">
        <v>315</v>
      </c>
      <c r="F167" s="190">
        <v>2</v>
      </c>
      <c r="G167" s="191" t="s">
        <v>36</v>
      </c>
      <c r="H167" s="190">
        <v>1</v>
      </c>
      <c r="I167" s="190">
        <v>160</v>
      </c>
      <c r="J167" s="191" t="s">
        <v>34</v>
      </c>
      <c r="K167" s="191" t="s">
        <v>43</v>
      </c>
      <c r="L167" s="191" t="s">
        <v>36</v>
      </c>
      <c r="M167" s="191" t="s">
        <v>37</v>
      </c>
      <c r="N167" s="191" t="s">
        <v>58</v>
      </c>
      <c r="O167" s="191" t="s">
        <v>288</v>
      </c>
      <c r="P167" s="191" t="s">
        <v>36</v>
      </c>
      <c r="Q167" s="191" t="s">
        <v>40</v>
      </c>
      <c r="R167" s="191" t="s">
        <v>42</v>
      </c>
      <c r="S167" s="191" t="s">
        <v>48</v>
      </c>
      <c r="T167" s="191" t="s">
        <v>44</v>
      </c>
      <c r="U167" s="191" t="s">
        <v>45</v>
      </c>
      <c r="V167" s="191" t="s">
        <v>1106</v>
      </c>
      <c r="W167" s="191" t="s">
        <v>43</v>
      </c>
      <c r="X167" s="191" t="s">
        <v>44</v>
      </c>
      <c r="Y167" s="191" t="s">
        <v>43</v>
      </c>
      <c r="Z167" s="191" t="s">
        <v>43</v>
      </c>
      <c r="AA167" s="191" t="s">
        <v>62</v>
      </c>
      <c r="AB167" s="191" t="s">
        <v>50</v>
      </c>
      <c r="AC167" s="191" t="s">
        <v>43</v>
      </c>
      <c r="AD167" s="191" t="s">
        <v>72</v>
      </c>
      <c r="AE167" s="191" t="s">
        <v>44</v>
      </c>
      <c r="AF167" s="191" t="s">
        <v>52</v>
      </c>
      <c r="AG167" s="191" t="s">
        <v>47</v>
      </c>
      <c r="AH167" s="191" t="s">
        <v>44</v>
      </c>
      <c r="AI167" s="191" t="s">
        <v>134</v>
      </c>
      <c r="AJ167" s="191" t="s">
        <v>36</v>
      </c>
      <c r="AK167" s="191" t="s">
        <v>47</v>
      </c>
      <c r="AL167" s="191" t="s">
        <v>44</v>
      </c>
      <c r="AM167" s="191" t="s">
        <v>89</v>
      </c>
      <c r="AN167" s="191" t="s">
        <v>44</v>
      </c>
      <c r="AO167" s="191" t="s">
        <v>44</v>
      </c>
      <c r="AP167" s="191" t="s">
        <v>44</v>
      </c>
    </row>
    <row r="168" spans="1:42" ht="43.5">
      <c r="A168" s="191" t="s">
        <v>1415</v>
      </c>
      <c r="B168" s="190">
        <v>3</v>
      </c>
      <c r="C168" s="190">
        <v>5</v>
      </c>
      <c r="D168" s="190">
        <v>9</v>
      </c>
      <c r="E168" s="191" t="s">
        <v>315</v>
      </c>
      <c r="F168" s="190">
        <v>2</v>
      </c>
      <c r="G168" s="191" t="s">
        <v>36</v>
      </c>
      <c r="H168" s="190">
        <v>1</v>
      </c>
      <c r="I168" s="190">
        <v>100</v>
      </c>
      <c r="J168" s="191" t="s">
        <v>34</v>
      </c>
      <c r="K168" s="191" t="s">
        <v>47</v>
      </c>
      <c r="L168" s="191" t="s">
        <v>36</v>
      </c>
      <c r="M168" s="191" t="s">
        <v>37</v>
      </c>
      <c r="N168" s="191" t="s">
        <v>58</v>
      </c>
      <c r="O168" s="191" t="s">
        <v>36</v>
      </c>
      <c r="P168" s="191" t="s">
        <v>56</v>
      </c>
      <c r="Q168" s="191" t="s">
        <v>88</v>
      </c>
      <c r="R168" s="191" t="s">
        <v>42</v>
      </c>
      <c r="S168" s="191" t="s">
        <v>48</v>
      </c>
      <c r="T168" s="191" t="s">
        <v>44</v>
      </c>
      <c r="U168" s="191" t="s">
        <v>61</v>
      </c>
      <c r="V168" s="191" t="s">
        <v>1106</v>
      </c>
      <c r="W168" s="191" t="s">
        <v>43</v>
      </c>
      <c r="X168" s="191" t="s">
        <v>44</v>
      </c>
      <c r="Y168" s="191" t="s">
        <v>47</v>
      </c>
      <c r="Z168" s="191" t="s">
        <v>43</v>
      </c>
      <c r="AA168" s="191" t="s">
        <v>49</v>
      </c>
      <c r="AB168" s="191" t="s">
        <v>84</v>
      </c>
      <c r="AC168" s="191" t="s">
        <v>43</v>
      </c>
      <c r="AD168" s="191" t="s">
        <v>72</v>
      </c>
      <c r="AE168" s="191" t="s">
        <v>44</v>
      </c>
      <c r="AF168" s="191" t="s">
        <v>95</v>
      </c>
      <c r="AG168" s="191" t="s">
        <v>43</v>
      </c>
      <c r="AH168" s="191" t="s">
        <v>44</v>
      </c>
      <c r="AI168" s="191" t="s">
        <v>39</v>
      </c>
      <c r="AJ168" s="191" t="s">
        <v>36</v>
      </c>
      <c r="AK168" s="191" t="s">
        <v>57</v>
      </c>
      <c r="AL168" s="191" t="s">
        <v>44</v>
      </c>
      <c r="AM168" s="191" t="s">
        <v>45</v>
      </c>
      <c r="AN168" s="191" t="s">
        <v>44</v>
      </c>
      <c r="AO168" s="191" t="s">
        <v>44</v>
      </c>
      <c r="AP168" s="191" t="s">
        <v>44</v>
      </c>
    </row>
    <row r="169" spans="1:42" ht="29">
      <c r="A169" s="191" t="s">
        <v>1416</v>
      </c>
      <c r="B169" s="190">
        <v>3</v>
      </c>
      <c r="C169" s="190">
        <v>8</v>
      </c>
      <c r="D169" s="190">
        <v>9</v>
      </c>
      <c r="E169" s="191" t="s">
        <v>315</v>
      </c>
      <c r="F169" s="190">
        <v>3</v>
      </c>
      <c r="G169" s="191" t="s">
        <v>36</v>
      </c>
      <c r="H169" s="190">
        <v>1</v>
      </c>
      <c r="I169" s="190">
        <v>100</v>
      </c>
      <c r="J169" s="191" t="s">
        <v>80</v>
      </c>
      <c r="K169" s="191" t="s">
        <v>61</v>
      </c>
      <c r="L169" s="191" t="s">
        <v>36</v>
      </c>
      <c r="M169" s="191" t="s">
        <v>37</v>
      </c>
      <c r="N169" s="191" t="s">
        <v>58</v>
      </c>
      <c r="O169" s="191" t="s">
        <v>39</v>
      </c>
      <c r="P169" s="191" t="s">
        <v>41</v>
      </c>
      <c r="Q169" s="191" t="s">
        <v>40</v>
      </c>
      <c r="R169" s="191" t="s">
        <v>87</v>
      </c>
      <c r="S169" s="191" t="s">
        <v>48</v>
      </c>
      <c r="T169" s="191" t="s">
        <v>44</v>
      </c>
      <c r="U169" s="191" t="s">
        <v>61</v>
      </c>
      <c r="V169" s="191" t="s">
        <v>1106</v>
      </c>
      <c r="W169" s="191" t="s">
        <v>43</v>
      </c>
      <c r="X169" s="191" t="s">
        <v>44</v>
      </c>
      <c r="Y169" s="191" t="s">
        <v>43</v>
      </c>
      <c r="Z169" s="191" t="s">
        <v>46</v>
      </c>
      <c r="AA169" s="191" t="s">
        <v>62</v>
      </c>
      <c r="AB169" s="191" t="s">
        <v>50</v>
      </c>
      <c r="AC169" s="191" t="s">
        <v>43</v>
      </c>
      <c r="AD169" s="191" t="s">
        <v>72</v>
      </c>
      <c r="AE169" s="191" t="s">
        <v>44</v>
      </c>
      <c r="AF169" s="191" t="s">
        <v>95</v>
      </c>
      <c r="AG169" s="191" t="s">
        <v>47</v>
      </c>
      <c r="AH169" s="191" t="s">
        <v>44</v>
      </c>
      <c r="AI169" s="191" t="s">
        <v>39</v>
      </c>
      <c r="AJ169" s="191" t="s">
        <v>36</v>
      </c>
      <c r="AK169" s="191" t="s">
        <v>40</v>
      </c>
      <c r="AL169" s="191" t="s">
        <v>44</v>
      </c>
      <c r="AM169" s="191" t="s">
        <v>45</v>
      </c>
      <c r="AN169" s="191" t="s">
        <v>44</v>
      </c>
      <c r="AO169" s="191" t="s">
        <v>44</v>
      </c>
      <c r="AP169" s="191" t="s">
        <v>44</v>
      </c>
    </row>
    <row r="170" spans="1:42" ht="29">
      <c r="A170" s="191" t="s">
        <v>1417</v>
      </c>
      <c r="B170" s="190">
        <v>3</v>
      </c>
      <c r="C170" s="190">
        <v>8</v>
      </c>
      <c r="D170" s="190">
        <v>9</v>
      </c>
      <c r="E170" s="191" t="s">
        <v>311</v>
      </c>
      <c r="F170" s="190">
        <v>3</v>
      </c>
      <c r="G170" s="191" t="s">
        <v>36</v>
      </c>
      <c r="H170" s="190">
        <v>1</v>
      </c>
      <c r="I170" s="190">
        <v>100</v>
      </c>
      <c r="J170" s="191" t="s">
        <v>65</v>
      </c>
      <c r="K170" s="191" t="s">
        <v>92</v>
      </c>
      <c r="L170" s="191" t="s">
        <v>36</v>
      </c>
      <c r="M170" s="191" t="s">
        <v>37</v>
      </c>
      <c r="N170" s="191" t="s">
        <v>95</v>
      </c>
      <c r="O170" s="191" t="s">
        <v>39</v>
      </c>
      <c r="P170" s="191" t="s">
        <v>41</v>
      </c>
      <c r="Q170" s="191" t="s">
        <v>35</v>
      </c>
      <c r="R170" s="191" t="s">
        <v>87</v>
      </c>
      <c r="S170" s="191" t="s">
        <v>48</v>
      </c>
      <c r="T170" s="191" t="s">
        <v>44</v>
      </c>
      <c r="U170" s="191" t="s">
        <v>44</v>
      </c>
      <c r="V170" s="191" t="s">
        <v>44</v>
      </c>
      <c r="W170" s="191" t="s">
        <v>43</v>
      </c>
      <c r="X170" s="191" t="s">
        <v>44</v>
      </c>
      <c r="Y170" s="191" t="s">
        <v>45</v>
      </c>
      <c r="Z170" s="191" t="s">
        <v>43</v>
      </c>
      <c r="AA170" s="191" t="s">
        <v>49</v>
      </c>
      <c r="AB170" s="191" t="s">
        <v>84</v>
      </c>
      <c r="AC170" s="191" t="s">
        <v>47</v>
      </c>
      <c r="AD170" s="191" t="s">
        <v>72</v>
      </c>
      <c r="AE170" s="191" t="s">
        <v>44</v>
      </c>
      <c r="AF170" s="191" t="s">
        <v>95</v>
      </c>
      <c r="AG170" s="191" t="s">
        <v>43</v>
      </c>
      <c r="AH170" s="191" t="s">
        <v>44</v>
      </c>
      <c r="AI170" s="191" t="s">
        <v>39</v>
      </c>
      <c r="AJ170" s="191" t="s">
        <v>36</v>
      </c>
      <c r="AK170" s="191" t="s">
        <v>45</v>
      </c>
      <c r="AL170" s="191" t="s">
        <v>44</v>
      </c>
      <c r="AM170" s="191" t="s">
        <v>45</v>
      </c>
      <c r="AN170" s="191" t="s">
        <v>44</v>
      </c>
      <c r="AO170" s="191" t="s">
        <v>44</v>
      </c>
      <c r="AP170" s="191" t="s">
        <v>44</v>
      </c>
    </row>
    <row r="171" spans="1:42" ht="29">
      <c r="A171" s="191" t="s">
        <v>1418</v>
      </c>
      <c r="B171" s="190">
        <v>3</v>
      </c>
      <c r="C171" s="190">
        <v>2</v>
      </c>
      <c r="D171" s="190">
        <v>3</v>
      </c>
      <c r="E171" s="191" t="s">
        <v>307</v>
      </c>
      <c r="F171" s="190">
        <v>2</v>
      </c>
      <c r="G171" s="191" t="s">
        <v>36</v>
      </c>
      <c r="H171" s="190">
        <v>1</v>
      </c>
      <c r="I171" s="190">
        <v>110</v>
      </c>
      <c r="J171" s="191" t="s">
        <v>54</v>
      </c>
      <c r="K171" s="191" t="s">
        <v>40</v>
      </c>
      <c r="L171" s="191" t="s">
        <v>67</v>
      </c>
      <c r="M171" s="191" t="s">
        <v>37</v>
      </c>
      <c r="N171" s="191" t="s">
        <v>58</v>
      </c>
      <c r="O171" s="191" t="s">
        <v>39</v>
      </c>
      <c r="P171" s="191" t="s">
        <v>41</v>
      </c>
      <c r="Q171" s="191" t="s">
        <v>104</v>
      </c>
      <c r="R171" s="191" t="s">
        <v>60</v>
      </c>
      <c r="S171" s="191" t="s">
        <v>48</v>
      </c>
      <c r="T171" s="191" t="s">
        <v>44</v>
      </c>
      <c r="U171" s="191" t="s">
        <v>117</v>
      </c>
      <c r="V171" s="191" t="s">
        <v>1106</v>
      </c>
      <c r="W171" s="191" t="s">
        <v>43</v>
      </c>
      <c r="X171" s="191" t="s">
        <v>44</v>
      </c>
      <c r="Y171" s="191" t="s">
        <v>43</v>
      </c>
      <c r="Z171" s="191" t="s">
        <v>43</v>
      </c>
      <c r="AA171" s="191" t="s">
        <v>62</v>
      </c>
      <c r="AB171" s="191" t="s">
        <v>50</v>
      </c>
      <c r="AC171" s="191" t="s">
        <v>43</v>
      </c>
      <c r="AD171" s="191" t="s">
        <v>91</v>
      </c>
      <c r="AE171" s="191" t="s">
        <v>44</v>
      </c>
      <c r="AF171" s="191" t="s">
        <v>95</v>
      </c>
      <c r="AG171" s="191" t="s">
        <v>47</v>
      </c>
      <c r="AH171" s="191" t="s">
        <v>44</v>
      </c>
      <c r="AI171" s="191" t="s">
        <v>39</v>
      </c>
      <c r="AJ171" s="191" t="s">
        <v>36</v>
      </c>
      <c r="AK171" s="191" t="s">
        <v>59</v>
      </c>
      <c r="AL171" s="191" t="s">
        <v>44</v>
      </c>
      <c r="AM171" s="191" t="s">
        <v>74</v>
      </c>
      <c r="AN171" s="191" t="s">
        <v>44</v>
      </c>
      <c r="AO171" s="191" t="s">
        <v>44</v>
      </c>
      <c r="AP171" s="191" t="s">
        <v>44</v>
      </c>
    </row>
    <row r="172" spans="1:42" ht="29">
      <c r="A172" s="191" t="s">
        <v>1419</v>
      </c>
      <c r="B172" s="190">
        <v>3</v>
      </c>
      <c r="C172" s="190">
        <v>3</v>
      </c>
      <c r="D172" s="190">
        <v>3</v>
      </c>
      <c r="E172" s="191" t="s">
        <v>307</v>
      </c>
      <c r="F172" s="190">
        <v>2</v>
      </c>
      <c r="G172" s="191" t="s">
        <v>36</v>
      </c>
      <c r="H172" s="190">
        <v>1</v>
      </c>
      <c r="I172" s="190">
        <v>140</v>
      </c>
      <c r="J172" s="191" t="s">
        <v>65</v>
      </c>
      <c r="K172" s="191" t="s">
        <v>61</v>
      </c>
      <c r="L172" s="191" t="s">
        <v>36</v>
      </c>
      <c r="M172" s="191" t="s">
        <v>37</v>
      </c>
      <c r="N172" s="191" t="s">
        <v>58</v>
      </c>
      <c r="O172" s="191" t="s">
        <v>39</v>
      </c>
      <c r="P172" s="191" t="s">
        <v>41</v>
      </c>
      <c r="Q172" s="191" t="s">
        <v>78</v>
      </c>
      <c r="R172" s="191" t="s">
        <v>42</v>
      </c>
      <c r="S172" s="191" t="s">
        <v>48</v>
      </c>
      <c r="T172" s="191" t="s">
        <v>44</v>
      </c>
      <c r="U172" s="191" t="s">
        <v>44</v>
      </c>
      <c r="V172" s="191" t="s">
        <v>44</v>
      </c>
      <c r="W172" s="191" t="s">
        <v>45</v>
      </c>
      <c r="X172" s="191" t="s">
        <v>44</v>
      </c>
      <c r="Y172" s="191" t="s">
        <v>45</v>
      </c>
      <c r="Z172" s="191" t="s">
        <v>43</v>
      </c>
      <c r="AA172" s="191" t="s">
        <v>67</v>
      </c>
      <c r="AB172" s="191" t="s">
        <v>67</v>
      </c>
      <c r="AC172" s="191" t="s">
        <v>43</v>
      </c>
      <c r="AD172" s="191" t="s">
        <v>72</v>
      </c>
      <c r="AE172" s="191" t="s">
        <v>44</v>
      </c>
      <c r="AF172" s="191" t="s">
        <v>132</v>
      </c>
      <c r="AG172" s="191" t="s">
        <v>43</v>
      </c>
      <c r="AH172" s="191" t="s">
        <v>44</v>
      </c>
      <c r="AI172" s="191" t="s">
        <v>39</v>
      </c>
      <c r="AJ172" s="191" t="s">
        <v>36</v>
      </c>
      <c r="AK172" s="191" t="s">
        <v>73</v>
      </c>
      <c r="AL172" s="191" t="s">
        <v>44</v>
      </c>
      <c r="AM172" s="191" t="s">
        <v>1307</v>
      </c>
      <c r="AN172" s="191" t="s">
        <v>44</v>
      </c>
      <c r="AO172" s="191" t="s">
        <v>44</v>
      </c>
      <c r="AP172" s="191" t="s">
        <v>44</v>
      </c>
    </row>
    <row r="173" spans="1:42" ht="43.5">
      <c r="A173" s="191" t="s">
        <v>1420</v>
      </c>
      <c r="B173" s="190">
        <v>3</v>
      </c>
      <c r="C173" s="190">
        <v>7</v>
      </c>
      <c r="D173" s="190">
        <v>7</v>
      </c>
      <c r="E173" s="191" t="s">
        <v>318</v>
      </c>
      <c r="F173" s="190">
        <v>2</v>
      </c>
      <c r="G173" s="191" t="s">
        <v>36</v>
      </c>
      <c r="H173" s="190">
        <v>1</v>
      </c>
      <c r="I173" s="190">
        <v>60</v>
      </c>
      <c r="J173" s="191" t="s">
        <v>34</v>
      </c>
      <c r="K173" s="191" t="s">
        <v>35</v>
      </c>
      <c r="L173" s="191" t="s">
        <v>36</v>
      </c>
      <c r="M173" s="191" t="s">
        <v>37</v>
      </c>
      <c r="N173" s="191" t="s">
        <v>58</v>
      </c>
      <c r="O173" s="191" t="s">
        <v>288</v>
      </c>
      <c r="P173" s="191" t="s">
        <v>56</v>
      </c>
      <c r="Q173" s="191" t="s">
        <v>145</v>
      </c>
      <c r="R173" s="191" t="s">
        <v>42</v>
      </c>
      <c r="S173" s="191" t="s">
        <v>48</v>
      </c>
      <c r="T173" s="191" t="s">
        <v>44</v>
      </c>
      <c r="U173" s="191" t="s">
        <v>46</v>
      </c>
      <c r="V173" s="191" t="s">
        <v>1106</v>
      </c>
      <c r="W173" s="191" t="s">
        <v>47</v>
      </c>
      <c r="X173" s="191" t="s">
        <v>44</v>
      </c>
      <c r="Y173" s="191" t="s">
        <v>46</v>
      </c>
      <c r="Z173" s="191" t="s">
        <v>43</v>
      </c>
      <c r="AA173" s="191" t="s">
        <v>49</v>
      </c>
      <c r="AB173" s="191" t="s">
        <v>84</v>
      </c>
      <c r="AC173" s="191" t="s">
        <v>47</v>
      </c>
      <c r="AD173" s="191" t="s">
        <v>51</v>
      </c>
      <c r="AE173" s="191" t="s">
        <v>44</v>
      </c>
      <c r="AF173" s="191" t="s">
        <v>95</v>
      </c>
      <c r="AG173" s="191" t="s">
        <v>47</v>
      </c>
      <c r="AH173" s="191" t="s">
        <v>44</v>
      </c>
      <c r="AI173" s="191" t="s">
        <v>134</v>
      </c>
      <c r="AJ173" s="191" t="s">
        <v>36</v>
      </c>
      <c r="AK173" s="191" t="s">
        <v>709</v>
      </c>
      <c r="AL173" s="191" t="s">
        <v>1421</v>
      </c>
      <c r="AM173" s="191" t="s">
        <v>89</v>
      </c>
      <c r="AN173" s="191" t="s">
        <v>44</v>
      </c>
      <c r="AO173" s="191" t="s">
        <v>44</v>
      </c>
      <c r="AP173" s="191" t="s">
        <v>44</v>
      </c>
    </row>
    <row r="174" spans="1:42" ht="29">
      <c r="A174" s="191" t="s">
        <v>1422</v>
      </c>
      <c r="B174" s="190">
        <v>3</v>
      </c>
      <c r="C174" s="190">
        <v>5</v>
      </c>
      <c r="D174" s="190">
        <v>3</v>
      </c>
      <c r="E174" s="191" t="s">
        <v>311</v>
      </c>
      <c r="F174" s="190">
        <v>5</v>
      </c>
      <c r="G174" s="191" t="s">
        <v>36</v>
      </c>
      <c r="H174" s="190">
        <v>1</v>
      </c>
      <c r="I174" s="190">
        <v>110</v>
      </c>
      <c r="J174" s="191" t="s">
        <v>65</v>
      </c>
      <c r="K174" s="191" t="s">
        <v>47</v>
      </c>
      <c r="L174" s="191" t="s">
        <v>36</v>
      </c>
      <c r="M174" s="191" t="s">
        <v>37</v>
      </c>
      <c r="N174" s="191" t="s">
        <v>58</v>
      </c>
      <c r="O174" s="191" t="s">
        <v>39</v>
      </c>
      <c r="P174" s="191" t="s">
        <v>41</v>
      </c>
      <c r="Q174" s="191" t="s">
        <v>77</v>
      </c>
      <c r="R174" s="191" t="s">
        <v>87</v>
      </c>
      <c r="S174" s="191" t="s">
        <v>48</v>
      </c>
      <c r="T174" s="191" t="s">
        <v>44</v>
      </c>
      <c r="U174" s="191" t="s">
        <v>117</v>
      </c>
      <c r="V174" s="191" t="s">
        <v>355</v>
      </c>
      <c r="W174" s="191" t="s">
        <v>43</v>
      </c>
      <c r="X174" s="191" t="s">
        <v>44</v>
      </c>
      <c r="Y174" s="191" t="s">
        <v>43</v>
      </c>
      <c r="Z174" s="191" t="s">
        <v>43</v>
      </c>
      <c r="AA174" s="191" t="s">
        <v>49</v>
      </c>
      <c r="AB174" s="191" t="s">
        <v>84</v>
      </c>
      <c r="AC174" s="191" t="s">
        <v>43</v>
      </c>
      <c r="AD174" s="191" t="s">
        <v>72</v>
      </c>
      <c r="AE174" s="191" t="s">
        <v>44</v>
      </c>
      <c r="AF174" s="191" t="s">
        <v>52</v>
      </c>
      <c r="AG174" s="191" t="s">
        <v>47</v>
      </c>
      <c r="AH174" s="191" t="s">
        <v>44</v>
      </c>
      <c r="AI174" s="191" t="s">
        <v>39</v>
      </c>
      <c r="AJ174" s="191" t="s">
        <v>36</v>
      </c>
      <c r="AK174" s="191" t="s">
        <v>59</v>
      </c>
      <c r="AL174" s="191" t="s">
        <v>44</v>
      </c>
      <c r="AM174" s="191" t="s">
        <v>109</v>
      </c>
      <c r="AN174" s="191" t="s">
        <v>44</v>
      </c>
      <c r="AO174" s="191" t="s">
        <v>44</v>
      </c>
      <c r="AP174" s="191" t="s">
        <v>44</v>
      </c>
    </row>
    <row r="175" spans="1:42" ht="29">
      <c r="A175" s="191" t="s">
        <v>1423</v>
      </c>
      <c r="B175" s="190">
        <v>3</v>
      </c>
      <c r="C175" s="190">
        <v>5</v>
      </c>
      <c r="D175" s="190">
        <v>3</v>
      </c>
      <c r="E175" s="191" t="s">
        <v>315</v>
      </c>
      <c r="F175" s="190">
        <v>2</v>
      </c>
      <c r="G175" s="191" t="s">
        <v>36</v>
      </c>
      <c r="H175" s="190">
        <v>1</v>
      </c>
      <c r="I175" s="190">
        <v>100</v>
      </c>
      <c r="J175" s="191" t="s">
        <v>80</v>
      </c>
      <c r="K175" s="191" t="s">
        <v>61</v>
      </c>
      <c r="L175" s="191" t="s">
        <v>36</v>
      </c>
      <c r="M175" s="191" t="s">
        <v>37</v>
      </c>
      <c r="N175" s="191" t="s">
        <v>58</v>
      </c>
      <c r="O175" s="191" t="s">
        <v>39</v>
      </c>
      <c r="P175" s="191" t="s">
        <v>41</v>
      </c>
      <c r="Q175" s="191" t="s">
        <v>40</v>
      </c>
      <c r="R175" s="191" t="s">
        <v>87</v>
      </c>
      <c r="S175" s="191" t="s">
        <v>48</v>
      </c>
      <c r="T175" s="191" t="s">
        <v>44</v>
      </c>
      <c r="U175" s="191" t="s">
        <v>119</v>
      </c>
      <c r="V175" s="191" t="s">
        <v>1106</v>
      </c>
      <c r="W175" s="191" t="s">
        <v>43</v>
      </c>
      <c r="X175" s="191" t="s">
        <v>44</v>
      </c>
      <c r="Y175" s="191" t="s">
        <v>47</v>
      </c>
      <c r="Z175" s="191" t="s">
        <v>43</v>
      </c>
      <c r="AA175" s="191" t="s">
        <v>62</v>
      </c>
      <c r="AB175" s="191" t="s">
        <v>50</v>
      </c>
      <c r="AC175" s="191" t="s">
        <v>47</v>
      </c>
      <c r="AD175" s="191" t="s">
        <v>91</v>
      </c>
      <c r="AE175" s="191" t="s">
        <v>44</v>
      </c>
      <c r="AF175" s="191" t="s">
        <v>95</v>
      </c>
      <c r="AG175" s="191" t="s">
        <v>43</v>
      </c>
      <c r="AH175" s="191" t="s">
        <v>44</v>
      </c>
      <c r="AI175" s="191" t="s">
        <v>39</v>
      </c>
      <c r="AJ175" s="191" t="s">
        <v>36</v>
      </c>
      <c r="AK175" s="191" t="s">
        <v>73</v>
      </c>
      <c r="AL175" s="191" t="s">
        <v>44</v>
      </c>
      <c r="AM175" s="191" t="s">
        <v>45</v>
      </c>
      <c r="AN175" s="191" t="s">
        <v>44</v>
      </c>
      <c r="AO175" s="191" t="s">
        <v>44</v>
      </c>
      <c r="AP175" s="191" t="s">
        <v>44</v>
      </c>
    </row>
    <row r="176" spans="1:42" ht="29">
      <c r="A176" s="191" t="s">
        <v>1424</v>
      </c>
      <c r="B176" s="190">
        <v>3</v>
      </c>
      <c r="C176" s="190">
        <v>2</v>
      </c>
      <c r="D176" s="190">
        <v>2</v>
      </c>
      <c r="E176" s="191" t="s">
        <v>307</v>
      </c>
      <c r="F176" s="190">
        <v>2</v>
      </c>
      <c r="G176" s="191" t="s">
        <v>36</v>
      </c>
      <c r="H176" s="190">
        <v>1</v>
      </c>
      <c r="I176" s="190">
        <v>150</v>
      </c>
      <c r="J176" s="191" t="s">
        <v>80</v>
      </c>
      <c r="K176" s="191" t="s">
        <v>61</v>
      </c>
      <c r="L176" s="191" t="s">
        <v>55</v>
      </c>
      <c r="M176" s="191" t="s">
        <v>37</v>
      </c>
      <c r="N176" s="191" t="s">
        <v>58</v>
      </c>
      <c r="O176" s="191" t="s">
        <v>99</v>
      </c>
      <c r="P176" s="191" t="s">
        <v>102</v>
      </c>
      <c r="Q176" s="191" t="s">
        <v>40</v>
      </c>
      <c r="R176" s="191" t="s">
        <v>60</v>
      </c>
      <c r="S176" s="191" t="s">
        <v>48</v>
      </c>
      <c r="T176" s="191" t="s">
        <v>44</v>
      </c>
      <c r="U176" s="191" t="s">
        <v>44</v>
      </c>
      <c r="V176" s="191" t="s">
        <v>44</v>
      </c>
      <c r="W176" s="191" t="s">
        <v>47</v>
      </c>
      <c r="X176" s="191" t="s">
        <v>44</v>
      </c>
      <c r="Y176" s="191" t="s">
        <v>45</v>
      </c>
      <c r="Z176" s="191" t="s">
        <v>47</v>
      </c>
      <c r="AA176" s="191" t="s">
        <v>49</v>
      </c>
      <c r="AB176" s="191" t="s">
        <v>84</v>
      </c>
      <c r="AC176" s="191" t="s">
        <v>43</v>
      </c>
      <c r="AD176" s="191" t="s">
        <v>72</v>
      </c>
      <c r="AE176" s="191" t="s">
        <v>44</v>
      </c>
      <c r="AF176" s="191" t="s">
        <v>95</v>
      </c>
      <c r="AG176" s="191" t="s">
        <v>47</v>
      </c>
      <c r="AH176" s="191" t="s">
        <v>44</v>
      </c>
      <c r="AI176" s="191" t="s">
        <v>134</v>
      </c>
      <c r="AJ176" s="191" t="s">
        <v>36</v>
      </c>
      <c r="AK176" s="191" t="s">
        <v>73</v>
      </c>
      <c r="AL176" s="191" t="s">
        <v>44</v>
      </c>
      <c r="AM176" s="191" t="s">
        <v>1242</v>
      </c>
      <c r="AN176" s="191" t="s">
        <v>44</v>
      </c>
      <c r="AO176" s="191" t="s">
        <v>44</v>
      </c>
      <c r="AP176" s="191" t="s">
        <v>44</v>
      </c>
    </row>
    <row r="177" spans="1:42" ht="29">
      <c r="A177" s="191" t="s">
        <v>1425</v>
      </c>
      <c r="B177" s="190">
        <v>3</v>
      </c>
      <c r="C177" s="190">
        <v>3</v>
      </c>
      <c r="D177" s="190">
        <v>3</v>
      </c>
      <c r="E177" s="191" t="s">
        <v>311</v>
      </c>
      <c r="F177" s="190">
        <v>4</v>
      </c>
      <c r="G177" s="191" t="s">
        <v>36</v>
      </c>
      <c r="H177" s="190">
        <v>1</v>
      </c>
      <c r="I177" s="190">
        <v>0</v>
      </c>
      <c r="J177" s="191" t="s">
        <v>80</v>
      </c>
      <c r="K177" s="191" t="s">
        <v>61</v>
      </c>
      <c r="L177" s="191" t="s">
        <v>36</v>
      </c>
      <c r="M177" s="191" t="s">
        <v>37</v>
      </c>
      <c r="N177" s="191" t="s">
        <v>58</v>
      </c>
      <c r="O177" s="191" t="s">
        <v>39</v>
      </c>
      <c r="P177" s="191" t="s">
        <v>41</v>
      </c>
      <c r="Q177" s="191" t="s">
        <v>40</v>
      </c>
      <c r="R177" s="191" t="s">
        <v>87</v>
      </c>
      <c r="S177" s="191" t="s">
        <v>48</v>
      </c>
      <c r="T177" s="191" t="s">
        <v>44</v>
      </c>
      <c r="U177" s="191" t="s">
        <v>117</v>
      </c>
      <c r="V177" s="191" t="s">
        <v>1106</v>
      </c>
      <c r="W177" s="191" t="s">
        <v>43</v>
      </c>
      <c r="X177" s="191" t="s">
        <v>44</v>
      </c>
      <c r="Y177" s="191" t="s">
        <v>47</v>
      </c>
      <c r="Z177" s="191" t="s">
        <v>43</v>
      </c>
      <c r="AA177" s="191" t="s">
        <v>62</v>
      </c>
      <c r="AB177" s="191" t="s">
        <v>84</v>
      </c>
      <c r="AC177" s="191" t="s">
        <v>43</v>
      </c>
      <c r="AD177" s="191" t="s">
        <v>72</v>
      </c>
      <c r="AE177" s="191" t="s">
        <v>44</v>
      </c>
      <c r="AF177" s="191" t="s">
        <v>95</v>
      </c>
      <c r="AG177" s="191" t="s">
        <v>47</v>
      </c>
      <c r="AH177" s="191" t="s">
        <v>44</v>
      </c>
      <c r="AI177" s="191" t="s">
        <v>39</v>
      </c>
      <c r="AJ177" s="191" t="s">
        <v>36</v>
      </c>
      <c r="AK177" s="191" t="s">
        <v>35</v>
      </c>
      <c r="AL177" s="191" t="s">
        <v>44</v>
      </c>
      <c r="AM177" s="191" t="s">
        <v>45</v>
      </c>
      <c r="AN177" s="191" t="s">
        <v>44</v>
      </c>
      <c r="AO177" s="191" t="s">
        <v>44</v>
      </c>
      <c r="AP177" s="191" t="s">
        <v>44</v>
      </c>
    </row>
    <row r="178" spans="1:42" ht="29">
      <c r="A178" s="191" t="s">
        <v>1426</v>
      </c>
      <c r="B178" s="190">
        <v>3</v>
      </c>
      <c r="C178" s="190">
        <v>3</v>
      </c>
      <c r="D178" s="190">
        <v>3</v>
      </c>
      <c r="E178" s="191" t="s">
        <v>315</v>
      </c>
      <c r="F178" s="190">
        <v>2</v>
      </c>
      <c r="G178" s="191" t="s">
        <v>36</v>
      </c>
      <c r="H178" s="190">
        <v>1</v>
      </c>
      <c r="I178" s="190">
        <v>106</v>
      </c>
      <c r="J178" s="191" t="s">
        <v>80</v>
      </c>
      <c r="K178" s="191" t="s">
        <v>61</v>
      </c>
      <c r="L178" s="191" t="s">
        <v>36</v>
      </c>
      <c r="M178" s="191" t="s">
        <v>37</v>
      </c>
      <c r="N178" s="191" t="s">
        <v>38</v>
      </c>
      <c r="O178" s="191" t="s">
        <v>39</v>
      </c>
      <c r="P178" s="191" t="s">
        <v>41</v>
      </c>
      <c r="Q178" s="191" t="s">
        <v>83</v>
      </c>
      <c r="R178" s="191" t="s">
        <v>87</v>
      </c>
      <c r="S178" s="191" t="s">
        <v>48</v>
      </c>
      <c r="T178" s="191" t="s">
        <v>44</v>
      </c>
      <c r="U178" s="191" t="s">
        <v>117</v>
      </c>
      <c r="V178" s="191" t="s">
        <v>1106</v>
      </c>
      <c r="W178" s="191" t="s">
        <v>43</v>
      </c>
      <c r="X178" s="191" t="s">
        <v>44</v>
      </c>
      <c r="Y178" s="191" t="s">
        <v>45</v>
      </c>
      <c r="Z178" s="191" t="s">
        <v>43</v>
      </c>
      <c r="AA178" s="191" t="s">
        <v>49</v>
      </c>
      <c r="AB178" s="191" t="s">
        <v>84</v>
      </c>
      <c r="AC178" s="191" t="s">
        <v>47</v>
      </c>
      <c r="AD178" s="191" t="s">
        <v>72</v>
      </c>
      <c r="AE178" s="191" t="s">
        <v>44</v>
      </c>
      <c r="AF178" s="191" t="s">
        <v>95</v>
      </c>
      <c r="AG178" s="191" t="s">
        <v>43</v>
      </c>
      <c r="AH178" s="191" t="s">
        <v>44</v>
      </c>
      <c r="AI178" s="191" t="s">
        <v>39</v>
      </c>
      <c r="AJ178" s="191" t="s">
        <v>36</v>
      </c>
      <c r="AK178" s="191" t="s">
        <v>73</v>
      </c>
      <c r="AL178" s="191" t="s">
        <v>44</v>
      </c>
      <c r="AM178" s="191" t="s">
        <v>45</v>
      </c>
      <c r="AN178" s="191" t="s">
        <v>44</v>
      </c>
      <c r="AO178" s="191" t="s">
        <v>44</v>
      </c>
      <c r="AP178" s="191" t="s">
        <v>44</v>
      </c>
    </row>
    <row r="179" spans="1:42" ht="29">
      <c r="A179" s="191" t="s">
        <v>1427</v>
      </c>
      <c r="B179" s="190">
        <v>3</v>
      </c>
      <c r="C179" s="190">
        <v>7</v>
      </c>
      <c r="D179" s="190">
        <v>7</v>
      </c>
      <c r="E179" s="191" t="s">
        <v>318</v>
      </c>
      <c r="F179" s="190">
        <v>2</v>
      </c>
      <c r="G179" s="191" t="s">
        <v>36</v>
      </c>
      <c r="H179" s="190">
        <v>1</v>
      </c>
      <c r="I179" s="190">
        <v>120</v>
      </c>
      <c r="J179" s="191" t="s">
        <v>116</v>
      </c>
      <c r="K179" s="191" t="s">
        <v>61</v>
      </c>
      <c r="L179" s="191" t="s">
        <v>36</v>
      </c>
      <c r="M179" s="191" t="s">
        <v>37</v>
      </c>
      <c r="N179" s="191" t="s">
        <v>95</v>
      </c>
      <c r="O179" s="191" t="s">
        <v>39</v>
      </c>
      <c r="P179" s="191" t="s">
        <v>41</v>
      </c>
      <c r="Q179" s="191" t="s">
        <v>137</v>
      </c>
      <c r="R179" s="191" t="s">
        <v>42</v>
      </c>
      <c r="S179" s="191" t="s">
        <v>48</v>
      </c>
      <c r="T179" s="191" t="s">
        <v>44</v>
      </c>
      <c r="U179" s="191" t="s">
        <v>61</v>
      </c>
      <c r="V179" s="191" t="s">
        <v>1106</v>
      </c>
      <c r="W179" s="191" t="s">
        <v>43</v>
      </c>
      <c r="X179" s="191" t="s">
        <v>44</v>
      </c>
      <c r="Y179" s="191" t="s">
        <v>47</v>
      </c>
      <c r="Z179" s="191" t="s">
        <v>47</v>
      </c>
      <c r="AA179" s="191" t="s">
        <v>62</v>
      </c>
      <c r="AB179" s="191" t="s">
        <v>50</v>
      </c>
      <c r="AC179" s="191" t="s">
        <v>43</v>
      </c>
      <c r="AD179" s="191" t="s">
        <v>72</v>
      </c>
      <c r="AE179" s="191" t="s">
        <v>44</v>
      </c>
      <c r="AF179" s="191" t="s">
        <v>95</v>
      </c>
      <c r="AG179" s="191" t="s">
        <v>43</v>
      </c>
      <c r="AH179" s="191" t="s">
        <v>44</v>
      </c>
      <c r="AI179" s="191" t="s">
        <v>39</v>
      </c>
      <c r="AJ179" s="191" t="s">
        <v>36</v>
      </c>
      <c r="AK179" s="191" t="s">
        <v>59</v>
      </c>
      <c r="AL179" s="191" t="s">
        <v>44</v>
      </c>
      <c r="AM179" s="191" t="s">
        <v>45</v>
      </c>
      <c r="AN179" s="191" t="s">
        <v>44</v>
      </c>
      <c r="AO179" s="191" t="s">
        <v>44</v>
      </c>
      <c r="AP179" s="191" t="s">
        <v>44</v>
      </c>
    </row>
    <row r="180" spans="1:42" ht="29">
      <c r="A180" s="191" t="s">
        <v>1428</v>
      </c>
      <c r="B180" s="190">
        <v>3</v>
      </c>
      <c r="C180" s="190">
        <v>7</v>
      </c>
      <c r="D180" s="190">
        <v>7</v>
      </c>
      <c r="E180" s="191" t="s">
        <v>315</v>
      </c>
      <c r="F180" s="190">
        <v>3</v>
      </c>
      <c r="G180" s="191" t="s">
        <v>36</v>
      </c>
      <c r="H180" s="190">
        <v>1</v>
      </c>
      <c r="I180" s="190">
        <v>161</v>
      </c>
      <c r="J180" s="191" t="s">
        <v>36</v>
      </c>
      <c r="K180" s="191" t="s">
        <v>61</v>
      </c>
      <c r="L180" s="191" t="s">
        <v>36</v>
      </c>
      <c r="M180" s="191" t="s">
        <v>37</v>
      </c>
      <c r="N180" s="191" t="s">
        <v>108</v>
      </c>
      <c r="O180" s="191" t="s">
        <v>39</v>
      </c>
      <c r="P180" s="191" t="s">
        <v>41</v>
      </c>
      <c r="Q180" s="191" t="s">
        <v>47</v>
      </c>
      <c r="R180" s="191" t="s">
        <v>42</v>
      </c>
      <c r="S180" s="191" t="s">
        <v>48</v>
      </c>
      <c r="T180" s="191" t="s">
        <v>44</v>
      </c>
      <c r="U180" s="191" t="s">
        <v>89</v>
      </c>
      <c r="V180" s="191" t="s">
        <v>1106</v>
      </c>
      <c r="W180" s="191" t="s">
        <v>43</v>
      </c>
      <c r="X180" s="191" t="s">
        <v>44</v>
      </c>
      <c r="Y180" s="191" t="s">
        <v>43</v>
      </c>
      <c r="Z180" s="191" t="s">
        <v>43</v>
      </c>
      <c r="AA180" s="191" t="s">
        <v>62</v>
      </c>
      <c r="AB180" s="191" t="s">
        <v>50</v>
      </c>
      <c r="AC180" s="191" t="s">
        <v>43</v>
      </c>
      <c r="AD180" s="191" t="s">
        <v>72</v>
      </c>
      <c r="AE180" s="191" t="s">
        <v>44</v>
      </c>
      <c r="AF180" s="191" t="s">
        <v>108</v>
      </c>
      <c r="AG180" s="191" t="s">
        <v>47</v>
      </c>
      <c r="AH180" s="191" t="s">
        <v>44</v>
      </c>
      <c r="AI180" s="191" t="s">
        <v>39</v>
      </c>
      <c r="AJ180" s="191" t="s">
        <v>36</v>
      </c>
      <c r="AK180" s="191" t="s">
        <v>73</v>
      </c>
      <c r="AL180" s="191" t="s">
        <v>44</v>
      </c>
      <c r="AM180" s="191" t="s">
        <v>45</v>
      </c>
      <c r="AN180" s="191" t="s">
        <v>44</v>
      </c>
      <c r="AO180" s="191" t="s">
        <v>44</v>
      </c>
      <c r="AP180" s="191" t="s">
        <v>44</v>
      </c>
    </row>
    <row r="181" spans="1:42" ht="29">
      <c r="A181" s="191" t="s">
        <v>1429</v>
      </c>
      <c r="B181" s="190">
        <v>3</v>
      </c>
      <c r="C181" s="190">
        <v>7</v>
      </c>
      <c r="D181" s="190">
        <v>8</v>
      </c>
      <c r="E181" s="191" t="s">
        <v>318</v>
      </c>
      <c r="F181" s="190">
        <v>2</v>
      </c>
      <c r="G181" s="191" t="s">
        <v>36</v>
      </c>
      <c r="H181" s="190">
        <v>1</v>
      </c>
      <c r="I181" s="190">
        <v>95</v>
      </c>
      <c r="J181" s="191" t="s">
        <v>54</v>
      </c>
      <c r="K181" s="191" t="s">
        <v>81</v>
      </c>
      <c r="L181" s="191" t="s">
        <v>36</v>
      </c>
      <c r="M181" s="191" t="s">
        <v>37</v>
      </c>
      <c r="N181" s="191" t="s">
        <v>58</v>
      </c>
      <c r="O181" s="191" t="s">
        <v>288</v>
      </c>
      <c r="P181" s="191" t="s">
        <v>41</v>
      </c>
      <c r="Q181" s="191" t="s">
        <v>40</v>
      </c>
      <c r="R181" s="191" t="s">
        <v>42</v>
      </c>
      <c r="S181" s="191" t="s">
        <v>48</v>
      </c>
      <c r="T181" s="191" t="s">
        <v>44</v>
      </c>
      <c r="U181" s="191" t="s">
        <v>126</v>
      </c>
      <c r="V181" s="191" t="s">
        <v>1106</v>
      </c>
      <c r="W181" s="191" t="s">
        <v>43</v>
      </c>
      <c r="X181" s="191" t="s">
        <v>44</v>
      </c>
      <c r="Y181" s="191" t="s">
        <v>47</v>
      </c>
      <c r="Z181" s="191" t="s">
        <v>43</v>
      </c>
      <c r="AA181" s="191" t="s">
        <v>62</v>
      </c>
      <c r="AB181" s="191" t="s">
        <v>50</v>
      </c>
      <c r="AC181" s="191" t="s">
        <v>43</v>
      </c>
      <c r="AD181" s="191" t="s">
        <v>72</v>
      </c>
      <c r="AE181" s="191" t="s">
        <v>44</v>
      </c>
      <c r="AF181" s="191" t="s">
        <v>95</v>
      </c>
      <c r="AG181" s="191" t="s">
        <v>47</v>
      </c>
      <c r="AH181" s="191" t="s">
        <v>44</v>
      </c>
      <c r="AI181" s="191" t="s">
        <v>134</v>
      </c>
      <c r="AJ181" s="191" t="s">
        <v>36</v>
      </c>
      <c r="AK181" s="191" t="s">
        <v>35</v>
      </c>
      <c r="AL181" s="191" t="s">
        <v>44</v>
      </c>
      <c r="AM181" s="191" t="s">
        <v>45</v>
      </c>
      <c r="AN181" s="191" t="s">
        <v>44</v>
      </c>
      <c r="AO181" s="191" t="s">
        <v>44</v>
      </c>
      <c r="AP181" s="191" t="s">
        <v>44</v>
      </c>
    </row>
    <row r="182" spans="1:42" ht="29">
      <c r="A182" s="191" t="s">
        <v>1430</v>
      </c>
      <c r="B182" s="190">
        <v>3</v>
      </c>
      <c r="C182" s="190">
        <v>7</v>
      </c>
      <c r="D182" s="190">
        <v>7</v>
      </c>
      <c r="E182" s="191" t="s">
        <v>318</v>
      </c>
      <c r="F182" s="190">
        <v>2</v>
      </c>
      <c r="G182" s="191" t="s">
        <v>36</v>
      </c>
      <c r="H182" s="190">
        <v>1</v>
      </c>
      <c r="I182" s="190">
        <v>100</v>
      </c>
      <c r="J182" s="191" t="s">
        <v>116</v>
      </c>
      <c r="K182" s="191" t="s">
        <v>61</v>
      </c>
      <c r="L182" s="191" t="s">
        <v>36</v>
      </c>
      <c r="M182" s="191" t="s">
        <v>37</v>
      </c>
      <c r="N182" s="191" t="s">
        <v>95</v>
      </c>
      <c r="O182" s="191" t="s">
        <v>39</v>
      </c>
      <c r="P182" s="191" t="s">
        <v>41</v>
      </c>
      <c r="Q182" s="191" t="s">
        <v>83</v>
      </c>
      <c r="R182" s="191" t="s">
        <v>87</v>
      </c>
      <c r="S182" s="191" t="s">
        <v>48</v>
      </c>
      <c r="T182" s="191" t="s">
        <v>44</v>
      </c>
      <c r="U182" s="191" t="s">
        <v>117</v>
      </c>
      <c r="V182" s="191" t="s">
        <v>1106</v>
      </c>
      <c r="W182" s="191" t="s">
        <v>47</v>
      </c>
      <c r="X182" s="191" t="s">
        <v>44</v>
      </c>
      <c r="Y182" s="191" t="s">
        <v>47</v>
      </c>
      <c r="Z182" s="191" t="s">
        <v>43</v>
      </c>
      <c r="AA182" s="191" t="s">
        <v>62</v>
      </c>
      <c r="AB182" s="191" t="s">
        <v>50</v>
      </c>
      <c r="AC182" s="191" t="s">
        <v>47</v>
      </c>
      <c r="AD182" s="191" t="s">
        <v>91</v>
      </c>
      <c r="AE182" s="191" t="s">
        <v>44</v>
      </c>
      <c r="AF182" s="191" t="s">
        <v>95</v>
      </c>
      <c r="AG182" s="191" t="s">
        <v>43</v>
      </c>
      <c r="AH182" s="191" t="s">
        <v>44</v>
      </c>
      <c r="AI182" s="191" t="s">
        <v>39</v>
      </c>
      <c r="AJ182" s="191" t="s">
        <v>36</v>
      </c>
      <c r="AK182" s="191" t="s">
        <v>35</v>
      </c>
      <c r="AL182" s="191" t="s">
        <v>44</v>
      </c>
      <c r="AM182" s="191" t="s">
        <v>45</v>
      </c>
      <c r="AN182" s="191" t="s">
        <v>44</v>
      </c>
      <c r="AO182" s="191" t="s">
        <v>44</v>
      </c>
      <c r="AP182" s="191" t="s">
        <v>44</v>
      </c>
    </row>
    <row r="183" spans="1:42" ht="29">
      <c r="A183" s="191" t="s">
        <v>1431</v>
      </c>
      <c r="B183" s="190">
        <v>3</v>
      </c>
      <c r="C183" s="190">
        <v>7</v>
      </c>
      <c r="D183" s="190">
        <v>9</v>
      </c>
      <c r="E183" s="191" t="s">
        <v>318</v>
      </c>
      <c r="F183" s="190">
        <v>1</v>
      </c>
      <c r="G183" s="191" t="s">
        <v>36</v>
      </c>
      <c r="H183" s="190">
        <v>1</v>
      </c>
      <c r="I183" s="190">
        <v>110</v>
      </c>
      <c r="J183" s="191" t="s">
        <v>54</v>
      </c>
      <c r="K183" s="191" t="s">
        <v>47</v>
      </c>
      <c r="L183" s="191" t="s">
        <v>36</v>
      </c>
      <c r="M183" s="191" t="s">
        <v>37</v>
      </c>
      <c r="N183" s="191" t="s">
        <v>58</v>
      </c>
      <c r="O183" s="191" t="s">
        <v>39</v>
      </c>
      <c r="P183" s="191" t="s">
        <v>41</v>
      </c>
      <c r="Q183" s="191" t="s">
        <v>43</v>
      </c>
      <c r="R183" s="191" t="s">
        <v>60</v>
      </c>
      <c r="S183" s="191" t="s">
        <v>48</v>
      </c>
      <c r="T183" s="191" t="s">
        <v>44</v>
      </c>
      <c r="U183" s="191" t="s">
        <v>117</v>
      </c>
      <c r="V183" s="191" t="s">
        <v>1106</v>
      </c>
      <c r="W183" s="191" t="s">
        <v>47</v>
      </c>
      <c r="X183" s="191" t="s">
        <v>44</v>
      </c>
      <c r="Y183" s="191" t="s">
        <v>61</v>
      </c>
      <c r="Z183" s="191" t="s">
        <v>43</v>
      </c>
      <c r="AA183" s="191" t="s">
        <v>62</v>
      </c>
      <c r="AB183" s="191" t="s">
        <v>50</v>
      </c>
      <c r="AC183" s="191" t="s">
        <v>47</v>
      </c>
      <c r="AD183" s="191" t="s">
        <v>91</v>
      </c>
      <c r="AE183" s="191" t="s">
        <v>44</v>
      </c>
      <c r="AF183" s="191" t="s">
        <v>52</v>
      </c>
      <c r="AG183" s="191" t="s">
        <v>47</v>
      </c>
      <c r="AH183" s="191" t="s">
        <v>44</v>
      </c>
      <c r="AI183" s="191" t="s">
        <v>39</v>
      </c>
      <c r="AJ183" s="191" t="s">
        <v>36</v>
      </c>
      <c r="AK183" s="191" t="s">
        <v>63</v>
      </c>
      <c r="AL183" s="191" t="s">
        <v>44</v>
      </c>
      <c r="AM183" s="191" t="s">
        <v>74</v>
      </c>
      <c r="AN183" s="191" t="s">
        <v>44</v>
      </c>
      <c r="AO183" s="191" t="s">
        <v>44</v>
      </c>
      <c r="AP183" s="191" t="s">
        <v>44</v>
      </c>
    </row>
    <row r="184" spans="1:42" ht="29">
      <c r="A184" s="191" t="s">
        <v>1432</v>
      </c>
      <c r="B184" s="190">
        <v>3</v>
      </c>
      <c r="C184" s="190">
        <v>7</v>
      </c>
      <c r="D184" s="190">
        <v>7</v>
      </c>
      <c r="E184" s="191" t="s">
        <v>318</v>
      </c>
      <c r="F184" s="190">
        <v>2</v>
      </c>
      <c r="G184" s="191" t="s">
        <v>36</v>
      </c>
      <c r="H184" s="190">
        <v>1</v>
      </c>
      <c r="I184" s="190">
        <v>100</v>
      </c>
      <c r="J184" s="191" t="s">
        <v>34</v>
      </c>
      <c r="K184" s="191" t="s">
        <v>40</v>
      </c>
      <c r="L184" s="191" t="s">
        <v>36</v>
      </c>
      <c r="M184" s="191" t="s">
        <v>37</v>
      </c>
      <c r="N184" s="191" t="s">
        <v>95</v>
      </c>
      <c r="O184" s="191" t="s">
        <v>39</v>
      </c>
      <c r="P184" s="191" t="s">
        <v>41</v>
      </c>
      <c r="Q184" s="191" t="s">
        <v>81</v>
      </c>
      <c r="R184" s="191" t="s">
        <v>42</v>
      </c>
      <c r="S184" s="191" t="s">
        <v>48</v>
      </c>
      <c r="T184" s="191" t="s">
        <v>44</v>
      </c>
      <c r="U184" s="191" t="s">
        <v>117</v>
      </c>
      <c r="V184" s="191" t="s">
        <v>1106</v>
      </c>
      <c r="W184" s="191" t="s">
        <v>43</v>
      </c>
      <c r="X184" s="191" t="s">
        <v>44</v>
      </c>
      <c r="Y184" s="191" t="s">
        <v>45</v>
      </c>
      <c r="Z184" s="191" t="s">
        <v>43</v>
      </c>
      <c r="AA184" s="191" t="s">
        <v>49</v>
      </c>
      <c r="AB184" s="191" t="s">
        <v>50</v>
      </c>
      <c r="AC184" s="191" t="s">
        <v>47</v>
      </c>
      <c r="AD184" s="191" t="s">
        <v>72</v>
      </c>
      <c r="AE184" s="191" t="s">
        <v>44</v>
      </c>
      <c r="AF184" s="191" t="s">
        <v>95</v>
      </c>
      <c r="AG184" s="191" t="s">
        <v>43</v>
      </c>
      <c r="AH184" s="191" t="s">
        <v>44</v>
      </c>
      <c r="AI184" s="191" t="s">
        <v>39</v>
      </c>
      <c r="AJ184" s="191" t="s">
        <v>36</v>
      </c>
      <c r="AK184" s="191" t="s">
        <v>59</v>
      </c>
      <c r="AL184" s="191" t="s">
        <v>44</v>
      </c>
      <c r="AM184" s="191" t="s">
        <v>45</v>
      </c>
      <c r="AN184" s="191" t="s">
        <v>44</v>
      </c>
      <c r="AO184" s="191" t="s">
        <v>44</v>
      </c>
      <c r="AP184" s="191" t="s">
        <v>44</v>
      </c>
    </row>
    <row r="185" spans="1:42" ht="29">
      <c r="A185" s="191" t="s">
        <v>1433</v>
      </c>
      <c r="B185" s="190">
        <v>3</v>
      </c>
      <c r="C185" s="190">
        <v>7</v>
      </c>
      <c r="D185" s="190">
        <v>9</v>
      </c>
      <c r="E185" s="191" t="s">
        <v>318</v>
      </c>
      <c r="F185" s="190">
        <v>1</v>
      </c>
      <c r="G185" s="191" t="s">
        <v>36</v>
      </c>
      <c r="H185" s="190">
        <v>1</v>
      </c>
      <c r="I185" s="190">
        <v>120</v>
      </c>
      <c r="J185" s="191" t="s">
        <v>80</v>
      </c>
      <c r="K185" s="191" t="s">
        <v>61</v>
      </c>
      <c r="L185" s="191" t="s">
        <v>36</v>
      </c>
      <c r="M185" s="191" t="s">
        <v>37</v>
      </c>
      <c r="N185" s="191" t="s">
        <v>58</v>
      </c>
      <c r="O185" s="191" t="s">
        <v>39</v>
      </c>
      <c r="P185" s="191" t="s">
        <v>41</v>
      </c>
      <c r="Q185" s="191" t="s">
        <v>43</v>
      </c>
      <c r="R185" s="191" t="s">
        <v>60</v>
      </c>
      <c r="S185" s="191" t="s">
        <v>48</v>
      </c>
      <c r="T185" s="191" t="s">
        <v>44</v>
      </c>
      <c r="U185" s="191" t="s">
        <v>45</v>
      </c>
      <c r="V185" s="191" t="s">
        <v>1106</v>
      </c>
      <c r="W185" s="191" t="s">
        <v>43</v>
      </c>
      <c r="X185" s="191" t="s">
        <v>44</v>
      </c>
      <c r="Y185" s="191" t="s">
        <v>47</v>
      </c>
      <c r="Z185" s="191" t="s">
        <v>78</v>
      </c>
      <c r="AA185" s="191" t="s">
        <v>62</v>
      </c>
      <c r="AB185" s="191" t="s">
        <v>50</v>
      </c>
      <c r="AC185" s="191" t="s">
        <v>43</v>
      </c>
      <c r="AD185" s="191" t="s">
        <v>72</v>
      </c>
      <c r="AE185" s="191" t="s">
        <v>44</v>
      </c>
      <c r="AF185" s="191" t="s">
        <v>52</v>
      </c>
      <c r="AG185" s="191" t="s">
        <v>47</v>
      </c>
      <c r="AH185" s="191" t="s">
        <v>44</v>
      </c>
      <c r="AI185" s="191" t="s">
        <v>39</v>
      </c>
      <c r="AJ185" s="191" t="s">
        <v>36</v>
      </c>
      <c r="AK185" s="191" t="s">
        <v>63</v>
      </c>
      <c r="AL185" s="191" t="s">
        <v>44</v>
      </c>
      <c r="AM185" s="191" t="s">
        <v>89</v>
      </c>
      <c r="AN185" s="191" t="s">
        <v>44</v>
      </c>
      <c r="AO185" s="191" t="s">
        <v>44</v>
      </c>
      <c r="AP185" s="191" t="s">
        <v>44</v>
      </c>
    </row>
    <row r="186" spans="1:42" ht="29">
      <c r="A186" s="191" t="s">
        <v>1434</v>
      </c>
      <c r="B186" s="190">
        <v>3</v>
      </c>
      <c r="C186" s="190">
        <v>7</v>
      </c>
      <c r="D186" s="190">
        <v>9</v>
      </c>
      <c r="E186" s="191" t="s">
        <v>318</v>
      </c>
      <c r="F186" s="190">
        <v>1</v>
      </c>
      <c r="G186" s="191" t="s">
        <v>36</v>
      </c>
      <c r="H186" s="190">
        <v>1</v>
      </c>
      <c r="I186" s="190">
        <v>120</v>
      </c>
      <c r="J186" s="191" t="s">
        <v>54</v>
      </c>
      <c r="K186" s="191" t="s">
        <v>61</v>
      </c>
      <c r="L186" s="191" t="s">
        <v>36</v>
      </c>
      <c r="M186" s="191" t="s">
        <v>37</v>
      </c>
      <c r="N186" s="191" t="s">
        <v>58</v>
      </c>
      <c r="O186" s="191" t="s">
        <v>39</v>
      </c>
      <c r="P186" s="191" t="s">
        <v>41</v>
      </c>
      <c r="Q186" s="191" t="s">
        <v>104</v>
      </c>
      <c r="R186" s="191" t="s">
        <v>42</v>
      </c>
      <c r="S186" s="191" t="s">
        <v>48</v>
      </c>
      <c r="T186" s="191" t="s">
        <v>44</v>
      </c>
      <c r="U186" s="191" t="s">
        <v>1116</v>
      </c>
      <c r="V186" s="191" t="s">
        <v>1106</v>
      </c>
      <c r="W186" s="191" t="s">
        <v>47</v>
      </c>
      <c r="X186" s="191" t="s">
        <v>44</v>
      </c>
      <c r="Y186" s="191" t="s">
        <v>47</v>
      </c>
      <c r="Z186" s="191" t="s">
        <v>43</v>
      </c>
      <c r="AA186" s="191" t="s">
        <v>62</v>
      </c>
      <c r="AB186" s="191" t="s">
        <v>50</v>
      </c>
      <c r="AC186" s="191" t="s">
        <v>43</v>
      </c>
      <c r="AD186" s="191" t="s">
        <v>72</v>
      </c>
      <c r="AE186" s="191" t="s">
        <v>44</v>
      </c>
      <c r="AF186" s="191" t="s">
        <v>52</v>
      </c>
      <c r="AG186" s="191" t="s">
        <v>47</v>
      </c>
      <c r="AH186" s="191" t="s">
        <v>44</v>
      </c>
      <c r="AI186" s="191" t="s">
        <v>39</v>
      </c>
      <c r="AJ186" s="191" t="s">
        <v>36</v>
      </c>
      <c r="AK186" s="191" t="s">
        <v>59</v>
      </c>
      <c r="AL186" s="191" t="s">
        <v>44</v>
      </c>
      <c r="AM186" s="191" t="s">
        <v>45</v>
      </c>
      <c r="AN186" s="191" t="s">
        <v>44</v>
      </c>
      <c r="AO186" s="191" t="s">
        <v>44</v>
      </c>
      <c r="AP186" s="191" t="s">
        <v>44</v>
      </c>
    </row>
    <row r="187" spans="1:42" ht="29">
      <c r="A187" s="191" t="s">
        <v>1435</v>
      </c>
      <c r="B187" s="190">
        <v>3</v>
      </c>
      <c r="C187" s="190">
        <v>7</v>
      </c>
      <c r="D187" s="190">
        <v>9</v>
      </c>
      <c r="E187" s="191" t="s">
        <v>318</v>
      </c>
      <c r="F187" s="190">
        <v>1</v>
      </c>
      <c r="G187" s="191" t="s">
        <v>36</v>
      </c>
      <c r="H187" s="190">
        <v>1</v>
      </c>
      <c r="I187" s="190">
        <v>120</v>
      </c>
      <c r="J187" s="191" t="s">
        <v>54</v>
      </c>
      <c r="K187" s="191" t="s">
        <v>61</v>
      </c>
      <c r="L187" s="191" t="s">
        <v>36</v>
      </c>
      <c r="M187" s="191" t="s">
        <v>37</v>
      </c>
      <c r="N187" s="191" t="s">
        <v>58</v>
      </c>
      <c r="O187" s="191" t="s">
        <v>39</v>
      </c>
      <c r="P187" s="191" t="s">
        <v>41</v>
      </c>
      <c r="Q187" s="191" t="s">
        <v>57</v>
      </c>
      <c r="R187" s="191" t="s">
        <v>87</v>
      </c>
      <c r="S187" s="191" t="s">
        <v>48</v>
      </c>
      <c r="T187" s="191" t="s">
        <v>44</v>
      </c>
      <c r="U187" s="191" t="s">
        <v>126</v>
      </c>
      <c r="V187" s="191" t="s">
        <v>1106</v>
      </c>
      <c r="W187" s="191" t="s">
        <v>43</v>
      </c>
      <c r="X187" s="191" t="s">
        <v>44</v>
      </c>
      <c r="Y187" s="191" t="s">
        <v>47</v>
      </c>
      <c r="Z187" s="191" t="s">
        <v>43</v>
      </c>
      <c r="AA187" s="191" t="s">
        <v>49</v>
      </c>
      <c r="AB187" s="191" t="s">
        <v>84</v>
      </c>
      <c r="AC187" s="191" t="s">
        <v>47</v>
      </c>
      <c r="AD187" s="191" t="s">
        <v>72</v>
      </c>
      <c r="AE187" s="191" t="s">
        <v>44</v>
      </c>
      <c r="AF187" s="191" t="s">
        <v>95</v>
      </c>
      <c r="AG187" s="191" t="s">
        <v>43</v>
      </c>
      <c r="AH187" s="191" t="s">
        <v>44</v>
      </c>
      <c r="AI187" s="191" t="s">
        <v>39</v>
      </c>
      <c r="AJ187" s="191" t="s">
        <v>36</v>
      </c>
      <c r="AK187" s="191" t="s">
        <v>81</v>
      </c>
      <c r="AL187" s="191" t="s">
        <v>44</v>
      </c>
      <c r="AM187" s="191" t="s">
        <v>47</v>
      </c>
      <c r="AN187" s="191" t="s">
        <v>44</v>
      </c>
      <c r="AO187" s="191" t="s">
        <v>44</v>
      </c>
      <c r="AP187" s="191" t="s">
        <v>44</v>
      </c>
    </row>
    <row r="188" spans="1:42" ht="43.5">
      <c r="A188" s="191" t="s">
        <v>1436</v>
      </c>
      <c r="B188" s="190">
        <v>3</v>
      </c>
      <c r="C188" s="190">
        <v>9</v>
      </c>
      <c r="D188" s="190">
        <v>9</v>
      </c>
      <c r="E188" s="191" t="s">
        <v>315</v>
      </c>
      <c r="F188" s="190">
        <v>3</v>
      </c>
      <c r="G188" s="191" t="s">
        <v>36</v>
      </c>
      <c r="H188" s="190">
        <v>1</v>
      </c>
      <c r="I188" s="190">
        <v>100</v>
      </c>
      <c r="J188" s="191" t="s">
        <v>34</v>
      </c>
      <c r="K188" s="191" t="s">
        <v>61</v>
      </c>
      <c r="L188" s="191" t="s">
        <v>36</v>
      </c>
      <c r="M188" s="191" t="s">
        <v>37</v>
      </c>
      <c r="N188" s="191" t="s">
        <v>58</v>
      </c>
      <c r="O188" s="191" t="s">
        <v>288</v>
      </c>
      <c r="P188" s="191" t="s">
        <v>56</v>
      </c>
      <c r="Q188" s="191" t="s">
        <v>43</v>
      </c>
      <c r="R188" s="191" t="s">
        <v>60</v>
      </c>
      <c r="S188" s="191" t="s">
        <v>48</v>
      </c>
      <c r="T188" s="191" t="s">
        <v>44</v>
      </c>
      <c r="U188" s="191" t="s">
        <v>61</v>
      </c>
      <c r="V188" s="191" t="s">
        <v>1106</v>
      </c>
      <c r="W188" s="191" t="s">
        <v>78</v>
      </c>
      <c r="X188" s="191" t="s">
        <v>44</v>
      </c>
      <c r="Y188" s="191" t="s">
        <v>45</v>
      </c>
      <c r="Z188" s="191" t="s">
        <v>43</v>
      </c>
      <c r="AA188" s="191" t="s">
        <v>62</v>
      </c>
      <c r="AB188" s="191" t="s">
        <v>84</v>
      </c>
      <c r="AC188" s="191" t="s">
        <v>43</v>
      </c>
      <c r="AD188" s="191" t="s">
        <v>72</v>
      </c>
      <c r="AE188" s="191" t="s">
        <v>44</v>
      </c>
      <c r="AF188" s="191" t="s">
        <v>95</v>
      </c>
      <c r="AG188" s="191" t="s">
        <v>47</v>
      </c>
      <c r="AH188" s="191" t="s">
        <v>44</v>
      </c>
      <c r="AI188" s="191" t="s">
        <v>134</v>
      </c>
      <c r="AJ188" s="191" t="s">
        <v>36</v>
      </c>
      <c r="AK188" s="191" t="s">
        <v>47</v>
      </c>
      <c r="AL188" s="191" t="s">
        <v>44</v>
      </c>
      <c r="AM188" s="191" t="s">
        <v>45</v>
      </c>
      <c r="AN188" s="191" t="s">
        <v>44</v>
      </c>
      <c r="AO188" s="191" t="s">
        <v>44</v>
      </c>
      <c r="AP188" s="191" t="s">
        <v>44</v>
      </c>
    </row>
    <row r="189" spans="1:42" ht="29">
      <c r="A189" s="191" t="s">
        <v>1437</v>
      </c>
      <c r="B189" s="190">
        <v>3</v>
      </c>
      <c r="C189" s="190">
        <v>1</v>
      </c>
      <c r="D189" s="190">
        <v>9</v>
      </c>
      <c r="E189" s="191" t="s">
        <v>315</v>
      </c>
      <c r="F189" s="190">
        <v>1</v>
      </c>
      <c r="G189" s="191" t="s">
        <v>36</v>
      </c>
      <c r="H189" s="190">
        <v>1</v>
      </c>
      <c r="I189" s="190">
        <v>80</v>
      </c>
      <c r="J189" s="191" t="s">
        <v>65</v>
      </c>
      <c r="K189" s="191" t="s">
        <v>40</v>
      </c>
      <c r="L189" s="191" t="s">
        <v>36</v>
      </c>
      <c r="M189" s="191" t="s">
        <v>37</v>
      </c>
      <c r="N189" s="191" t="s">
        <v>95</v>
      </c>
      <c r="O189" s="191" t="s">
        <v>39</v>
      </c>
      <c r="P189" s="191" t="s">
        <v>41</v>
      </c>
      <c r="Q189" s="191" t="s">
        <v>40</v>
      </c>
      <c r="R189" s="191" t="s">
        <v>87</v>
      </c>
      <c r="S189" s="191" t="s">
        <v>48</v>
      </c>
      <c r="T189" s="191" t="s">
        <v>44</v>
      </c>
      <c r="U189" s="191" t="s">
        <v>1115</v>
      </c>
      <c r="V189" s="191" t="s">
        <v>1106</v>
      </c>
      <c r="W189" s="191" t="s">
        <v>47</v>
      </c>
      <c r="X189" s="191" t="s">
        <v>44</v>
      </c>
      <c r="Y189" s="191" t="s">
        <v>47</v>
      </c>
      <c r="Z189" s="191" t="s">
        <v>43</v>
      </c>
      <c r="AA189" s="191" t="s">
        <v>62</v>
      </c>
      <c r="AB189" s="191" t="s">
        <v>50</v>
      </c>
      <c r="AC189" s="191" t="s">
        <v>47</v>
      </c>
      <c r="AD189" s="191" t="s">
        <v>91</v>
      </c>
      <c r="AE189" s="191" t="s">
        <v>44</v>
      </c>
      <c r="AF189" s="191" t="s">
        <v>95</v>
      </c>
      <c r="AG189" s="191" t="s">
        <v>47</v>
      </c>
      <c r="AH189" s="191" t="s">
        <v>44</v>
      </c>
      <c r="AI189" s="191" t="s">
        <v>39</v>
      </c>
      <c r="AJ189" s="191" t="s">
        <v>36</v>
      </c>
      <c r="AK189" s="191" t="s">
        <v>59</v>
      </c>
      <c r="AL189" s="191" t="s">
        <v>44</v>
      </c>
      <c r="AM189" s="191" t="s">
        <v>45</v>
      </c>
      <c r="AN189" s="191" t="s">
        <v>44</v>
      </c>
      <c r="AO189" s="191" t="s">
        <v>44</v>
      </c>
      <c r="AP189" s="191" t="s">
        <v>44</v>
      </c>
    </row>
    <row r="190" spans="1:42" ht="43.5">
      <c r="A190" s="191" t="s">
        <v>1438</v>
      </c>
      <c r="B190" s="190">
        <v>3</v>
      </c>
      <c r="C190" s="190">
        <v>7</v>
      </c>
      <c r="D190" s="190">
        <v>9</v>
      </c>
      <c r="E190" s="191" t="s">
        <v>318</v>
      </c>
      <c r="F190" s="190">
        <v>1</v>
      </c>
      <c r="G190" s="191" t="s">
        <v>36</v>
      </c>
      <c r="H190" s="190">
        <v>1</v>
      </c>
      <c r="I190" s="190">
        <v>32</v>
      </c>
      <c r="J190" s="191" t="s">
        <v>65</v>
      </c>
      <c r="K190" s="191" t="s">
        <v>61</v>
      </c>
      <c r="L190" s="191" t="s">
        <v>36</v>
      </c>
      <c r="M190" s="191" t="s">
        <v>37</v>
      </c>
      <c r="N190" s="191" t="s">
        <v>108</v>
      </c>
      <c r="O190" s="191" t="s">
        <v>288</v>
      </c>
      <c r="P190" s="191" t="s">
        <v>66</v>
      </c>
      <c r="Q190" s="191" t="s">
        <v>40</v>
      </c>
      <c r="R190" s="191" t="s">
        <v>60</v>
      </c>
      <c r="S190" s="191" t="s">
        <v>48</v>
      </c>
      <c r="T190" s="191" t="s">
        <v>44</v>
      </c>
      <c r="U190" s="191" t="s">
        <v>44</v>
      </c>
      <c r="V190" s="191" t="s">
        <v>44</v>
      </c>
      <c r="W190" s="191" t="s">
        <v>47</v>
      </c>
      <c r="X190" s="191" t="s">
        <v>44</v>
      </c>
      <c r="Y190" s="191" t="s">
        <v>61</v>
      </c>
      <c r="Z190" s="191" t="s">
        <v>78</v>
      </c>
      <c r="AA190" s="191" t="s">
        <v>36</v>
      </c>
      <c r="AB190" s="191" t="s">
        <v>84</v>
      </c>
      <c r="AC190" s="191" t="s">
        <v>78</v>
      </c>
      <c r="AD190" s="191" t="s">
        <v>72</v>
      </c>
      <c r="AE190" s="191" t="s">
        <v>44</v>
      </c>
      <c r="AF190" s="191" t="s">
        <v>95</v>
      </c>
      <c r="AG190" s="191" t="s">
        <v>47</v>
      </c>
      <c r="AH190" s="191" t="s">
        <v>44</v>
      </c>
      <c r="AI190" s="191" t="s">
        <v>134</v>
      </c>
      <c r="AJ190" s="191" t="s">
        <v>36</v>
      </c>
      <c r="AK190" s="191" t="s">
        <v>109</v>
      </c>
      <c r="AL190" s="191" t="s">
        <v>44</v>
      </c>
      <c r="AM190" s="191" t="s">
        <v>89</v>
      </c>
      <c r="AN190" s="191" t="s">
        <v>44</v>
      </c>
      <c r="AO190" s="191" t="s">
        <v>44</v>
      </c>
      <c r="AP190" s="191" t="s">
        <v>44</v>
      </c>
    </row>
    <row r="191" spans="1:42" ht="29">
      <c r="A191" s="191" t="s">
        <v>1439</v>
      </c>
      <c r="B191" s="190">
        <v>3</v>
      </c>
      <c r="C191" s="190">
        <v>7</v>
      </c>
      <c r="D191" s="190">
        <v>9</v>
      </c>
      <c r="E191" s="191" t="s">
        <v>318</v>
      </c>
      <c r="F191" s="190">
        <v>1</v>
      </c>
      <c r="G191" s="191" t="s">
        <v>36</v>
      </c>
      <c r="H191" s="190">
        <v>1</v>
      </c>
      <c r="I191" s="190">
        <v>120</v>
      </c>
      <c r="J191" s="191" t="s">
        <v>54</v>
      </c>
      <c r="K191" s="191" t="s">
        <v>61</v>
      </c>
      <c r="L191" s="191" t="s">
        <v>36</v>
      </c>
      <c r="M191" s="191" t="s">
        <v>37</v>
      </c>
      <c r="N191" s="191" t="s">
        <v>58</v>
      </c>
      <c r="O191" s="191" t="s">
        <v>288</v>
      </c>
      <c r="P191" s="191" t="s">
        <v>41</v>
      </c>
      <c r="Q191" s="191" t="s">
        <v>40</v>
      </c>
      <c r="R191" s="191" t="s">
        <v>42</v>
      </c>
      <c r="S191" s="191" t="s">
        <v>48</v>
      </c>
      <c r="T191" s="191" t="s">
        <v>44</v>
      </c>
      <c r="U191" s="191" t="s">
        <v>126</v>
      </c>
      <c r="V191" s="191" t="s">
        <v>1106</v>
      </c>
      <c r="W191" s="191" t="s">
        <v>47</v>
      </c>
      <c r="X191" s="191" t="s">
        <v>44</v>
      </c>
      <c r="Y191" s="191" t="s">
        <v>61</v>
      </c>
      <c r="Z191" s="191" t="s">
        <v>47</v>
      </c>
      <c r="AA191" s="191" t="s">
        <v>62</v>
      </c>
      <c r="AB191" s="191" t="s">
        <v>50</v>
      </c>
      <c r="AC191" s="191" t="s">
        <v>47</v>
      </c>
      <c r="AD191" s="191" t="s">
        <v>91</v>
      </c>
      <c r="AE191" s="191" t="s">
        <v>44</v>
      </c>
      <c r="AF191" s="191" t="s">
        <v>52</v>
      </c>
      <c r="AG191" s="191" t="s">
        <v>47</v>
      </c>
      <c r="AH191" s="191" t="s">
        <v>44</v>
      </c>
      <c r="AI191" s="191" t="s">
        <v>134</v>
      </c>
      <c r="AJ191" s="191" t="s">
        <v>36</v>
      </c>
      <c r="AK191" s="191" t="s">
        <v>78</v>
      </c>
      <c r="AL191" s="191" t="s">
        <v>44</v>
      </c>
      <c r="AM191" s="191" t="s">
        <v>89</v>
      </c>
      <c r="AN191" s="191" t="s">
        <v>44</v>
      </c>
      <c r="AO191" s="191" t="s">
        <v>44</v>
      </c>
      <c r="AP191" s="191" t="s">
        <v>44</v>
      </c>
    </row>
    <row r="192" spans="1:42" ht="29">
      <c r="A192" s="191" t="s">
        <v>1440</v>
      </c>
      <c r="B192" s="190">
        <v>3</v>
      </c>
      <c r="C192" s="190">
        <v>7</v>
      </c>
      <c r="D192" s="190">
        <v>9</v>
      </c>
      <c r="E192" s="191" t="s">
        <v>315</v>
      </c>
      <c r="F192" s="190">
        <v>1</v>
      </c>
      <c r="G192" s="191" t="s">
        <v>36</v>
      </c>
      <c r="H192" s="190">
        <v>1</v>
      </c>
      <c r="I192" s="190">
        <v>88</v>
      </c>
      <c r="J192" s="191" t="s">
        <v>80</v>
      </c>
      <c r="K192" s="191" t="s">
        <v>61</v>
      </c>
      <c r="L192" s="191" t="s">
        <v>36</v>
      </c>
      <c r="M192" s="191" t="s">
        <v>37</v>
      </c>
      <c r="N192" s="191" t="s">
        <v>58</v>
      </c>
      <c r="O192" s="191" t="s">
        <v>39</v>
      </c>
      <c r="P192" s="191" t="s">
        <v>41</v>
      </c>
      <c r="Q192" s="191" t="s">
        <v>149</v>
      </c>
      <c r="R192" s="191" t="s">
        <v>60</v>
      </c>
      <c r="S192" s="191" t="s">
        <v>48</v>
      </c>
      <c r="T192" s="191" t="s">
        <v>44</v>
      </c>
      <c r="U192" s="191" t="s">
        <v>126</v>
      </c>
      <c r="V192" s="191" t="s">
        <v>1106</v>
      </c>
      <c r="W192" s="191" t="s">
        <v>43</v>
      </c>
      <c r="X192" s="191" t="s">
        <v>44</v>
      </c>
      <c r="Y192" s="191" t="s">
        <v>45</v>
      </c>
      <c r="Z192" s="191" t="s">
        <v>43</v>
      </c>
      <c r="AA192" s="191" t="s">
        <v>62</v>
      </c>
      <c r="AB192" s="191" t="s">
        <v>50</v>
      </c>
      <c r="AC192" s="191" t="s">
        <v>47</v>
      </c>
      <c r="AD192" s="191" t="s">
        <v>72</v>
      </c>
      <c r="AE192" s="191" t="s">
        <v>44</v>
      </c>
      <c r="AF192" s="191" t="s">
        <v>95</v>
      </c>
      <c r="AG192" s="191" t="s">
        <v>43</v>
      </c>
      <c r="AH192" s="191" t="s">
        <v>44</v>
      </c>
      <c r="AI192" s="191" t="s">
        <v>39</v>
      </c>
      <c r="AJ192" s="191" t="s">
        <v>36</v>
      </c>
      <c r="AK192" s="191" t="s">
        <v>57</v>
      </c>
      <c r="AL192" s="191" t="s">
        <v>44</v>
      </c>
      <c r="AM192" s="191" t="s">
        <v>1242</v>
      </c>
      <c r="AN192" s="191" t="s">
        <v>44</v>
      </c>
      <c r="AO192" s="191" t="s">
        <v>44</v>
      </c>
      <c r="AP192" s="191" t="s">
        <v>44</v>
      </c>
    </row>
    <row r="193" spans="1:42" ht="29">
      <c r="A193" s="191" t="s">
        <v>1441</v>
      </c>
      <c r="B193" s="190">
        <v>3</v>
      </c>
      <c r="C193" s="190">
        <v>3</v>
      </c>
      <c r="D193" s="190">
        <v>3</v>
      </c>
      <c r="E193" s="191" t="s">
        <v>307</v>
      </c>
      <c r="F193" s="190">
        <v>3</v>
      </c>
      <c r="G193" s="191" t="s">
        <v>36</v>
      </c>
      <c r="H193" s="190">
        <v>1</v>
      </c>
      <c r="I193" s="190">
        <v>90</v>
      </c>
      <c r="J193" s="191" t="s">
        <v>80</v>
      </c>
      <c r="K193" s="191" t="s">
        <v>40</v>
      </c>
      <c r="L193" s="191" t="s">
        <v>36</v>
      </c>
      <c r="M193" s="191" t="s">
        <v>37</v>
      </c>
      <c r="N193" s="191" t="s">
        <v>95</v>
      </c>
      <c r="O193" s="191" t="s">
        <v>39</v>
      </c>
      <c r="P193" s="191" t="s">
        <v>41</v>
      </c>
      <c r="Q193" s="191" t="s">
        <v>135</v>
      </c>
      <c r="R193" s="191" t="s">
        <v>87</v>
      </c>
      <c r="S193" s="191" t="s">
        <v>48</v>
      </c>
      <c r="T193" s="191" t="s">
        <v>44</v>
      </c>
      <c r="U193" s="191" t="s">
        <v>45</v>
      </c>
      <c r="V193" s="191" t="s">
        <v>1106</v>
      </c>
      <c r="W193" s="191" t="s">
        <v>43</v>
      </c>
      <c r="X193" s="191" t="s">
        <v>44</v>
      </c>
      <c r="Y193" s="191" t="s">
        <v>45</v>
      </c>
      <c r="Z193" s="191" t="s">
        <v>43</v>
      </c>
      <c r="AA193" s="191" t="s">
        <v>105</v>
      </c>
      <c r="AB193" s="191" t="s">
        <v>138</v>
      </c>
      <c r="AC193" s="191" t="s">
        <v>43</v>
      </c>
      <c r="AD193" s="191" t="s">
        <v>72</v>
      </c>
      <c r="AE193" s="191" t="s">
        <v>44</v>
      </c>
      <c r="AF193" s="191" t="s">
        <v>95</v>
      </c>
      <c r="AG193" s="191" t="s">
        <v>43</v>
      </c>
      <c r="AH193" s="191" t="s">
        <v>44</v>
      </c>
      <c r="AI193" s="191" t="s">
        <v>39</v>
      </c>
      <c r="AJ193" s="191" t="s">
        <v>36</v>
      </c>
      <c r="AK193" s="191" t="s">
        <v>85</v>
      </c>
      <c r="AL193" s="191" t="s">
        <v>44</v>
      </c>
      <c r="AM193" s="191" t="s">
        <v>1242</v>
      </c>
      <c r="AN193" s="191" t="s">
        <v>44</v>
      </c>
      <c r="AO193" s="191" t="s">
        <v>44</v>
      </c>
      <c r="AP193" s="191" t="s">
        <v>44</v>
      </c>
    </row>
    <row r="194" spans="1:42" ht="43.5">
      <c r="A194" s="191" t="s">
        <v>1442</v>
      </c>
      <c r="B194" s="190">
        <v>3</v>
      </c>
      <c r="C194" s="190">
        <v>7</v>
      </c>
      <c r="D194" s="190">
        <v>7</v>
      </c>
      <c r="E194" s="191" t="s">
        <v>318</v>
      </c>
      <c r="F194" s="190">
        <v>2</v>
      </c>
      <c r="G194" s="191" t="s">
        <v>36</v>
      </c>
      <c r="H194" s="190">
        <v>1</v>
      </c>
      <c r="I194" s="190">
        <v>130</v>
      </c>
      <c r="J194" s="191" t="s">
        <v>54</v>
      </c>
      <c r="K194" s="191" t="s">
        <v>40</v>
      </c>
      <c r="L194" s="191" t="s">
        <v>103</v>
      </c>
      <c r="M194" s="191" t="s">
        <v>37</v>
      </c>
      <c r="N194" s="191" t="s">
        <v>95</v>
      </c>
      <c r="O194" s="191" t="s">
        <v>288</v>
      </c>
      <c r="P194" s="191" t="s">
        <v>56</v>
      </c>
      <c r="Q194" s="191" t="s">
        <v>88</v>
      </c>
      <c r="R194" s="191" t="s">
        <v>42</v>
      </c>
      <c r="S194" s="191" t="s">
        <v>48</v>
      </c>
      <c r="T194" s="191" t="s">
        <v>44</v>
      </c>
      <c r="U194" s="191" t="s">
        <v>45</v>
      </c>
      <c r="V194" s="191" t="s">
        <v>1106</v>
      </c>
      <c r="W194" s="191" t="s">
        <v>43</v>
      </c>
      <c r="X194" s="191" t="s">
        <v>44</v>
      </c>
      <c r="Y194" s="191" t="s">
        <v>43</v>
      </c>
      <c r="Z194" s="191" t="s">
        <v>43</v>
      </c>
      <c r="AA194" s="191" t="s">
        <v>105</v>
      </c>
      <c r="AB194" s="191" t="s">
        <v>50</v>
      </c>
      <c r="AC194" s="191" t="s">
        <v>43</v>
      </c>
      <c r="AD194" s="191" t="s">
        <v>72</v>
      </c>
      <c r="AE194" s="191" t="s">
        <v>44</v>
      </c>
      <c r="AF194" s="191" t="s">
        <v>95</v>
      </c>
      <c r="AG194" s="191" t="s">
        <v>47</v>
      </c>
      <c r="AH194" s="191" t="s">
        <v>44</v>
      </c>
      <c r="AI194" s="191" t="s">
        <v>134</v>
      </c>
      <c r="AJ194" s="191" t="s">
        <v>36</v>
      </c>
      <c r="AK194" s="191" t="s">
        <v>57</v>
      </c>
      <c r="AL194" s="191" t="s">
        <v>44</v>
      </c>
      <c r="AM194" s="191" t="s">
        <v>43</v>
      </c>
      <c r="AN194" s="191" t="s">
        <v>44</v>
      </c>
      <c r="AO194" s="191" t="s">
        <v>44</v>
      </c>
      <c r="AP194" s="191" t="s">
        <v>44</v>
      </c>
    </row>
    <row r="195" spans="1:42" ht="29">
      <c r="A195" s="191" t="s">
        <v>1443</v>
      </c>
      <c r="B195" s="190">
        <v>3</v>
      </c>
      <c r="C195" s="190">
        <v>7</v>
      </c>
      <c r="D195" s="190">
        <v>7</v>
      </c>
      <c r="E195" s="191" t="s">
        <v>318</v>
      </c>
      <c r="F195" s="190">
        <v>1</v>
      </c>
      <c r="G195" s="191" t="s">
        <v>36</v>
      </c>
      <c r="H195" s="190">
        <v>1</v>
      </c>
      <c r="I195" s="190">
        <v>120</v>
      </c>
      <c r="J195" s="191" t="s">
        <v>65</v>
      </c>
      <c r="K195" s="191" t="s">
        <v>40</v>
      </c>
      <c r="L195" s="191" t="s">
        <v>67</v>
      </c>
      <c r="M195" s="191" t="s">
        <v>37</v>
      </c>
      <c r="N195" s="191" t="s">
        <v>95</v>
      </c>
      <c r="O195" s="191" t="s">
        <v>39</v>
      </c>
      <c r="P195" s="191" t="s">
        <v>41</v>
      </c>
      <c r="Q195" s="191" t="s">
        <v>40</v>
      </c>
      <c r="R195" s="191" t="s">
        <v>42</v>
      </c>
      <c r="S195" s="191" t="s">
        <v>48</v>
      </c>
      <c r="T195" s="191" t="s">
        <v>44</v>
      </c>
      <c r="U195" s="191" t="s">
        <v>1119</v>
      </c>
      <c r="V195" s="191" t="s">
        <v>1144</v>
      </c>
      <c r="W195" s="191" t="s">
        <v>47</v>
      </c>
      <c r="X195" s="191" t="s">
        <v>44</v>
      </c>
      <c r="Y195" s="191" t="s">
        <v>61</v>
      </c>
      <c r="Z195" s="191" t="s">
        <v>43</v>
      </c>
      <c r="AA195" s="191" t="s">
        <v>49</v>
      </c>
      <c r="AB195" s="191" t="s">
        <v>50</v>
      </c>
      <c r="AC195" s="191" t="s">
        <v>47</v>
      </c>
      <c r="AD195" s="191" t="s">
        <v>91</v>
      </c>
      <c r="AE195" s="191" t="s">
        <v>44</v>
      </c>
      <c r="AF195" s="191" t="s">
        <v>95</v>
      </c>
      <c r="AG195" s="191" t="s">
        <v>43</v>
      </c>
      <c r="AH195" s="191" t="s">
        <v>44</v>
      </c>
      <c r="AI195" s="191" t="s">
        <v>39</v>
      </c>
      <c r="AJ195" s="191" t="s">
        <v>36</v>
      </c>
      <c r="AK195" s="191" t="s">
        <v>71</v>
      </c>
      <c r="AL195" s="191" t="s">
        <v>44</v>
      </c>
      <c r="AM195" s="191" t="s">
        <v>1242</v>
      </c>
      <c r="AN195" s="191" t="s">
        <v>44</v>
      </c>
      <c r="AO195" s="191" t="s">
        <v>44</v>
      </c>
      <c r="AP195" s="191" t="s">
        <v>44</v>
      </c>
    </row>
    <row r="196" spans="1:42" ht="29">
      <c r="A196" s="191" t="s">
        <v>1444</v>
      </c>
      <c r="B196" s="190">
        <v>3</v>
      </c>
      <c r="C196" s="190">
        <v>3</v>
      </c>
      <c r="D196" s="190">
        <v>2</v>
      </c>
      <c r="E196" s="191" t="s">
        <v>311</v>
      </c>
      <c r="F196" s="190">
        <v>3</v>
      </c>
      <c r="G196" s="191" t="s">
        <v>36</v>
      </c>
      <c r="H196" s="190">
        <v>1</v>
      </c>
      <c r="I196" s="190">
        <v>115</v>
      </c>
      <c r="J196" s="191" t="s">
        <v>34</v>
      </c>
      <c r="K196" s="191" t="s">
        <v>124</v>
      </c>
      <c r="L196" s="191" t="s">
        <v>36</v>
      </c>
      <c r="M196" s="191" t="s">
        <v>37</v>
      </c>
      <c r="N196" s="191" t="s">
        <v>58</v>
      </c>
      <c r="O196" s="191" t="s">
        <v>39</v>
      </c>
      <c r="P196" s="191" t="s">
        <v>41</v>
      </c>
      <c r="Q196" s="191" t="s">
        <v>71</v>
      </c>
      <c r="R196" s="191" t="s">
        <v>87</v>
      </c>
      <c r="S196" s="191" t="s">
        <v>48</v>
      </c>
      <c r="T196" s="191" t="s">
        <v>44</v>
      </c>
      <c r="U196" s="191" t="s">
        <v>45</v>
      </c>
      <c r="V196" s="191" t="s">
        <v>1106</v>
      </c>
      <c r="W196" s="191" t="s">
        <v>43</v>
      </c>
      <c r="X196" s="191" t="s">
        <v>44</v>
      </c>
      <c r="Y196" s="191" t="s">
        <v>45</v>
      </c>
      <c r="Z196" s="191" t="s">
        <v>43</v>
      </c>
      <c r="AA196" s="191" t="s">
        <v>62</v>
      </c>
      <c r="AB196" s="191" t="s">
        <v>84</v>
      </c>
      <c r="AC196" s="191" t="s">
        <v>43</v>
      </c>
      <c r="AD196" s="191" t="s">
        <v>72</v>
      </c>
      <c r="AE196" s="191" t="s">
        <v>44</v>
      </c>
      <c r="AF196" s="191" t="s">
        <v>95</v>
      </c>
      <c r="AG196" s="191" t="s">
        <v>43</v>
      </c>
      <c r="AH196" s="191" t="s">
        <v>44</v>
      </c>
      <c r="AI196" s="191" t="s">
        <v>39</v>
      </c>
      <c r="AJ196" s="191" t="s">
        <v>36</v>
      </c>
      <c r="AK196" s="191" t="s">
        <v>57</v>
      </c>
      <c r="AL196" s="191" t="s">
        <v>44</v>
      </c>
      <c r="AM196" s="191" t="s">
        <v>89</v>
      </c>
      <c r="AN196" s="191" t="s">
        <v>44</v>
      </c>
      <c r="AO196" s="191" t="s">
        <v>44</v>
      </c>
      <c r="AP196" s="191" t="s">
        <v>44</v>
      </c>
    </row>
    <row r="197" spans="1:42" ht="29">
      <c r="A197" s="191" t="s">
        <v>1445</v>
      </c>
      <c r="B197" s="190">
        <v>3</v>
      </c>
      <c r="C197" s="190">
        <v>3</v>
      </c>
      <c r="D197" s="190">
        <v>3</v>
      </c>
      <c r="E197" s="191" t="s">
        <v>36</v>
      </c>
      <c r="F197" s="190">
        <v>3</v>
      </c>
      <c r="G197" s="191" t="s">
        <v>36</v>
      </c>
      <c r="H197" s="190">
        <v>1</v>
      </c>
      <c r="I197" s="190">
        <v>150</v>
      </c>
      <c r="J197" s="191" t="s">
        <v>65</v>
      </c>
      <c r="K197" s="191" t="s">
        <v>40</v>
      </c>
      <c r="L197" s="191" t="s">
        <v>36</v>
      </c>
      <c r="M197" s="191" t="s">
        <v>37</v>
      </c>
      <c r="N197" s="191" t="s">
        <v>58</v>
      </c>
      <c r="O197" s="191" t="s">
        <v>39</v>
      </c>
      <c r="P197" s="191" t="s">
        <v>41</v>
      </c>
      <c r="Q197" s="191" t="s">
        <v>57</v>
      </c>
      <c r="R197" s="191" t="s">
        <v>87</v>
      </c>
      <c r="S197" s="191" t="s">
        <v>48</v>
      </c>
      <c r="T197" s="191" t="s">
        <v>44</v>
      </c>
      <c r="U197" s="191" t="s">
        <v>117</v>
      </c>
      <c r="V197" s="191" t="s">
        <v>355</v>
      </c>
      <c r="W197" s="191" t="s">
        <v>43</v>
      </c>
      <c r="X197" s="191" t="s">
        <v>44</v>
      </c>
      <c r="Y197" s="191" t="s">
        <v>47</v>
      </c>
      <c r="Z197" s="191" t="s">
        <v>43</v>
      </c>
      <c r="AA197" s="191" t="s">
        <v>49</v>
      </c>
      <c r="AB197" s="191" t="s">
        <v>50</v>
      </c>
      <c r="AC197" s="191" t="s">
        <v>43</v>
      </c>
      <c r="AD197" s="191" t="s">
        <v>72</v>
      </c>
      <c r="AE197" s="191" t="s">
        <v>44</v>
      </c>
      <c r="AF197" s="191" t="s">
        <v>95</v>
      </c>
      <c r="AG197" s="191" t="s">
        <v>43</v>
      </c>
      <c r="AH197" s="191" t="s">
        <v>44</v>
      </c>
      <c r="AI197" s="191" t="s">
        <v>39</v>
      </c>
      <c r="AJ197" s="191" t="s">
        <v>36</v>
      </c>
      <c r="AK197" s="191" t="s">
        <v>73</v>
      </c>
      <c r="AL197" s="191" t="s">
        <v>44</v>
      </c>
      <c r="AM197" s="191" t="s">
        <v>45</v>
      </c>
      <c r="AN197" s="191" t="s">
        <v>44</v>
      </c>
      <c r="AO197" s="191" t="s">
        <v>44</v>
      </c>
      <c r="AP197" s="191" t="s">
        <v>44</v>
      </c>
    </row>
    <row r="198" spans="1:42" ht="29">
      <c r="A198" s="191" t="s">
        <v>1446</v>
      </c>
      <c r="B198" s="190">
        <v>3</v>
      </c>
      <c r="C198" s="190">
        <v>3</v>
      </c>
      <c r="D198" s="190">
        <v>3</v>
      </c>
      <c r="E198" s="191" t="s">
        <v>36</v>
      </c>
      <c r="F198" s="190">
        <v>4</v>
      </c>
      <c r="G198" s="191" t="s">
        <v>36</v>
      </c>
      <c r="H198" s="190">
        <v>1</v>
      </c>
      <c r="I198" s="190">
        <v>100</v>
      </c>
      <c r="J198" s="191" t="s">
        <v>65</v>
      </c>
      <c r="K198" s="191" t="s">
        <v>40</v>
      </c>
      <c r="L198" s="191" t="s">
        <v>36</v>
      </c>
      <c r="M198" s="191" t="s">
        <v>37</v>
      </c>
      <c r="N198" s="191" t="s">
        <v>95</v>
      </c>
      <c r="O198" s="191" t="s">
        <v>39</v>
      </c>
      <c r="P198" s="191" t="s">
        <v>41</v>
      </c>
      <c r="Q198" s="191" t="s">
        <v>104</v>
      </c>
      <c r="R198" s="191" t="s">
        <v>42</v>
      </c>
      <c r="S198" s="191" t="s">
        <v>48</v>
      </c>
      <c r="T198" s="191" t="s">
        <v>44</v>
      </c>
      <c r="U198" s="191" t="s">
        <v>1119</v>
      </c>
      <c r="V198" s="191" t="s">
        <v>1106</v>
      </c>
      <c r="W198" s="191" t="s">
        <v>47</v>
      </c>
      <c r="X198" s="191" t="s">
        <v>44</v>
      </c>
      <c r="Y198" s="191" t="s">
        <v>47</v>
      </c>
      <c r="Z198" s="191" t="s">
        <v>47</v>
      </c>
      <c r="AA198" s="191" t="s">
        <v>62</v>
      </c>
      <c r="AB198" s="191" t="s">
        <v>50</v>
      </c>
      <c r="AC198" s="191" t="s">
        <v>43</v>
      </c>
      <c r="AD198" s="191" t="s">
        <v>91</v>
      </c>
      <c r="AE198" s="191" t="s">
        <v>44</v>
      </c>
      <c r="AF198" s="191" t="s">
        <v>95</v>
      </c>
      <c r="AG198" s="191" t="s">
        <v>47</v>
      </c>
      <c r="AH198" s="191" t="s">
        <v>44</v>
      </c>
      <c r="AI198" s="191" t="s">
        <v>39</v>
      </c>
      <c r="AJ198" s="191" t="s">
        <v>36</v>
      </c>
      <c r="AK198" s="191" t="s">
        <v>59</v>
      </c>
      <c r="AL198" s="191" t="s">
        <v>44</v>
      </c>
      <c r="AM198" s="191" t="s">
        <v>45</v>
      </c>
      <c r="AN198" s="191" t="s">
        <v>44</v>
      </c>
      <c r="AO198" s="191" t="s">
        <v>44</v>
      </c>
      <c r="AP198" s="191" t="s">
        <v>44</v>
      </c>
    </row>
    <row r="199" spans="1:42" ht="43.5">
      <c r="A199" s="191" t="s">
        <v>1447</v>
      </c>
      <c r="B199" s="190">
        <v>3</v>
      </c>
      <c r="C199" s="190">
        <v>2</v>
      </c>
      <c r="D199" s="190">
        <v>3</v>
      </c>
      <c r="E199" s="191" t="s">
        <v>311</v>
      </c>
      <c r="F199" s="190">
        <v>2</v>
      </c>
      <c r="G199" s="191" t="s">
        <v>36</v>
      </c>
      <c r="H199" s="190">
        <v>1</v>
      </c>
      <c r="I199" s="190">
        <v>85</v>
      </c>
      <c r="J199" s="191" t="s">
        <v>34</v>
      </c>
      <c r="K199" s="191" t="s">
        <v>40</v>
      </c>
      <c r="L199" s="191" t="s">
        <v>36</v>
      </c>
      <c r="M199" s="191" t="s">
        <v>37</v>
      </c>
      <c r="N199" s="191" t="s">
        <v>38</v>
      </c>
      <c r="O199" s="191" t="s">
        <v>288</v>
      </c>
      <c r="P199" s="191" t="s">
        <v>56</v>
      </c>
      <c r="Q199" s="191" t="s">
        <v>40</v>
      </c>
      <c r="R199" s="191" t="s">
        <v>42</v>
      </c>
      <c r="S199" s="191" t="s">
        <v>48</v>
      </c>
      <c r="T199" s="191" t="s">
        <v>44</v>
      </c>
      <c r="U199" s="191" t="s">
        <v>89</v>
      </c>
      <c r="V199" s="191" t="s">
        <v>1106</v>
      </c>
      <c r="W199" s="191" t="s">
        <v>43</v>
      </c>
      <c r="X199" s="191" t="s">
        <v>44</v>
      </c>
      <c r="Y199" s="191" t="s">
        <v>45</v>
      </c>
      <c r="Z199" s="191" t="s">
        <v>43</v>
      </c>
      <c r="AA199" s="191" t="s">
        <v>49</v>
      </c>
      <c r="AB199" s="191" t="s">
        <v>50</v>
      </c>
      <c r="AC199" s="191" t="s">
        <v>43</v>
      </c>
      <c r="AD199" s="191" t="s">
        <v>72</v>
      </c>
      <c r="AE199" s="191" t="s">
        <v>44</v>
      </c>
      <c r="AF199" s="191" t="s">
        <v>95</v>
      </c>
      <c r="AG199" s="191" t="s">
        <v>47</v>
      </c>
      <c r="AH199" s="191" t="s">
        <v>44</v>
      </c>
      <c r="AI199" s="191" t="s">
        <v>39</v>
      </c>
      <c r="AJ199" s="191" t="s">
        <v>36</v>
      </c>
      <c r="AK199" s="191" t="s">
        <v>73</v>
      </c>
      <c r="AL199" s="191" t="s">
        <v>44</v>
      </c>
      <c r="AM199" s="191" t="s">
        <v>45</v>
      </c>
      <c r="AN199" s="191" t="s">
        <v>44</v>
      </c>
      <c r="AO199" s="191" t="s">
        <v>44</v>
      </c>
      <c r="AP199" s="191" t="s">
        <v>44</v>
      </c>
    </row>
    <row r="200" spans="1:42" ht="43.5">
      <c r="A200" s="191" t="s">
        <v>1448</v>
      </c>
      <c r="B200" s="190">
        <v>3</v>
      </c>
      <c r="C200" s="190">
        <v>7</v>
      </c>
      <c r="D200" s="190">
        <v>7</v>
      </c>
      <c r="E200" s="191" t="s">
        <v>315</v>
      </c>
      <c r="F200" s="190">
        <v>2</v>
      </c>
      <c r="G200" s="191" t="s">
        <v>36</v>
      </c>
      <c r="H200" s="190">
        <v>1</v>
      </c>
      <c r="I200" s="190">
        <v>120</v>
      </c>
      <c r="J200" s="191" t="s">
        <v>54</v>
      </c>
      <c r="K200" s="191" t="s">
        <v>40</v>
      </c>
      <c r="L200" s="191" t="s">
        <v>36</v>
      </c>
      <c r="M200" s="191" t="s">
        <v>37</v>
      </c>
      <c r="N200" s="191" t="s">
        <v>38</v>
      </c>
      <c r="O200" s="191" t="s">
        <v>288</v>
      </c>
      <c r="P200" s="191" t="s">
        <v>56</v>
      </c>
      <c r="Q200" s="191" t="s">
        <v>124</v>
      </c>
      <c r="R200" s="191" t="s">
        <v>42</v>
      </c>
      <c r="S200" s="191" t="s">
        <v>48</v>
      </c>
      <c r="T200" s="191" t="s">
        <v>44</v>
      </c>
      <c r="U200" s="191" t="s">
        <v>43</v>
      </c>
      <c r="V200" s="191" t="s">
        <v>1106</v>
      </c>
      <c r="W200" s="191" t="s">
        <v>43</v>
      </c>
      <c r="X200" s="191" t="s">
        <v>44</v>
      </c>
      <c r="Y200" s="191" t="s">
        <v>43</v>
      </c>
      <c r="Z200" s="191" t="s">
        <v>43</v>
      </c>
      <c r="AA200" s="191" t="s">
        <v>62</v>
      </c>
      <c r="AB200" s="191" t="s">
        <v>36</v>
      </c>
      <c r="AC200" s="191" t="s">
        <v>43</v>
      </c>
      <c r="AD200" s="191" t="s">
        <v>72</v>
      </c>
      <c r="AE200" s="191" t="s">
        <v>44</v>
      </c>
      <c r="AF200" s="191" t="s">
        <v>95</v>
      </c>
      <c r="AG200" s="191" t="s">
        <v>47</v>
      </c>
      <c r="AH200" s="191" t="s">
        <v>44</v>
      </c>
      <c r="AI200" s="191" t="s">
        <v>134</v>
      </c>
      <c r="AJ200" s="191" t="s">
        <v>36</v>
      </c>
      <c r="AK200" s="191" t="s">
        <v>63</v>
      </c>
      <c r="AL200" s="191" t="s">
        <v>44</v>
      </c>
      <c r="AM200" s="191" t="s">
        <v>109</v>
      </c>
      <c r="AN200" s="191" t="s">
        <v>44</v>
      </c>
      <c r="AO200" s="191" t="s">
        <v>44</v>
      </c>
      <c r="AP200" s="191" t="s">
        <v>44</v>
      </c>
    </row>
    <row r="201" spans="1:42" ht="29">
      <c r="A201" s="191" t="s">
        <v>1449</v>
      </c>
      <c r="B201" s="190">
        <v>3</v>
      </c>
      <c r="C201" s="190">
        <v>7</v>
      </c>
      <c r="D201" s="190">
        <v>7</v>
      </c>
      <c r="E201" s="191" t="s">
        <v>315</v>
      </c>
      <c r="F201" s="190">
        <v>2</v>
      </c>
      <c r="G201" s="191" t="s">
        <v>36</v>
      </c>
      <c r="H201" s="190">
        <v>1</v>
      </c>
      <c r="I201" s="190">
        <v>85</v>
      </c>
      <c r="J201" s="191" t="s">
        <v>65</v>
      </c>
      <c r="K201" s="191" t="s">
        <v>35</v>
      </c>
      <c r="L201" s="191" t="s">
        <v>36</v>
      </c>
      <c r="M201" s="191" t="s">
        <v>37</v>
      </c>
      <c r="N201" s="191" t="s">
        <v>95</v>
      </c>
      <c r="O201" s="191" t="s">
        <v>39</v>
      </c>
      <c r="P201" s="191" t="s">
        <v>41</v>
      </c>
      <c r="Q201" s="191" t="s">
        <v>104</v>
      </c>
      <c r="R201" s="191" t="s">
        <v>87</v>
      </c>
      <c r="S201" s="191" t="s">
        <v>48</v>
      </c>
      <c r="T201" s="191" t="s">
        <v>44</v>
      </c>
      <c r="U201" s="191" t="s">
        <v>666</v>
      </c>
      <c r="V201" s="191" t="s">
        <v>1132</v>
      </c>
      <c r="W201" s="191" t="s">
        <v>47</v>
      </c>
      <c r="X201" s="191" t="s">
        <v>44</v>
      </c>
      <c r="Y201" s="191" t="s">
        <v>45</v>
      </c>
      <c r="Z201" s="191" t="s">
        <v>43</v>
      </c>
      <c r="AA201" s="191" t="s">
        <v>62</v>
      </c>
      <c r="AB201" s="191" t="s">
        <v>50</v>
      </c>
      <c r="AC201" s="191" t="s">
        <v>78</v>
      </c>
      <c r="AD201" s="191" t="s">
        <v>72</v>
      </c>
      <c r="AE201" s="191" t="s">
        <v>44</v>
      </c>
      <c r="AF201" s="191" t="s">
        <v>95</v>
      </c>
      <c r="AG201" s="191" t="s">
        <v>43</v>
      </c>
      <c r="AH201" s="191" t="s">
        <v>44</v>
      </c>
      <c r="AI201" s="191" t="s">
        <v>39</v>
      </c>
      <c r="AJ201" s="191" t="s">
        <v>36</v>
      </c>
      <c r="AK201" s="191" t="s">
        <v>85</v>
      </c>
      <c r="AL201" s="191" t="s">
        <v>44</v>
      </c>
      <c r="AM201" s="191" t="s">
        <v>46</v>
      </c>
      <c r="AN201" s="191" t="s">
        <v>44</v>
      </c>
      <c r="AO201" s="191" t="s">
        <v>1450</v>
      </c>
      <c r="AP201" s="191" t="s">
        <v>1450</v>
      </c>
    </row>
    <row r="202" spans="1:42" ht="29">
      <c r="A202" s="191" t="s">
        <v>1451</v>
      </c>
      <c r="B202" s="190">
        <v>3</v>
      </c>
      <c r="C202" s="190">
        <v>5</v>
      </c>
      <c r="D202" s="190">
        <v>6</v>
      </c>
      <c r="E202" s="191" t="s">
        <v>307</v>
      </c>
      <c r="F202" s="190">
        <v>2</v>
      </c>
      <c r="G202" s="191" t="s">
        <v>36</v>
      </c>
      <c r="H202" s="190">
        <v>1</v>
      </c>
      <c r="I202" s="190">
        <v>82</v>
      </c>
      <c r="J202" s="191" t="s">
        <v>54</v>
      </c>
      <c r="K202" s="191" t="s">
        <v>40</v>
      </c>
      <c r="L202" s="191" t="s">
        <v>70</v>
      </c>
      <c r="M202" s="191" t="s">
        <v>37</v>
      </c>
      <c r="N202" s="191" t="s">
        <v>38</v>
      </c>
      <c r="O202" s="191" t="s">
        <v>99</v>
      </c>
      <c r="P202" s="191" t="s">
        <v>36</v>
      </c>
      <c r="Q202" s="191" t="s">
        <v>89</v>
      </c>
      <c r="R202" s="191" t="s">
        <v>42</v>
      </c>
      <c r="S202" s="191" t="s">
        <v>48</v>
      </c>
      <c r="T202" s="191" t="s">
        <v>44</v>
      </c>
      <c r="U202" s="191" t="s">
        <v>44</v>
      </c>
      <c r="V202" s="191" t="s">
        <v>44</v>
      </c>
      <c r="W202" s="191" t="s">
        <v>45</v>
      </c>
      <c r="X202" s="191" t="s">
        <v>44</v>
      </c>
      <c r="Y202" s="191" t="s">
        <v>45</v>
      </c>
      <c r="Z202" s="191" t="s">
        <v>40</v>
      </c>
      <c r="AA202" s="191" t="s">
        <v>36</v>
      </c>
      <c r="AB202" s="191" t="s">
        <v>36</v>
      </c>
      <c r="AC202" s="191" t="s">
        <v>46</v>
      </c>
      <c r="AD202" s="191" t="s">
        <v>36</v>
      </c>
      <c r="AE202" s="191" t="s">
        <v>44</v>
      </c>
      <c r="AF202" s="191" t="s">
        <v>95</v>
      </c>
      <c r="AG202" s="191" t="s">
        <v>43</v>
      </c>
      <c r="AH202" s="191" t="s">
        <v>44</v>
      </c>
      <c r="AI202" s="191" t="s">
        <v>39</v>
      </c>
      <c r="AJ202" s="191" t="s">
        <v>36</v>
      </c>
      <c r="AK202" s="191" t="s">
        <v>63</v>
      </c>
      <c r="AL202" s="191" t="s">
        <v>44</v>
      </c>
      <c r="AM202" s="191" t="s">
        <v>47</v>
      </c>
      <c r="AN202" s="191" t="s">
        <v>44</v>
      </c>
      <c r="AO202" s="191" t="s">
        <v>44</v>
      </c>
      <c r="AP202" s="191" t="s">
        <v>44</v>
      </c>
    </row>
    <row r="203" spans="1:42" ht="29">
      <c r="A203" s="191" t="s">
        <v>1452</v>
      </c>
      <c r="B203" s="190">
        <v>3</v>
      </c>
      <c r="C203" s="190">
        <v>5</v>
      </c>
      <c r="D203" s="190">
        <v>3</v>
      </c>
      <c r="E203" s="191" t="s">
        <v>311</v>
      </c>
      <c r="F203" s="190">
        <v>4</v>
      </c>
      <c r="G203" s="191" t="s">
        <v>36</v>
      </c>
      <c r="H203" s="190">
        <v>1</v>
      </c>
      <c r="I203" s="190">
        <v>120</v>
      </c>
      <c r="J203" s="191" t="s">
        <v>65</v>
      </c>
      <c r="K203" s="191" t="s">
        <v>145</v>
      </c>
      <c r="L203" s="191" t="s">
        <v>36</v>
      </c>
      <c r="M203" s="191" t="s">
        <v>37</v>
      </c>
      <c r="N203" s="191" t="s">
        <v>95</v>
      </c>
      <c r="O203" s="191" t="s">
        <v>39</v>
      </c>
      <c r="P203" s="191" t="s">
        <v>41</v>
      </c>
      <c r="Q203" s="191" t="s">
        <v>40</v>
      </c>
      <c r="R203" s="191" t="s">
        <v>87</v>
      </c>
      <c r="S203" s="191" t="s">
        <v>48</v>
      </c>
      <c r="T203" s="191" t="s">
        <v>44</v>
      </c>
      <c r="U203" s="191" t="s">
        <v>1109</v>
      </c>
      <c r="V203" s="191" t="s">
        <v>1106</v>
      </c>
      <c r="W203" s="191" t="s">
        <v>47</v>
      </c>
      <c r="X203" s="191" t="s">
        <v>44</v>
      </c>
      <c r="Y203" s="191" t="s">
        <v>47</v>
      </c>
      <c r="Z203" s="191" t="s">
        <v>43</v>
      </c>
      <c r="AA203" s="191" t="s">
        <v>62</v>
      </c>
      <c r="AB203" s="191" t="s">
        <v>50</v>
      </c>
      <c r="AC203" s="191" t="s">
        <v>47</v>
      </c>
      <c r="AD203" s="191" t="s">
        <v>72</v>
      </c>
      <c r="AE203" s="191" t="s">
        <v>44</v>
      </c>
      <c r="AF203" s="191" t="s">
        <v>95</v>
      </c>
      <c r="AG203" s="191" t="s">
        <v>47</v>
      </c>
      <c r="AH203" s="191" t="s">
        <v>44</v>
      </c>
      <c r="AI203" s="191" t="s">
        <v>39</v>
      </c>
      <c r="AJ203" s="191" t="s">
        <v>36</v>
      </c>
      <c r="AK203" s="191" t="s">
        <v>73</v>
      </c>
      <c r="AL203" s="191" t="s">
        <v>44</v>
      </c>
      <c r="AM203" s="191" t="s">
        <v>160</v>
      </c>
      <c r="AN203" s="191" t="s">
        <v>44</v>
      </c>
      <c r="AO203" s="191" t="s">
        <v>44</v>
      </c>
      <c r="AP203" s="191" t="s">
        <v>44</v>
      </c>
    </row>
    <row r="204" spans="1:42" ht="29">
      <c r="A204" s="191" t="s">
        <v>1453</v>
      </c>
      <c r="B204" s="190">
        <v>3</v>
      </c>
      <c r="C204" s="190">
        <v>3</v>
      </c>
      <c r="D204" s="190">
        <v>3</v>
      </c>
      <c r="E204" s="191" t="s">
        <v>307</v>
      </c>
      <c r="F204" s="190">
        <v>2</v>
      </c>
      <c r="G204" s="191" t="s">
        <v>36</v>
      </c>
      <c r="H204" s="190">
        <v>1</v>
      </c>
      <c r="I204" s="190">
        <v>102</v>
      </c>
      <c r="J204" s="191" t="s">
        <v>80</v>
      </c>
      <c r="K204" s="191" t="s">
        <v>61</v>
      </c>
      <c r="L204" s="191" t="s">
        <v>70</v>
      </c>
      <c r="M204" s="191" t="s">
        <v>37</v>
      </c>
      <c r="N204" s="191" t="s">
        <v>38</v>
      </c>
      <c r="O204" s="191" t="s">
        <v>288</v>
      </c>
      <c r="P204" s="191" t="s">
        <v>41</v>
      </c>
      <c r="Q204" s="191" t="s">
        <v>83</v>
      </c>
      <c r="R204" s="191" t="s">
        <v>87</v>
      </c>
      <c r="S204" s="191" t="s">
        <v>48</v>
      </c>
      <c r="T204" s="191" t="s">
        <v>44</v>
      </c>
      <c r="U204" s="191" t="s">
        <v>666</v>
      </c>
      <c r="V204" s="191" t="s">
        <v>1106</v>
      </c>
      <c r="W204" s="191" t="s">
        <v>43</v>
      </c>
      <c r="X204" s="191" t="s">
        <v>44</v>
      </c>
      <c r="Y204" s="191" t="s">
        <v>45</v>
      </c>
      <c r="Z204" s="191" t="s">
        <v>43</v>
      </c>
      <c r="AA204" s="191" t="s">
        <v>49</v>
      </c>
      <c r="AB204" s="191" t="s">
        <v>50</v>
      </c>
      <c r="AC204" s="191" t="s">
        <v>43</v>
      </c>
      <c r="AD204" s="191" t="s">
        <v>72</v>
      </c>
      <c r="AE204" s="191" t="s">
        <v>44</v>
      </c>
      <c r="AF204" s="191" t="s">
        <v>95</v>
      </c>
      <c r="AG204" s="191" t="s">
        <v>47</v>
      </c>
      <c r="AH204" s="191" t="s">
        <v>44</v>
      </c>
      <c r="AI204" s="191" t="s">
        <v>134</v>
      </c>
      <c r="AJ204" s="191" t="s">
        <v>36</v>
      </c>
      <c r="AK204" s="191" t="s">
        <v>77</v>
      </c>
      <c r="AL204" s="191" t="s">
        <v>44</v>
      </c>
      <c r="AM204" s="191" t="s">
        <v>109</v>
      </c>
      <c r="AN204" s="191" t="s">
        <v>44</v>
      </c>
      <c r="AO204" s="191" t="s">
        <v>44</v>
      </c>
      <c r="AP204" s="191" t="s">
        <v>44</v>
      </c>
    </row>
    <row r="205" spans="1:42" ht="43.5">
      <c r="A205" s="191" t="s">
        <v>1454</v>
      </c>
      <c r="B205" s="190">
        <v>3</v>
      </c>
      <c r="C205" s="190">
        <v>2</v>
      </c>
      <c r="D205" s="190">
        <v>2</v>
      </c>
      <c r="E205" s="191" t="s">
        <v>307</v>
      </c>
      <c r="F205" s="190">
        <v>2</v>
      </c>
      <c r="G205" s="191" t="s">
        <v>36</v>
      </c>
      <c r="H205" s="190">
        <v>2</v>
      </c>
      <c r="I205" s="190">
        <v>113</v>
      </c>
      <c r="J205" s="191" t="s">
        <v>54</v>
      </c>
      <c r="K205" s="191" t="s">
        <v>61</v>
      </c>
      <c r="L205" s="191" t="s">
        <v>103</v>
      </c>
      <c r="M205" s="191" t="s">
        <v>37</v>
      </c>
      <c r="N205" s="191" t="s">
        <v>58</v>
      </c>
      <c r="O205" s="191" t="s">
        <v>39</v>
      </c>
      <c r="P205" s="191" t="s">
        <v>56</v>
      </c>
      <c r="Q205" s="191" t="s">
        <v>43</v>
      </c>
      <c r="R205" s="191" t="s">
        <v>42</v>
      </c>
      <c r="S205" s="191" t="s">
        <v>48</v>
      </c>
      <c r="T205" s="191" t="s">
        <v>44</v>
      </c>
      <c r="U205" s="191" t="s">
        <v>61</v>
      </c>
      <c r="V205" s="191" t="s">
        <v>1106</v>
      </c>
      <c r="W205" s="191" t="s">
        <v>47</v>
      </c>
      <c r="X205" s="191" t="s">
        <v>44</v>
      </c>
      <c r="Y205" s="191" t="s">
        <v>43</v>
      </c>
      <c r="Z205" s="191" t="s">
        <v>43</v>
      </c>
      <c r="AA205" s="191" t="s">
        <v>49</v>
      </c>
      <c r="AB205" s="191" t="s">
        <v>50</v>
      </c>
      <c r="AC205" s="191" t="s">
        <v>43</v>
      </c>
      <c r="AD205" s="191" t="s">
        <v>72</v>
      </c>
      <c r="AE205" s="191" t="s">
        <v>44</v>
      </c>
      <c r="AF205" s="191" t="s">
        <v>95</v>
      </c>
      <c r="AG205" s="191" t="s">
        <v>43</v>
      </c>
      <c r="AH205" s="191" t="s">
        <v>44</v>
      </c>
      <c r="AI205" s="191" t="s">
        <v>39</v>
      </c>
      <c r="AJ205" s="191" t="s">
        <v>36</v>
      </c>
      <c r="AK205" s="191" t="s">
        <v>85</v>
      </c>
      <c r="AL205" s="191" t="s">
        <v>44</v>
      </c>
      <c r="AM205" s="191" t="s">
        <v>43</v>
      </c>
      <c r="AN205" s="191" t="s">
        <v>44</v>
      </c>
      <c r="AO205" s="191" t="s">
        <v>44</v>
      </c>
      <c r="AP205" s="191" t="s">
        <v>44</v>
      </c>
    </row>
    <row r="206" spans="1:42" ht="29">
      <c r="A206" s="191" t="s">
        <v>1455</v>
      </c>
      <c r="B206" s="190">
        <v>3</v>
      </c>
      <c r="C206" s="190">
        <v>4</v>
      </c>
      <c r="D206" s="190">
        <v>8</v>
      </c>
      <c r="E206" s="191" t="s">
        <v>307</v>
      </c>
      <c r="F206" s="190">
        <v>5</v>
      </c>
      <c r="G206" s="191" t="s">
        <v>36</v>
      </c>
      <c r="H206" s="190">
        <v>1</v>
      </c>
      <c r="I206" s="190">
        <v>110</v>
      </c>
      <c r="J206" s="191" t="s">
        <v>65</v>
      </c>
      <c r="K206" s="191" t="s">
        <v>40</v>
      </c>
      <c r="L206" s="191" t="s">
        <v>36</v>
      </c>
      <c r="M206" s="191" t="s">
        <v>37</v>
      </c>
      <c r="N206" s="191" t="s">
        <v>95</v>
      </c>
      <c r="O206" s="191" t="s">
        <v>39</v>
      </c>
      <c r="P206" s="191" t="s">
        <v>41</v>
      </c>
      <c r="Q206" s="191" t="s">
        <v>89</v>
      </c>
      <c r="R206" s="191" t="s">
        <v>87</v>
      </c>
      <c r="S206" s="191" t="s">
        <v>48</v>
      </c>
      <c r="T206" s="191" t="s">
        <v>44</v>
      </c>
      <c r="U206" s="191" t="s">
        <v>46</v>
      </c>
      <c r="V206" s="191" t="s">
        <v>1106</v>
      </c>
      <c r="W206" s="191" t="s">
        <v>47</v>
      </c>
      <c r="X206" s="191" t="s">
        <v>44</v>
      </c>
      <c r="Y206" s="191" t="s">
        <v>47</v>
      </c>
      <c r="Z206" s="191" t="s">
        <v>43</v>
      </c>
      <c r="AA206" s="191" t="s">
        <v>49</v>
      </c>
      <c r="AB206" s="191" t="s">
        <v>84</v>
      </c>
      <c r="AC206" s="191" t="s">
        <v>47</v>
      </c>
      <c r="AD206" s="191" t="s">
        <v>72</v>
      </c>
      <c r="AE206" s="191" t="s">
        <v>44</v>
      </c>
      <c r="AF206" s="191" t="s">
        <v>95</v>
      </c>
      <c r="AG206" s="191" t="s">
        <v>43</v>
      </c>
      <c r="AH206" s="191" t="s">
        <v>44</v>
      </c>
      <c r="AI206" s="191" t="s">
        <v>39</v>
      </c>
      <c r="AJ206" s="191" t="s">
        <v>36</v>
      </c>
      <c r="AK206" s="191" t="s">
        <v>57</v>
      </c>
      <c r="AL206" s="191" t="s">
        <v>44</v>
      </c>
      <c r="AM206" s="191" t="s">
        <v>45</v>
      </c>
      <c r="AN206" s="191" t="s">
        <v>44</v>
      </c>
      <c r="AO206" s="191" t="s">
        <v>44</v>
      </c>
      <c r="AP206" s="191" t="s">
        <v>44</v>
      </c>
    </row>
    <row r="207" spans="1:42" ht="29">
      <c r="A207" s="191" t="s">
        <v>1456</v>
      </c>
      <c r="B207" s="190">
        <v>3</v>
      </c>
      <c r="C207" s="190">
        <v>6</v>
      </c>
      <c r="D207" s="190">
        <v>5</v>
      </c>
      <c r="E207" s="191" t="s">
        <v>311</v>
      </c>
      <c r="F207" s="190">
        <v>3</v>
      </c>
      <c r="G207" s="191" t="s">
        <v>36</v>
      </c>
      <c r="H207" s="190">
        <v>1</v>
      </c>
      <c r="I207" s="190">
        <v>90</v>
      </c>
      <c r="J207" s="191" t="s">
        <v>65</v>
      </c>
      <c r="K207" s="191" t="s">
        <v>81</v>
      </c>
      <c r="L207" s="191" t="s">
        <v>36</v>
      </c>
      <c r="M207" s="191" t="s">
        <v>37</v>
      </c>
      <c r="N207" s="191" t="s">
        <v>95</v>
      </c>
      <c r="O207" s="191" t="s">
        <v>39</v>
      </c>
      <c r="P207" s="191" t="s">
        <v>41</v>
      </c>
      <c r="Q207" s="191" t="s">
        <v>71</v>
      </c>
      <c r="R207" s="191" t="s">
        <v>87</v>
      </c>
      <c r="S207" s="191" t="s">
        <v>48</v>
      </c>
      <c r="T207" s="191" t="s">
        <v>44</v>
      </c>
      <c r="U207" s="191" t="s">
        <v>89</v>
      </c>
      <c r="V207" s="191" t="s">
        <v>355</v>
      </c>
      <c r="W207" s="191" t="s">
        <v>43</v>
      </c>
      <c r="X207" s="191" t="s">
        <v>44</v>
      </c>
      <c r="Y207" s="191" t="s">
        <v>43</v>
      </c>
      <c r="Z207" s="191" t="s">
        <v>43</v>
      </c>
      <c r="AA207" s="191" t="s">
        <v>62</v>
      </c>
      <c r="AB207" s="191" t="s">
        <v>84</v>
      </c>
      <c r="AC207" s="191" t="s">
        <v>43</v>
      </c>
      <c r="AD207" s="191" t="s">
        <v>72</v>
      </c>
      <c r="AE207" s="191" t="s">
        <v>44</v>
      </c>
      <c r="AF207" s="191" t="s">
        <v>95</v>
      </c>
      <c r="AG207" s="191" t="s">
        <v>43</v>
      </c>
      <c r="AH207" s="191" t="s">
        <v>44</v>
      </c>
      <c r="AI207" s="191" t="s">
        <v>39</v>
      </c>
      <c r="AJ207" s="191" t="s">
        <v>36</v>
      </c>
      <c r="AK207" s="191" t="s">
        <v>112</v>
      </c>
      <c r="AL207" s="191" t="s">
        <v>44</v>
      </c>
      <c r="AM207" s="191" t="s">
        <v>47</v>
      </c>
      <c r="AN207" s="191" t="s">
        <v>44</v>
      </c>
      <c r="AO207" s="191" t="s">
        <v>44</v>
      </c>
      <c r="AP207" s="191" t="s">
        <v>44</v>
      </c>
    </row>
    <row r="208" spans="1:42" ht="29">
      <c r="A208" s="191" t="s">
        <v>1457</v>
      </c>
      <c r="B208" s="190">
        <v>3</v>
      </c>
      <c r="C208" s="190">
        <v>7</v>
      </c>
      <c r="D208" s="190">
        <v>9</v>
      </c>
      <c r="E208" s="191" t="s">
        <v>318</v>
      </c>
      <c r="F208" s="190">
        <v>1</v>
      </c>
      <c r="G208" s="191" t="s">
        <v>36</v>
      </c>
      <c r="H208" s="190">
        <v>1</v>
      </c>
      <c r="I208" s="190">
        <v>100</v>
      </c>
      <c r="J208" s="191" t="s">
        <v>65</v>
      </c>
      <c r="K208" s="191" t="s">
        <v>40</v>
      </c>
      <c r="L208" s="191" t="s">
        <v>36</v>
      </c>
      <c r="M208" s="191" t="s">
        <v>37</v>
      </c>
      <c r="N208" s="191" t="s">
        <v>95</v>
      </c>
      <c r="O208" s="191" t="s">
        <v>39</v>
      </c>
      <c r="P208" s="191" t="s">
        <v>41</v>
      </c>
      <c r="Q208" s="191" t="s">
        <v>149</v>
      </c>
      <c r="R208" s="191" t="s">
        <v>60</v>
      </c>
      <c r="S208" s="191" t="s">
        <v>48</v>
      </c>
      <c r="T208" s="191" t="s">
        <v>44</v>
      </c>
      <c r="U208" s="191" t="s">
        <v>1136</v>
      </c>
      <c r="V208" s="191" t="s">
        <v>355</v>
      </c>
      <c r="W208" s="191" t="s">
        <v>47</v>
      </c>
      <c r="X208" s="191" t="s">
        <v>44</v>
      </c>
      <c r="Y208" s="191" t="s">
        <v>47</v>
      </c>
      <c r="Z208" s="191" t="s">
        <v>43</v>
      </c>
      <c r="AA208" s="191" t="s">
        <v>62</v>
      </c>
      <c r="AB208" s="191" t="s">
        <v>84</v>
      </c>
      <c r="AC208" s="191" t="s">
        <v>43</v>
      </c>
      <c r="AD208" s="191" t="s">
        <v>72</v>
      </c>
      <c r="AE208" s="191" t="s">
        <v>44</v>
      </c>
      <c r="AF208" s="191" t="s">
        <v>159</v>
      </c>
      <c r="AG208" s="191" t="s">
        <v>43</v>
      </c>
      <c r="AH208" s="191" t="s">
        <v>44</v>
      </c>
      <c r="AI208" s="191" t="s">
        <v>39</v>
      </c>
      <c r="AJ208" s="191" t="s">
        <v>36</v>
      </c>
      <c r="AK208" s="191" t="s">
        <v>59</v>
      </c>
      <c r="AL208" s="191" t="s">
        <v>44</v>
      </c>
      <c r="AM208" s="191" t="s">
        <v>45</v>
      </c>
      <c r="AN208" s="191" t="s">
        <v>44</v>
      </c>
      <c r="AO208" s="191" t="s">
        <v>44</v>
      </c>
      <c r="AP208" s="191" t="s">
        <v>44</v>
      </c>
    </row>
    <row r="209" spans="1:42" ht="29">
      <c r="A209" s="191" t="s">
        <v>1458</v>
      </c>
      <c r="B209" s="190">
        <v>3</v>
      </c>
      <c r="C209" s="190">
        <v>5</v>
      </c>
      <c r="D209" s="190">
        <v>9</v>
      </c>
      <c r="E209" s="191" t="s">
        <v>315</v>
      </c>
      <c r="F209" s="190">
        <v>2</v>
      </c>
      <c r="G209" s="191" t="s">
        <v>36</v>
      </c>
      <c r="H209" s="190">
        <v>1</v>
      </c>
      <c r="I209" s="190">
        <v>130</v>
      </c>
      <c r="J209" s="191" t="s">
        <v>54</v>
      </c>
      <c r="K209" s="191" t="s">
        <v>47</v>
      </c>
      <c r="L209" s="191" t="s">
        <v>36</v>
      </c>
      <c r="M209" s="191" t="s">
        <v>37</v>
      </c>
      <c r="N209" s="191" t="s">
        <v>95</v>
      </c>
      <c r="O209" s="191" t="s">
        <v>39</v>
      </c>
      <c r="P209" s="191" t="s">
        <v>41</v>
      </c>
      <c r="Q209" s="191" t="s">
        <v>104</v>
      </c>
      <c r="R209" s="191" t="s">
        <v>87</v>
      </c>
      <c r="S209" s="191" t="s">
        <v>48</v>
      </c>
      <c r="T209" s="191" t="s">
        <v>44</v>
      </c>
      <c r="U209" s="191" t="s">
        <v>61</v>
      </c>
      <c r="V209" s="191" t="s">
        <v>1106</v>
      </c>
      <c r="W209" s="191" t="s">
        <v>43</v>
      </c>
      <c r="X209" s="191" t="s">
        <v>44</v>
      </c>
      <c r="Y209" s="191" t="s">
        <v>47</v>
      </c>
      <c r="Z209" s="191" t="s">
        <v>43</v>
      </c>
      <c r="AA209" s="191" t="s">
        <v>49</v>
      </c>
      <c r="AB209" s="191" t="s">
        <v>50</v>
      </c>
      <c r="AC209" s="191" t="s">
        <v>43</v>
      </c>
      <c r="AD209" s="191" t="s">
        <v>72</v>
      </c>
      <c r="AE209" s="191" t="s">
        <v>44</v>
      </c>
      <c r="AF209" s="191" t="s">
        <v>95</v>
      </c>
      <c r="AG209" s="191" t="s">
        <v>43</v>
      </c>
      <c r="AH209" s="191" t="s">
        <v>44</v>
      </c>
      <c r="AI209" s="191" t="s">
        <v>39</v>
      </c>
      <c r="AJ209" s="191" t="s">
        <v>36</v>
      </c>
      <c r="AK209" s="191" t="s">
        <v>57</v>
      </c>
      <c r="AL209" s="191" t="s">
        <v>44</v>
      </c>
      <c r="AM209" s="191" t="s">
        <v>45</v>
      </c>
      <c r="AN209" s="191" t="s">
        <v>44</v>
      </c>
      <c r="AO209" s="191" t="s">
        <v>44</v>
      </c>
      <c r="AP209" s="191" t="s">
        <v>44</v>
      </c>
    </row>
    <row r="210" spans="1:42" ht="29">
      <c r="A210" s="191" t="s">
        <v>1459</v>
      </c>
      <c r="B210" s="190">
        <v>3</v>
      </c>
      <c r="C210" s="190">
        <v>3</v>
      </c>
      <c r="D210" s="190">
        <v>2</v>
      </c>
      <c r="E210" s="191" t="s">
        <v>311</v>
      </c>
      <c r="F210" s="190">
        <v>3</v>
      </c>
      <c r="G210" s="191" t="s">
        <v>36</v>
      </c>
      <c r="H210" s="190">
        <v>1</v>
      </c>
      <c r="I210" s="190">
        <v>92</v>
      </c>
      <c r="J210" s="191" t="s">
        <v>54</v>
      </c>
      <c r="K210" s="191" t="s">
        <v>61</v>
      </c>
      <c r="L210" s="191" t="s">
        <v>67</v>
      </c>
      <c r="M210" s="191" t="s">
        <v>37</v>
      </c>
      <c r="N210" s="191" t="s">
        <v>58</v>
      </c>
      <c r="O210" s="191" t="s">
        <v>39</v>
      </c>
      <c r="P210" s="191" t="s">
        <v>41</v>
      </c>
      <c r="Q210" s="191" t="s">
        <v>137</v>
      </c>
      <c r="R210" s="191" t="s">
        <v>42</v>
      </c>
      <c r="S210" s="191" t="s">
        <v>48</v>
      </c>
      <c r="T210" s="191" t="s">
        <v>44</v>
      </c>
      <c r="U210" s="191" t="s">
        <v>74</v>
      </c>
      <c r="V210" s="191" t="s">
        <v>1108</v>
      </c>
      <c r="W210" s="191" t="s">
        <v>43</v>
      </c>
      <c r="X210" s="191" t="s">
        <v>44</v>
      </c>
      <c r="Y210" s="191" t="s">
        <v>45</v>
      </c>
      <c r="Z210" s="191" t="s">
        <v>43</v>
      </c>
      <c r="AA210" s="191" t="s">
        <v>49</v>
      </c>
      <c r="AB210" s="191" t="s">
        <v>84</v>
      </c>
      <c r="AC210" s="191" t="s">
        <v>43</v>
      </c>
      <c r="AD210" s="191" t="s">
        <v>72</v>
      </c>
      <c r="AE210" s="191" t="s">
        <v>44</v>
      </c>
      <c r="AF210" s="191" t="s">
        <v>95</v>
      </c>
      <c r="AG210" s="191" t="s">
        <v>43</v>
      </c>
      <c r="AH210" s="191" t="s">
        <v>44</v>
      </c>
      <c r="AI210" s="191" t="s">
        <v>39</v>
      </c>
      <c r="AJ210" s="191" t="s">
        <v>36</v>
      </c>
      <c r="AK210" s="191" t="s">
        <v>57</v>
      </c>
      <c r="AL210" s="191" t="s">
        <v>44</v>
      </c>
      <c r="AM210" s="191" t="s">
        <v>47</v>
      </c>
      <c r="AN210" s="191" t="s">
        <v>44</v>
      </c>
      <c r="AO210" s="191" t="s">
        <v>44</v>
      </c>
      <c r="AP210" s="191" t="s">
        <v>44</v>
      </c>
    </row>
    <row r="211" spans="1:42" ht="29">
      <c r="A211" s="191" t="s">
        <v>1460</v>
      </c>
      <c r="B211" s="190">
        <v>3</v>
      </c>
      <c r="C211" s="190">
        <v>5</v>
      </c>
      <c r="D211" s="190">
        <v>5</v>
      </c>
      <c r="E211" s="191" t="s">
        <v>311</v>
      </c>
      <c r="F211" s="190">
        <v>5</v>
      </c>
      <c r="G211" s="191" t="s">
        <v>36</v>
      </c>
      <c r="H211" s="190">
        <v>1</v>
      </c>
      <c r="I211" s="190">
        <v>127</v>
      </c>
      <c r="J211" s="191" t="s">
        <v>34</v>
      </c>
      <c r="K211" s="191" t="s">
        <v>81</v>
      </c>
      <c r="L211" s="191" t="s">
        <v>36</v>
      </c>
      <c r="M211" s="191" t="s">
        <v>37</v>
      </c>
      <c r="N211" s="191" t="s">
        <v>58</v>
      </c>
      <c r="O211" s="191" t="s">
        <v>288</v>
      </c>
      <c r="P211" s="191" t="s">
        <v>41</v>
      </c>
      <c r="Q211" s="191" t="s">
        <v>106</v>
      </c>
      <c r="R211" s="191" t="s">
        <v>87</v>
      </c>
      <c r="S211" s="191" t="s">
        <v>48</v>
      </c>
      <c r="T211" s="191" t="s">
        <v>44</v>
      </c>
      <c r="U211" s="191" t="s">
        <v>40</v>
      </c>
      <c r="V211" s="191" t="s">
        <v>1108</v>
      </c>
      <c r="W211" s="191" t="s">
        <v>78</v>
      </c>
      <c r="X211" s="191" t="s">
        <v>44</v>
      </c>
      <c r="Y211" s="191" t="s">
        <v>43</v>
      </c>
      <c r="Z211" s="191" t="s">
        <v>43</v>
      </c>
      <c r="AA211" s="191" t="s">
        <v>62</v>
      </c>
      <c r="AB211" s="191" t="s">
        <v>50</v>
      </c>
      <c r="AC211" s="191" t="s">
        <v>47</v>
      </c>
      <c r="AD211" s="191" t="s">
        <v>72</v>
      </c>
      <c r="AE211" s="191" t="s">
        <v>44</v>
      </c>
      <c r="AF211" s="191" t="s">
        <v>52</v>
      </c>
      <c r="AG211" s="191" t="s">
        <v>47</v>
      </c>
      <c r="AH211" s="191" t="s">
        <v>44</v>
      </c>
      <c r="AI211" s="191" t="s">
        <v>134</v>
      </c>
      <c r="AJ211" s="191" t="s">
        <v>36</v>
      </c>
      <c r="AK211" s="191" t="s">
        <v>63</v>
      </c>
      <c r="AL211" s="191" t="s">
        <v>44</v>
      </c>
      <c r="AM211" s="191" t="s">
        <v>89</v>
      </c>
      <c r="AN211" s="191" t="s">
        <v>44</v>
      </c>
      <c r="AO211" s="191" t="s">
        <v>44</v>
      </c>
      <c r="AP211" s="191" t="s">
        <v>44</v>
      </c>
    </row>
    <row r="212" spans="1:42" ht="29">
      <c r="A212" s="191" t="s">
        <v>1461</v>
      </c>
      <c r="B212" s="190">
        <v>3</v>
      </c>
      <c r="C212" s="190">
        <v>3</v>
      </c>
      <c r="D212" s="190">
        <v>9</v>
      </c>
      <c r="E212" s="191" t="s">
        <v>311</v>
      </c>
      <c r="F212" s="190">
        <v>2</v>
      </c>
      <c r="G212" s="191" t="s">
        <v>36</v>
      </c>
      <c r="H212" s="190">
        <v>3</v>
      </c>
      <c r="I212" s="190">
        <v>95</v>
      </c>
      <c r="J212" s="191" t="s">
        <v>65</v>
      </c>
      <c r="K212" s="191" t="s">
        <v>61</v>
      </c>
      <c r="L212" s="191" t="s">
        <v>70</v>
      </c>
      <c r="M212" s="191" t="s">
        <v>37</v>
      </c>
      <c r="N212" s="191" t="s">
        <v>58</v>
      </c>
      <c r="O212" s="191" t="s">
        <v>288</v>
      </c>
      <c r="P212" s="191" t="s">
        <v>123</v>
      </c>
      <c r="Q212" s="191" t="s">
        <v>89</v>
      </c>
      <c r="R212" s="191" t="s">
        <v>60</v>
      </c>
      <c r="S212" s="191" t="s">
        <v>48</v>
      </c>
      <c r="T212" s="191" t="s">
        <v>44</v>
      </c>
      <c r="U212" s="191" t="s">
        <v>44</v>
      </c>
      <c r="V212" s="191" t="s">
        <v>44</v>
      </c>
      <c r="W212" s="191" t="s">
        <v>46</v>
      </c>
      <c r="X212" s="191" t="s">
        <v>44</v>
      </c>
      <c r="Y212" s="191" t="s">
        <v>47</v>
      </c>
      <c r="Z212" s="191" t="s">
        <v>46</v>
      </c>
      <c r="AA212" s="191" t="s">
        <v>36</v>
      </c>
      <c r="AB212" s="191" t="s">
        <v>50</v>
      </c>
      <c r="AC212" s="191" t="s">
        <v>43</v>
      </c>
      <c r="AD212" s="191" t="s">
        <v>129</v>
      </c>
      <c r="AE212" s="191" t="s">
        <v>1462</v>
      </c>
      <c r="AF212" s="191" t="s">
        <v>95</v>
      </c>
      <c r="AG212" s="191" t="s">
        <v>43</v>
      </c>
      <c r="AH212" s="191" t="s">
        <v>44</v>
      </c>
      <c r="AI212" s="191" t="s">
        <v>39</v>
      </c>
      <c r="AJ212" s="191" t="s">
        <v>36</v>
      </c>
      <c r="AK212" s="191" t="s">
        <v>43</v>
      </c>
      <c r="AL212" s="191" t="s">
        <v>44</v>
      </c>
      <c r="AM212" s="191" t="s">
        <v>89</v>
      </c>
      <c r="AN212" s="191" t="s">
        <v>44</v>
      </c>
      <c r="AO212" s="191" t="s">
        <v>44</v>
      </c>
      <c r="AP212" s="191" t="s">
        <v>44</v>
      </c>
    </row>
    <row r="213" spans="1:42" ht="29">
      <c r="A213" s="191" t="s">
        <v>1463</v>
      </c>
      <c r="B213" s="190">
        <v>3</v>
      </c>
      <c r="C213" s="190">
        <v>3</v>
      </c>
      <c r="D213" s="190">
        <v>9</v>
      </c>
      <c r="E213" s="191" t="s">
        <v>311</v>
      </c>
      <c r="F213" s="190">
        <v>3</v>
      </c>
      <c r="G213" s="191" t="s">
        <v>36</v>
      </c>
      <c r="H213" s="190">
        <v>1</v>
      </c>
      <c r="I213" s="190">
        <v>125</v>
      </c>
      <c r="J213" s="191" t="s">
        <v>54</v>
      </c>
      <c r="K213" s="191" t="s">
        <v>61</v>
      </c>
      <c r="L213" s="191" t="s">
        <v>67</v>
      </c>
      <c r="M213" s="191" t="s">
        <v>37</v>
      </c>
      <c r="N213" s="191" t="s">
        <v>58</v>
      </c>
      <c r="O213" s="191" t="s">
        <v>39</v>
      </c>
      <c r="P213" s="191" t="s">
        <v>41</v>
      </c>
      <c r="Q213" s="191" t="s">
        <v>43</v>
      </c>
      <c r="R213" s="191" t="s">
        <v>42</v>
      </c>
      <c r="S213" s="191" t="s">
        <v>48</v>
      </c>
      <c r="T213" s="191" t="s">
        <v>44</v>
      </c>
      <c r="U213" s="191" t="s">
        <v>46</v>
      </c>
      <c r="V213" s="191" t="s">
        <v>1121</v>
      </c>
      <c r="W213" s="191" t="s">
        <v>43</v>
      </c>
      <c r="X213" s="191" t="s">
        <v>44</v>
      </c>
      <c r="Y213" s="191" t="s">
        <v>45</v>
      </c>
      <c r="Z213" s="191" t="s">
        <v>43</v>
      </c>
      <c r="AA213" s="191" t="s">
        <v>105</v>
      </c>
      <c r="AB213" s="191" t="s">
        <v>50</v>
      </c>
      <c r="AC213" s="191" t="s">
        <v>43</v>
      </c>
      <c r="AD213" s="191" t="s">
        <v>72</v>
      </c>
      <c r="AE213" s="191" t="s">
        <v>44</v>
      </c>
      <c r="AF213" s="191" t="s">
        <v>95</v>
      </c>
      <c r="AG213" s="191" t="s">
        <v>43</v>
      </c>
      <c r="AH213" s="191" t="s">
        <v>44</v>
      </c>
      <c r="AI213" s="191" t="s">
        <v>39</v>
      </c>
      <c r="AJ213" s="191" t="s">
        <v>36</v>
      </c>
      <c r="AK213" s="191" t="s">
        <v>63</v>
      </c>
      <c r="AL213" s="191" t="s">
        <v>44</v>
      </c>
      <c r="AM213" s="191" t="s">
        <v>109</v>
      </c>
      <c r="AN213" s="191" t="s">
        <v>44</v>
      </c>
      <c r="AO213" s="191" t="s">
        <v>44</v>
      </c>
      <c r="AP213" s="191" t="s">
        <v>44</v>
      </c>
    </row>
    <row r="214" spans="1:42" ht="29">
      <c r="A214" s="191" t="s">
        <v>1464</v>
      </c>
      <c r="B214" s="190">
        <v>3</v>
      </c>
      <c r="C214" s="190">
        <v>7</v>
      </c>
      <c r="D214" s="190">
        <v>9</v>
      </c>
      <c r="E214" s="191" t="s">
        <v>318</v>
      </c>
      <c r="F214" s="190">
        <v>1</v>
      </c>
      <c r="G214" s="191" t="s">
        <v>36</v>
      </c>
      <c r="H214" s="190">
        <v>1</v>
      </c>
      <c r="I214" s="190">
        <v>110</v>
      </c>
      <c r="J214" s="191" t="s">
        <v>65</v>
      </c>
      <c r="K214" s="191" t="s">
        <v>40</v>
      </c>
      <c r="L214" s="191" t="s">
        <v>36</v>
      </c>
      <c r="M214" s="191" t="s">
        <v>37</v>
      </c>
      <c r="N214" s="191" t="s">
        <v>132</v>
      </c>
      <c r="O214" s="191" t="s">
        <v>39</v>
      </c>
      <c r="P214" s="191" t="s">
        <v>41</v>
      </c>
      <c r="Q214" s="191" t="s">
        <v>137</v>
      </c>
      <c r="R214" s="191" t="s">
        <v>60</v>
      </c>
      <c r="S214" s="191" t="s">
        <v>48</v>
      </c>
      <c r="T214" s="191" t="s">
        <v>1465</v>
      </c>
      <c r="U214" s="191" t="s">
        <v>126</v>
      </c>
      <c r="V214" s="191" t="s">
        <v>1108</v>
      </c>
      <c r="W214" s="191" t="s">
        <v>45</v>
      </c>
      <c r="X214" s="191" t="s">
        <v>44</v>
      </c>
      <c r="Y214" s="191" t="s">
        <v>47</v>
      </c>
      <c r="Z214" s="191" t="s">
        <v>43</v>
      </c>
      <c r="AA214" s="191" t="s">
        <v>62</v>
      </c>
      <c r="AB214" s="191" t="s">
        <v>138</v>
      </c>
      <c r="AC214" s="191" t="s">
        <v>43</v>
      </c>
      <c r="AD214" s="191" t="s">
        <v>72</v>
      </c>
      <c r="AE214" s="191" t="s">
        <v>44</v>
      </c>
      <c r="AF214" s="191" t="s">
        <v>132</v>
      </c>
      <c r="AG214" s="191" t="s">
        <v>43</v>
      </c>
      <c r="AH214" s="191" t="s">
        <v>44</v>
      </c>
      <c r="AI214" s="191" t="s">
        <v>39</v>
      </c>
      <c r="AJ214" s="191" t="s">
        <v>36</v>
      </c>
      <c r="AK214" s="191" t="s">
        <v>59</v>
      </c>
      <c r="AL214" s="191" t="s">
        <v>44</v>
      </c>
      <c r="AM214" s="191" t="s">
        <v>45</v>
      </c>
      <c r="AN214" s="191" t="s">
        <v>44</v>
      </c>
      <c r="AO214" s="191" t="s">
        <v>44</v>
      </c>
      <c r="AP214" s="191" t="s">
        <v>44</v>
      </c>
    </row>
    <row r="215" spans="1:42" ht="43.5">
      <c r="A215" s="191" t="s">
        <v>1466</v>
      </c>
      <c r="B215" s="190">
        <v>3</v>
      </c>
      <c r="C215" s="190">
        <v>2</v>
      </c>
      <c r="D215" s="190">
        <v>5</v>
      </c>
      <c r="E215" s="191" t="s">
        <v>311</v>
      </c>
      <c r="F215" s="190">
        <v>4</v>
      </c>
      <c r="G215" s="191" t="s">
        <v>36</v>
      </c>
      <c r="H215" s="190">
        <v>1</v>
      </c>
      <c r="I215" s="190">
        <v>190</v>
      </c>
      <c r="J215" s="191" t="s">
        <v>80</v>
      </c>
      <c r="K215" s="191" t="s">
        <v>61</v>
      </c>
      <c r="L215" s="191" t="s">
        <v>55</v>
      </c>
      <c r="M215" s="191" t="s">
        <v>37</v>
      </c>
      <c r="N215" s="191" t="s">
        <v>58</v>
      </c>
      <c r="O215" s="191" t="s">
        <v>288</v>
      </c>
      <c r="P215" s="191" t="s">
        <v>66</v>
      </c>
      <c r="Q215" s="191" t="s">
        <v>43</v>
      </c>
      <c r="R215" s="191" t="s">
        <v>60</v>
      </c>
      <c r="S215" s="191" t="s">
        <v>48</v>
      </c>
      <c r="T215" s="191" t="s">
        <v>44</v>
      </c>
      <c r="U215" s="191" t="s">
        <v>46</v>
      </c>
      <c r="V215" s="191" t="s">
        <v>1108</v>
      </c>
      <c r="W215" s="191" t="s">
        <v>43</v>
      </c>
      <c r="X215" s="191" t="s">
        <v>44</v>
      </c>
      <c r="Y215" s="191" t="s">
        <v>45</v>
      </c>
      <c r="Z215" s="191" t="s">
        <v>43</v>
      </c>
      <c r="AA215" s="191" t="s">
        <v>49</v>
      </c>
      <c r="AB215" s="191" t="s">
        <v>50</v>
      </c>
      <c r="AC215" s="191" t="s">
        <v>43</v>
      </c>
      <c r="AD215" s="191" t="s">
        <v>72</v>
      </c>
      <c r="AE215" s="191" t="s">
        <v>44</v>
      </c>
      <c r="AF215" s="191" t="s">
        <v>95</v>
      </c>
      <c r="AG215" s="191" t="s">
        <v>47</v>
      </c>
      <c r="AH215" s="191" t="s">
        <v>44</v>
      </c>
      <c r="AI215" s="191" t="s">
        <v>134</v>
      </c>
      <c r="AJ215" s="191" t="s">
        <v>36</v>
      </c>
      <c r="AK215" s="191" t="s">
        <v>77</v>
      </c>
      <c r="AL215" s="191" t="s">
        <v>44</v>
      </c>
      <c r="AM215" s="191" t="s">
        <v>47</v>
      </c>
      <c r="AN215" s="191" t="s">
        <v>44</v>
      </c>
      <c r="AO215" s="191" t="s">
        <v>44</v>
      </c>
      <c r="AP215" s="191" t="s">
        <v>44</v>
      </c>
    </row>
    <row r="216" spans="1:42" ht="29">
      <c r="A216" s="191" t="s">
        <v>1467</v>
      </c>
      <c r="B216" s="190">
        <v>3</v>
      </c>
      <c r="C216" s="190">
        <v>3</v>
      </c>
      <c r="D216" s="190">
        <v>9</v>
      </c>
      <c r="E216" s="191" t="s">
        <v>307</v>
      </c>
      <c r="F216" s="190">
        <v>1</v>
      </c>
      <c r="G216" s="191" t="s">
        <v>36</v>
      </c>
      <c r="H216" s="190">
        <v>1</v>
      </c>
      <c r="I216" s="190">
        <v>110</v>
      </c>
      <c r="J216" s="191" t="s">
        <v>65</v>
      </c>
      <c r="K216" s="191" t="s">
        <v>61</v>
      </c>
      <c r="L216" s="191" t="s">
        <v>36</v>
      </c>
      <c r="M216" s="191" t="s">
        <v>37</v>
      </c>
      <c r="N216" s="191" t="s">
        <v>58</v>
      </c>
      <c r="O216" s="191" t="s">
        <v>39</v>
      </c>
      <c r="P216" s="191" t="s">
        <v>41</v>
      </c>
      <c r="Q216" s="191" t="s">
        <v>92</v>
      </c>
      <c r="R216" s="191" t="s">
        <v>60</v>
      </c>
      <c r="S216" s="191" t="s">
        <v>48</v>
      </c>
      <c r="T216" s="191" t="s">
        <v>44</v>
      </c>
      <c r="U216" s="191" t="s">
        <v>1123</v>
      </c>
      <c r="V216" s="191" t="s">
        <v>1108</v>
      </c>
      <c r="W216" s="191" t="s">
        <v>43</v>
      </c>
      <c r="X216" s="191" t="s">
        <v>44</v>
      </c>
      <c r="Y216" s="191" t="s">
        <v>43</v>
      </c>
      <c r="Z216" s="191" t="s">
        <v>43</v>
      </c>
      <c r="AA216" s="191" t="s">
        <v>49</v>
      </c>
      <c r="AB216" s="191" t="s">
        <v>50</v>
      </c>
      <c r="AC216" s="191" t="s">
        <v>47</v>
      </c>
      <c r="AD216" s="191" t="s">
        <v>91</v>
      </c>
      <c r="AE216" s="191" t="s">
        <v>44</v>
      </c>
      <c r="AF216" s="191" t="s">
        <v>95</v>
      </c>
      <c r="AG216" s="191" t="s">
        <v>47</v>
      </c>
      <c r="AH216" s="191" t="s">
        <v>44</v>
      </c>
      <c r="AI216" s="191" t="s">
        <v>39</v>
      </c>
      <c r="AJ216" s="191" t="s">
        <v>36</v>
      </c>
      <c r="AK216" s="191" t="s">
        <v>59</v>
      </c>
      <c r="AL216" s="191" t="s">
        <v>44</v>
      </c>
      <c r="AM216" s="191" t="s">
        <v>74</v>
      </c>
      <c r="AN216" s="191" t="s">
        <v>44</v>
      </c>
      <c r="AO216" s="191" t="s">
        <v>44</v>
      </c>
      <c r="AP216" s="191" t="s">
        <v>44</v>
      </c>
    </row>
    <row r="217" spans="1:42" ht="29">
      <c r="A217" s="191" t="s">
        <v>1468</v>
      </c>
      <c r="B217" s="190">
        <v>3</v>
      </c>
      <c r="C217" s="190">
        <v>7</v>
      </c>
      <c r="D217" s="190">
        <v>7</v>
      </c>
      <c r="E217" s="191" t="s">
        <v>318</v>
      </c>
      <c r="F217" s="190">
        <v>2</v>
      </c>
      <c r="G217" s="191" t="s">
        <v>36</v>
      </c>
      <c r="H217" s="190">
        <v>1</v>
      </c>
      <c r="I217" s="190">
        <v>115</v>
      </c>
      <c r="J217" s="191" t="s">
        <v>80</v>
      </c>
      <c r="K217" s="191" t="s">
        <v>47</v>
      </c>
      <c r="L217" s="191" t="s">
        <v>36</v>
      </c>
      <c r="M217" s="191" t="s">
        <v>37</v>
      </c>
      <c r="N217" s="191" t="s">
        <v>58</v>
      </c>
      <c r="O217" s="191" t="s">
        <v>39</v>
      </c>
      <c r="P217" s="191" t="s">
        <v>41</v>
      </c>
      <c r="Q217" s="191" t="s">
        <v>135</v>
      </c>
      <c r="R217" s="191" t="s">
        <v>87</v>
      </c>
      <c r="S217" s="191" t="s">
        <v>48</v>
      </c>
      <c r="T217" s="191" t="s">
        <v>44</v>
      </c>
      <c r="U217" s="191" t="s">
        <v>89</v>
      </c>
      <c r="V217" s="191" t="s">
        <v>1108</v>
      </c>
      <c r="W217" s="191" t="s">
        <v>43</v>
      </c>
      <c r="X217" s="191" t="s">
        <v>44</v>
      </c>
      <c r="Y217" s="191" t="s">
        <v>45</v>
      </c>
      <c r="Z217" s="191" t="s">
        <v>43</v>
      </c>
      <c r="AA217" s="191" t="s">
        <v>49</v>
      </c>
      <c r="AB217" s="191" t="s">
        <v>50</v>
      </c>
      <c r="AC217" s="191" t="s">
        <v>43</v>
      </c>
      <c r="AD217" s="191" t="s">
        <v>72</v>
      </c>
      <c r="AE217" s="191" t="s">
        <v>44</v>
      </c>
      <c r="AF217" s="191" t="s">
        <v>95</v>
      </c>
      <c r="AG217" s="191" t="s">
        <v>47</v>
      </c>
      <c r="AH217" s="191" t="s">
        <v>44</v>
      </c>
      <c r="AI217" s="191" t="s">
        <v>39</v>
      </c>
      <c r="AJ217" s="191" t="s">
        <v>36</v>
      </c>
      <c r="AK217" s="191" t="s">
        <v>59</v>
      </c>
      <c r="AL217" s="191" t="s">
        <v>44</v>
      </c>
      <c r="AM217" s="191" t="s">
        <v>43</v>
      </c>
      <c r="AN217" s="191" t="s">
        <v>44</v>
      </c>
      <c r="AO217" s="191" t="s">
        <v>44</v>
      </c>
      <c r="AP217" s="191" t="s">
        <v>44</v>
      </c>
    </row>
    <row r="218" spans="1:42" ht="29">
      <c r="A218" s="191" t="s">
        <v>1469</v>
      </c>
      <c r="B218" s="190">
        <v>3</v>
      </c>
      <c r="C218" s="190">
        <v>7</v>
      </c>
      <c r="D218" s="190">
        <v>7</v>
      </c>
      <c r="E218" s="191" t="s">
        <v>318</v>
      </c>
      <c r="F218" s="190">
        <v>2</v>
      </c>
      <c r="G218" s="191" t="s">
        <v>36</v>
      </c>
      <c r="H218" s="190">
        <v>1</v>
      </c>
      <c r="I218" s="190">
        <v>108</v>
      </c>
      <c r="J218" s="191" t="s">
        <v>54</v>
      </c>
      <c r="K218" s="191" t="s">
        <v>40</v>
      </c>
      <c r="L218" s="191" t="s">
        <v>36</v>
      </c>
      <c r="M218" s="191" t="s">
        <v>37</v>
      </c>
      <c r="N218" s="191" t="s">
        <v>58</v>
      </c>
      <c r="O218" s="191" t="s">
        <v>39</v>
      </c>
      <c r="P218" s="191" t="s">
        <v>41</v>
      </c>
      <c r="Q218" s="191" t="s">
        <v>40</v>
      </c>
      <c r="R218" s="191" t="s">
        <v>42</v>
      </c>
      <c r="S218" s="191" t="s">
        <v>48</v>
      </c>
      <c r="T218" s="191" t="s">
        <v>44</v>
      </c>
      <c r="U218" s="191" t="s">
        <v>126</v>
      </c>
      <c r="V218" s="191" t="s">
        <v>1470</v>
      </c>
      <c r="W218" s="191" t="s">
        <v>40</v>
      </c>
      <c r="X218" s="191" t="s">
        <v>1471</v>
      </c>
      <c r="Y218" s="191" t="s">
        <v>43</v>
      </c>
      <c r="Z218" s="191" t="s">
        <v>43</v>
      </c>
      <c r="AA218" s="191" t="s">
        <v>62</v>
      </c>
      <c r="AB218" s="191" t="s">
        <v>50</v>
      </c>
      <c r="AC218" s="191" t="s">
        <v>43</v>
      </c>
      <c r="AD218" s="191" t="s">
        <v>72</v>
      </c>
      <c r="AE218" s="191" t="s">
        <v>44</v>
      </c>
      <c r="AF218" s="191" t="s">
        <v>95</v>
      </c>
      <c r="AG218" s="191" t="s">
        <v>47</v>
      </c>
      <c r="AH218" s="191" t="s">
        <v>44</v>
      </c>
      <c r="AI218" s="191" t="s">
        <v>39</v>
      </c>
      <c r="AJ218" s="191" t="s">
        <v>36</v>
      </c>
      <c r="AK218" s="191" t="s">
        <v>45</v>
      </c>
      <c r="AL218" s="191" t="s">
        <v>44</v>
      </c>
      <c r="AM218" s="191" t="s">
        <v>47</v>
      </c>
      <c r="AN218" s="191" t="s">
        <v>44</v>
      </c>
      <c r="AO218" s="191" t="s">
        <v>44</v>
      </c>
      <c r="AP218" s="191" t="s">
        <v>44</v>
      </c>
    </row>
    <row r="219" spans="1:42" ht="58">
      <c r="A219" s="191" t="s">
        <v>1472</v>
      </c>
      <c r="B219" s="190">
        <v>3</v>
      </c>
      <c r="C219" s="190">
        <v>7</v>
      </c>
      <c r="D219" s="190">
        <v>9</v>
      </c>
      <c r="E219" s="191" t="s">
        <v>318</v>
      </c>
      <c r="F219" s="190">
        <v>1</v>
      </c>
      <c r="G219" s="191" t="s">
        <v>36</v>
      </c>
      <c r="H219" s="190">
        <v>1</v>
      </c>
      <c r="I219" s="190">
        <v>150</v>
      </c>
      <c r="J219" s="191" t="s">
        <v>65</v>
      </c>
      <c r="K219" s="191" t="s">
        <v>81</v>
      </c>
      <c r="L219" s="191" t="s">
        <v>67</v>
      </c>
      <c r="M219" s="191" t="s">
        <v>37</v>
      </c>
      <c r="N219" s="191" t="s">
        <v>95</v>
      </c>
      <c r="O219" s="191" t="s">
        <v>288</v>
      </c>
      <c r="P219" s="191" t="s">
        <v>41</v>
      </c>
      <c r="Q219" s="191" t="s">
        <v>35</v>
      </c>
      <c r="R219" s="191" t="s">
        <v>36</v>
      </c>
      <c r="S219" s="191" t="s">
        <v>48</v>
      </c>
      <c r="T219" s="191" t="s">
        <v>44</v>
      </c>
      <c r="U219" s="191" t="s">
        <v>46</v>
      </c>
      <c r="V219" s="191" t="s">
        <v>44</v>
      </c>
      <c r="W219" s="191" t="s">
        <v>43</v>
      </c>
      <c r="X219" s="191" t="s">
        <v>44</v>
      </c>
      <c r="Y219" s="191" t="s">
        <v>45</v>
      </c>
      <c r="Z219" s="191" t="s">
        <v>47</v>
      </c>
      <c r="AA219" s="191" t="s">
        <v>49</v>
      </c>
      <c r="AB219" s="191" t="s">
        <v>84</v>
      </c>
      <c r="AC219" s="191" t="s">
        <v>43</v>
      </c>
      <c r="AD219" s="191" t="s">
        <v>51</v>
      </c>
      <c r="AE219" s="191" t="s">
        <v>44</v>
      </c>
      <c r="AF219" s="191" t="s">
        <v>95</v>
      </c>
      <c r="AG219" s="191" t="s">
        <v>43</v>
      </c>
      <c r="AH219" s="191" t="s">
        <v>44</v>
      </c>
      <c r="AI219" s="191" t="s">
        <v>134</v>
      </c>
      <c r="AJ219" s="191" t="s">
        <v>36</v>
      </c>
      <c r="AK219" s="191" t="s">
        <v>106</v>
      </c>
      <c r="AL219" s="191" t="s">
        <v>1473</v>
      </c>
      <c r="AM219" s="191" t="s">
        <v>74</v>
      </c>
      <c r="AN219" s="191" t="s">
        <v>44</v>
      </c>
      <c r="AO219" s="191" t="s">
        <v>44</v>
      </c>
      <c r="AP219" s="191" t="s">
        <v>44</v>
      </c>
    </row>
    <row r="220" spans="1:42" ht="29">
      <c r="A220" s="191" t="s">
        <v>1474</v>
      </c>
      <c r="B220" s="190">
        <v>3</v>
      </c>
      <c r="C220" s="190">
        <v>5</v>
      </c>
      <c r="D220" s="190">
        <v>4</v>
      </c>
      <c r="E220" s="191" t="s">
        <v>311</v>
      </c>
      <c r="F220" s="190">
        <v>3</v>
      </c>
      <c r="G220" s="191" t="s">
        <v>36</v>
      </c>
      <c r="H220" s="190">
        <v>1</v>
      </c>
      <c r="I220" s="190">
        <v>98</v>
      </c>
      <c r="J220" s="191" t="s">
        <v>54</v>
      </c>
      <c r="K220" s="191" t="s">
        <v>71</v>
      </c>
      <c r="L220" s="191" t="s">
        <v>70</v>
      </c>
      <c r="M220" s="191" t="s">
        <v>37</v>
      </c>
      <c r="N220" s="191" t="s">
        <v>58</v>
      </c>
      <c r="O220" s="191" t="s">
        <v>39</v>
      </c>
      <c r="P220" s="191" t="s">
        <v>41</v>
      </c>
      <c r="Q220" s="191" t="s">
        <v>113</v>
      </c>
      <c r="R220" s="191" t="s">
        <v>60</v>
      </c>
      <c r="S220" s="191" t="s">
        <v>48</v>
      </c>
      <c r="T220" s="191" t="s">
        <v>44</v>
      </c>
      <c r="U220" s="191" t="s">
        <v>45</v>
      </c>
      <c r="V220" s="191" t="s">
        <v>1106</v>
      </c>
      <c r="W220" s="191" t="s">
        <v>43</v>
      </c>
      <c r="X220" s="191" t="s">
        <v>44</v>
      </c>
      <c r="Y220" s="191" t="s">
        <v>45</v>
      </c>
      <c r="Z220" s="191" t="s">
        <v>43</v>
      </c>
      <c r="AA220" s="191" t="s">
        <v>62</v>
      </c>
      <c r="AB220" s="191" t="s">
        <v>50</v>
      </c>
      <c r="AC220" s="191" t="s">
        <v>43</v>
      </c>
      <c r="AD220" s="191" t="s">
        <v>72</v>
      </c>
      <c r="AE220" s="191" t="s">
        <v>44</v>
      </c>
      <c r="AF220" s="191" t="s">
        <v>52</v>
      </c>
      <c r="AG220" s="191" t="s">
        <v>47</v>
      </c>
      <c r="AH220" s="191" t="s">
        <v>44</v>
      </c>
      <c r="AI220" s="191" t="s">
        <v>39</v>
      </c>
      <c r="AJ220" s="191" t="s">
        <v>36</v>
      </c>
      <c r="AK220" s="191" t="s">
        <v>73</v>
      </c>
      <c r="AL220" s="191" t="s">
        <v>44</v>
      </c>
      <c r="AM220" s="191" t="s">
        <v>1242</v>
      </c>
      <c r="AN220" s="191" t="s">
        <v>44</v>
      </c>
      <c r="AO220" s="191" t="s">
        <v>44</v>
      </c>
      <c r="AP220" s="191" t="s">
        <v>44</v>
      </c>
    </row>
    <row r="221" spans="1:42" ht="29">
      <c r="A221" s="191" t="s">
        <v>1475</v>
      </c>
      <c r="B221" s="190">
        <v>3</v>
      </c>
      <c r="C221" s="190">
        <v>7</v>
      </c>
      <c r="D221" s="190">
        <v>7</v>
      </c>
      <c r="E221" s="191" t="s">
        <v>318</v>
      </c>
      <c r="F221" s="190">
        <v>2</v>
      </c>
      <c r="G221" s="191" t="s">
        <v>36</v>
      </c>
      <c r="H221" s="190">
        <v>1</v>
      </c>
      <c r="I221" s="190">
        <v>160</v>
      </c>
      <c r="J221" s="191" t="s">
        <v>54</v>
      </c>
      <c r="K221" s="191" t="s">
        <v>61</v>
      </c>
      <c r="L221" s="191" t="s">
        <v>36</v>
      </c>
      <c r="M221" s="191" t="s">
        <v>37</v>
      </c>
      <c r="N221" s="191" t="s">
        <v>58</v>
      </c>
      <c r="O221" s="191" t="s">
        <v>39</v>
      </c>
      <c r="P221" s="191" t="s">
        <v>41</v>
      </c>
      <c r="Q221" s="191" t="s">
        <v>40</v>
      </c>
      <c r="R221" s="191" t="s">
        <v>87</v>
      </c>
      <c r="S221" s="191" t="s">
        <v>48</v>
      </c>
      <c r="T221" s="191" t="s">
        <v>44</v>
      </c>
      <c r="U221" s="191" t="s">
        <v>126</v>
      </c>
      <c r="V221" s="191" t="s">
        <v>355</v>
      </c>
      <c r="W221" s="191" t="s">
        <v>43</v>
      </c>
      <c r="X221" s="191" t="s">
        <v>44</v>
      </c>
      <c r="Y221" s="191" t="s">
        <v>61</v>
      </c>
      <c r="Z221" s="191" t="s">
        <v>43</v>
      </c>
      <c r="AA221" s="191" t="s">
        <v>62</v>
      </c>
      <c r="AB221" s="191" t="s">
        <v>50</v>
      </c>
      <c r="AC221" s="191" t="s">
        <v>47</v>
      </c>
      <c r="AD221" s="191" t="s">
        <v>91</v>
      </c>
      <c r="AE221" s="191" t="s">
        <v>44</v>
      </c>
      <c r="AF221" s="191" t="s">
        <v>52</v>
      </c>
      <c r="AG221" s="191" t="s">
        <v>43</v>
      </c>
      <c r="AH221" s="191" t="s">
        <v>44</v>
      </c>
      <c r="AI221" s="191" t="s">
        <v>39</v>
      </c>
      <c r="AJ221" s="191" t="s">
        <v>36</v>
      </c>
      <c r="AK221" s="191" t="s">
        <v>59</v>
      </c>
      <c r="AL221" s="191" t="s">
        <v>44</v>
      </c>
      <c r="AM221" s="191" t="s">
        <v>45</v>
      </c>
      <c r="AN221" s="191" t="s">
        <v>44</v>
      </c>
      <c r="AO221" s="191" t="s">
        <v>44</v>
      </c>
      <c r="AP221" s="191" t="s">
        <v>44</v>
      </c>
    </row>
    <row r="222" spans="1:42" ht="29">
      <c r="A222" s="191" t="s">
        <v>1476</v>
      </c>
      <c r="B222" s="190">
        <v>3</v>
      </c>
      <c r="C222" s="190">
        <v>3</v>
      </c>
      <c r="D222" s="190">
        <v>2</v>
      </c>
      <c r="E222" s="191" t="s">
        <v>311</v>
      </c>
      <c r="F222" s="190">
        <v>6</v>
      </c>
      <c r="G222" s="191" t="s">
        <v>36</v>
      </c>
      <c r="H222" s="190">
        <v>1</v>
      </c>
      <c r="I222" s="190">
        <v>0</v>
      </c>
      <c r="J222" s="191" t="s">
        <v>34</v>
      </c>
      <c r="K222" s="191" t="s">
        <v>40</v>
      </c>
      <c r="L222" s="191" t="s">
        <v>36</v>
      </c>
      <c r="M222" s="191" t="s">
        <v>37</v>
      </c>
      <c r="N222" s="191" t="s">
        <v>95</v>
      </c>
      <c r="O222" s="191" t="s">
        <v>39</v>
      </c>
      <c r="P222" s="191" t="s">
        <v>41</v>
      </c>
      <c r="Q222" s="191" t="s">
        <v>83</v>
      </c>
      <c r="R222" s="191" t="s">
        <v>82</v>
      </c>
      <c r="S222" s="191" t="s">
        <v>48</v>
      </c>
      <c r="T222" s="191" t="s">
        <v>44</v>
      </c>
      <c r="U222" s="191" t="s">
        <v>44</v>
      </c>
      <c r="V222" s="191" t="s">
        <v>44</v>
      </c>
      <c r="W222" s="191" t="s">
        <v>45</v>
      </c>
      <c r="X222" s="191" t="s">
        <v>44</v>
      </c>
      <c r="Y222" s="191" t="s">
        <v>61</v>
      </c>
      <c r="Z222" s="191" t="s">
        <v>40</v>
      </c>
      <c r="AA222" s="191" t="s">
        <v>36</v>
      </c>
      <c r="AB222" s="191" t="s">
        <v>36</v>
      </c>
      <c r="AC222" s="191" t="s">
        <v>46</v>
      </c>
      <c r="AD222" s="191" t="s">
        <v>36</v>
      </c>
      <c r="AE222" s="191" t="s">
        <v>44</v>
      </c>
      <c r="AF222" s="191" t="s">
        <v>95</v>
      </c>
      <c r="AG222" s="191" t="s">
        <v>43</v>
      </c>
      <c r="AH222" s="191" t="s">
        <v>44</v>
      </c>
      <c r="AI222" s="191" t="s">
        <v>39</v>
      </c>
      <c r="AJ222" s="191" t="s">
        <v>36</v>
      </c>
      <c r="AK222" s="191" t="s">
        <v>57</v>
      </c>
      <c r="AL222" s="191" t="s">
        <v>44</v>
      </c>
      <c r="AM222" s="191" t="s">
        <v>89</v>
      </c>
      <c r="AN222" s="191" t="s">
        <v>44</v>
      </c>
      <c r="AO222" s="191" t="s">
        <v>44</v>
      </c>
      <c r="AP222" s="191" t="s">
        <v>44</v>
      </c>
    </row>
    <row r="223" spans="1:42" ht="43.5">
      <c r="A223" s="191" t="s">
        <v>1477</v>
      </c>
      <c r="B223" s="190">
        <v>3</v>
      </c>
      <c r="C223" s="190">
        <v>7</v>
      </c>
      <c r="D223" s="190">
        <v>7</v>
      </c>
      <c r="E223" s="191" t="s">
        <v>315</v>
      </c>
      <c r="F223" s="190">
        <v>2</v>
      </c>
      <c r="G223" s="191" t="s">
        <v>36</v>
      </c>
      <c r="H223" s="190">
        <v>1</v>
      </c>
      <c r="I223" s="190">
        <v>200</v>
      </c>
      <c r="J223" s="191" t="s">
        <v>65</v>
      </c>
      <c r="K223" s="191" t="s">
        <v>61</v>
      </c>
      <c r="L223" s="191" t="s">
        <v>36</v>
      </c>
      <c r="M223" s="191" t="s">
        <v>37</v>
      </c>
      <c r="N223" s="191" t="s">
        <v>108</v>
      </c>
      <c r="O223" s="191" t="s">
        <v>288</v>
      </c>
      <c r="P223" s="191" t="s">
        <v>41</v>
      </c>
      <c r="Q223" s="191" t="s">
        <v>83</v>
      </c>
      <c r="R223" s="191" t="s">
        <v>42</v>
      </c>
      <c r="S223" s="191" t="s">
        <v>48</v>
      </c>
      <c r="T223" s="191" t="s">
        <v>44</v>
      </c>
      <c r="U223" s="191" t="s">
        <v>1113</v>
      </c>
      <c r="V223" s="191" t="s">
        <v>1108</v>
      </c>
      <c r="W223" s="191" t="s">
        <v>47</v>
      </c>
      <c r="X223" s="191" t="s">
        <v>44</v>
      </c>
      <c r="Y223" s="191" t="s">
        <v>61</v>
      </c>
      <c r="Z223" s="191" t="s">
        <v>43</v>
      </c>
      <c r="AA223" s="191" t="s">
        <v>49</v>
      </c>
      <c r="AB223" s="191" t="s">
        <v>84</v>
      </c>
      <c r="AC223" s="191" t="s">
        <v>43</v>
      </c>
      <c r="AD223" s="191" t="s">
        <v>72</v>
      </c>
      <c r="AE223" s="191" t="s">
        <v>44</v>
      </c>
      <c r="AF223" s="191" t="s">
        <v>108</v>
      </c>
      <c r="AG223" s="191" t="s">
        <v>47</v>
      </c>
      <c r="AH223" s="191" t="s">
        <v>44</v>
      </c>
      <c r="AI223" s="191" t="s">
        <v>134</v>
      </c>
      <c r="AJ223" s="191" t="s">
        <v>36</v>
      </c>
      <c r="AK223" s="191" t="s">
        <v>120</v>
      </c>
      <c r="AL223" s="191" t="s">
        <v>1478</v>
      </c>
      <c r="AM223" s="191" t="s">
        <v>89</v>
      </c>
      <c r="AN223" s="191" t="s">
        <v>44</v>
      </c>
      <c r="AO223" s="191" t="s">
        <v>44</v>
      </c>
      <c r="AP223" s="191" t="s">
        <v>44</v>
      </c>
    </row>
    <row r="224" spans="1:42" ht="29">
      <c r="A224" s="191" t="s">
        <v>1479</v>
      </c>
      <c r="B224" s="190">
        <v>3</v>
      </c>
      <c r="C224" s="190">
        <v>3</v>
      </c>
      <c r="D224" s="190">
        <v>3</v>
      </c>
      <c r="E224" s="191" t="s">
        <v>315</v>
      </c>
      <c r="F224" s="190">
        <v>3</v>
      </c>
      <c r="G224" s="191" t="s">
        <v>36</v>
      </c>
      <c r="H224" s="190">
        <v>1</v>
      </c>
      <c r="I224" s="190">
        <v>140</v>
      </c>
      <c r="J224" s="191" t="s">
        <v>65</v>
      </c>
      <c r="K224" s="191" t="s">
        <v>40</v>
      </c>
      <c r="L224" s="191" t="s">
        <v>36</v>
      </c>
      <c r="M224" s="191" t="s">
        <v>37</v>
      </c>
      <c r="N224" s="191" t="s">
        <v>58</v>
      </c>
      <c r="O224" s="191" t="s">
        <v>39</v>
      </c>
      <c r="P224" s="191" t="s">
        <v>41</v>
      </c>
      <c r="Q224" s="191" t="s">
        <v>137</v>
      </c>
      <c r="R224" s="191" t="s">
        <v>42</v>
      </c>
      <c r="S224" s="191" t="s">
        <v>48</v>
      </c>
      <c r="T224" s="191" t="s">
        <v>44</v>
      </c>
      <c r="U224" s="191" t="s">
        <v>46</v>
      </c>
      <c r="V224" s="191" t="s">
        <v>1122</v>
      </c>
      <c r="W224" s="191" t="s">
        <v>47</v>
      </c>
      <c r="X224" s="191" t="s">
        <v>44</v>
      </c>
      <c r="Y224" s="191" t="s">
        <v>61</v>
      </c>
      <c r="Z224" s="191" t="s">
        <v>47</v>
      </c>
      <c r="AA224" s="191" t="s">
        <v>49</v>
      </c>
      <c r="AB224" s="191" t="s">
        <v>50</v>
      </c>
      <c r="AC224" s="191" t="s">
        <v>43</v>
      </c>
      <c r="AD224" s="191" t="s">
        <v>91</v>
      </c>
      <c r="AE224" s="191" t="s">
        <v>44</v>
      </c>
      <c r="AF224" s="191" t="s">
        <v>95</v>
      </c>
      <c r="AG224" s="191" t="s">
        <v>43</v>
      </c>
      <c r="AH224" s="191" t="s">
        <v>44</v>
      </c>
      <c r="AI224" s="191" t="s">
        <v>39</v>
      </c>
      <c r="AJ224" s="191" t="s">
        <v>36</v>
      </c>
      <c r="AK224" s="191" t="s">
        <v>77</v>
      </c>
      <c r="AL224" s="191" t="s">
        <v>44</v>
      </c>
      <c r="AM224" s="191" t="s">
        <v>1242</v>
      </c>
      <c r="AN224" s="191" t="s">
        <v>44</v>
      </c>
      <c r="AO224" s="191" t="s">
        <v>44</v>
      </c>
      <c r="AP224" s="191" t="s">
        <v>44</v>
      </c>
    </row>
    <row r="225" spans="1:42" ht="58">
      <c r="A225" s="191" t="s">
        <v>1480</v>
      </c>
      <c r="B225" s="190">
        <v>3</v>
      </c>
      <c r="C225" s="190">
        <v>4</v>
      </c>
      <c r="D225" s="190">
        <v>4</v>
      </c>
      <c r="E225" s="191" t="s">
        <v>307</v>
      </c>
      <c r="F225" s="190">
        <v>4</v>
      </c>
      <c r="G225" s="191" t="s">
        <v>36</v>
      </c>
      <c r="H225" s="190">
        <v>1</v>
      </c>
      <c r="I225" s="190">
        <v>145</v>
      </c>
      <c r="J225" s="191" t="s">
        <v>80</v>
      </c>
      <c r="K225" s="191" t="s">
        <v>61</v>
      </c>
      <c r="L225" s="191" t="s">
        <v>36</v>
      </c>
      <c r="M225" s="191" t="s">
        <v>37</v>
      </c>
      <c r="N225" s="191" t="s">
        <v>58</v>
      </c>
      <c r="O225" s="191" t="s">
        <v>39</v>
      </c>
      <c r="P225" s="191" t="s">
        <v>41</v>
      </c>
      <c r="Q225" s="191" t="s">
        <v>78</v>
      </c>
      <c r="R225" s="191" t="s">
        <v>60</v>
      </c>
      <c r="S225" s="191" t="s">
        <v>48</v>
      </c>
      <c r="T225" s="191" t="s">
        <v>44</v>
      </c>
      <c r="U225" s="191" t="s">
        <v>89</v>
      </c>
      <c r="V225" s="191" t="s">
        <v>355</v>
      </c>
      <c r="W225" s="191" t="s">
        <v>45</v>
      </c>
      <c r="X225" s="191" t="s">
        <v>44</v>
      </c>
      <c r="Y225" s="191" t="s">
        <v>47</v>
      </c>
      <c r="Z225" s="191" t="s">
        <v>43</v>
      </c>
      <c r="AA225" s="191" t="s">
        <v>49</v>
      </c>
      <c r="AB225" s="191" t="s">
        <v>84</v>
      </c>
      <c r="AC225" s="191" t="s">
        <v>43</v>
      </c>
      <c r="AD225" s="191" t="s">
        <v>72</v>
      </c>
      <c r="AE225" s="191" t="s">
        <v>44</v>
      </c>
      <c r="AF225" s="191" t="s">
        <v>95</v>
      </c>
      <c r="AG225" s="191" t="s">
        <v>47</v>
      </c>
      <c r="AH225" s="191" t="s">
        <v>44</v>
      </c>
      <c r="AI225" s="191" t="s">
        <v>39</v>
      </c>
      <c r="AJ225" s="191" t="s">
        <v>36</v>
      </c>
      <c r="AK225" s="191" t="s">
        <v>59</v>
      </c>
      <c r="AL225" s="191" t="s">
        <v>1481</v>
      </c>
      <c r="AM225" s="191" t="s">
        <v>45</v>
      </c>
      <c r="AN225" s="191" t="s">
        <v>44</v>
      </c>
      <c r="AO225" s="191" t="s">
        <v>44</v>
      </c>
      <c r="AP225" s="191" t="s">
        <v>44</v>
      </c>
    </row>
    <row r="226" spans="1:42" ht="29">
      <c r="A226" s="191" t="s">
        <v>1482</v>
      </c>
      <c r="B226" s="190">
        <v>3</v>
      </c>
      <c r="C226" s="190">
        <v>4</v>
      </c>
      <c r="D226" s="190">
        <v>8</v>
      </c>
      <c r="E226" s="191" t="s">
        <v>315</v>
      </c>
      <c r="F226" s="190">
        <v>4</v>
      </c>
      <c r="G226" s="191" t="s">
        <v>36</v>
      </c>
      <c r="H226" s="190">
        <v>1</v>
      </c>
      <c r="I226" s="190">
        <v>90</v>
      </c>
      <c r="J226" s="191" t="s">
        <v>65</v>
      </c>
      <c r="K226" s="191" t="s">
        <v>61</v>
      </c>
      <c r="L226" s="191" t="s">
        <v>36</v>
      </c>
      <c r="M226" s="191" t="s">
        <v>37</v>
      </c>
      <c r="N226" s="191" t="s">
        <v>95</v>
      </c>
      <c r="O226" s="191" t="s">
        <v>39</v>
      </c>
      <c r="P226" s="191" t="s">
        <v>41</v>
      </c>
      <c r="Q226" s="191" t="s">
        <v>40</v>
      </c>
      <c r="R226" s="191" t="s">
        <v>87</v>
      </c>
      <c r="S226" s="191" t="s">
        <v>48</v>
      </c>
      <c r="T226" s="191" t="s">
        <v>44</v>
      </c>
      <c r="U226" s="191" t="s">
        <v>119</v>
      </c>
      <c r="V226" s="191" t="s">
        <v>1108</v>
      </c>
      <c r="W226" s="191" t="s">
        <v>43</v>
      </c>
      <c r="X226" s="191" t="s">
        <v>44</v>
      </c>
      <c r="Y226" s="191" t="s">
        <v>45</v>
      </c>
      <c r="Z226" s="191" t="s">
        <v>43</v>
      </c>
      <c r="AA226" s="191" t="s">
        <v>49</v>
      </c>
      <c r="AB226" s="191" t="s">
        <v>50</v>
      </c>
      <c r="AC226" s="191" t="s">
        <v>43</v>
      </c>
      <c r="AD226" s="191" t="s">
        <v>91</v>
      </c>
      <c r="AE226" s="191" t="s">
        <v>44</v>
      </c>
      <c r="AF226" s="191" t="s">
        <v>95</v>
      </c>
      <c r="AG226" s="191" t="s">
        <v>43</v>
      </c>
      <c r="AH226" s="191" t="s">
        <v>44</v>
      </c>
      <c r="AI226" s="191" t="s">
        <v>39</v>
      </c>
      <c r="AJ226" s="191" t="s">
        <v>36</v>
      </c>
      <c r="AK226" s="191" t="s">
        <v>63</v>
      </c>
      <c r="AL226" s="191" t="s">
        <v>44</v>
      </c>
      <c r="AM226" s="191" t="s">
        <v>1362</v>
      </c>
      <c r="AN226" s="191" t="s">
        <v>44</v>
      </c>
      <c r="AO226" s="191" t="s">
        <v>44</v>
      </c>
      <c r="AP226" s="191" t="s">
        <v>44</v>
      </c>
    </row>
    <row r="227" spans="1:42" ht="29">
      <c r="A227" s="191" t="s">
        <v>1483</v>
      </c>
      <c r="B227" s="190">
        <v>3</v>
      </c>
      <c r="C227" s="190">
        <v>7</v>
      </c>
      <c r="D227" s="190">
        <v>9</v>
      </c>
      <c r="E227" s="191" t="s">
        <v>318</v>
      </c>
      <c r="F227" s="190">
        <v>1</v>
      </c>
      <c r="G227" s="191" t="s">
        <v>36</v>
      </c>
      <c r="H227" s="190">
        <v>1</v>
      </c>
      <c r="I227" s="190">
        <v>130</v>
      </c>
      <c r="J227" s="191" t="s">
        <v>65</v>
      </c>
      <c r="K227" s="191" t="s">
        <v>61</v>
      </c>
      <c r="L227" s="191" t="s">
        <v>36</v>
      </c>
      <c r="M227" s="191" t="s">
        <v>93</v>
      </c>
      <c r="N227" s="191" t="s">
        <v>108</v>
      </c>
      <c r="O227" s="191" t="s">
        <v>39</v>
      </c>
      <c r="P227" s="191" t="s">
        <v>41</v>
      </c>
      <c r="Q227" s="191" t="s">
        <v>77</v>
      </c>
      <c r="R227" s="191" t="s">
        <v>42</v>
      </c>
      <c r="S227" s="191" t="s">
        <v>48</v>
      </c>
      <c r="T227" s="191" t="s">
        <v>44</v>
      </c>
      <c r="U227" s="191" t="s">
        <v>1140</v>
      </c>
      <c r="V227" s="191" t="s">
        <v>1108</v>
      </c>
      <c r="W227" s="191" t="s">
        <v>78</v>
      </c>
      <c r="X227" s="191" t="s">
        <v>44</v>
      </c>
      <c r="Y227" s="191" t="s">
        <v>43</v>
      </c>
      <c r="Z227" s="191" t="s">
        <v>43</v>
      </c>
      <c r="AA227" s="191" t="s">
        <v>62</v>
      </c>
      <c r="AB227" s="191" t="s">
        <v>50</v>
      </c>
      <c r="AC227" s="191" t="s">
        <v>43</v>
      </c>
      <c r="AD227" s="191" t="s">
        <v>72</v>
      </c>
      <c r="AE227" s="191" t="s">
        <v>44</v>
      </c>
      <c r="AF227" s="191" t="s">
        <v>95</v>
      </c>
      <c r="AG227" s="191" t="s">
        <v>47</v>
      </c>
      <c r="AH227" s="191" t="s">
        <v>44</v>
      </c>
      <c r="AI227" s="191" t="s">
        <v>39</v>
      </c>
      <c r="AJ227" s="191" t="s">
        <v>36</v>
      </c>
      <c r="AK227" s="191" t="s">
        <v>43</v>
      </c>
      <c r="AL227" s="191" t="s">
        <v>44</v>
      </c>
      <c r="AM227" s="191" t="s">
        <v>1307</v>
      </c>
      <c r="AN227" s="191" t="s">
        <v>44</v>
      </c>
      <c r="AO227" s="191" t="s">
        <v>44</v>
      </c>
      <c r="AP227" s="191" t="s">
        <v>44</v>
      </c>
    </row>
    <row r="228" spans="1:42" ht="29">
      <c r="A228" s="191" t="s">
        <v>1484</v>
      </c>
      <c r="B228" s="190">
        <v>3</v>
      </c>
      <c r="C228" s="190">
        <v>3</v>
      </c>
      <c r="D228" s="190">
        <v>9</v>
      </c>
      <c r="E228" s="191" t="s">
        <v>311</v>
      </c>
      <c r="F228" s="190">
        <v>2</v>
      </c>
      <c r="G228" s="191" t="s">
        <v>36</v>
      </c>
      <c r="H228" s="190">
        <v>1</v>
      </c>
      <c r="I228" s="190">
        <v>78</v>
      </c>
      <c r="J228" s="191" t="s">
        <v>65</v>
      </c>
      <c r="K228" s="191" t="s">
        <v>40</v>
      </c>
      <c r="L228" s="191" t="s">
        <v>155</v>
      </c>
      <c r="M228" s="191" t="s">
        <v>37</v>
      </c>
      <c r="N228" s="191" t="s">
        <v>38</v>
      </c>
      <c r="O228" s="191" t="s">
        <v>288</v>
      </c>
      <c r="P228" s="191" t="s">
        <v>102</v>
      </c>
      <c r="Q228" s="191" t="s">
        <v>47</v>
      </c>
      <c r="R228" s="191" t="s">
        <v>42</v>
      </c>
      <c r="S228" s="191" t="s">
        <v>48</v>
      </c>
      <c r="T228" s="191" t="s">
        <v>44</v>
      </c>
      <c r="U228" s="191" t="s">
        <v>45</v>
      </c>
      <c r="V228" s="191" t="s">
        <v>1108</v>
      </c>
      <c r="W228" s="191" t="s">
        <v>47</v>
      </c>
      <c r="X228" s="191" t="s">
        <v>44</v>
      </c>
      <c r="Y228" s="191" t="s">
        <v>43</v>
      </c>
      <c r="Z228" s="191" t="s">
        <v>47</v>
      </c>
      <c r="AA228" s="191" t="s">
        <v>105</v>
      </c>
      <c r="AB228" s="191" t="s">
        <v>138</v>
      </c>
      <c r="AC228" s="191" t="s">
        <v>47</v>
      </c>
      <c r="AD228" s="191" t="s">
        <v>51</v>
      </c>
      <c r="AE228" s="191" t="s">
        <v>44</v>
      </c>
      <c r="AF228" s="191" t="s">
        <v>36</v>
      </c>
      <c r="AG228" s="191" t="s">
        <v>43</v>
      </c>
      <c r="AH228" s="191" t="s">
        <v>44</v>
      </c>
      <c r="AI228" s="191" t="s">
        <v>39</v>
      </c>
      <c r="AJ228" s="191" t="s">
        <v>36</v>
      </c>
      <c r="AK228" s="191" t="s">
        <v>77</v>
      </c>
      <c r="AL228" s="191" t="s">
        <v>44</v>
      </c>
      <c r="AM228" s="191" t="s">
        <v>47</v>
      </c>
      <c r="AN228" s="191" t="s">
        <v>44</v>
      </c>
      <c r="AO228" s="191" t="s">
        <v>44</v>
      </c>
      <c r="AP228" s="191" t="s">
        <v>44</v>
      </c>
    </row>
    <row r="229" spans="1:42" ht="29">
      <c r="A229" s="191" t="s">
        <v>1485</v>
      </c>
      <c r="B229" s="190">
        <v>3</v>
      </c>
      <c r="C229" s="190">
        <v>7</v>
      </c>
      <c r="D229" s="190">
        <v>9</v>
      </c>
      <c r="E229" s="191" t="s">
        <v>315</v>
      </c>
      <c r="F229" s="190">
        <v>1</v>
      </c>
      <c r="G229" s="191" t="s">
        <v>36</v>
      </c>
      <c r="H229" s="190">
        <v>1</v>
      </c>
      <c r="I229" s="190">
        <v>150</v>
      </c>
      <c r="J229" s="191" t="s">
        <v>65</v>
      </c>
      <c r="K229" s="191" t="s">
        <v>101</v>
      </c>
      <c r="L229" s="191" t="s">
        <v>36</v>
      </c>
      <c r="M229" s="191" t="s">
        <v>37</v>
      </c>
      <c r="N229" s="191" t="s">
        <v>58</v>
      </c>
      <c r="O229" s="191" t="s">
        <v>39</v>
      </c>
      <c r="P229" s="191" t="s">
        <v>41</v>
      </c>
      <c r="Q229" s="191" t="s">
        <v>78</v>
      </c>
      <c r="R229" s="191" t="s">
        <v>42</v>
      </c>
      <c r="S229" s="191" t="s">
        <v>48</v>
      </c>
      <c r="T229" s="191" t="s">
        <v>44</v>
      </c>
      <c r="U229" s="191" t="s">
        <v>117</v>
      </c>
      <c r="V229" s="191" t="s">
        <v>1108</v>
      </c>
      <c r="W229" s="191" t="s">
        <v>45</v>
      </c>
      <c r="X229" s="191" t="s">
        <v>44</v>
      </c>
      <c r="Y229" s="191" t="s">
        <v>110</v>
      </c>
      <c r="Z229" s="191" t="s">
        <v>43</v>
      </c>
      <c r="AA229" s="191" t="s">
        <v>62</v>
      </c>
      <c r="AB229" s="191" t="s">
        <v>50</v>
      </c>
      <c r="AC229" s="191" t="s">
        <v>43</v>
      </c>
      <c r="AD229" s="191" t="s">
        <v>72</v>
      </c>
      <c r="AE229" s="191" t="s">
        <v>44</v>
      </c>
      <c r="AF229" s="191" t="s">
        <v>95</v>
      </c>
      <c r="AG229" s="191" t="s">
        <v>47</v>
      </c>
      <c r="AH229" s="191" t="s">
        <v>44</v>
      </c>
      <c r="AI229" s="191" t="s">
        <v>39</v>
      </c>
      <c r="AJ229" s="191" t="s">
        <v>36</v>
      </c>
      <c r="AK229" s="191" t="s">
        <v>59</v>
      </c>
      <c r="AL229" s="191" t="s">
        <v>44</v>
      </c>
      <c r="AM229" s="191" t="s">
        <v>45</v>
      </c>
      <c r="AN229" s="191" t="s">
        <v>44</v>
      </c>
      <c r="AO229" s="191" t="s">
        <v>44</v>
      </c>
      <c r="AP229" s="191" t="s">
        <v>44</v>
      </c>
    </row>
    <row r="230" spans="1:42" ht="29">
      <c r="A230" s="191" t="s">
        <v>1486</v>
      </c>
      <c r="B230" s="190">
        <v>3</v>
      </c>
      <c r="C230" s="190">
        <v>3</v>
      </c>
      <c r="D230" s="190">
        <v>3</v>
      </c>
      <c r="E230" s="191" t="s">
        <v>311</v>
      </c>
      <c r="F230" s="190">
        <v>4</v>
      </c>
      <c r="G230" s="191" t="s">
        <v>36</v>
      </c>
      <c r="H230" s="190">
        <v>1</v>
      </c>
      <c r="I230" s="190">
        <v>150</v>
      </c>
      <c r="J230" s="191" t="s">
        <v>34</v>
      </c>
      <c r="K230" s="191" t="s">
        <v>40</v>
      </c>
      <c r="L230" s="191" t="s">
        <v>36</v>
      </c>
      <c r="M230" s="191" t="s">
        <v>37</v>
      </c>
      <c r="N230" s="191" t="s">
        <v>108</v>
      </c>
      <c r="O230" s="191" t="s">
        <v>39</v>
      </c>
      <c r="P230" s="191" t="s">
        <v>36</v>
      </c>
      <c r="Q230" s="191" t="s">
        <v>89</v>
      </c>
      <c r="R230" s="191" t="s">
        <v>42</v>
      </c>
      <c r="S230" s="191" t="s">
        <v>48</v>
      </c>
      <c r="T230" s="191" t="s">
        <v>44</v>
      </c>
      <c r="U230" s="191" t="s">
        <v>44</v>
      </c>
      <c r="V230" s="191" t="s">
        <v>44</v>
      </c>
      <c r="W230" s="191" t="s">
        <v>45</v>
      </c>
      <c r="X230" s="191" t="s">
        <v>44</v>
      </c>
      <c r="Y230" s="191" t="s">
        <v>61</v>
      </c>
      <c r="Z230" s="191" t="s">
        <v>40</v>
      </c>
      <c r="AA230" s="191" t="s">
        <v>36</v>
      </c>
      <c r="AB230" s="191" t="s">
        <v>36</v>
      </c>
      <c r="AC230" s="191" t="s">
        <v>46</v>
      </c>
      <c r="AD230" s="191" t="s">
        <v>129</v>
      </c>
      <c r="AE230" s="191" t="s">
        <v>1487</v>
      </c>
      <c r="AF230" s="191" t="s">
        <v>132</v>
      </c>
      <c r="AG230" s="191" t="s">
        <v>43</v>
      </c>
      <c r="AH230" s="191" t="s">
        <v>44</v>
      </c>
      <c r="AI230" s="191" t="s">
        <v>39</v>
      </c>
      <c r="AJ230" s="191" t="s">
        <v>36</v>
      </c>
      <c r="AK230" s="191" t="s">
        <v>63</v>
      </c>
      <c r="AL230" s="191" t="s">
        <v>44</v>
      </c>
      <c r="AM230" s="191" t="s">
        <v>89</v>
      </c>
      <c r="AN230" s="191" t="s">
        <v>44</v>
      </c>
      <c r="AO230" s="191" t="s">
        <v>44</v>
      </c>
      <c r="AP230" s="191" t="s">
        <v>44</v>
      </c>
    </row>
    <row r="231" spans="1:42" ht="29">
      <c r="A231" s="191" t="s">
        <v>1488</v>
      </c>
      <c r="B231" s="190">
        <v>3</v>
      </c>
      <c r="C231" s="190">
        <v>4</v>
      </c>
      <c r="D231" s="190">
        <v>9</v>
      </c>
      <c r="E231" s="191" t="s">
        <v>311</v>
      </c>
      <c r="F231" s="190">
        <v>4</v>
      </c>
      <c r="G231" s="191" t="s">
        <v>36</v>
      </c>
      <c r="H231" s="190">
        <v>1</v>
      </c>
      <c r="I231" s="190">
        <v>129</v>
      </c>
      <c r="J231" s="191" t="s">
        <v>34</v>
      </c>
      <c r="K231" s="191" t="s">
        <v>40</v>
      </c>
      <c r="L231" s="191" t="s">
        <v>36</v>
      </c>
      <c r="M231" s="191" t="s">
        <v>37</v>
      </c>
      <c r="N231" s="191" t="s">
        <v>108</v>
      </c>
      <c r="O231" s="191" t="s">
        <v>39</v>
      </c>
      <c r="P231" s="191" t="s">
        <v>41</v>
      </c>
      <c r="Q231" s="191" t="s">
        <v>137</v>
      </c>
      <c r="R231" s="191" t="s">
        <v>87</v>
      </c>
      <c r="S231" s="191" t="s">
        <v>48</v>
      </c>
      <c r="T231" s="191" t="s">
        <v>1489</v>
      </c>
      <c r="U231" s="191" t="s">
        <v>126</v>
      </c>
      <c r="V231" s="191" t="s">
        <v>44</v>
      </c>
      <c r="W231" s="191" t="s">
        <v>43</v>
      </c>
      <c r="X231" s="191" t="s">
        <v>44</v>
      </c>
      <c r="Y231" s="191" t="s">
        <v>47</v>
      </c>
      <c r="Z231" s="191" t="s">
        <v>47</v>
      </c>
      <c r="AA231" s="191" t="s">
        <v>62</v>
      </c>
      <c r="AB231" s="191" t="s">
        <v>84</v>
      </c>
      <c r="AC231" s="191" t="s">
        <v>47</v>
      </c>
      <c r="AD231" s="191" t="s">
        <v>91</v>
      </c>
      <c r="AE231" s="191" t="s">
        <v>44</v>
      </c>
      <c r="AF231" s="191" t="s">
        <v>95</v>
      </c>
      <c r="AG231" s="191" t="s">
        <v>43</v>
      </c>
      <c r="AH231" s="191" t="s">
        <v>44</v>
      </c>
      <c r="AI231" s="191" t="s">
        <v>39</v>
      </c>
      <c r="AJ231" s="191" t="s">
        <v>36</v>
      </c>
      <c r="AK231" s="191" t="s">
        <v>59</v>
      </c>
      <c r="AL231" s="191" t="s">
        <v>44</v>
      </c>
      <c r="AM231" s="191" t="s">
        <v>45</v>
      </c>
      <c r="AN231" s="191" t="s">
        <v>44</v>
      </c>
      <c r="AO231" s="191" t="s">
        <v>44</v>
      </c>
      <c r="AP231" s="191" t="s">
        <v>44</v>
      </c>
    </row>
    <row r="232" spans="1:42" ht="72.5">
      <c r="A232" s="191" t="s">
        <v>1490</v>
      </c>
      <c r="B232" s="190">
        <v>3</v>
      </c>
      <c r="C232" s="190">
        <v>5</v>
      </c>
      <c r="D232" s="190">
        <v>6</v>
      </c>
      <c r="E232" s="191" t="s">
        <v>311</v>
      </c>
      <c r="F232" s="190">
        <v>4</v>
      </c>
      <c r="G232" s="191" t="s">
        <v>36</v>
      </c>
      <c r="H232" s="190">
        <v>1</v>
      </c>
      <c r="I232" s="190">
        <v>120</v>
      </c>
      <c r="J232" s="191" t="s">
        <v>65</v>
      </c>
      <c r="K232" s="191" t="s">
        <v>61</v>
      </c>
      <c r="L232" s="191" t="s">
        <v>70</v>
      </c>
      <c r="M232" s="191" t="s">
        <v>37</v>
      </c>
      <c r="N232" s="191" t="s">
        <v>95</v>
      </c>
      <c r="O232" s="191" t="s">
        <v>288</v>
      </c>
      <c r="P232" s="191" t="s">
        <v>56</v>
      </c>
      <c r="Q232" s="191" t="s">
        <v>43</v>
      </c>
      <c r="R232" s="191" t="s">
        <v>82</v>
      </c>
      <c r="S232" s="191" t="s">
        <v>133</v>
      </c>
      <c r="T232" s="191" t="s">
        <v>1491</v>
      </c>
      <c r="U232" s="191" t="s">
        <v>40</v>
      </c>
      <c r="V232" s="191" t="s">
        <v>355</v>
      </c>
      <c r="W232" s="191" t="s">
        <v>47</v>
      </c>
      <c r="X232" s="191" t="s">
        <v>44</v>
      </c>
      <c r="Y232" s="191" t="s">
        <v>61</v>
      </c>
      <c r="Z232" s="191" t="s">
        <v>43</v>
      </c>
      <c r="AA232" s="191" t="s">
        <v>49</v>
      </c>
      <c r="AB232" s="191" t="s">
        <v>84</v>
      </c>
      <c r="AC232" s="191" t="s">
        <v>47</v>
      </c>
      <c r="AD232" s="191" t="s">
        <v>72</v>
      </c>
      <c r="AE232" s="191" t="s">
        <v>44</v>
      </c>
      <c r="AF232" s="191" t="s">
        <v>95</v>
      </c>
      <c r="AG232" s="191" t="s">
        <v>43</v>
      </c>
      <c r="AH232" s="191" t="s">
        <v>44</v>
      </c>
      <c r="AI232" s="191" t="s">
        <v>39</v>
      </c>
      <c r="AJ232" s="191" t="s">
        <v>36</v>
      </c>
      <c r="AK232" s="191" t="s">
        <v>114</v>
      </c>
      <c r="AL232" s="191" t="s">
        <v>1492</v>
      </c>
      <c r="AM232" s="191" t="s">
        <v>89</v>
      </c>
      <c r="AN232" s="191" t="s">
        <v>44</v>
      </c>
      <c r="AO232" s="191" t="s">
        <v>44</v>
      </c>
      <c r="AP232" s="191" t="s">
        <v>44</v>
      </c>
    </row>
    <row r="233" spans="1:42" ht="29">
      <c r="A233" s="191" t="s">
        <v>1493</v>
      </c>
      <c r="B233" s="190">
        <v>3</v>
      </c>
      <c r="C233" s="190">
        <v>7</v>
      </c>
      <c r="D233" s="190">
        <v>9</v>
      </c>
      <c r="E233" s="191" t="s">
        <v>318</v>
      </c>
      <c r="F233" s="190">
        <v>1</v>
      </c>
      <c r="G233" s="191" t="s">
        <v>36</v>
      </c>
      <c r="H233" s="190">
        <v>1</v>
      </c>
      <c r="I233" s="190">
        <v>200</v>
      </c>
      <c r="J233" s="191" t="s">
        <v>80</v>
      </c>
      <c r="K233" s="191" t="s">
        <v>61</v>
      </c>
      <c r="L233" s="191" t="s">
        <v>36</v>
      </c>
      <c r="M233" s="191" t="s">
        <v>37</v>
      </c>
      <c r="N233" s="191" t="s">
        <v>58</v>
      </c>
      <c r="O233" s="191" t="s">
        <v>39</v>
      </c>
      <c r="P233" s="191" t="s">
        <v>41</v>
      </c>
      <c r="Q233" s="191" t="s">
        <v>59</v>
      </c>
      <c r="R233" s="191" t="s">
        <v>87</v>
      </c>
      <c r="S233" s="191" t="s">
        <v>48</v>
      </c>
      <c r="T233" s="191" t="s">
        <v>44</v>
      </c>
      <c r="U233" s="191" t="s">
        <v>43</v>
      </c>
      <c r="V233" s="191" t="s">
        <v>355</v>
      </c>
      <c r="W233" s="191" t="s">
        <v>47</v>
      </c>
      <c r="X233" s="191" t="s">
        <v>44</v>
      </c>
      <c r="Y233" s="191" t="s">
        <v>47</v>
      </c>
      <c r="Z233" s="191" t="s">
        <v>43</v>
      </c>
      <c r="AA233" s="191" t="s">
        <v>49</v>
      </c>
      <c r="AB233" s="191" t="s">
        <v>84</v>
      </c>
      <c r="AC233" s="191" t="s">
        <v>43</v>
      </c>
      <c r="AD233" s="191" t="s">
        <v>72</v>
      </c>
      <c r="AE233" s="191" t="s">
        <v>44</v>
      </c>
      <c r="AF233" s="191" t="s">
        <v>95</v>
      </c>
      <c r="AG233" s="191" t="s">
        <v>47</v>
      </c>
      <c r="AH233" s="191" t="s">
        <v>44</v>
      </c>
      <c r="AI233" s="191" t="s">
        <v>39</v>
      </c>
      <c r="AJ233" s="191" t="s">
        <v>36</v>
      </c>
      <c r="AK233" s="191" t="s">
        <v>59</v>
      </c>
      <c r="AL233" s="191" t="s">
        <v>44</v>
      </c>
      <c r="AM233" s="191" t="s">
        <v>45</v>
      </c>
      <c r="AN233" s="191" t="s">
        <v>44</v>
      </c>
      <c r="AO233" s="191" t="s">
        <v>44</v>
      </c>
      <c r="AP233" s="191" t="s">
        <v>44</v>
      </c>
    </row>
    <row r="234" spans="1:42" ht="29">
      <c r="A234" s="191" t="s">
        <v>1494</v>
      </c>
      <c r="B234" s="190">
        <v>3</v>
      </c>
      <c r="C234" s="190">
        <v>7</v>
      </c>
      <c r="D234" s="190">
        <v>8</v>
      </c>
      <c r="E234" s="191" t="s">
        <v>315</v>
      </c>
      <c r="F234" s="190">
        <v>2</v>
      </c>
      <c r="G234" s="191" t="s">
        <v>36</v>
      </c>
      <c r="H234" s="190">
        <v>1</v>
      </c>
      <c r="I234" s="190">
        <v>120</v>
      </c>
      <c r="J234" s="191" t="s">
        <v>54</v>
      </c>
      <c r="K234" s="191" t="s">
        <v>40</v>
      </c>
      <c r="L234" s="191" t="s">
        <v>36</v>
      </c>
      <c r="M234" s="191" t="s">
        <v>37</v>
      </c>
      <c r="N234" s="191" t="s">
        <v>58</v>
      </c>
      <c r="O234" s="191" t="s">
        <v>39</v>
      </c>
      <c r="P234" s="191" t="s">
        <v>41</v>
      </c>
      <c r="Q234" s="191" t="s">
        <v>77</v>
      </c>
      <c r="R234" s="191" t="s">
        <v>60</v>
      </c>
      <c r="S234" s="191" t="s">
        <v>48</v>
      </c>
      <c r="T234" s="191" t="s">
        <v>44</v>
      </c>
      <c r="U234" s="191" t="s">
        <v>1114</v>
      </c>
      <c r="V234" s="191" t="s">
        <v>1106</v>
      </c>
      <c r="W234" s="191" t="s">
        <v>47</v>
      </c>
      <c r="X234" s="191" t="s">
        <v>44</v>
      </c>
      <c r="Y234" s="191" t="s">
        <v>45</v>
      </c>
      <c r="Z234" s="191" t="s">
        <v>43</v>
      </c>
      <c r="AA234" s="191" t="s">
        <v>62</v>
      </c>
      <c r="AB234" s="191" t="s">
        <v>84</v>
      </c>
      <c r="AC234" s="191" t="s">
        <v>43</v>
      </c>
      <c r="AD234" s="191" t="s">
        <v>72</v>
      </c>
      <c r="AE234" s="191" t="s">
        <v>44</v>
      </c>
      <c r="AF234" s="191" t="s">
        <v>95</v>
      </c>
      <c r="AG234" s="191" t="s">
        <v>43</v>
      </c>
      <c r="AH234" s="191" t="s">
        <v>44</v>
      </c>
      <c r="AI234" s="191" t="s">
        <v>39</v>
      </c>
      <c r="AJ234" s="191" t="s">
        <v>36</v>
      </c>
      <c r="AK234" s="191" t="s">
        <v>85</v>
      </c>
      <c r="AL234" s="191" t="s">
        <v>44</v>
      </c>
      <c r="AM234" s="191" t="s">
        <v>1307</v>
      </c>
      <c r="AN234" s="191" t="s">
        <v>44</v>
      </c>
      <c r="AO234" s="191" t="s">
        <v>44</v>
      </c>
      <c r="AP234" s="191" t="s">
        <v>44</v>
      </c>
    </row>
    <row r="235" spans="1:42" ht="29">
      <c r="A235" s="191" t="s">
        <v>1495</v>
      </c>
      <c r="B235" s="190">
        <v>3</v>
      </c>
      <c r="C235" s="190">
        <v>3</v>
      </c>
      <c r="D235" s="190">
        <v>5</v>
      </c>
      <c r="E235" s="191" t="s">
        <v>307</v>
      </c>
      <c r="F235" s="190">
        <v>3</v>
      </c>
      <c r="G235" s="191" t="s">
        <v>36</v>
      </c>
      <c r="H235" s="190">
        <v>1</v>
      </c>
      <c r="I235" s="190">
        <v>110</v>
      </c>
      <c r="J235" s="191" t="s">
        <v>54</v>
      </c>
      <c r="K235" s="191" t="s">
        <v>61</v>
      </c>
      <c r="L235" s="191" t="s">
        <v>103</v>
      </c>
      <c r="M235" s="191" t="s">
        <v>37</v>
      </c>
      <c r="N235" s="191" t="s">
        <v>58</v>
      </c>
      <c r="O235" s="191" t="s">
        <v>39</v>
      </c>
      <c r="P235" s="191" t="s">
        <v>41</v>
      </c>
      <c r="Q235" s="191" t="s">
        <v>127</v>
      </c>
      <c r="R235" s="191" t="s">
        <v>42</v>
      </c>
      <c r="S235" s="191" t="s">
        <v>48</v>
      </c>
      <c r="T235" s="191" t="s">
        <v>44</v>
      </c>
      <c r="U235" s="191" t="s">
        <v>46</v>
      </c>
      <c r="V235" s="191" t="s">
        <v>1144</v>
      </c>
      <c r="W235" s="191" t="s">
        <v>40</v>
      </c>
      <c r="X235" s="191" t="s">
        <v>1151</v>
      </c>
      <c r="Y235" s="191" t="s">
        <v>45</v>
      </c>
      <c r="Z235" s="191" t="s">
        <v>43</v>
      </c>
      <c r="AA235" s="191" t="s">
        <v>49</v>
      </c>
      <c r="AB235" s="191" t="s">
        <v>84</v>
      </c>
      <c r="AC235" s="191" t="s">
        <v>43</v>
      </c>
      <c r="AD235" s="191" t="s">
        <v>129</v>
      </c>
      <c r="AE235" s="191" t="s">
        <v>1151</v>
      </c>
      <c r="AF235" s="191" t="s">
        <v>95</v>
      </c>
      <c r="AG235" s="191" t="s">
        <v>43</v>
      </c>
      <c r="AH235" s="191" t="s">
        <v>44</v>
      </c>
      <c r="AI235" s="191" t="s">
        <v>39</v>
      </c>
      <c r="AJ235" s="191" t="s">
        <v>36</v>
      </c>
      <c r="AK235" s="191" t="s">
        <v>71</v>
      </c>
      <c r="AL235" s="191" t="s">
        <v>44</v>
      </c>
      <c r="AM235" s="191" t="s">
        <v>89</v>
      </c>
      <c r="AN235" s="191" t="s">
        <v>44</v>
      </c>
      <c r="AO235" s="191" t="s">
        <v>44</v>
      </c>
      <c r="AP235" s="191" t="s">
        <v>44</v>
      </c>
    </row>
    <row r="236" spans="1:42" ht="29">
      <c r="A236" s="191" t="s">
        <v>1496</v>
      </c>
      <c r="B236" s="190">
        <v>3</v>
      </c>
      <c r="C236" s="190">
        <v>7</v>
      </c>
      <c r="D236" s="190">
        <v>7</v>
      </c>
      <c r="E236" s="191" t="s">
        <v>318</v>
      </c>
      <c r="F236" s="190">
        <v>2</v>
      </c>
      <c r="G236" s="191" t="s">
        <v>36</v>
      </c>
      <c r="H236" s="190">
        <v>1</v>
      </c>
      <c r="I236" s="190">
        <v>130</v>
      </c>
      <c r="J236" s="191" t="s">
        <v>65</v>
      </c>
      <c r="K236" s="191" t="s">
        <v>61</v>
      </c>
      <c r="L236" s="191" t="s">
        <v>36</v>
      </c>
      <c r="M236" s="191" t="s">
        <v>37</v>
      </c>
      <c r="N236" s="191" t="s">
        <v>58</v>
      </c>
      <c r="O236" s="191" t="s">
        <v>39</v>
      </c>
      <c r="P236" s="191" t="s">
        <v>41</v>
      </c>
      <c r="Q236" s="191" t="s">
        <v>81</v>
      </c>
      <c r="R236" s="191" t="s">
        <v>87</v>
      </c>
      <c r="S236" s="191" t="s">
        <v>48</v>
      </c>
      <c r="T236" s="191" t="s">
        <v>44</v>
      </c>
      <c r="U236" s="191" t="s">
        <v>61</v>
      </c>
      <c r="V236" s="191" t="s">
        <v>1139</v>
      </c>
      <c r="W236" s="191" t="s">
        <v>47</v>
      </c>
      <c r="X236" s="191" t="s">
        <v>44</v>
      </c>
      <c r="Y236" s="191" t="s">
        <v>61</v>
      </c>
      <c r="Z236" s="191" t="s">
        <v>43</v>
      </c>
      <c r="AA236" s="191" t="s">
        <v>62</v>
      </c>
      <c r="AB236" s="191" t="s">
        <v>84</v>
      </c>
      <c r="AC236" s="191" t="s">
        <v>43</v>
      </c>
      <c r="AD236" s="191" t="s">
        <v>72</v>
      </c>
      <c r="AE236" s="191" t="s">
        <v>44</v>
      </c>
      <c r="AF236" s="191" t="s">
        <v>95</v>
      </c>
      <c r="AG236" s="191" t="s">
        <v>47</v>
      </c>
      <c r="AH236" s="191" t="s">
        <v>44</v>
      </c>
      <c r="AI236" s="191" t="s">
        <v>39</v>
      </c>
      <c r="AJ236" s="191" t="s">
        <v>36</v>
      </c>
      <c r="AK236" s="191" t="s">
        <v>81</v>
      </c>
      <c r="AL236" s="191" t="s">
        <v>44</v>
      </c>
      <c r="AM236" s="191" t="s">
        <v>45</v>
      </c>
      <c r="AN236" s="191" t="s">
        <v>44</v>
      </c>
      <c r="AO236" s="191" t="s">
        <v>44</v>
      </c>
      <c r="AP236" s="191" t="s">
        <v>44</v>
      </c>
    </row>
    <row r="237" spans="1:42" ht="29">
      <c r="A237" s="191" t="s">
        <v>1497</v>
      </c>
      <c r="B237" s="190">
        <v>3</v>
      </c>
      <c r="C237" s="190">
        <v>3</v>
      </c>
      <c r="D237" s="190">
        <v>3</v>
      </c>
      <c r="E237" s="191" t="s">
        <v>307</v>
      </c>
      <c r="F237" s="190">
        <v>3</v>
      </c>
      <c r="G237" s="191" t="s">
        <v>36</v>
      </c>
      <c r="H237" s="190">
        <v>1</v>
      </c>
      <c r="I237" s="190">
        <v>100</v>
      </c>
      <c r="J237" s="191" t="s">
        <v>34</v>
      </c>
      <c r="K237" s="191" t="s">
        <v>40</v>
      </c>
      <c r="L237" s="191" t="s">
        <v>36</v>
      </c>
      <c r="M237" s="191" t="s">
        <v>37</v>
      </c>
      <c r="N237" s="191" t="s">
        <v>95</v>
      </c>
      <c r="O237" s="191" t="s">
        <v>39</v>
      </c>
      <c r="P237" s="191" t="s">
        <v>41</v>
      </c>
      <c r="Q237" s="191" t="s">
        <v>135</v>
      </c>
      <c r="R237" s="191" t="s">
        <v>42</v>
      </c>
      <c r="S237" s="191" t="s">
        <v>48</v>
      </c>
      <c r="T237" s="191" t="s">
        <v>44</v>
      </c>
      <c r="U237" s="191" t="s">
        <v>45</v>
      </c>
      <c r="V237" s="191" t="s">
        <v>1139</v>
      </c>
      <c r="W237" s="191" t="s">
        <v>43</v>
      </c>
      <c r="X237" s="191" t="s">
        <v>44</v>
      </c>
      <c r="Y237" s="191" t="s">
        <v>45</v>
      </c>
      <c r="Z237" s="191" t="s">
        <v>43</v>
      </c>
      <c r="AA237" s="191" t="s">
        <v>105</v>
      </c>
      <c r="AB237" s="191" t="s">
        <v>50</v>
      </c>
      <c r="AC237" s="191" t="s">
        <v>43</v>
      </c>
      <c r="AD237" s="191" t="s">
        <v>91</v>
      </c>
      <c r="AE237" s="191" t="s">
        <v>44</v>
      </c>
      <c r="AF237" s="191" t="s">
        <v>95</v>
      </c>
      <c r="AG237" s="191" t="s">
        <v>43</v>
      </c>
      <c r="AH237" s="191" t="s">
        <v>44</v>
      </c>
      <c r="AI237" s="191" t="s">
        <v>39</v>
      </c>
      <c r="AJ237" s="191" t="s">
        <v>36</v>
      </c>
      <c r="AK237" s="191" t="s">
        <v>73</v>
      </c>
      <c r="AL237" s="191" t="s">
        <v>44</v>
      </c>
      <c r="AM237" s="191" t="s">
        <v>45</v>
      </c>
      <c r="AN237" s="191" t="s">
        <v>44</v>
      </c>
      <c r="AO237" s="191" t="s">
        <v>44</v>
      </c>
      <c r="AP237" s="191" t="s">
        <v>44</v>
      </c>
    </row>
    <row r="238" spans="1:42" ht="29">
      <c r="A238" s="191" t="s">
        <v>1498</v>
      </c>
      <c r="B238" s="190">
        <v>3</v>
      </c>
      <c r="C238" s="190">
        <v>3</v>
      </c>
      <c r="D238" s="190">
        <v>9</v>
      </c>
      <c r="E238" s="191" t="s">
        <v>311</v>
      </c>
      <c r="F238" s="190">
        <v>4</v>
      </c>
      <c r="G238" s="191" t="s">
        <v>36</v>
      </c>
      <c r="H238" s="190">
        <v>1</v>
      </c>
      <c r="I238" s="190">
        <v>113</v>
      </c>
      <c r="J238" s="191" t="s">
        <v>54</v>
      </c>
      <c r="K238" s="191" t="s">
        <v>61</v>
      </c>
      <c r="L238" s="191" t="s">
        <v>70</v>
      </c>
      <c r="M238" s="191" t="s">
        <v>37</v>
      </c>
      <c r="N238" s="191" t="s">
        <v>58</v>
      </c>
      <c r="O238" s="191" t="s">
        <v>288</v>
      </c>
      <c r="P238" s="191" t="s">
        <v>36</v>
      </c>
      <c r="Q238" s="191" t="s">
        <v>89</v>
      </c>
      <c r="R238" s="191" t="s">
        <v>42</v>
      </c>
      <c r="S238" s="191" t="s">
        <v>48</v>
      </c>
      <c r="T238" s="191" t="s">
        <v>44</v>
      </c>
      <c r="U238" s="191" t="s">
        <v>44</v>
      </c>
      <c r="V238" s="191" t="s">
        <v>44</v>
      </c>
      <c r="W238" s="191" t="s">
        <v>45</v>
      </c>
      <c r="X238" s="191" t="s">
        <v>44</v>
      </c>
      <c r="Y238" s="191" t="s">
        <v>61</v>
      </c>
      <c r="Z238" s="191" t="s">
        <v>40</v>
      </c>
      <c r="AA238" s="191" t="s">
        <v>36</v>
      </c>
      <c r="AB238" s="191" t="s">
        <v>36</v>
      </c>
      <c r="AC238" s="191" t="s">
        <v>46</v>
      </c>
      <c r="AD238" s="191" t="s">
        <v>36</v>
      </c>
      <c r="AE238" s="191" t="s">
        <v>44</v>
      </c>
      <c r="AF238" s="191" t="s">
        <v>95</v>
      </c>
      <c r="AG238" s="191" t="s">
        <v>43</v>
      </c>
      <c r="AH238" s="191" t="s">
        <v>44</v>
      </c>
      <c r="AI238" s="191" t="s">
        <v>39</v>
      </c>
      <c r="AJ238" s="191" t="s">
        <v>36</v>
      </c>
      <c r="AK238" s="191" t="s">
        <v>71</v>
      </c>
      <c r="AL238" s="191" t="s">
        <v>44</v>
      </c>
      <c r="AM238" s="191" t="s">
        <v>47</v>
      </c>
      <c r="AN238" s="191" t="s">
        <v>44</v>
      </c>
      <c r="AO238" s="191" t="s">
        <v>44</v>
      </c>
      <c r="AP238" s="191" t="s">
        <v>44</v>
      </c>
    </row>
    <row r="239" spans="1:42" ht="29">
      <c r="A239" s="191" t="s">
        <v>1499</v>
      </c>
      <c r="B239" s="190">
        <v>3</v>
      </c>
      <c r="C239" s="190">
        <v>7</v>
      </c>
      <c r="D239" s="190">
        <v>7</v>
      </c>
      <c r="E239" s="191" t="s">
        <v>318</v>
      </c>
      <c r="F239" s="190">
        <v>2</v>
      </c>
      <c r="G239" s="191" t="s">
        <v>36</v>
      </c>
      <c r="H239" s="190">
        <v>1</v>
      </c>
      <c r="I239" s="190">
        <v>116</v>
      </c>
      <c r="J239" s="191" t="s">
        <v>80</v>
      </c>
      <c r="K239" s="191" t="s">
        <v>61</v>
      </c>
      <c r="L239" s="191" t="s">
        <v>36</v>
      </c>
      <c r="M239" s="191" t="s">
        <v>37</v>
      </c>
      <c r="N239" s="191" t="s">
        <v>58</v>
      </c>
      <c r="O239" s="191" t="s">
        <v>39</v>
      </c>
      <c r="P239" s="191" t="s">
        <v>41</v>
      </c>
      <c r="Q239" s="191" t="s">
        <v>46</v>
      </c>
      <c r="R239" s="191" t="s">
        <v>60</v>
      </c>
      <c r="S239" s="191" t="s">
        <v>48</v>
      </c>
      <c r="T239" s="191" t="s">
        <v>44</v>
      </c>
      <c r="U239" s="191" t="s">
        <v>45</v>
      </c>
      <c r="V239" s="191" t="s">
        <v>1139</v>
      </c>
      <c r="W239" s="191" t="s">
        <v>43</v>
      </c>
      <c r="X239" s="191" t="s">
        <v>44</v>
      </c>
      <c r="Y239" s="191" t="s">
        <v>47</v>
      </c>
      <c r="Z239" s="191" t="s">
        <v>43</v>
      </c>
      <c r="AA239" s="191" t="s">
        <v>49</v>
      </c>
      <c r="AB239" s="191" t="s">
        <v>50</v>
      </c>
      <c r="AC239" s="191" t="s">
        <v>78</v>
      </c>
      <c r="AD239" s="191" t="s">
        <v>72</v>
      </c>
      <c r="AE239" s="191" t="s">
        <v>44</v>
      </c>
      <c r="AF239" s="191" t="s">
        <v>52</v>
      </c>
      <c r="AG239" s="191" t="s">
        <v>47</v>
      </c>
      <c r="AH239" s="191" t="s">
        <v>44</v>
      </c>
      <c r="AI239" s="191" t="s">
        <v>39</v>
      </c>
      <c r="AJ239" s="191" t="s">
        <v>36</v>
      </c>
      <c r="AK239" s="191" t="s">
        <v>59</v>
      </c>
      <c r="AL239" s="191" t="s">
        <v>44</v>
      </c>
      <c r="AM239" s="191" t="s">
        <v>1362</v>
      </c>
      <c r="AN239" s="191" t="s">
        <v>44</v>
      </c>
      <c r="AO239" s="191" t="s">
        <v>44</v>
      </c>
      <c r="AP239" s="191" t="s">
        <v>44</v>
      </c>
    </row>
    <row r="240" spans="1:42" ht="29">
      <c r="A240" s="191" t="s">
        <v>1500</v>
      </c>
      <c r="B240" s="190">
        <v>3</v>
      </c>
      <c r="C240" s="190">
        <v>3</v>
      </c>
      <c r="D240" s="190">
        <v>8</v>
      </c>
      <c r="E240" s="191" t="s">
        <v>307</v>
      </c>
      <c r="F240" s="190">
        <v>2</v>
      </c>
      <c r="G240" s="191" t="s">
        <v>36</v>
      </c>
      <c r="H240" s="190">
        <v>1</v>
      </c>
      <c r="I240" s="190">
        <v>150</v>
      </c>
      <c r="J240" s="191" t="s">
        <v>80</v>
      </c>
      <c r="K240" s="191" t="s">
        <v>61</v>
      </c>
      <c r="L240" s="191" t="s">
        <v>55</v>
      </c>
      <c r="M240" s="191" t="s">
        <v>37</v>
      </c>
      <c r="N240" s="191" t="s">
        <v>38</v>
      </c>
      <c r="O240" s="191" t="s">
        <v>288</v>
      </c>
      <c r="P240" s="191" t="s">
        <v>41</v>
      </c>
      <c r="Q240" s="191" t="s">
        <v>90</v>
      </c>
      <c r="R240" s="191" t="s">
        <v>87</v>
      </c>
      <c r="S240" s="191" t="s">
        <v>48</v>
      </c>
      <c r="T240" s="191" t="s">
        <v>44</v>
      </c>
      <c r="U240" s="191" t="s">
        <v>89</v>
      </c>
      <c r="V240" s="191" t="s">
        <v>1144</v>
      </c>
      <c r="W240" s="191" t="s">
        <v>43</v>
      </c>
      <c r="X240" s="191" t="s">
        <v>44</v>
      </c>
      <c r="Y240" s="191" t="s">
        <v>47</v>
      </c>
      <c r="Z240" s="191" t="s">
        <v>43</v>
      </c>
      <c r="AA240" s="191" t="s">
        <v>62</v>
      </c>
      <c r="AB240" s="191" t="s">
        <v>50</v>
      </c>
      <c r="AC240" s="191" t="s">
        <v>43</v>
      </c>
      <c r="AD240" s="191" t="s">
        <v>72</v>
      </c>
      <c r="AE240" s="191" t="s">
        <v>44</v>
      </c>
      <c r="AF240" s="191" t="s">
        <v>95</v>
      </c>
      <c r="AG240" s="191" t="s">
        <v>47</v>
      </c>
      <c r="AH240" s="191" t="s">
        <v>44</v>
      </c>
      <c r="AI240" s="191" t="s">
        <v>134</v>
      </c>
      <c r="AJ240" s="191" t="s">
        <v>36</v>
      </c>
      <c r="AK240" s="191" t="s">
        <v>57</v>
      </c>
      <c r="AL240" s="191" t="s">
        <v>44</v>
      </c>
      <c r="AM240" s="191" t="s">
        <v>47</v>
      </c>
      <c r="AN240" s="191" t="s">
        <v>44</v>
      </c>
      <c r="AO240" s="191" t="s">
        <v>44</v>
      </c>
      <c r="AP240" s="191" t="s">
        <v>44</v>
      </c>
    </row>
    <row r="241" spans="1:42" ht="29">
      <c r="A241" s="191" t="s">
        <v>1501</v>
      </c>
      <c r="B241" s="190">
        <v>3</v>
      </c>
      <c r="C241" s="190">
        <v>3</v>
      </c>
      <c r="D241" s="190">
        <v>3</v>
      </c>
      <c r="E241" s="191" t="s">
        <v>307</v>
      </c>
      <c r="F241" s="190">
        <v>2</v>
      </c>
      <c r="G241" s="191" t="s">
        <v>36</v>
      </c>
      <c r="H241" s="190">
        <v>1</v>
      </c>
      <c r="I241" s="190">
        <v>100</v>
      </c>
      <c r="J241" s="191" t="s">
        <v>34</v>
      </c>
      <c r="K241" s="191" t="s">
        <v>61</v>
      </c>
      <c r="L241" s="191" t="s">
        <v>70</v>
      </c>
      <c r="M241" s="191" t="s">
        <v>37</v>
      </c>
      <c r="N241" s="191" t="s">
        <v>95</v>
      </c>
      <c r="O241" s="191" t="s">
        <v>39</v>
      </c>
      <c r="P241" s="191" t="s">
        <v>41</v>
      </c>
      <c r="Q241" s="191" t="s">
        <v>124</v>
      </c>
      <c r="R241" s="191" t="s">
        <v>42</v>
      </c>
      <c r="S241" s="191" t="s">
        <v>48</v>
      </c>
      <c r="T241" s="191" t="s">
        <v>44</v>
      </c>
      <c r="U241" s="191" t="s">
        <v>44</v>
      </c>
      <c r="V241" s="191" t="s">
        <v>44</v>
      </c>
      <c r="W241" s="191" t="s">
        <v>40</v>
      </c>
      <c r="X241" s="191" t="s">
        <v>44</v>
      </c>
      <c r="Y241" s="191" t="s">
        <v>45</v>
      </c>
      <c r="Z241" s="191" t="s">
        <v>47</v>
      </c>
      <c r="AA241" s="191" t="s">
        <v>36</v>
      </c>
      <c r="AB241" s="191" t="s">
        <v>36</v>
      </c>
      <c r="AC241" s="191" t="s">
        <v>43</v>
      </c>
      <c r="AD241" s="191" t="s">
        <v>72</v>
      </c>
      <c r="AE241" s="191" t="s">
        <v>44</v>
      </c>
      <c r="AF241" s="191" t="s">
        <v>95</v>
      </c>
      <c r="AG241" s="191" t="s">
        <v>43</v>
      </c>
      <c r="AH241" s="191" t="s">
        <v>44</v>
      </c>
      <c r="AI241" s="191" t="s">
        <v>39</v>
      </c>
      <c r="AJ241" s="191" t="s">
        <v>36</v>
      </c>
      <c r="AK241" s="191" t="s">
        <v>59</v>
      </c>
      <c r="AL241" s="191" t="s">
        <v>44</v>
      </c>
      <c r="AM241" s="191" t="s">
        <v>47</v>
      </c>
      <c r="AN241" s="191" t="s">
        <v>44</v>
      </c>
      <c r="AO241" s="191" t="s">
        <v>44</v>
      </c>
      <c r="AP241" s="191" t="s">
        <v>44</v>
      </c>
    </row>
    <row r="242" spans="1:42" ht="29">
      <c r="A242" s="191" t="s">
        <v>1502</v>
      </c>
      <c r="B242" s="190">
        <v>3</v>
      </c>
      <c r="C242" s="190">
        <v>7</v>
      </c>
      <c r="D242" s="190">
        <v>7</v>
      </c>
      <c r="E242" s="191" t="s">
        <v>318</v>
      </c>
      <c r="F242" s="190">
        <v>2</v>
      </c>
      <c r="G242" s="191" t="s">
        <v>36</v>
      </c>
      <c r="H242" s="190">
        <v>1</v>
      </c>
      <c r="I242" s="190">
        <v>130</v>
      </c>
      <c r="J242" s="191" t="s">
        <v>65</v>
      </c>
      <c r="K242" s="191" t="s">
        <v>47</v>
      </c>
      <c r="L242" s="191" t="s">
        <v>36</v>
      </c>
      <c r="M242" s="191" t="s">
        <v>37</v>
      </c>
      <c r="N242" s="191" t="s">
        <v>95</v>
      </c>
      <c r="O242" s="191" t="s">
        <v>39</v>
      </c>
      <c r="P242" s="191" t="s">
        <v>41</v>
      </c>
      <c r="Q242" s="191" t="s">
        <v>115</v>
      </c>
      <c r="R242" s="191" t="s">
        <v>87</v>
      </c>
      <c r="S242" s="191" t="s">
        <v>48</v>
      </c>
      <c r="T242" s="191" t="s">
        <v>44</v>
      </c>
      <c r="U242" s="191" t="s">
        <v>44</v>
      </c>
      <c r="V242" s="191" t="s">
        <v>44</v>
      </c>
      <c r="W242" s="191" t="s">
        <v>47</v>
      </c>
      <c r="X242" s="191" t="s">
        <v>44</v>
      </c>
      <c r="Y242" s="191" t="s">
        <v>45</v>
      </c>
      <c r="Z242" s="191" t="s">
        <v>43</v>
      </c>
      <c r="AA242" s="191" t="s">
        <v>62</v>
      </c>
      <c r="AB242" s="191" t="s">
        <v>84</v>
      </c>
      <c r="AC242" s="191" t="s">
        <v>43</v>
      </c>
      <c r="AD242" s="191" t="s">
        <v>72</v>
      </c>
      <c r="AE242" s="191" t="s">
        <v>44</v>
      </c>
      <c r="AF242" s="191" t="s">
        <v>95</v>
      </c>
      <c r="AG242" s="191" t="s">
        <v>43</v>
      </c>
      <c r="AH242" s="191" t="s">
        <v>44</v>
      </c>
      <c r="AI242" s="191" t="s">
        <v>39</v>
      </c>
      <c r="AJ242" s="191" t="s">
        <v>36</v>
      </c>
      <c r="AK242" s="191" t="s">
        <v>77</v>
      </c>
      <c r="AL242" s="191" t="s">
        <v>44</v>
      </c>
      <c r="AM242" s="191" t="s">
        <v>45</v>
      </c>
      <c r="AN242" s="191" t="s">
        <v>44</v>
      </c>
      <c r="AO242" s="191" t="s">
        <v>44</v>
      </c>
      <c r="AP242" s="191" t="s">
        <v>44</v>
      </c>
    </row>
    <row r="243" spans="1:42" ht="29">
      <c r="A243" s="191" t="s">
        <v>1503</v>
      </c>
      <c r="B243" s="190">
        <v>3</v>
      </c>
      <c r="C243" s="190">
        <v>3</v>
      </c>
      <c r="D243" s="190">
        <v>8</v>
      </c>
      <c r="E243" s="191" t="s">
        <v>311</v>
      </c>
      <c r="F243" s="190">
        <v>5</v>
      </c>
      <c r="G243" s="191" t="s">
        <v>36</v>
      </c>
      <c r="H243" s="190">
        <v>1</v>
      </c>
      <c r="I243" s="190">
        <v>58.86</v>
      </c>
      <c r="J243" s="191" t="s">
        <v>65</v>
      </c>
      <c r="K243" s="191" t="s">
        <v>124</v>
      </c>
      <c r="L243" s="191" t="s">
        <v>70</v>
      </c>
      <c r="M243" s="191" t="s">
        <v>37</v>
      </c>
      <c r="N243" s="191" t="s">
        <v>95</v>
      </c>
      <c r="O243" s="191" t="s">
        <v>39</v>
      </c>
      <c r="P243" s="191" t="s">
        <v>41</v>
      </c>
      <c r="Q243" s="191" t="s">
        <v>104</v>
      </c>
      <c r="R243" s="191" t="s">
        <v>36</v>
      </c>
      <c r="S243" s="191" t="s">
        <v>48</v>
      </c>
      <c r="T243" s="191" t="s">
        <v>44</v>
      </c>
      <c r="U243" s="191" t="s">
        <v>119</v>
      </c>
      <c r="V243" s="191" t="s">
        <v>1139</v>
      </c>
      <c r="W243" s="191" t="s">
        <v>47</v>
      </c>
      <c r="X243" s="191" t="s">
        <v>44</v>
      </c>
      <c r="Y243" s="191" t="s">
        <v>43</v>
      </c>
      <c r="Z243" s="191" t="s">
        <v>43</v>
      </c>
      <c r="AA243" s="191" t="s">
        <v>62</v>
      </c>
      <c r="AB243" s="191" t="s">
        <v>50</v>
      </c>
      <c r="AC243" s="191" t="s">
        <v>43</v>
      </c>
      <c r="AD243" s="191" t="s">
        <v>72</v>
      </c>
      <c r="AE243" s="191" t="s">
        <v>44</v>
      </c>
      <c r="AF243" s="191" t="s">
        <v>95</v>
      </c>
      <c r="AG243" s="191" t="s">
        <v>47</v>
      </c>
      <c r="AH243" s="191" t="s">
        <v>44</v>
      </c>
      <c r="AI243" s="191" t="s">
        <v>39</v>
      </c>
      <c r="AJ243" s="191" t="s">
        <v>36</v>
      </c>
      <c r="AK243" s="191" t="s">
        <v>59</v>
      </c>
      <c r="AL243" s="191" t="s">
        <v>44</v>
      </c>
      <c r="AM243" s="191" t="s">
        <v>45</v>
      </c>
      <c r="AN243" s="191" t="s">
        <v>44</v>
      </c>
      <c r="AO243" s="191" t="s">
        <v>44</v>
      </c>
      <c r="AP243" s="191" t="s">
        <v>44</v>
      </c>
    </row>
    <row r="244" spans="1:42" ht="43.5">
      <c r="A244" s="191" t="s">
        <v>1504</v>
      </c>
      <c r="B244" s="190">
        <v>3</v>
      </c>
      <c r="C244" s="190">
        <v>7</v>
      </c>
      <c r="D244" s="190">
        <v>7</v>
      </c>
      <c r="E244" s="191" t="s">
        <v>318</v>
      </c>
      <c r="F244" s="190">
        <v>2</v>
      </c>
      <c r="G244" s="191" t="s">
        <v>36</v>
      </c>
      <c r="H244" s="190">
        <v>1</v>
      </c>
      <c r="I244" s="190">
        <v>111</v>
      </c>
      <c r="J244" s="191" t="s">
        <v>80</v>
      </c>
      <c r="K244" s="191" t="s">
        <v>43</v>
      </c>
      <c r="L244" s="191" t="s">
        <v>103</v>
      </c>
      <c r="M244" s="191" t="s">
        <v>37</v>
      </c>
      <c r="N244" s="191" t="s">
        <v>38</v>
      </c>
      <c r="O244" s="191" t="s">
        <v>288</v>
      </c>
      <c r="P244" s="191" t="s">
        <v>66</v>
      </c>
      <c r="Q244" s="191" t="s">
        <v>78</v>
      </c>
      <c r="R244" s="191" t="s">
        <v>60</v>
      </c>
      <c r="S244" s="191" t="s">
        <v>48</v>
      </c>
      <c r="T244" s="191" t="s">
        <v>44</v>
      </c>
      <c r="U244" s="191" t="s">
        <v>46</v>
      </c>
      <c r="V244" s="191" t="s">
        <v>1139</v>
      </c>
      <c r="W244" s="191" t="s">
        <v>43</v>
      </c>
      <c r="X244" s="191" t="s">
        <v>44</v>
      </c>
      <c r="Y244" s="191" t="s">
        <v>45</v>
      </c>
      <c r="Z244" s="191" t="s">
        <v>43</v>
      </c>
      <c r="AA244" s="191" t="s">
        <v>62</v>
      </c>
      <c r="AB244" s="191" t="s">
        <v>50</v>
      </c>
      <c r="AC244" s="191" t="s">
        <v>43</v>
      </c>
      <c r="AD244" s="191" t="s">
        <v>51</v>
      </c>
      <c r="AE244" s="191" t="s">
        <v>44</v>
      </c>
      <c r="AF244" s="191" t="s">
        <v>95</v>
      </c>
      <c r="AG244" s="191" t="s">
        <v>47</v>
      </c>
      <c r="AH244" s="191" t="s">
        <v>44</v>
      </c>
      <c r="AI244" s="191" t="s">
        <v>134</v>
      </c>
      <c r="AJ244" s="191" t="s">
        <v>36</v>
      </c>
      <c r="AK244" s="191" t="s">
        <v>73</v>
      </c>
      <c r="AL244" s="191" t="s">
        <v>44</v>
      </c>
      <c r="AM244" s="191" t="s">
        <v>89</v>
      </c>
      <c r="AN244" s="191" t="s">
        <v>44</v>
      </c>
      <c r="AO244" s="191" t="s">
        <v>44</v>
      </c>
      <c r="AP244" s="191" t="s">
        <v>44</v>
      </c>
    </row>
    <row r="245" spans="1:42" ht="43.5">
      <c r="A245" s="191" t="s">
        <v>1505</v>
      </c>
      <c r="B245" s="190">
        <v>3</v>
      </c>
      <c r="C245" s="190">
        <v>2</v>
      </c>
      <c r="D245" s="190">
        <v>3</v>
      </c>
      <c r="E245" s="191" t="s">
        <v>315</v>
      </c>
      <c r="F245" s="190">
        <v>3</v>
      </c>
      <c r="G245" s="191" t="s">
        <v>36</v>
      </c>
      <c r="H245" s="190">
        <v>1</v>
      </c>
      <c r="I245" s="190">
        <v>50</v>
      </c>
      <c r="J245" s="191" t="s">
        <v>54</v>
      </c>
      <c r="K245" s="191" t="s">
        <v>61</v>
      </c>
      <c r="L245" s="191" t="s">
        <v>67</v>
      </c>
      <c r="M245" s="191" t="s">
        <v>37</v>
      </c>
      <c r="N245" s="191" t="s">
        <v>38</v>
      </c>
      <c r="O245" s="191" t="s">
        <v>288</v>
      </c>
      <c r="P245" s="191" t="s">
        <v>56</v>
      </c>
      <c r="Q245" s="191" t="s">
        <v>106</v>
      </c>
      <c r="R245" s="191" t="s">
        <v>82</v>
      </c>
      <c r="S245" s="191" t="s">
        <v>48</v>
      </c>
      <c r="T245" s="191" t="s">
        <v>44</v>
      </c>
      <c r="U245" s="191" t="s">
        <v>45</v>
      </c>
      <c r="V245" s="191" t="s">
        <v>1139</v>
      </c>
      <c r="W245" s="191" t="s">
        <v>46</v>
      </c>
      <c r="X245" s="191" t="s">
        <v>44</v>
      </c>
      <c r="Y245" s="191" t="s">
        <v>45</v>
      </c>
      <c r="Z245" s="191" t="s">
        <v>43</v>
      </c>
      <c r="AA245" s="191" t="s">
        <v>105</v>
      </c>
      <c r="AB245" s="191" t="s">
        <v>138</v>
      </c>
      <c r="AC245" s="191" t="s">
        <v>43</v>
      </c>
      <c r="AD245" s="191" t="s">
        <v>72</v>
      </c>
      <c r="AE245" s="191" t="s">
        <v>44</v>
      </c>
      <c r="AF245" s="191" t="s">
        <v>95</v>
      </c>
      <c r="AG245" s="191" t="s">
        <v>43</v>
      </c>
      <c r="AH245" s="191" t="s">
        <v>44</v>
      </c>
      <c r="AI245" s="191" t="s">
        <v>39</v>
      </c>
      <c r="AJ245" s="191" t="s">
        <v>36</v>
      </c>
      <c r="AK245" s="191" t="s">
        <v>59</v>
      </c>
      <c r="AL245" s="191" t="s">
        <v>44</v>
      </c>
      <c r="AM245" s="191" t="s">
        <v>45</v>
      </c>
      <c r="AN245" s="191" t="s">
        <v>44</v>
      </c>
      <c r="AO245" s="191" t="s">
        <v>44</v>
      </c>
      <c r="AP245" s="191" t="s">
        <v>44</v>
      </c>
    </row>
    <row r="246" spans="1:42" ht="29">
      <c r="A246" s="191" t="s">
        <v>1506</v>
      </c>
      <c r="B246" s="190">
        <v>3</v>
      </c>
      <c r="C246" s="190">
        <v>7</v>
      </c>
      <c r="D246" s="190">
        <v>9</v>
      </c>
      <c r="E246" s="191" t="s">
        <v>318</v>
      </c>
      <c r="F246" s="190">
        <v>1</v>
      </c>
      <c r="G246" s="191" t="s">
        <v>36</v>
      </c>
      <c r="H246" s="190">
        <v>1</v>
      </c>
      <c r="I246" s="190">
        <v>130</v>
      </c>
      <c r="J246" s="191" t="s">
        <v>54</v>
      </c>
      <c r="K246" s="191" t="s">
        <v>81</v>
      </c>
      <c r="L246" s="191" t="s">
        <v>36</v>
      </c>
      <c r="M246" s="191" t="s">
        <v>37</v>
      </c>
      <c r="N246" s="191" t="s">
        <v>58</v>
      </c>
      <c r="O246" s="191" t="s">
        <v>39</v>
      </c>
      <c r="P246" s="191" t="s">
        <v>41</v>
      </c>
      <c r="Q246" s="191" t="s">
        <v>77</v>
      </c>
      <c r="R246" s="191" t="s">
        <v>60</v>
      </c>
      <c r="S246" s="191" t="s">
        <v>157</v>
      </c>
      <c r="T246" s="191" t="s">
        <v>44</v>
      </c>
      <c r="U246" s="191" t="s">
        <v>45</v>
      </c>
      <c r="V246" s="191" t="s">
        <v>44</v>
      </c>
      <c r="W246" s="191" t="s">
        <v>47</v>
      </c>
      <c r="X246" s="191" t="s">
        <v>44</v>
      </c>
      <c r="Y246" s="191" t="s">
        <v>45</v>
      </c>
      <c r="Z246" s="191" t="s">
        <v>47</v>
      </c>
      <c r="AA246" s="191" t="s">
        <v>62</v>
      </c>
      <c r="AB246" s="191" t="s">
        <v>138</v>
      </c>
      <c r="AC246" s="191" t="s">
        <v>43</v>
      </c>
      <c r="AD246" s="191" t="s">
        <v>72</v>
      </c>
      <c r="AE246" s="191" t="s">
        <v>44</v>
      </c>
      <c r="AF246" s="191" t="s">
        <v>95</v>
      </c>
      <c r="AG246" s="191" t="s">
        <v>43</v>
      </c>
      <c r="AH246" s="191" t="s">
        <v>44</v>
      </c>
      <c r="AI246" s="191" t="s">
        <v>39</v>
      </c>
      <c r="AJ246" s="191" t="s">
        <v>36</v>
      </c>
      <c r="AK246" s="191" t="s">
        <v>59</v>
      </c>
      <c r="AL246" s="191" t="s">
        <v>44</v>
      </c>
      <c r="AM246" s="191" t="s">
        <v>45</v>
      </c>
      <c r="AN246" s="191" t="s">
        <v>44</v>
      </c>
      <c r="AO246" s="191" t="s">
        <v>44</v>
      </c>
      <c r="AP246" s="191" t="s">
        <v>44</v>
      </c>
    </row>
    <row r="247" spans="1:42" ht="43.5">
      <c r="A247" s="191" t="s">
        <v>1507</v>
      </c>
      <c r="B247" s="190">
        <v>3</v>
      </c>
      <c r="C247" s="190">
        <v>7</v>
      </c>
      <c r="D247" s="190">
        <v>9</v>
      </c>
      <c r="E247" s="191" t="s">
        <v>318</v>
      </c>
      <c r="F247" s="190">
        <v>1</v>
      </c>
      <c r="G247" s="191" t="s">
        <v>36</v>
      </c>
      <c r="H247" s="190">
        <v>1</v>
      </c>
      <c r="I247" s="190">
        <v>60</v>
      </c>
      <c r="J247" s="191" t="s">
        <v>54</v>
      </c>
      <c r="K247" s="191" t="s">
        <v>81</v>
      </c>
      <c r="L247" s="191" t="s">
        <v>67</v>
      </c>
      <c r="M247" s="191" t="s">
        <v>37</v>
      </c>
      <c r="N247" s="191" t="s">
        <v>38</v>
      </c>
      <c r="O247" s="191" t="s">
        <v>288</v>
      </c>
      <c r="P247" s="191" t="s">
        <v>66</v>
      </c>
      <c r="Q247" s="191" t="s">
        <v>115</v>
      </c>
      <c r="R247" s="191" t="s">
        <v>42</v>
      </c>
      <c r="S247" s="191" t="s">
        <v>48</v>
      </c>
      <c r="T247" s="191" t="s">
        <v>44</v>
      </c>
      <c r="U247" s="191" t="s">
        <v>44</v>
      </c>
      <c r="V247" s="191" t="s">
        <v>44</v>
      </c>
      <c r="W247" s="191" t="s">
        <v>47</v>
      </c>
      <c r="X247" s="191" t="s">
        <v>44</v>
      </c>
      <c r="Y247" s="191" t="s">
        <v>61</v>
      </c>
      <c r="Z247" s="191" t="s">
        <v>43</v>
      </c>
      <c r="AA247" s="191" t="s">
        <v>62</v>
      </c>
      <c r="AB247" s="191" t="s">
        <v>50</v>
      </c>
      <c r="AC247" s="191" t="s">
        <v>43</v>
      </c>
      <c r="AD247" s="191" t="s">
        <v>72</v>
      </c>
      <c r="AE247" s="191" t="s">
        <v>44</v>
      </c>
      <c r="AF247" s="191" t="s">
        <v>52</v>
      </c>
      <c r="AG247" s="191" t="s">
        <v>47</v>
      </c>
      <c r="AH247" s="191" t="s">
        <v>44</v>
      </c>
      <c r="AI247" s="191" t="s">
        <v>134</v>
      </c>
      <c r="AJ247" s="191" t="s">
        <v>36</v>
      </c>
      <c r="AK247" s="191" t="s">
        <v>114</v>
      </c>
      <c r="AL247" s="191" t="s">
        <v>1145</v>
      </c>
      <c r="AM247" s="191" t="s">
        <v>45</v>
      </c>
      <c r="AN247" s="191" t="s">
        <v>44</v>
      </c>
      <c r="AO247" s="191" t="s">
        <v>44</v>
      </c>
      <c r="AP247" s="191" t="s">
        <v>44</v>
      </c>
    </row>
    <row r="248" spans="1:42" ht="29">
      <c r="A248" s="191" t="s">
        <v>1508</v>
      </c>
      <c r="B248" s="190">
        <v>3</v>
      </c>
      <c r="C248" s="190">
        <v>5</v>
      </c>
      <c r="D248" s="190">
        <v>5</v>
      </c>
      <c r="E248" s="191" t="s">
        <v>315</v>
      </c>
      <c r="F248" s="190">
        <v>2</v>
      </c>
      <c r="G248" s="191" t="s">
        <v>36</v>
      </c>
      <c r="H248" s="190">
        <v>1</v>
      </c>
      <c r="I248" s="190">
        <v>0</v>
      </c>
      <c r="J248" s="191" t="s">
        <v>34</v>
      </c>
      <c r="K248" s="191" t="s">
        <v>40</v>
      </c>
      <c r="L248" s="191" t="s">
        <v>36</v>
      </c>
      <c r="M248" s="191" t="s">
        <v>37</v>
      </c>
      <c r="N248" s="191" t="s">
        <v>95</v>
      </c>
      <c r="O248" s="191" t="s">
        <v>39</v>
      </c>
      <c r="P248" s="191" t="s">
        <v>41</v>
      </c>
      <c r="Q248" s="191" t="s">
        <v>59</v>
      </c>
      <c r="R248" s="191" t="s">
        <v>42</v>
      </c>
      <c r="S248" s="191" t="s">
        <v>48</v>
      </c>
      <c r="T248" s="191" t="s">
        <v>44</v>
      </c>
      <c r="U248" s="191" t="s">
        <v>74</v>
      </c>
      <c r="V248" s="191" t="s">
        <v>1509</v>
      </c>
      <c r="W248" s="191" t="s">
        <v>45</v>
      </c>
      <c r="X248" s="191" t="s">
        <v>44</v>
      </c>
      <c r="Y248" s="191" t="s">
        <v>47</v>
      </c>
      <c r="Z248" s="191" t="s">
        <v>43</v>
      </c>
      <c r="AA248" s="191" t="s">
        <v>49</v>
      </c>
      <c r="AB248" s="191" t="s">
        <v>84</v>
      </c>
      <c r="AC248" s="191" t="s">
        <v>43</v>
      </c>
      <c r="AD248" s="191" t="s">
        <v>72</v>
      </c>
      <c r="AE248" s="191" t="s">
        <v>44</v>
      </c>
      <c r="AF248" s="191" t="s">
        <v>95</v>
      </c>
      <c r="AG248" s="191" t="s">
        <v>43</v>
      </c>
      <c r="AH248" s="191" t="s">
        <v>44</v>
      </c>
      <c r="AI248" s="191" t="s">
        <v>39</v>
      </c>
      <c r="AJ248" s="191" t="s">
        <v>36</v>
      </c>
      <c r="AK248" s="191" t="s">
        <v>57</v>
      </c>
      <c r="AL248" s="191" t="s">
        <v>44</v>
      </c>
      <c r="AM248" s="191" t="s">
        <v>45</v>
      </c>
      <c r="AN248" s="191" t="s">
        <v>44</v>
      </c>
      <c r="AO248" s="191" t="s">
        <v>44</v>
      </c>
      <c r="AP248" s="191" t="s">
        <v>44</v>
      </c>
    </row>
    <row r="249" spans="1:42" ht="29">
      <c r="A249" s="191" t="s">
        <v>1510</v>
      </c>
      <c r="B249" s="190">
        <v>3</v>
      </c>
      <c r="C249" s="190">
        <v>8</v>
      </c>
      <c r="D249" s="190">
        <v>5</v>
      </c>
      <c r="E249" s="191" t="s">
        <v>307</v>
      </c>
      <c r="F249" s="190">
        <v>2</v>
      </c>
      <c r="G249" s="191" t="s">
        <v>36</v>
      </c>
      <c r="H249" s="190">
        <v>1</v>
      </c>
      <c r="I249" s="190">
        <v>240</v>
      </c>
      <c r="J249" s="191" t="s">
        <v>65</v>
      </c>
      <c r="K249" s="191" t="s">
        <v>78</v>
      </c>
      <c r="L249" s="191" t="s">
        <v>55</v>
      </c>
      <c r="M249" s="191" t="s">
        <v>37</v>
      </c>
      <c r="N249" s="191" t="s">
        <v>58</v>
      </c>
      <c r="O249" s="191" t="s">
        <v>39</v>
      </c>
      <c r="P249" s="191" t="s">
        <v>41</v>
      </c>
      <c r="Q249" s="191" t="s">
        <v>35</v>
      </c>
      <c r="R249" s="191" t="s">
        <v>87</v>
      </c>
      <c r="S249" s="191" t="s">
        <v>48</v>
      </c>
      <c r="T249" s="191" t="s">
        <v>44</v>
      </c>
      <c r="U249" s="191" t="s">
        <v>61</v>
      </c>
      <c r="V249" s="191" t="s">
        <v>1139</v>
      </c>
      <c r="W249" s="191" t="s">
        <v>43</v>
      </c>
      <c r="X249" s="191" t="s">
        <v>44</v>
      </c>
      <c r="Y249" s="191" t="s">
        <v>45</v>
      </c>
      <c r="Z249" s="191" t="s">
        <v>43</v>
      </c>
      <c r="AA249" s="191" t="s">
        <v>62</v>
      </c>
      <c r="AB249" s="191" t="s">
        <v>50</v>
      </c>
      <c r="AC249" s="191" t="s">
        <v>43</v>
      </c>
      <c r="AD249" s="191" t="s">
        <v>72</v>
      </c>
      <c r="AE249" s="191" t="s">
        <v>44</v>
      </c>
      <c r="AF249" s="191" t="s">
        <v>95</v>
      </c>
      <c r="AG249" s="191" t="s">
        <v>43</v>
      </c>
      <c r="AH249" s="191" t="s">
        <v>44</v>
      </c>
      <c r="AI249" s="191" t="s">
        <v>39</v>
      </c>
      <c r="AJ249" s="191" t="s">
        <v>36</v>
      </c>
      <c r="AK249" s="191" t="s">
        <v>45</v>
      </c>
      <c r="AL249" s="191" t="s">
        <v>44</v>
      </c>
      <c r="AM249" s="191" t="s">
        <v>89</v>
      </c>
      <c r="AN249" s="191" t="s">
        <v>44</v>
      </c>
      <c r="AO249" s="191" t="s">
        <v>44</v>
      </c>
      <c r="AP249" s="191" t="s">
        <v>44</v>
      </c>
    </row>
    <row r="250" spans="1:42" ht="43.5">
      <c r="A250" s="191" t="s">
        <v>1511</v>
      </c>
      <c r="B250" s="190">
        <v>3</v>
      </c>
      <c r="C250" s="190">
        <v>3</v>
      </c>
      <c r="D250" s="190">
        <v>3</v>
      </c>
      <c r="E250" s="191" t="s">
        <v>311</v>
      </c>
      <c r="F250" s="190">
        <v>2</v>
      </c>
      <c r="G250" s="191" t="s">
        <v>36</v>
      </c>
      <c r="H250" s="190">
        <v>1</v>
      </c>
      <c r="I250" s="190">
        <v>110</v>
      </c>
      <c r="J250" s="191" t="s">
        <v>34</v>
      </c>
      <c r="K250" s="191" t="s">
        <v>81</v>
      </c>
      <c r="L250" s="191" t="s">
        <v>36</v>
      </c>
      <c r="M250" s="191" t="s">
        <v>37</v>
      </c>
      <c r="N250" s="191" t="s">
        <v>58</v>
      </c>
      <c r="O250" s="191" t="s">
        <v>39</v>
      </c>
      <c r="P250" s="191" t="s">
        <v>56</v>
      </c>
      <c r="Q250" s="191" t="s">
        <v>88</v>
      </c>
      <c r="R250" s="191" t="s">
        <v>42</v>
      </c>
      <c r="S250" s="191" t="s">
        <v>48</v>
      </c>
      <c r="T250" s="191" t="s">
        <v>44</v>
      </c>
      <c r="U250" s="191" t="s">
        <v>45</v>
      </c>
      <c r="V250" s="191" t="s">
        <v>1512</v>
      </c>
      <c r="W250" s="191" t="s">
        <v>47</v>
      </c>
      <c r="X250" s="191" t="s">
        <v>44</v>
      </c>
      <c r="Y250" s="191" t="s">
        <v>43</v>
      </c>
      <c r="Z250" s="191" t="s">
        <v>43</v>
      </c>
      <c r="AA250" s="191" t="s">
        <v>49</v>
      </c>
      <c r="AB250" s="191" t="s">
        <v>84</v>
      </c>
      <c r="AC250" s="191" t="s">
        <v>43</v>
      </c>
      <c r="AD250" s="191" t="s">
        <v>72</v>
      </c>
      <c r="AE250" s="191" t="s">
        <v>44</v>
      </c>
      <c r="AF250" s="191" t="s">
        <v>95</v>
      </c>
      <c r="AG250" s="191" t="s">
        <v>47</v>
      </c>
      <c r="AH250" s="191" t="s">
        <v>44</v>
      </c>
      <c r="AI250" s="191" t="s">
        <v>134</v>
      </c>
      <c r="AJ250" s="191" t="s">
        <v>36</v>
      </c>
      <c r="AK250" s="191" t="s">
        <v>71</v>
      </c>
      <c r="AL250" s="191" t="s">
        <v>44</v>
      </c>
      <c r="AM250" s="191" t="s">
        <v>46</v>
      </c>
      <c r="AN250" s="191" t="s">
        <v>44</v>
      </c>
      <c r="AO250" s="191" t="s">
        <v>836</v>
      </c>
      <c r="AP250" s="191" t="s">
        <v>836</v>
      </c>
    </row>
    <row r="251" spans="1:42" ht="43.5">
      <c r="A251" s="191" t="s">
        <v>1513</v>
      </c>
      <c r="B251" s="190">
        <v>3</v>
      </c>
      <c r="C251" s="190">
        <v>2</v>
      </c>
      <c r="D251" s="190">
        <v>5</v>
      </c>
      <c r="E251" s="191" t="s">
        <v>311</v>
      </c>
      <c r="F251" s="190">
        <v>4</v>
      </c>
      <c r="G251" s="191" t="s">
        <v>36</v>
      </c>
      <c r="H251" s="190">
        <v>1</v>
      </c>
      <c r="I251" s="190">
        <v>130</v>
      </c>
      <c r="J251" s="191" t="s">
        <v>65</v>
      </c>
      <c r="K251" s="191" t="s">
        <v>47</v>
      </c>
      <c r="L251" s="191" t="s">
        <v>36</v>
      </c>
      <c r="M251" s="191" t="s">
        <v>37</v>
      </c>
      <c r="N251" s="191" t="s">
        <v>95</v>
      </c>
      <c r="O251" s="191" t="s">
        <v>39</v>
      </c>
      <c r="P251" s="191" t="s">
        <v>56</v>
      </c>
      <c r="Q251" s="191" t="s">
        <v>88</v>
      </c>
      <c r="R251" s="191" t="s">
        <v>87</v>
      </c>
      <c r="S251" s="191" t="s">
        <v>48</v>
      </c>
      <c r="T251" s="191" t="s">
        <v>44</v>
      </c>
      <c r="U251" s="191" t="s">
        <v>61</v>
      </c>
      <c r="V251" s="191" t="s">
        <v>1139</v>
      </c>
      <c r="W251" s="191" t="s">
        <v>78</v>
      </c>
      <c r="X251" s="191" t="s">
        <v>44</v>
      </c>
      <c r="Y251" s="191" t="s">
        <v>45</v>
      </c>
      <c r="Z251" s="191" t="s">
        <v>43</v>
      </c>
      <c r="AA251" s="191" t="s">
        <v>49</v>
      </c>
      <c r="AB251" s="191" t="s">
        <v>84</v>
      </c>
      <c r="AC251" s="191" t="s">
        <v>47</v>
      </c>
      <c r="AD251" s="191" t="s">
        <v>72</v>
      </c>
      <c r="AE251" s="191" t="s">
        <v>44</v>
      </c>
      <c r="AF251" s="191" t="s">
        <v>95</v>
      </c>
      <c r="AG251" s="191" t="s">
        <v>43</v>
      </c>
      <c r="AH251" s="191" t="s">
        <v>44</v>
      </c>
      <c r="AI251" s="191" t="s">
        <v>39</v>
      </c>
      <c r="AJ251" s="191" t="s">
        <v>36</v>
      </c>
      <c r="AK251" s="191" t="s">
        <v>85</v>
      </c>
      <c r="AL251" s="191" t="s">
        <v>44</v>
      </c>
      <c r="AM251" s="191" t="s">
        <v>47</v>
      </c>
      <c r="AN251" s="191" t="s">
        <v>44</v>
      </c>
      <c r="AO251" s="191" t="s">
        <v>44</v>
      </c>
      <c r="AP251" s="191" t="s">
        <v>44</v>
      </c>
    </row>
    <row r="252" spans="1:42" ht="29">
      <c r="A252" s="191" t="s">
        <v>1514</v>
      </c>
      <c r="B252" s="190">
        <v>3</v>
      </c>
      <c r="C252" s="190">
        <v>6</v>
      </c>
      <c r="D252" s="190">
        <v>9</v>
      </c>
      <c r="E252" s="191" t="s">
        <v>315</v>
      </c>
      <c r="F252" s="190">
        <v>1</v>
      </c>
      <c r="G252" s="191" t="s">
        <v>36</v>
      </c>
      <c r="H252" s="190">
        <v>1</v>
      </c>
      <c r="I252" s="190">
        <v>130</v>
      </c>
      <c r="J252" s="191" t="s">
        <v>80</v>
      </c>
      <c r="K252" s="191" t="s">
        <v>47</v>
      </c>
      <c r="L252" s="191" t="s">
        <v>36</v>
      </c>
      <c r="M252" s="191" t="s">
        <v>37</v>
      </c>
      <c r="N252" s="191" t="s">
        <v>95</v>
      </c>
      <c r="O252" s="191" t="s">
        <v>39</v>
      </c>
      <c r="P252" s="191" t="s">
        <v>41</v>
      </c>
      <c r="Q252" s="191" t="s">
        <v>77</v>
      </c>
      <c r="R252" s="191" t="s">
        <v>87</v>
      </c>
      <c r="S252" s="191" t="s">
        <v>48</v>
      </c>
      <c r="T252" s="191" t="s">
        <v>44</v>
      </c>
      <c r="U252" s="191" t="s">
        <v>1123</v>
      </c>
      <c r="V252" s="191" t="s">
        <v>44</v>
      </c>
      <c r="W252" s="191" t="s">
        <v>43</v>
      </c>
      <c r="X252" s="191" t="s">
        <v>44</v>
      </c>
      <c r="Y252" s="191" t="s">
        <v>45</v>
      </c>
      <c r="Z252" s="191" t="s">
        <v>43</v>
      </c>
      <c r="AA252" s="191" t="s">
        <v>49</v>
      </c>
      <c r="AB252" s="191" t="s">
        <v>50</v>
      </c>
      <c r="AC252" s="191" t="s">
        <v>43</v>
      </c>
      <c r="AD252" s="191" t="s">
        <v>72</v>
      </c>
      <c r="AE252" s="191" t="s">
        <v>44</v>
      </c>
      <c r="AF252" s="191" t="s">
        <v>95</v>
      </c>
      <c r="AG252" s="191" t="s">
        <v>47</v>
      </c>
      <c r="AH252" s="191" t="s">
        <v>44</v>
      </c>
      <c r="AI252" s="191" t="s">
        <v>39</v>
      </c>
      <c r="AJ252" s="191" t="s">
        <v>36</v>
      </c>
      <c r="AK252" s="191" t="s">
        <v>73</v>
      </c>
      <c r="AL252" s="191" t="s">
        <v>44</v>
      </c>
      <c r="AM252" s="191" t="s">
        <v>43</v>
      </c>
      <c r="AN252" s="191" t="s">
        <v>44</v>
      </c>
      <c r="AO252" s="191" t="s">
        <v>44</v>
      </c>
      <c r="AP252" s="191" t="s">
        <v>44</v>
      </c>
    </row>
    <row r="253" spans="1:42" ht="29">
      <c r="A253" s="191" t="s">
        <v>1515</v>
      </c>
      <c r="B253" s="190">
        <v>3</v>
      </c>
      <c r="C253" s="190">
        <v>2</v>
      </c>
      <c r="D253" s="190">
        <v>3</v>
      </c>
      <c r="E253" s="191" t="s">
        <v>307</v>
      </c>
      <c r="F253" s="190">
        <v>2</v>
      </c>
      <c r="G253" s="191" t="s">
        <v>36</v>
      </c>
      <c r="H253" s="190">
        <v>1</v>
      </c>
      <c r="I253" s="190">
        <v>127</v>
      </c>
      <c r="J253" s="191" t="s">
        <v>65</v>
      </c>
      <c r="K253" s="191" t="s">
        <v>89</v>
      </c>
      <c r="L253" s="191" t="s">
        <v>103</v>
      </c>
      <c r="M253" s="191" t="s">
        <v>37</v>
      </c>
      <c r="N253" s="191" t="s">
        <v>58</v>
      </c>
      <c r="O253" s="191" t="s">
        <v>39</v>
      </c>
      <c r="P253" s="191" t="s">
        <v>41</v>
      </c>
      <c r="Q253" s="191" t="s">
        <v>113</v>
      </c>
      <c r="R253" s="191" t="s">
        <v>60</v>
      </c>
      <c r="S253" s="191" t="s">
        <v>48</v>
      </c>
      <c r="T253" s="191" t="s">
        <v>44</v>
      </c>
      <c r="U253" s="191" t="s">
        <v>126</v>
      </c>
      <c r="V253" s="191" t="s">
        <v>1139</v>
      </c>
      <c r="W253" s="191" t="s">
        <v>43</v>
      </c>
      <c r="X253" s="191" t="s">
        <v>44</v>
      </c>
      <c r="Y253" s="191" t="s">
        <v>45</v>
      </c>
      <c r="Z253" s="191" t="s">
        <v>43</v>
      </c>
      <c r="AA253" s="191" t="s">
        <v>49</v>
      </c>
      <c r="AB253" s="191" t="s">
        <v>50</v>
      </c>
      <c r="AC253" s="191" t="s">
        <v>43</v>
      </c>
      <c r="AD253" s="191" t="s">
        <v>72</v>
      </c>
      <c r="AE253" s="191" t="s">
        <v>44</v>
      </c>
      <c r="AF253" s="191" t="s">
        <v>95</v>
      </c>
      <c r="AG253" s="191" t="s">
        <v>43</v>
      </c>
      <c r="AH253" s="191" t="s">
        <v>44</v>
      </c>
      <c r="AI253" s="191" t="s">
        <v>39</v>
      </c>
      <c r="AJ253" s="191" t="s">
        <v>36</v>
      </c>
      <c r="AK253" s="191" t="s">
        <v>85</v>
      </c>
      <c r="AL253" s="191" t="s">
        <v>44</v>
      </c>
      <c r="AM253" s="191" t="s">
        <v>1362</v>
      </c>
      <c r="AN253" s="191" t="s">
        <v>44</v>
      </c>
      <c r="AO253" s="191" t="s">
        <v>44</v>
      </c>
      <c r="AP253" s="191" t="s">
        <v>44</v>
      </c>
    </row>
    <row r="254" spans="1:42" ht="29">
      <c r="A254" s="191" t="s">
        <v>1516</v>
      </c>
      <c r="B254" s="190">
        <v>3</v>
      </c>
      <c r="C254" s="190">
        <v>4</v>
      </c>
      <c r="D254" s="190">
        <v>3</v>
      </c>
      <c r="E254" s="191" t="s">
        <v>307</v>
      </c>
      <c r="F254" s="190">
        <v>2</v>
      </c>
      <c r="G254" s="191" t="s">
        <v>36</v>
      </c>
      <c r="H254" s="190">
        <v>1</v>
      </c>
      <c r="I254" s="190">
        <v>100</v>
      </c>
      <c r="J254" s="191" t="s">
        <v>54</v>
      </c>
      <c r="K254" s="191" t="s">
        <v>40</v>
      </c>
      <c r="L254" s="191" t="s">
        <v>70</v>
      </c>
      <c r="M254" s="191" t="s">
        <v>37</v>
      </c>
      <c r="N254" s="191" t="s">
        <v>58</v>
      </c>
      <c r="O254" s="191" t="s">
        <v>39</v>
      </c>
      <c r="P254" s="191" t="s">
        <v>41</v>
      </c>
      <c r="Q254" s="191" t="s">
        <v>46</v>
      </c>
      <c r="R254" s="191" t="s">
        <v>42</v>
      </c>
      <c r="S254" s="191" t="s">
        <v>48</v>
      </c>
      <c r="T254" s="191" t="s">
        <v>44</v>
      </c>
      <c r="U254" s="191" t="s">
        <v>117</v>
      </c>
      <c r="V254" s="191" t="s">
        <v>1139</v>
      </c>
      <c r="W254" s="191" t="s">
        <v>47</v>
      </c>
      <c r="X254" s="191" t="s">
        <v>44</v>
      </c>
      <c r="Y254" s="191" t="s">
        <v>47</v>
      </c>
      <c r="Z254" s="191" t="s">
        <v>43</v>
      </c>
      <c r="AA254" s="191" t="s">
        <v>49</v>
      </c>
      <c r="AB254" s="191" t="s">
        <v>84</v>
      </c>
      <c r="AC254" s="191" t="s">
        <v>43</v>
      </c>
      <c r="AD254" s="191" t="s">
        <v>72</v>
      </c>
      <c r="AE254" s="191" t="s">
        <v>44</v>
      </c>
      <c r="AF254" s="191" t="s">
        <v>95</v>
      </c>
      <c r="AG254" s="191" t="s">
        <v>47</v>
      </c>
      <c r="AH254" s="191" t="s">
        <v>44</v>
      </c>
      <c r="AI254" s="191" t="s">
        <v>39</v>
      </c>
      <c r="AJ254" s="191" t="s">
        <v>36</v>
      </c>
      <c r="AK254" s="191" t="s">
        <v>59</v>
      </c>
      <c r="AL254" s="191" t="s">
        <v>44</v>
      </c>
      <c r="AM254" s="191" t="s">
        <v>45</v>
      </c>
      <c r="AN254" s="191" t="s">
        <v>44</v>
      </c>
      <c r="AO254" s="191" t="s">
        <v>44</v>
      </c>
      <c r="AP254" s="191" t="s">
        <v>44</v>
      </c>
    </row>
    <row r="255" spans="1:42" ht="43.5">
      <c r="A255" s="191" t="s">
        <v>1517</v>
      </c>
      <c r="B255" s="190">
        <v>3</v>
      </c>
      <c r="C255" s="190">
        <v>3</v>
      </c>
      <c r="D255" s="190">
        <v>3</v>
      </c>
      <c r="E255" s="191" t="s">
        <v>311</v>
      </c>
      <c r="F255" s="190">
        <v>4</v>
      </c>
      <c r="G255" s="191" t="s">
        <v>36</v>
      </c>
      <c r="H255" s="190">
        <v>1</v>
      </c>
      <c r="I255" s="190">
        <v>111</v>
      </c>
      <c r="J255" s="191" t="s">
        <v>54</v>
      </c>
      <c r="K255" s="191" t="s">
        <v>81</v>
      </c>
      <c r="L255" s="191" t="s">
        <v>67</v>
      </c>
      <c r="M255" s="191" t="s">
        <v>37</v>
      </c>
      <c r="N255" s="191" t="s">
        <v>58</v>
      </c>
      <c r="O255" s="191" t="s">
        <v>39</v>
      </c>
      <c r="P255" s="191" t="s">
        <v>41</v>
      </c>
      <c r="Q255" s="191" t="s">
        <v>104</v>
      </c>
      <c r="R255" s="191" t="s">
        <v>42</v>
      </c>
      <c r="S255" s="191" t="s">
        <v>48</v>
      </c>
      <c r="T255" s="191" t="s">
        <v>44</v>
      </c>
      <c r="U255" s="191" t="s">
        <v>1109</v>
      </c>
      <c r="V255" s="191" t="s">
        <v>1139</v>
      </c>
      <c r="W255" s="191" t="s">
        <v>78</v>
      </c>
      <c r="X255" s="191" t="s">
        <v>44</v>
      </c>
      <c r="Y255" s="191" t="s">
        <v>45</v>
      </c>
      <c r="Z255" s="191" t="s">
        <v>43</v>
      </c>
      <c r="AA255" s="191" t="s">
        <v>62</v>
      </c>
      <c r="AB255" s="191" t="s">
        <v>84</v>
      </c>
      <c r="AC255" s="191" t="s">
        <v>47</v>
      </c>
      <c r="AD255" s="191" t="s">
        <v>91</v>
      </c>
      <c r="AE255" s="191" t="s">
        <v>44</v>
      </c>
      <c r="AF255" s="191" t="s">
        <v>52</v>
      </c>
      <c r="AG255" s="191" t="s">
        <v>47</v>
      </c>
      <c r="AH255" s="191" t="s">
        <v>44</v>
      </c>
      <c r="AI255" s="191" t="s">
        <v>39</v>
      </c>
      <c r="AJ255" s="191" t="s">
        <v>36</v>
      </c>
      <c r="AK255" s="191" t="s">
        <v>88</v>
      </c>
      <c r="AL255" s="191" t="s">
        <v>1518</v>
      </c>
      <c r="AM255" s="191" t="s">
        <v>111</v>
      </c>
      <c r="AN255" s="191" t="s">
        <v>44</v>
      </c>
      <c r="AO255" s="191" t="s">
        <v>44</v>
      </c>
      <c r="AP255" s="191" t="s">
        <v>44</v>
      </c>
    </row>
    <row r="256" spans="1:42" ht="29">
      <c r="A256" s="191" t="s">
        <v>1519</v>
      </c>
      <c r="B256" s="190">
        <v>2</v>
      </c>
      <c r="C256" s="190">
        <v>3</v>
      </c>
      <c r="D256" s="190">
        <v>4</v>
      </c>
      <c r="E256" s="191" t="s">
        <v>311</v>
      </c>
      <c r="F256" s="190">
        <v>3</v>
      </c>
      <c r="G256" s="191" t="s">
        <v>36</v>
      </c>
      <c r="H256" s="190">
        <v>1</v>
      </c>
      <c r="I256" s="190">
        <v>110</v>
      </c>
      <c r="J256" s="191" t="s">
        <v>34</v>
      </c>
      <c r="K256" s="191" t="s">
        <v>40</v>
      </c>
      <c r="L256" s="191" t="s">
        <v>107</v>
      </c>
      <c r="M256" s="191" t="s">
        <v>37</v>
      </c>
      <c r="N256" s="191" t="s">
        <v>38</v>
      </c>
      <c r="O256" s="191" t="s">
        <v>288</v>
      </c>
      <c r="P256" s="191" t="s">
        <v>41</v>
      </c>
      <c r="Q256" s="191" t="s">
        <v>104</v>
      </c>
      <c r="R256" s="191" t="s">
        <v>42</v>
      </c>
      <c r="S256" s="191" t="s">
        <v>48</v>
      </c>
      <c r="T256" s="191" t="s">
        <v>44</v>
      </c>
      <c r="U256" s="191" t="s">
        <v>117</v>
      </c>
      <c r="V256" s="191" t="s">
        <v>1139</v>
      </c>
      <c r="W256" s="191" t="s">
        <v>43</v>
      </c>
      <c r="X256" s="191" t="s">
        <v>44</v>
      </c>
      <c r="Y256" s="191" t="s">
        <v>43</v>
      </c>
      <c r="Z256" s="191" t="s">
        <v>43</v>
      </c>
      <c r="AA256" s="191" t="s">
        <v>49</v>
      </c>
      <c r="AB256" s="191" t="s">
        <v>50</v>
      </c>
      <c r="AC256" s="191" t="s">
        <v>47</v>
      </c>
      <c r="AD256" s="191" t="s">
        <v>91</v>
      </c>
      <c r="AE256" s="191" t="s">
        <v>44</v>
      </c>
      <c r="AF256" s="191" t="s">
        <v>95</v>
      </c>
      <c r="AG256" s="191" t="s">
        <v>47</v>
      </c>
      <c r="AH256" s="191" t="s">
        <v>44</v>
      </c>
      <c r="AI256" s="191" t="s">
        <v>39</v>
      </c>
      <c r="AJ256" s="191" t="s">
        <v>36</v>
      </c>
      <c r="AK256" s="191" t="s">
        <v>59</v>
      </c>
      <c r="AL256" s="191" t="s">
        <v>1145</v>
      </c>
      <c r="AM256" s="191" t="s">
        <v>1520</v>
      </c>
      <c r="AN256" s="191" t="s">
        <v>1521</v>
      </c>
      <c r="AO256" s="191" t="s">
        <v>44</v>
      </c>
      <c r="AP256" s="191" t="s">
        <v>44</v>
      </c>
    </row>
    <row r="257" spans="1:42" ht="29">
      <c r="A257" s="191" t="s">
        <v>1522</v>
      </c>
      <c r="B257" s="190">
        <v>3</v>
      </c>
      <c r="C257" s="190">
        <v>7</v>
      </c>
      <c r="D257" s="190">
        <v>7</v>
      </c>
      <c r="E257" s="191" t="s">
        <v>318</v>
      </c>
      <c r="F257" s="190">
        <v>2</v>
      </c>
      <c r="G257" s="191" t="s">
        <v>36</v>
      </c>
      <c r="H257" s="190">
        <v>1</v>
      </c>
      <c r="I257" s="190">
        <v>140</v>
      </c>
      <c r="J257" s="191" t="s">
        <v>54</v>
      </c>
      <c r="K257" s="191" t="s">
        <v>61</v>
      </c>
      <c r="L257" s="191" t="s">
        <v>36</v>
      </c>
      <c r="M257" s="191" t="s">
        <v>37</v>
      </c>
      <c r="N257" s="191" t="s">
        <v>38</v>
      </c>
      <c r="O257" s="191" t="s">
        <v>36</v>
      </c>
      <c r="P257" s="191" t="s">
        <v>98</v>
      </c>
      <c r="Q257" s="191" t="s">
        <v>139</v>
      </c>
      <c r="R257" s="191" t="s">
        <v>42</v>
      </c>
      <c r="S257" s="191" t="s">
        <v>48</v>
      </c>
      <c r="T257" s="191" t="s">
        <v>44</v>
      </c>
      <c r="U257" s="191" t="s">
        <v>1117</v>
      </c>
      <c r="V257" s="191" t="s">
        <v>1137</v>
      </c>
      <c r="W257" s="191" t="s">
        <v>43</v>
      </c>
      <c r="X257" s="191" t="s">
        <v>44</v>
      </c>
      <c r="Y257" s="191" t="s">
        <v>47</v>
      </c>
      <c r="Z257" s="191" t="s">
        <v>43</v>
      </c>
      <c r="AA257" s="191" t="s">
        <v>49</v>
      </c>
      <c r="AB257" s="191" t="s">
        <v>50</v>
      </c>
      <c r="AC257" s="191" t="s">
        <v>43</v>
      </c>
      <c r="AD257" s="191" t="s">
        <v>72</v>
      </c>
      <c r="AE257" s="191" t="s">
        <v>44</v>
      </c>
      <c r="AF257" s="191" t="s">
        <v>52</v>
      </c>
      <c r="AG257" s="191" t="s">
        <v>47</v>
      </c>
      <c r="AH257" s="191" t="s">
        <v>44</v>
      </c>
      <c r="AI257" s="191" t="s">
        <v>134</v>
      </c>
      <c r="AJ257" s="191" t="s">
        <v>36</v>
      </c>
      <c r="AK257" s="191" t="s">
        <v>59</v>
      </c>
      <c r="AL257" s="191" t="s">
        <v>44</v>
      </c>
      <c r="AM257" s="191" t="s">
        <v>1523</v>
      </c>
      <c r="AN257" s="191" t="s">
        <v>44</v>
      </c>
      <c r="AO257" s="191" t="s">
        <v>44</v>
      </c>
      <c r="AP257" s="191" t="s">
        <v>44</v>
      </c>
    </row>
    <row r="258" spans="1:42" ht="43.5">
      <c r="A258" s="191" t="s">
        <v>1524</v>
      </c>
      <c r="B258" s="190">
        <v>3</v>
      </c>
      <c r="C258" s="190">
        <v>3</v>
      </c>
      <c r="D258" s="190">
        <v>3</v>
      </c>
      <c r="E258" s="191" t="s">
        <v>307</v>
      </c>
      <c r="F258" s="190">
        <v>4</v>
      </c>
      <c r="G258" s="191" t="s">
        <v>36</v>
      </c>
      <c r="H258" s="190">
        <v>1</v>
      </c>
      <c r="I258" s="190">
        <v>190</v>
      </c>
      <c r="J258" s="191" t="s">
        <v>65</v>
      </c>
      <c r="K258" s="191" t="s">
        <v>81</v>
      </c>
      <c r="L258" s="191" t="s">
        <v>103</v>
      </c>
      <c r="M258" s="191" t="s">
        <v>37</v>
      </c>
      <c r="N258" s="191" t="s">
        <v>38</v>
      </c>
      <c r="O258" s="191" t="s">
        <v>288</v>
      </c>
      <c r="P258" s="191" t="s">
        <v>56</v>
      </c>
      <c r="Q258" s="191" t="s">
        <v>86</v>
      </c>
      <c r="R258" s="191" t="s">
        <v>60</v>
      </c>
      <c r="S258" s="191" t="s">
        <v>48</v>
      </c>
      <c r="T258" s="191" t="s">
        <v>44</v>
      </c>
      <c r="U258" s="191" t="s">
        <v>40</v>
      </c>
      <c r="V258" s="191" t="s">
        <v>1139</v>
      </c>
      <c r="W258" s="191" t="s">
        <v>47</v>
      </c>
      <c r="X258" s="191" t="s">
        <v>44</v>
      </c>
      <c r="Y258" s="191" t="s">
        <v>45</v>
      </c>
      <c r="Z258" s="191" t="s">
        <v>43</v>
      </c>
      <c r="AA258" s="191" t="s">
        <v>62</v>
      </c>
      <c r="AB258" s="191" t="s">
        <v>84</v>
      </c>
      <c r="AC258" s="191" t="s">
        <v>43</v>
      </c>
      <c r="AD258" s="191" t="s">
        <v>51</v>
      </c>
      <c r="AE258" s="191" t="s">
        <v>44</v>
      </c>
      <c r="AF258" s="191" t="s">
        <v>95</v>
      </c>
      <c r="AG258" s="191" t="s">
        <v>47</v>
      </c>
      <c r="AH258" s="191" t="s">
        <v>44</v>
      </c>
      <c r="AI258" s="191" t="s">
        <v>134</v>
      </c>
      <c r="AJ258" s="191" t="s">
        <v>36</v>
      </c>
      <c r="AK258" s="191" t="s">
        <v>73</v>
      </c>
      <c r="AL258" s="191" t="s">
        <v>44</v>
      </c>
      <c r="AM258" s="191" t="s">
        <v>89</v>
      </c>
      <c r="AN258" s="191" t="s">
        <v>44</v>
      </c>
      <c r="AO258" s="191" t="s">
        <v>44</v>
      </c>
      <c r="AP258" s="191" t="s">
        <v>44</v>
      </c>
    </row>
    <row r="259" spans="1:42" ht="29">
      <c r="A259" s="191" t="s">
        <v>1525</v>
      </c>
      <c r="B259" s="190">
        <v>3</v>
      </c>
      <c r="C259" s="190">
        <v>2</v>
      </c>
      <c r="D259" s="190">
        <v>3</v>
      </c>
      <c r="E259" s="191" t="s">
        <v>311</v>
      </c>
      <c r="F259" s="190">
        <v>2</v>
      </c>
      <c r="G259" s="191" t="s">
        <v>36</v>
      </c>
      <c r="H259" s="190">
        <v>1</v>
      </c>
      <c r="I259" s="190">
        <v>140</v>
      </c>
      <c r="J259" s="191" t="s">
        <v>65</v>
      </c>
      <c r="K259" s="191" t="s">
        <v>61</v>
      </c>
      <c r="L259" s="191" t="s">
        <v>36</v>
      </c>
      <c r="M259" s="191" t="s">
        <v>37</v>
      </c>
      <c r="N259" s="191" t="s">
        <v>38</v>
      </c>
      <c r="O259" s="191" t="s">
        <v>288</v>
      </c>
      <c r="P259" s="191" t="s">
        <v>98</v>
      </c>
      <c r="Q259" s="191" t="s">
        <v>61</v>
      </c>
      <c r="R259" s="191" t="s">
        <v>42</v>
      </c>
      <c r="S259" s="191" t="s">
        <v>48</v>
      </c>
      <c r="T259" s="191" t="s">
        <v>44</v>
      </c>
      <c r="U259" s="191" t="s">
        <v>45</v>
      </c>
      <c r="V259" s="191" t="s">
        <v>1139</v>
      </c>
      <c r="W259" s="191" t="s">
        <v>40</v>
      </c>
      <c r="X259" s="191" t="s">
        <v>1526</v>
      </c>
      <c r="Y259" s="191" t="s">
        <v>45</v>
      </c>
      <c r="Z259" s="191" t="s">
        <v>43</v>
      </c>
      <c r="AA259" s="191" t="s">
        <v>49</v>
      </c>
      <c r="AB259" s="191" t="s">
        <v>84</v>
      </c>
      <c r="AC259" s="191" t="s">
        <v>43</v>
      </c>
      <c r="AD259" s="191" t="s">
        <v>72</v>
      </c>
      <c r="AE259" s="191" t="s">
        <v>44</v>
      </c>
      <c r="AF259" s="191" t="s">
        <v>52</v>
      </c>
      <c r="AG259" s="191" t="s">
        <v>47</v>
      </c>
      <c r="AH259" s="191" t="s">
        <v>44</v>
      </c>
      <c r="AI259" s="191" t="s">
        <v>39</v>
      </c>
      <c r="AJ259" s="191" t="s">
        <v>36</v>
      </c>
      <c r="AK259" s="191" t="s">
        <v>35</v>
      </c>
      <c r="AL259" s="191" t="s">
        <v>44</v>
      </c>
      <c r="AM259" s="191" t="s">
        <v>45</v>
      </c>
      <c r="AN259" s="191" t="s">
        <v>44</v>
      </c>
      <c r="AO259" s="191" t="s">
        <v>44</v>
      </c>
      <c r="AP259" s="191" t="s">
        <v>44</v>
      </c>
    </row>
    <row r="260" spans="1:42" ht="29">
      <c r="A260" s="191" t="s">
        <v>1527</v>
      </c>
      <c r="B260" s="190">
        <v>3</v>
      </c>
      <c r="C260" s="190">
        <v>3</v>
      </c>
      <c r="D260" s="190">
        <v>1</v>
      </c>
      <c r="E260" s="191" t="s">
        <v>315</v>
      </c>
      <c r="F260" s="190">
        <v>2</v>
      </c>
      <c r="G260" s="191" t="s">
        <v>36</v>
      </c>
      <c r="H260" s="190">
        <v>1</v>
      </c>
      <c r="I260" s="190">
        <v>100</v>
      </c>
      <c r="J260" s="191" t="s">
        <v>54</v>
      </c>
      <c r="K260" s="191" t="s">
        <v>47</v>
      </c>
      <c r="L260" s="191" t="s">
        <v>36</v>
      </c>
      <c r="M260" s="191" t="s">
        <v>37</v>
      </c>
      <c r="N260" s="191" t="s">
        <v>95</v>
      </c>
      <c r="O260" s="191" t="s">
        <v>39</v>
      </c>
      <c r="P260" s="191" t="s">
        <v>41</v>
      </c>
      <c r="Q260" s="191" t="s">
        <v>83</v>
      </c>
      <c r="R260" s="191" t="s">
        <v>60</v>
      </c>
      <c r="S260" s="191" t="s">
        <v>48</v>
      </c>
      <c r="T260" s="191" t="s">
        <v>44</v>
      </c>
      <c r="U260" s="191" t="s">
        <v>44</v>
      </c>
      <c r="V260" s="191" t="s">
        <v>44</v>
      </c>
      <c r="W260" s="191" t="s">
        <v>47</v>
      </c>
      <c r="X260" s="191" t="s">
        <v>44</v>
      </c>
      <c r="Y260" s="191" t="s">
        <v>61</v>
      </c>
      <c r="Z260" s="191" t="s">
        <v>43</v>
      </c>
      <c r="AA260" s="191" t="s">
        <v>62</v>
      </c>
      <c r="AB260" s="191" t="s">
        <v>84</v>
      </c>
      <c r="AC260" s="191" t="s">
        <v>43</v>
      </c>
      <c r="AD260" s="191" t="s">
        <v>91</v>
      </c>
      <c r="AE260" s="191" t="s">
        <v>44</v>
      </c>
      <c r="AF260" s="191" t="s">
        <v>95</v>
      </c>
      <c r="AG260" s="191" t="s">
        <v>47</v>
      </c>
      <c r="AH260" s="191" t="s">
        <v>44</v>
      </c>
      <c r="AI260" s="191" t="s">
        <v>39</v>
      </c>
      <c r="AJ260" s="191" t="s">
        <v>36</v>
      </c>
      <c r="AK260" s="191" t="s">
        <v>59</v>
      </c>
      <c r="AL260" s="191" t="s">
        <v>44</v>
      </c>
      <c r="AM260" s="191" t="s">
        <v>63</v>
      </c>
      <c r="AN260" s="191" t="s">
        <v>44</v>
      </c>
      <c r="AO260" s="191" t="s">
        <v>44</v>
      </c>
      <c r="AP260" s="191" t="s">
        <v>44</v>
      </c>
    </row>
    <row r="261" spans="1:42" ht="43.5">
      <c r="A261" s="191" t="s">
        <v>1528</v>
      </c>
      <c r="B261" s="190">
        <v>3</v>
      </c>
      <c r="C261" s="190">
        <v>7</v>
      </c>
      <c r="D261" s="190">
        <v>7</v>
      </c>
      <c r="E261" s="191" t="s">
        <v>318</v>
      </c>
      <c r="F261" s="190">
        <v>2</v>
      </c>
      <c r="G261" s="191" t="s">
        <v>36</v>
      </c>
      <c r="H261" s="190">
        <v>1</v>
      </c>
      <c r="I261" s="190">
        <v>180</v>
      </c>
      <c r="J261" s="191" t="s">
        <v>54</v>
      </c>
      <c r="K261" s="191" t="s">
        <v>35</v>
      </c>
      <c r="L261" s="191" t="s">
        <v>67</v>
      </c>
      <c r="M261" s="191" t="s">
        <v>37</v>
      </c>
      <c r="N261" s="191" t="s">
        <v>38</v>
      </c>
      <c r="O261" s="191" t="s">
        <v>99</v>
      </c>
      <c r="P261" s="191" t="s">
        <v>56</v>
      </c>
      <c r="Q261" s="191" t="s">
        <v>43</v>
      </c>
      <c r="R261" s="191" t="s">
        <v>42</v>
      </c>
      <c r="S261" s="191" t="s">
        <v>48</v>
      </c>
      <c r="T261" s="191" t="s">
        <v>44</v>
      </c>
      <c r="U261" s="191" t="s">
        <v>47</v>
      </c>
      <c r="V261" s="191" t="s">
        <v>1144</v>
      </c>
      <c r="W261" s="191" t="s">
        <v>47</v>
      </c>
      <c r="X261" s="191" t="s">
        <v>44</v>
      </c>
      <c r="Y261" s="191" t="s">
        <v>61</v>
      </c>
      <c r="Z261" s="191" t="s">
        <v>43</v>
      </c>
      <c r="AA261" s="191" t="s">
        <v>49</v>
      </c>
      <c r="AB261" s="191" t="s">
        <v>50</v>
      </c>
      <c r="AC261" s="191" t="s">
        <v>43</v>
      </c>
      <c r="AD261" s="191" t="s">
        <v>72</v>
      </c>
      <c r="AE261" s="191" t="s">
        <v>44</v>
      </c>
      <c r="AF261" s="191" t="s">
        <v>95</v>
      </c>
      <c r="AG261" s="191" t="s">
        <v>47</v>
      </c>
      <c r="AH261" s="191" t="s">
        <v>44</v>
      </c>
      <c r="AI261" s="191" t="s">
        <v>134</v>
      </c>
      <c r="AJ261" s="191" t="s">
        <v>36</v>
      </c>
      <c r="AK261" s="191" t="s">
        <v>59</v>
      </c>
      <c r="AL261" s="191" t="s">
        <v>44</v>
      </c>
      <c r="AM261" s="191" t="s">
        <v>45</v>
      </c>
      <c r="AN261" s="191" t="s">
        <v>44</v>
      </c>
      <c r="AO261" s="191" t="s">
        <v>44</v>
      </c>
      <c r="AP261" s="191" t="s">
        <v>44</v>
      </c>
    </row>
    <row r="262" spans="1:42" ht="29">
      <c r="A262" s="191" t="s">
        <v>1529</v>
      </c>
      <c r="B262" s="190">
        <v>3</v>
      </c>
      <c r="C262" s="190">
        <v>2</v>
      </c>
      <c r="D262" s="190">
        <v>3</v>
      </c>
      <c r="E262" s="191" t="s">
        <v>311</v>
      </c>
      <c r="F262" s="190">
        <v>2</v>
      </c>
      <c r="G262" s="191" t="s">
        <v>36</v>
      </c>
      <c r="H262" s="190">
        <v>1</v>
      </c>
      <c r="I262" s="190">
        <v>140</v>
      </c>
      <c r="J262" s="191" t="s">
        <v>65</v>
      </c>
      <c r="K262" s="191" t="s">
        <v>81</v>
      </c>
      <c r="L262" s="191" t="s">
        <v>36</v>
      </c>
      <c r="M262" s="191" t="s">
        <v>37</v>
      </c>
      <c r="N262" s="191" t="s">
        <v>95</v>
      </c>
      <c r="O262" s="191" t="s">
        <v>288</v>
      </c>
      <c r="P262" s="191" t="s">
        <v>41</v>
      </c>
      <c r="Q262" s="191" t="s">
        <v>43</v>
      </c>
      <c r="R262" s="191" t="s">
        <v>87</v>
      </c>
      <c r="S262" s="191" t="s">
        <v>48</v>
      </c>
      <c r="T262" s="191" t="s">
        <v>44</v>
      </c>
      <c r="U262" s="191" t="s">
        <v>1530</v>
      </c>
      <c r="V262" s="191" t="s">
        <v>1144</v>
      </c>
      <c r="W262" s="191" t="s">
        <v>43</v>
      </c>
      <c r="X262" s="191" t="s">
        <v>44</v>
      </c>
      <c r="Y262" s="191" t="s">
        <v>45</v>
      </c>
      <c r="Z262" s="191" t="s">
        <v>43</v>
      </c>
      <c r="AA262" s="191" t="s">
        <v>49</v>
      </c>
      <c r="AB262" s="191" t="s">
        <v>84</v>
      </c>
      <c r="AC262" s="191" t="s">
        <v>43</v>
      </c>
      <c r="AD262" s="191" t="s">
        <v>72</v>
      </c>
      <c r="AE262" s="191" t="s">
        <v>44</v>
      </c>
      <c r="AF262" s="191" t="s">
        <v>95</v>
      </c>
      <c r="AG262" s="191" t="s">
        <v>47</v>
      </c>
      <c r="AH262" s="191" t="s">
        <v>44</v>
      </c>
      <c r="AI262" s="191" t="s">
        <v>134</v>
      </c>
      <c r="AJ262" s="191" t="s">
        <v>36</v>
      </c>
      <c r="AK262" s="191" t="s">
        <v>71</v>
      </c>
      <c r="AL262" s="191" t="s">
        <v>44</v>
      </c>
      <c r="AM262" s="191" t="s">
        <v>47</v>
      </c>
      <c r="AN262" s="191" t="s">
        <v>44</v>
      </c>
      <c r="AO262" s="191" t="s">
        <v>44</v>
      </c>
      <c r="AP262" s="191" t="s">
        <v>44</v>
      </c>
    </row>
    <row r="263" spans="1:42" ht="29">
      <c r="A263" s="191" t="s">
        <v>1531</v>
      </c>
      <c r="B263" s="190">
        <v>3</v>
      </c>
      <c r="C263" s="190">
        <v>3</v>
      </c>
      <c r="D263" s="190">
        <v>2</v>
      </c>
      <c r="E263" s="191" t="s">
        <v>315</v>
      </c>
      <c r="F263" s="190">
        <v>2</v>
      </c>
      <c r="G263" s="191" t="s">
        <v>36</v>
      </c>
      <c r="H263" s="190">
        <v>1</v>
      </c>
      <c r="I263" s="190">
        <v>125</v>
      </c>
      <c r="J263" s="191" t="s">
        <v>65</v>
      </c>
      <c r="K263" s="191" t="s">
        <v>61</v>
      </c>
      <c r="L263" s="191" t="s">
        <v>67</v>
      </c>
      <c r="M263" s="191" t="s">
        <v>37</v>
      </c>
      <c r="N263" s="191" t="s">
        <v>108</v>
      </c>
      <c r="O263" s="191" t="s">
        <v>39</v>
      </c>
      <c r="P263" s="191" t="s">
        <v>41</v>
      </c>
      <c r="Q263" s="191" t="s">
        <v>135</v>
      </c>
      <c r="R263" s="191" t="s">
        <v>42</v>
      </c>
      <c r="S263" s="191" t="s">
        <v>48</v>
      </c>
      <c r="T263" s="191" t="s">
        <v>44</v>
      </c>
      <c r="U263" s="191" t="s">
        <v>117</v>
      </c>
      <c r="V263" s="191" t="s">
        <v>44</v>
      </c>
      <c r="W263" s="191" t="s">
        <v>47</v>
      </c>
      <c r="X263" s="191" t="s">
        <v>44</v>
      </c>
      <c r="Y263" s="191" t="s">
        <v>43</v>
      </c>
      <c r="Z263" s="191" t="s">
        <v>43</v>
      </c>
      <c r="AA263" s="191" t="s">
        <v>49</v>
      </c>
      <c r="AB263" s="191" t="s">
        <v>50</v>
      </c>
      <c r="AC263" s="191" t="s">
        <v>43</v>
      </c>
      <c r="AD263" s="191" t="s">
        <v>72</v>
      </c>
      <c r="AE263" s="191" t="s">
        <v>44</v>
      </c>
      <c r="AF263" s="191" t="s">
        <v>95</v>
      </c>
      <c r="AG263" s="191" t="s">
        <v>43</v>
      </c>
      <c r="AH263" s="191" t="s">
        <v>44</v>
      </c>
      <c r="AI263" s="191" t="s">
        <v>39</v>
      </c>
      <c r="AJ263" s="191" t="s">
        <v>36</v>
      </c>
      <c r="AK263" s="191" t="s">
        <v>71</v>
      </c>
      <c r="AL263" s="191" t="s">
        <v>44</v>
      </c>
      <c r="AM263" s="191" t="s">
        <v>45</v>
      </c>
      <c r="AN263" s="191" t="s">
        <v>44</v>
      </c>
      <c r="AO263" s="191" t="s">
        <v>44</v>
      </c>
      <c r="AP263" s="191" t="s">
        <v>44</v>
      </c>
    </row>
    <row r="264" spans="1:42" ht="29">
      <c r="A264" s="191" t="s">
        <v>1532</v>
      </c>
      <c r="B264" s="190">
        <v>3</v>
      </c>
      <c r="C264" s="190">
        <v>3</v>
      </c>
      <c r="D264" s="190">
        <v>3</v>
      </c>
      <c r="E264" s="191" t="s">
        <v>311</v>
      </c>
      <c r="F264" s="190">
        <v>4</v>
      </c>
      <c r="G264" s="191" t="s">
        <v>36</v>
      </c>
      <c r="H264" s="190">
        <v>1</v>
      </c>
      <c r="I264" s="190">
        <v>145</v>
      </c>
      <c r="J264" s="191" t="s">
        <v>80</v>
      </c>
      <c r="K264" s="191" t="s">
        <v>61</v>
      </c>
      <c r="L264" s="191" t="s">
        <v>36</v>
      </c>
      <c r="M264" s="191" t="s">
        <v>37</v>
      </c>
      <c r="N264" s="191" t="s">
        <v>95</v>
      </c>
      <c r="O264" s="191" t="s">
        <v>39</v>
      </c>
      <c r="P264" s="191" t="s">
        <v>41</v>
      </c>
      <c r="Q264" s="191" t="s">
        <v>104</v>
      </c>
      <c r="R264" s="191" t="s">
        <v>87</v>
      </c>
      <c r="S264" s="191" t="s">
        <v>48</v>
      </c>
      <c r="T264" s="191" t="s">
        <v>44</v>
      </c>
      <c r="U264" s="191" t="s">
        <v>666</v>
      </c>
      <c r="V264" s="191" t="s">
        <v>1139</v>
      </c>
      <c r="W264" s="191" t="s">
        <v>43</v>
      </c>
      <c r="X264" s="191" t="s">
        <v>44</v>
      </c>
      <c r="Y264" s="191" t="s">
        <v>43</v>
      </c>
      <c r="Z264" s="191" t="s">
        <v>43</v>
      </c>
      <c r="AA264" s="191" t="s">
        <v>62</v>
      </c>
      <c r="AB264" s="191" t="s">
        <v>50</v>
      </c>
      <c r="AC264" s="191" t="s">
        <v>43</v>
      </c>
      <c r="AD264" s="191" t="s">
        <v>72</v>
      </c>
      <c r="AE264" s="191" t="s">
        <v>44</v>
      </c>
      <c r="AF264" s="191" t="s">
        <v>52</v>
      </c>
      <c r="AG264" s="191" t="s">
        <v>47</v>
      </c>
      <c r="AH264" s="191" t="s">
        <v>44</v>
      </c>
      <c r="AI264" s="191" t="s">
        <v>39</v>
      </c>
      <c r="AJ264" s="191" t="s">
        <v>36</v>
      </c>
      <c r="AK264" s="191" t="s">
        <v>59</v>
      </c>
      <c r="AL264" s="191" t="s">
        <v>44</v>
      </c>
      <c r="AM264" s="191" t="s">
        <v>47</v>
      </c>
      <c r="AN264" s="191" t="s">
        <v>44</v>
      </c>
      <c r="AO264" s="191" t="s">
        <v>44</v>
      </c>
      <c r="AP264" s="191" t="s">
        <v>44</v>
      </c>
    </row>
    <row r="265" spans="1:42" ht="29">
      <c r="A265" s="191" t="s">
        <v>1533</v>
      </c>
      <c r="B265" s="190">
        <v>3</v>
      </c>
      <c r="C265" s="190">
        <v>8</v>
      </c>
      <c r="D265" s="190">
        <v>9</v>
      </c>
      <c r="E265" s="191" t="s">
        <v>315</v>
      </c>
      <c r="F265" s="190">
        <v>1</v>
      </c>
      <c r="G265" s="191" t="s">
        <v>36</v>
      </c>
      <c r="H265" s="190">
        <v>1</v>
      </c>
      <c r="I265" s="190">
        <v>100</v>
      </c>
      <c r="J265" s="191" t="s">
        <v>54</v>
      </c>
      <c r="K265" s="191" t="s">
        <v>47</v>
      </c>
      <c r="L265" s="191" t="s">
        <v>36</v>
      </c>
      <c r="M265" s="191" t="s">
        <v>37</v>
      </c>
      <c r="N265" s="191" t="s">
        <v>95</v>
      </c>
      <c r="O265" s="191" t="s">
        <v>39</v>
      </c>
      <c r="P265" s="191" t="s">
        <v>41</v>
      </c>
      <c r="Q265" s="191" t="s">
        <v>104</v>
      </c>
      <c r="R265" s="191" t="s">
        <v>42</v>
      </c>
      <c r="S265" s="191" t="s">
        <v>48</v>
      </c>
      <c r="T265" s="191" t="s">
        <v>44</v>
      </c>
      <c r="U265" s="191" t="s">
        <v>1119</v>
      </c>
      <c r="V265" s="191" t="s">
        <v>1139</v>
      </c>
      <c r="W265" s="191" t="s">
        <v>78</v>
      </c>
      <c r="X265" s="191" t="s">
        <v>44</v>
      </c>
      <c r="Y265" s="191" t="s">
        <v>43</v>
      </c>
      <c r="Z265" s="191" t="s">
        <v>47</v>
      </c>
      <c r="AA265" s="191" t="s">
        <v>62</v>
      </c>
      <c r="AB265" s="191" t="s">
        <v>67</v>
      </c>
      <c r="AC265" s="191" t="s">
        <v>43</v>
      </c>
      <c r="AD265" s="191" t="s">
        <v>72</v>
      </c>
      <c r="AE265" s="191" t="s">
        <v>44</v>
      </c>
      <c r="AF265" s="191" t="s">
        <v>95</v>
      </c>
      <c r="AG265" s="191" t="s">
        <v>47</v>
      </c>
      <c r="AH265" s="191" t="s">
        <v>44</v>
      </c>
      <c r="AI265" s="191" t="s">
        <v>39</v>
      </c>
      <c r="AJ265" s="191" t="s">
        <v>36</v>
      </c>
      <c r="AK265" s="191" t="s">
        <v>57</v>
      </c>
      <c r="AL265" s="191" t="s">
        <v>44</v>
      </c>
      <c r="AM265" s="191" t="s">
        <v>45</v>
      </c>
      <c r="AN265" s="191" t="s">
        <v>44</v>
      </c>
      <c r="AO265" s="191" t="s">
        <v>44</v>
      </c>
      <c r="AP265" s="191" t="s">
        <v>44</v>
      </c>
    </row>
    <row r="266" spans="1:42" ht="29">
      <c r="A266" s="191" t="s">
        <v>1534</v>
      </c>
      <c r="B266" s="190">
        <v>3</v>
      </c>
      <c r="C266" s="190">
        <v>7</v>
      </c>
      <c r="D266" s="190">
        <v>9</v>
      </c>
      <c r="E266" s="191" t="s">
        <v>315</v>
      </c>
      <c r="F266" s="190">
        <v>2</v>
      </c>
      <c r="G266" s="191" t="s">
        <v>36</v>
      </c>
      <c r="H266" s="190">
        <v>1</v>
      </c>
      <c r="I266" s="190">
        <v>90</v>
      </c>
      <c r="J266" s="191" t="s">
        <v>65</v>
      </c>
      <c r="K266" s="191" t="s">
        <v>40</v>
      </c>
      <c r="L266" s="191" t="s">
        <v>67</v>
      </c>
      <c r="M266" s="191" t="s">
        <v>37</v>
      </c>
      <c r="N266" s="191" t="s">
        <v>58</v>
      </c>
      <c r="O266" s="191" t="s">
        <v>288</v>
      </c>
      <c r="P266" s="191" t="s">
        <v>41</v>
      </c>
      <c r="Q266" s="191" t="s">
        <v>43</v>
      </c>
      <c r="R266" s="191" t="s">
        <v>87</v>
      </c>
      <c r="S266" s="191" t="s">
        <v>48</v>
      </c>
      <c r="T266" s="191" t="s">
        <v>44</v>
      </c>
      <c r="U266" s="191" t="s">
        <v>61</v>
      </c>
      <c r="V266" s="191" t="s">
        <v>1139</v>
      </c>
      <c r="W266" s="191" t="s">
        <v>43</v>
      </c>
      <c r="X266" s="191" t="s">
        <v>44</v>
      </c>
      <c r="Y266" s="191" t="s">
        <v>47</v>
      </c>
      <c r="Z266" s="191" t="s">
        <v>47</v>
      </c>
      <c r="AA266" s="191" t="s">
        <v>62</v>
      </c>
      <c r="AB266" s="191" t="s">
        <v>50</v>
      </c>
      <c r="AC266" s="191" t="s">
        <v>43</v>
      </c>
      <c r="AD266" s="191" t="s">
        <v>72</v>
      </c>
      <c r="AE266" s="191" t="s">
        <v>44</v>
      </c>
      <c r="AF266" s="191" t="s">
        <v>130</v>
      </c>
      <c r="AG266" s="191" t="s">
        <v>47</v>
      </c>
      <c r="AH266" s="191" t="s">
        <v>44</v>
      </c>
      <c r="AI266" s="191" t="s">
        <v>134</v>
      </c>
      <c r="AJ266" s="191" t="s">
        <v>36</v>
      </c>
      <c r="AK266" s="191" t="s">
        <v>73</v>
      </c>
      <c r="AL266" s="191" t="s">
        <v>44</v>
      </c>
      <c r="AM266" s="191" t="s">
        <v>45</v>
      </c>
      <c r="AN266" s="191" t="s">
        <v>44</v>
      </c>
      <c r="AO266" s="191" t="s">
        <v>44</v>
      </c>
      <c r="AP266" s="191" t="s">
        <v>44</v>
      </c>
    </row>
    <row r="267" spans="1:42" ht="29">
      <c r="A267" s="191" t="s">
        <v>1535</v>
      </c>
      <c r="B267" s="190">
        <v>3</v>
      </c>
      <c r="C267" s="190">
        <v>7</v>
      </c>
      <c r="D267" s="190">
        <v>7</v>
      </c>
      <c r="E267" s="191" t="s">
        <v>318</v>
      </c>
      <c r="F267" s="190">
        <v>2</v>
      </c>
      <c r="G267" s="191" t="s">
        <v>36</v>
      </c>
      <c r="H267" s="190">
        <v>1</v>
      </c>
      <c r="I267" s="190">
        <v>120</v>
      </c>
      <c r="J267" s="191" t="s">
        <v>34</v>
      </c>
      <c r="K267" s="191" t="s">
        <v>81</v>
      </c>
      <c r="L267" s="191" t="s">
        <v>36</v>
      </c>
      <c r="M267" s="191" t="s">
        <v>37</v>
      </c>
      <c r="N267" s="191" t="s">
        <v>58</v>
      </c>
      <c r="O267" s="191" t="s">
        <v>288</v>
      </c>
      <c r="P267" s="191" t="s">
        <v>41</v>
      </c>
      <c r="Q267" s="191" t="s">
        <v>59</v>
      </c>
      <c r="R267" s="191" t="s">
        <v>42</v>
      </c>
      <c r="S267" s="191" t="s">
        <v>48</v>
      </c>
      <c r="T267" s="191" t="s">
        <v>44</v>
      </c>
      <c r="U267" s="191" t="s">
        <v>117</v>
      </c>
      <c r="V267" s="191" t="s">
        <v>1139</v>
      </c>
      <c r="W267" s="191" t="s">
        <v>47</v>
      </c>
      <c r="X267" s="191" t="s">
        <v>44</v>
      </c>
      <c r="Y267" s="191" t="s">
        <v>46</v>
      </c>
      <c r="Z267" s="191" t="s">
        <v>43</v>
      </c>
      <c r="AA267" s="191" t="s">
        <v>62</v>
      </c>
      <c r="AB267" s="191" t="s">
        <v>50</v>
      </c>
      <c r="AC267" s="191" t="s">
        <v>47</v>
      </c>
      <c r="AD267" s="191" t="s">
        <v>91</v>
      </c>
      <c r="AE267" s="191" t="s">
        <v>44</v>
      </c>
      <c r="AF267" s="191" t="s">
        <v>95</v>
      </c>
      <c r="AG267" s="191" t="s">
        <v>43</v>
      </c>
      <c r="AH267" s="191" t="s">
        <v>44</v>
      </c>
      <c r="AI267" s="191" t="s">
        <v>39</v>
      </c>
      <c r="AJ267" s="191" t="s">
        <v>36</v>
      </c>
      <c r="AK267" s="191" t="s">
        <v>77</v>
      </c>
      <c r="AL267" s="191" t="s">
        <v>44</v>
      </c>
      <c r="AM267" s="191" t="s">
        <v>45</v>
      </c>
      <c r="AN267" s="191" t="s">
        <v>44</v>
      </c>
      <c r="AO267" s="191" t="s">
        <v>44</v>
      </c>
      <c r="AP267" s="191" t="s">
        <v>44</v>
      </c>
    </row>
    <row r="268" spans="1:42" ht="29">
      <c r="A268" s="191" t="s">
        <v>1536</v>
      </c>
      <c r="B268" s="190">
        <v>3</v>
      </c>
      <c r="C268" s="190">
        <v>5</v>
      </c>
      <c r="D268" s="190">
        <v>3</v>
      </c>
      <c r="E268" s="191" t="s">
        <v>311</v>
      </c>
      <c r="F268" s="190">
        <v>5</v>
      </c>
      <c r="G268" s="191" t="s">
        <v>36</v>
      </c>
      <c r="H268" s="190">
        <v>1</v>
      </c>
      <c r="I268" s="190">
        <v>130</v>
      </c>
      <c r="J268" s="191" t="s">
        <v>65</v>
      </c>
      <c r="K268" s="191" t="s">
        <v>81</v>
      </c>
      <c r="L268" s="191" t="s">
        <v>36</v>
      </c>
      <c r="M268" s="191" t="s">
        <v>37</v>
      </c>
      <c r="N268" s="191" t="s">
        <v>58</v>
      </c>
      <c r="O268" s="191" t="s">
        <v>288</v>
      </c>
      <c r="P268" s="191" t="s">
        <v>41</v>
      </c>
      <c r="Q268" s="191" t="s">
        <v>139</v>
      </c>
      <c r="R268" s="191" t="s">
        <v>87</v>
      </c>
      <c r="S268" s="191" t="s">
        <v>48</v>
      </c>
      <c r="T268" s="191" t="s">
        <v>44</v>
      </c>
      <c r="U268" s="191" t="s">
        <v>119</v>
      </c>
      <c r="V268" s="191" t="s">
        <v>1512</v>
      </c>
      <c r="W268" s="191" t="s">
        <v>47</v>
      </c>
      <c r="X268" s="191" t="s">
        <v>44</v>
      </c>
      <c r="Y268" s="191" t="s">
        <v>47</v>
      </c>
      <c r="Z268" s="191" t="s">
        <v>47</v>
      </c>
      <c r="AA268" s="191" t="s">
        <v>49</v>
      </c>
      <c r="AB268" s="191" t="s">
        <v>84</v>
      </c>
      <c r="AC268" s="191" t="s">
        <v>43</v>
      </c>
      <c r="AD268" s="191" t="s">
        <v>72</v>
      </c>
      <c r="AE268" s="191" t="s">
        <v>44</v>
      </c>
      <c r="AF268" s="191" t="s">
        <v>95</v>
      </c>
      <c r="AG268" s="191" t="s">
        <v>47</v>
      </c>
      <c r="AH268" s="191" t="s">
        <v>44</v>
      </c>
      <c r="AI268" s="191" t="s">
        <v>134</v>
      </c>
      <c r="AJ268" s="191" t="s">
        <v>36</v>
      </c>
      <c r="AK268" s="191" t="s">
        <v>73</v>
      </c>
      <c r="AL268" s="191" t="s">
        <v>44</v>
      </c>
      <c r="AM268" s="191" t="s">
        <v>45</v>
      </c>
      <c r="AN268" s="191" t="s">
        <v>44</v>
      </c>
      <c r="AO268" s="191" t="s">
        <v>44</v>
      </c>
      <c r="AP268" s="191" t="s">
        <v>44</v>
      </c>
    </row>
    <row r="269" spans="1:42" ht="29">
      <c r="A269" s="191" t="s">
        <v>1537</v>
      </c>
      <c r="B269" s="190">
        <v>3</v>
      </c>
      <c r="C269" s="190">
        <v>7</v>
      </c>
      <c r="D269" s="190">
        <v>7</v>
      </c>
      <c r="E269" s="191" t="s">
        <v>318</v>
      </c>
      <c r="F269" s="190">
        <v>2</v>
      </c>
      <c r="G269" s="191" t="s">
        <v>36</v>
      </c>
      <c r="H269" s="190">
        <v>1</v>
      </c>
      <c r="I269" s="190">
        <v>115</v>
      </c>
      <c r="J269" s="191" t="s">
        <v>65</v>
      </c>
      <c r="K269" s="191" t="s">
        <v>40</v>
      </c>
      <c r="L269" s="191" t="s">
        <v>36</v>
      </c>
      <c r="M269" s="191" t="s">
        <v>37</v>
      </c>
      <c r="N269" s="191" t="s">
        <v>95</v>
      </c>
      <c r="O269" s="191" t="s">
        <v>39</v>
      </c>
      <c r="P269" s="191" t="s">
        <v>41</v>
      </c>
      <c r="Q269" s="191" t="s">
        <v>149</v>
      </c>
      <c r="R269" s="191" t="s">
        <v>60</v>
      </c>
      <c r="S269" s="191" t="s">
        <v>48</v>
      </c>
      <c r="T269" s="191" t="s">
        <v>44</v>
      </c>
      <c r="U269" s="191" t="s">
        <v>1111</v>
      </c>
      <c r="V269" s="191" t="s">
        <v>1119</v>
      </c>
      <c r="W269" s="191" t="s">
        <v>47</v>
      </c>
      <c r="X269" s="191" t="s">
        <v>44</v>
      </c>
      <c r="Y269" s="191" t="s">
        <v>47</v>
      </c>
      <c r="Z269" s="191" t="s">
        <v>43</v>
      </c>
      <c r="AA269" s="191" t="s">
        <v>49</v>
      </c>
      <c r="AB269" s="191" t="s">
        <v>50</v>
      </c>
      <c r="AC269" s="191" t="s">
        <v>43</v>
      </c>
      <c r="AD269" s="191" t="s">
        <v>72</v>
      </c>
      <c r="AE269" s="191" t="s">
        <v>44</v>
      </c>
      <c r="AF269" s="191" t="s">
        <v>95</v>
      </c>
      <c r="AG269" s="191" t="s">
        <v>43</v>
      </c>
      <c r="AH269" s="191" t="s">
        <v>44</v>
      </c>
      <c r="AI269" s="191" t="s">
        <v>39</v>
      </c>
      <c r="AJ269" s="191" t="s">
        <v>36</v>
      </c>
      <c r="AK269" s="191" t="s">
        <v>59</v>
      </c>
      <c r="AL269" s="191" t="s">
        <v>44</v>
      </c>
      <c r="AM269" s="191" t="s">
        <v>45</v>
      </c>
      <c r="AN269" s="191" t="s">
        <v>44</v>
      </c>
      <c r="AO269" s="191" t="s">
        <v>44</v>
      </c>
      <c r="AP269" s="191" t="s">
        <v>44</v>
      </c>
    </row>
    <row r="270" spans="1:42" ht="29">
      <c r="A270" s="191" t="s">
        <v>1538</v>
      </c>
      <c r="B270" s="190">
        <v>3</v>
      </c>
      <c r="C270" s="190">
        <v>3</v>
      </c>
      <c r="D270" s="190">
        <v>3</v>
      </c>
      <c r="E270" s="191" t="s">
        <v>311</v>
      </c>
      <c r="F270" s="190">
        <v>4</v>
      </c>
      <c r="G270" s="191" t="s">
        <v>36</v>
      </c>
      <c r="H270" s="190">
        <v>1</v>
      </c>
      <c r="I270" s="190">
        <v>100</v>
      </c>
      <c r="J270" s="191" t="s">
        <v>34</v>
      </c>
      <c r="K270" s="191" t="s">
        <v>47</v>
      </c>
      <c r="L270" s="191" t="s">
        <v>36</v>
      </c>
      <c r="M270" s="191" t="s">
        <v>37</v>
      </c>
      <c r="N270" s="191" t="s">
        <v>95</v>
      </c>
      <c r="O270" s="191" t="s">
        <v>288</v>
      </c>
      <c r="P270" s="191" t="s">
        <v>41</v>
      </c>
      <c r="Q270" s="191" t="s">
        <v>147</v>
      </c>
      <c r="R270" s="191" t="s">
        <v>87</v>
      </c>
      <c r="S270" s="191" t="s">
        <v>48</v>
      </c>
      <c r="T270" s="191" t="s">
        <v>44</v>
      </c>
      <c r="U270" s="191" t="s">
        <v>61</v>
      </c>
      <c r="V270" s="191" t="s">
        <v>1139</v>
      </c>
      <c r="W270" s="191" t="s">
        <v>43</v>
      </c>
      <c r="X270" s="191" t="s">
        <v>44</v>
      </c>
      <c r="Y270" s="191" t="s">
        <v>45</v>
      </c>
      <c r="Z270" s="191" t="s">
        <v>43</v>
      </c>
      <c r="AA270" s="191" t="s">
        <v>105</v>
      </c>
      <c r="AB270" s="191" t="s">
        <v>50</v>
      </c>
      <c r="AC270" s="191" t="s">
        <v>43</v>
      </c>
      <c r="AD270" s="191" t="s">
        <v>72</v>
      </c>
      <c r="AE270" s="191" t="s">
        <v>44</v>
      </c>
      <c r="AF270" s="191" t="s">
        <v>95</v>
      </c>
      <c r="AG270" s="191" t="s">
        <v>47</v>
      </c>
      <c r="AH270" s="191" t="s">
        <v>44</v>
      </c>
      <c r="AI270" s="191" t="s">
        <v>39</v>
      </c>
      <c r="AJ270" s="191" t="s">
        <v>36</v>
      </c>
      <c r="AK270" s="191" t="s">
        <v>73</v>
      </c>
      <c r="AL270" s="191" t="s">
        <v>44</v>
      </c>
      <c r="AM270" s="191" t="s">
        <v>45</v>
      </c>
      <c r="AN270" s="191" t="s">
        <v>44</v>
      </c>
      <c r="AO270" s="191" t="s">
        <v>44</v>
      </c>
      <c r="AP270" s="191" t="s">
        <v>44</v>
      </c>
    </row>
    <row r="271" spans="1:42" ht="29">
      <c r="A271" s="191" t="s">
        <v>1539</v>
      </c>
      <c r="B271" s="190">
        <v>3</v>
      </c>
      <c r="C271" s="190">
        <v>7</v>
      </c>
      <c r="D271" s="190">
        <v>4</v>
      </c>
      <c r="E271" s="191" t="s">
        <v>318</v>
      </c>
      <c r="F271" s="190">
        <v>2</v>
      </c>
      <c r="G271" s="191" t="s">
        <v>36</v>
      </c>
      <c r="H271" s="190">
        <v>1</v>
      </c>
      <c r="I271" s="190">
        <v>100</v>
      </c>
      <c r="J271" s="191" t="s">
        <v>54</v>
      </c>
      <c r="K271" s="191" t="s">
        <v>61</v>
      </c>
      <c r="L271" s="191" t="s">
        <v>36</v>
      </c>
      <c r="M271" s="191" t="s">
        <v>37</v>
      </c>
      <c r="N271" s="191" t="s">
        <v>95</v>
      </c>
      <c r="O271" s="191" t="s">
        <v>39</v>
      </c>
      <c r="P271" s="191" t="s">
        <v>41</v>
      </c>
      <c r="Q271" s="191" t="s">
        <v>40</v>
      </c>
      <c r="R271" s="191" t="s">
        <v>87</v>
      </c>
      <c r="S271" s="191" t="s">
        <v>48</v>
      </c>
      <c r="T271" s="191" t="s">
        <v>44</v>
      </c>
      <c r="U271" s="191" t="s">
        <v>666</v>
      </c>
      <c r="V271" s="191" t="s">
        <v>44</v>
      </c>
      <c r="W271" s="191" t="s">
        <v>46</v>
      </c>
      <c r="X271" s="191" t="s">
        <v>44</v>
      </c>
      <c r="Y271" s="191" t="s">
        <v>45</v>
      </c>
      <c r="Z271" s="191" t="s">
        <v>43</v>
      </c>
      <c r="AA271" s="191" t="s">
        <v>49</v>
      </c>
      <c r="AB271" s="191" t="s">
        <v>84</v>
      </c>
      <c r="AC271" s="191" t="s">
        <v>47</v>
      </c>
      <c r="AD271" s="191" t="s">
        <v>91</v>
      </c>
      <c r="AE271" s="191" t="s">
        <v>44</v>
      </c>
      <c r="AF271" s="191" t="s">
        <v>95</v>
      </c>
      <c r="AG271" s="191" t="s">
        <v>43</v>
      </c>
      <c r="AH271" s="191" t="s">
        <v>44</v>
      </c>
      <c r="AI271" s="191" t="s">
        <v>39</v>
      </c>
      <c r="AJ271" s="191" t="s">
        <v>36</v>
      </c>
      <c r="AK271" s="191" t="s">
        <v>59</v>
      </c>
      <c r="AL271" s="191" t="s">
        <v>44</v>
      </c>
      <c r="AM271" s="191" t="s">
        <v>45</v>
      </c>
      <c r="AN271" s="191" t="s">
        <v>44</v>
      </c>
      <c r="AO271" s="191" t="s">
        <v>44</v>
      </c>
      <c r="AP271" s="191" t="s">
        <v>44</v>
      </c>
    </row>
    <row r="272" spans="1:42" ht="29">
      <c r="A272" s="191" t="s">
        <v>1540</v>
      </c>
      <c r="B272" s="190">
        <v>3</v>
      </c>
      <c r="C272" s="190">
        <v>7</v>
      </c>
      <c r="D272" s="190">
        <v>7</v>
      </c>
      <c r="E272" s="191" t="s">
        <v>315</v>
      </c>
      <c r="F272" s="190">
        <v>2</v>
      </c>
      <c r="G272" s="191" t="s">
        <v>36</v>
      </c>
      <c r="H272" s="190">
        <v>1</v>
      </c>
      <c r="I272" s="190">
        <v>90</v>
      </c>
      <c r="J272" s="191" t="s">
        <v>54</v>
      </c>
      <c r="K272" s="191" t="s">
        <v>81</v>
      </c>
      <c r="L272" s="191" t="s">
        <v>36</v>
      </c>
      <c r="M272" s="191" t="s">
        <v>37</v>
      </c>
      <c r="N272" s="191" t="s">
        <v>58</v>
      </c>
      <c r="O272" s="191" t="s">
        <v>39</v>
      </c>
      <c r="P272" s="191" t="s">
        <v>41</v>
      </c>
      <c r="Q272" s="191" t="s">
        <v>40</v>
      </c>
      <c r="R272" s="191" t="s">
        <v>42</v>
      </c>
      <c r="S272" s="191" t="s">
        <v>48</v>
      </c>
      <c r="T272" s="191" t="s">
        <v>44</v>
      </c>
      <c r="U272" s="191" t="s">
        <v>89</v>
      </c>
      <c r="V272" s="191" t="s">
        <v>1139</v>
      </c>
      <c r="W272" s="191" t="s">
        <v>43</v>
      </c>
      <c r="X272" s="191" t="s">
        <v>44</v>
      </c>
      <c r="Y272" s="191" t="s">
        <v>45</v>
      </c>
      <c r="Z272" s="191" t="s">
        <v>43</v>
      </c>
      <c r="AA272" s="191" t="s">
        <v>62</v>
      </c>
      <c r="AB272" s="191" t="s">
        <v>84</v>
      </c>
      <c r="AC272" s="191" t="s">
        <v>43</v>
      </c>
      <c r="AD272" s="191" t="s">
        <v>91</v>
      </c>
      <c r="AE272" s="191" t="s">
        <v>44</v>
      </c>
      <c r="AF272" s="191" t="s">
        <v>95</v>
      </c>
      <c r="AG272" s="191" t="s">
        <v>43</v>
      </c>
      <c r="AH272" s="191" t="s">
        <v>44</v>
      </c>
      <c r="AI272" s="191" t="s">
        <v>39</v>
      </c>
      <c r="AJ272" s="191" t="s">
        <v>36</v>
      </c>
      <c r="AK272" s="191" t="s">
        <v>85</v>
      </c>
      <c r="AL272" s="191" t="s">
        <v>44</v>
      </c>
      <c r="AM272" s="191" t="s">
        <v>43</v>
      </c>
      <c r="AN272" s="191" t="s">
        <v>44</v>
      </c>
      <c r="AO272" s="191" t="s">
        <v>44</v>
      </c>
      <c r="AP272" s="191" t="s">
        <v>44</v>
      </c>
    </row>
    <row r="273" spans="1:42" ht="43.5">
      <c r="A273" s="191" t="s">
        <v>1541</v>
      </c>
      <c r="B273" s="190">
        <v>3</v>
      </c>
      <c r="C273" s="190">
        <v>2</v>
      </c>
      <c r="D273" s="190">
        <v>3</v>
      </c>
      <c r="E273" s="191" t="s">
        <v>315</v>
      </c>
      <c r="F273" s="190">
        <v>2</v>
      </c>
      <c r="G273" s="191" t="s">
        <v>36</v>
      </c>
      <c r="H273" s="190">
        <v>1</v>
      </c>
      <c r="I273" s="190">
        <v>120</v>
      </c>
      <c r="J273" s="191" t="s">
        <v>65</v>
      </c>
      <c r="K273" s="191" t="s">
        <v>61</v>
      </c>
      <c r="L273" s="191" t="s">
        <v>36</v>
      </c>
      <c r="M273" s="191" t="s">
        <v>37</v>
      </c>
      <c r="N273" s="191" t="s">
        <v>58</v>
      </c>
      <c r="O273" s="191" t="s">
        <v>288</v>
      </c>
      <c r="P273" s="191" t="s">
        <v>56</v>
      </c>
      <c r="Q273" s="191" t="s">
        <v>106</v>
      </c>
      <c r="R273" s="191" t="s">
        <v>60</v>
      </c>
      <c r="S273" s="191" t="s">
        <v>48</v>
      </c>
      <c r="T273" s="191" t="s">
        <v>44</v>
      </c>
      <c r="U273" s="191" t="s">
        <v>45</v>
      </c>
      <c r="V273" s="191" t="s">
        <v>1139</v>
      </c>
      <c r="W273" s="191" t="s">
        <v>43</v>
      </c>
      <c r="X273" s="191" t="s">
        <v>44</v>
      </c>
      <c r="Y273" s="191" t="s">
        <v>43</v>
      </c>
      <c r="Z273" s="191" t="s">
        <v>43</v>
      </c>
      <c r="AA273" s="191" t="s">
        <v>49</v>
      </c>
      <c r="AB273" s="191" t="s">
        <v>84</v>
      </c>
      <c r="AC273" s="191" t="s">
        <v>43</v>
      </c>
      <c r="AD273" s="191" t="s">
        <v>72</v>
      </c>
      <c r="AE273" s="191" t="s">
        <v>44</v>
      </c>
      <c r="AF273" s="191" t="s">
        <v>95</v>
      </c>
      <c r="AG273" s="191" t="s">
        <v>47</v>
      </c>
      <c r="AH273" s="191" t="s">
        <v>44</v>
      </c>
      <c r="AI273" s="191" t="s">
        <v>39</v>
      </c>
      <c r="AJ273" s="191" t="s">
        <v>36</v>
      </c>
      <c r="AK273" s="191" t="s">
        <v>71</v>
      </c>
      <c r="AL273" s="191" t="s">
        <v>44</v>
      </c>
      <c r="AM273" s="191" t="s">
        <v>45</v>
      </c>
      <c r="AN273" s="191" t="s">
        <v>44</v>
      </c>
      <c r="AO273" s="191" t="s">
        <v>44</v>
      </c>
      <c r="AP273" s="191" t="s">
        <v>44</v>
      </c>
    </row>
    <row r="274" spans="1:42" ht="29">
      <c r="A274" s="191" t="s">
        <v>1542</v>
      </c>
      <c r="B274" s="190">
        <v>3</v>
      </c>
      <c r="C274" s="190">
        <v>3</v>
      </c>
      <c r="D274" s="190">
        <v>3</v>
      </c>
      <c r="E274" s="191" t="s">
        <v>307</v>
      </c>
      <c r="F274" s="190">
        <v>3</v>
      </c>
      <c r="G274" s="191" t="s">
        <v>36</v>
      </c>
      <c r="H274" s="190">
        <v>1</v>
      </c>
      <c r="I274" s="190">
        <v>92</v>
      </c>
      <c r="J274" s="191" t="s">
        <v>65</v>
      </c>
      <c r="K274" s="191" t="s">
        <v>61</v>
      </c>
      <c r="L274" s="191" t="s">
        <v>36</v>
      </c>
      <c r="M274" s="191" t="s">
        <v>37</v>
      </c>
      <c r="N274" s="191" t="s">
        <v>95</v>
      </c>
      <c r="O274" s="191" t="s">
        <v>288</v>
      </c>
      <c r="P274" s="191" t="s">
        <v>41</v>
      </c>
      <c r="Q274" s="191" t="s">
        <v>135</v>
      </c>
      <c r="R274" s="191" t="s">
        <v>42</v>
      </c>
      <c r="S274" s="191" t="s">
        <v>48</v>
      </c>
      <c r="T274" s="191" t="s">
        <v>44</v>
      </c>
      <c r="U274" s="191" t="s">
        <v>126</v>
      </c>
      <c r="V274" s="191" t="s">
        <v>1139</v>
      </c>
      <c r="W274" s="191" t="s">
        <v>47</v>
      </c>
      <c r="X274" s="191" t="s">
        <v>44</v>
      </c>
      <c r="Y274" s="191" t="s">
        <v>45</v>
      </c>
      <c r="Z274" s="191" t="s">
        <v>43</v>
      </c>
      <c r="AA274" s="191" t="s">
        <v>62</v>
      </c>
      <c r="AB274" s="191" t="s">
        <v>50</v>
      </c>
      <c r="AC274" s="191" t="s">
        <v>47</v>
      </c>
      <c r="AD274" s="191" t="s">
        <v>72</v>
      </c>
      <c r="AE274" s="191" t="s">
        <v>44</v>
      </c>
      <c r="AF274" s="191" t="s">
        <v>52</v>
      </c>
      <c r="AG274" s="191" t="s">
        <v>47</v>
      </c>
      <c r="AH274" s="191" t="s">
        <v>44</v>
      </c>
      <c r="AI274" s="191" t="s">
        <v>134</v>
      </c>
      <c r="AJ274" s="191" t="s">
        <v>36</v>
      </c>
      <c r="AK274" s="191" t="s">
        <v>43</v>
      </c>
      <c r="AL274" s="191" t="s">
        <v>44</v>
      </c>
      <c r="AM274" s="191" t="s">
        <v>89</v>
      </c>
      <c r="AN274" s="191" t="s">
        <v>44</v>
      </c>
      <c r="AO274" s="191" t="s">
        <v>44</v>
      </c>
      <c r="AP274" s="191" t="s">
        <v>44</v>
      </c>
    </row>
    <row r="275" spans="1:42" ht="29">
      <c r="A275" s="191" t="s">
        <v>1543</v>
      </c>
      <c r="B275" s="190">
        <v>3</v>
      </c>
      <c r="C275" s="190">
        <v>7</v>
      </c>
      <c r="D275" s="190">
        <v>7</v>
      </c>
      <c r="E275" s="191" t="s">
        <v>318</v>
      </c>
      <c r="F275" s="190">
        <v>2</v>
      </c>
      <c r="G275" s="191" t="s">
        <v>36</v>
      </c>
      <c r="H275" s="190">
        <v>1</v>
      </c>
      <c r="I275" s="190">
        <v>110</v>
      </c>
      <c r="J275" s="191" t="s">
        <v>54</v>
      </c>
      <c r="K275" s="191" t="s">
        <v>40</v>
      </c>
      <c r="L275" s="191" t="s">
        <v>36</v>
      </c>
      <c r="M275" s="191" t="s">
        <v>37</v>
      </c>
      <c r="N275" s="191" t="s">
        <v>58</v>
      </c>
      <c r="O275" s="191" t="s">
        <v>288</v>
      </c>
      <c r="P275" s="191" t="s">
        <v>41</v>
      </c>
      <c r="Q275" s="191" t="s">
        <v>43</v>
      </c>
      <c r="R275" s="191" t="s">
        <v>42</v>
      </c>
      <c r="S275" s="191" t="s">
        <v>48</v>
      </c>
      <c r="T275" s="191" t="s">
        <v>44</v>
      </c>
      <c r="U275" s="191" t="s">
        <v>46</v>
      </c>
      <c r="V275" s="191" t="s">
        <v>44</v>
      </c>
      <c r="W275" s="191" t="s">
        <v>47</v>
      </c>
      <c r="X275" s="191" t="s">
        <v>44</v>
      </c>
      <c r="Y275" s="191" t="s">
        <v>45</v>
      </c>
      <c r="Z275" s="191" t="s">
        <v>43</v>
      </c>
      <c r="AA275" s="191" t="s">
        <v>49</v>
      </c>
      <c r="AB275" s="191" t="s">
        <v>84</v>
      </c>
      <c r="AC275" s="191" t="s">
        <v>43</v>
      </c>
      <c r="AD275" s="191" t="s">
        <v>72</v>
      </c>
      <c r="AE275" s="191" t="s">
        <v>44</v>
      </c>
      <c r="AF275" s="191" t="s">
        <v>95</v>
      </c>
      <c r="AG275" s="191" t="s">
        <v>43</v>
      </c>
      <c r="AH275" s="191" t="s">
        <v>44</v>
      </c>
      <c r="AI275" s="191" t="s">
        <v>134</v>
      </c>
      <c r="AJ275" s="191" t="s">
        <v>36</v>
      </c>
      <c r="AK275" s="191" t="s">
        <v>59</v>
      </c>
      <c r="AL275" s="191" t="s">
        <v>44</v>
      </c>
      <c r="AM275" s="191" t="s">
        <v>45</v>
      </c>
      <c r="AN275" s="191" t="s">
        <v>44</v>
      </c>
      <c r="AO275" s="191" t="s">
        <v>44</v>
      </c>
      <c r="AP275" s="191" t="s">
        <v>44</v>
      </c>
    </row>
    <row r="276" spans="1:42" ht="29">
      <c r="A276" s="191" t="s">
        <v>1544</v>
      </c>
      <c r="B276" s="190">
        <v>3</v>
      </c>
      <c r="C276" s="190">
        <v>7</v>
      </c>
      <c r="D276" s="190">
        <v>9</v>
      </c>
      <c r="E276" s="191" t="s">
        <v>318</v>
      </c>
      <c r="F276" s="190">
        <v>1</v>
      </c>
      <c r="G276" s="191" t="s">
        <v>36</v>
      </c>
      <c r="H276" s="190">
        <v>1</v>
      </c>
      <c r="I276" s="190">
        <v>100</v>
      </c>
      <c r="J276" s="191" t="s">
        <v>34</v>
      </c>
      <c r="K276" s="191" t="s">
        <v>61</v>
      </c>
      <c r="L276" s="191" t="s">
        <v>155</v>
      </c>
      <c r="M276" s="191" t="s">
        <v>37</v>
      </c>
      <c r="N276" s="191" t="s">
        <v>58</v>
      </c>
      <c r="O276" s="191" t="s">
        <v>39</v>
      </c>
      <c r="P276" s="191" t="s">
        <v>41</v>
      </c>
      <c r="Q276" s="191" t="s">
        <v>59</v>
      </c>
      <c r="R276" s="191" t="s">
        <v>42</v>
      </c>
      <c r="S276" s="191" t="s">
        <v>48</v>
      </c>
      <c r="T276" s="191" t="s">
        <v>44</v>
      </c>
      <c r="U276" s="191" t="s">
        <v>1115</v>
      </c>
      <c r="V276" s="191" t="s">
        <v>1139</v>
      </c>
      <c r="W276" s="191" t="s">
        <v>43</v>
      </c>
      <c r="X276" s="191" t="s">
        <v>44</v>
      </c>
      <c r="Y276" s="191" t="s">
        <v>47</v>
      </c>
      <c r="Z276" s="191" t="s">
        <v>47</v>
      </c>
      <c r="AA276" s="191" t="s">
        <v>62</v>
      </c>
      <c r="AB276" s="191" t="s">
        <v>84</v>
      </c>
      <c r="AC276" s="191" t="s">
        <v>43</v>
      </c>
      <c r="AD276" s="191" t="s">
        <v>72</v>
      </c>
      <c r="AE276" s="191" t="s">
        <v>44</v>
      </c>
      <c r="AF276" s="191" t="s">
        <v>95</v>
      </c>
      <c r="AG276" s="191" t="s">
        <v>43</v>
      </c>
      <c r="AH276" s="191" t="s">
        <v>44</v>
      </c>
      <c r="AI276" s="191" t="s">
        <v>39</v>
      </c>
      <c r="AJ276" s="191" t="s">
        <v>36</v>
      </c>
      <c r="AK276" s="191" t="s">
        <v>61</v>
      </c>
      <c r="AL276" s="191" t="s">
        <v>1545</v>
      </c>
      <c r="AM276" s="191" t="s">
        <v>46</v>
      </c>
      <c r="AN276" s="191" t="s">
        <v>44</v>
      </c>
      <c r="AO276" s="191" t="s">
        <v>1546</v>
      </c>
      <c r="AP276" s="191" t="s">
        <v>1546</v>
      </c>
    </row>
    <row r="277" spans="1:42" ht="29">
      <c r="A277" s="191" t="s">
        <v>1547</v>
      </c>
      <c r="B277" s="190">
        <v>3</v>
      </c>
      <c r="C277" s="190">
        <v>7</v>
      </c>
      <c r="D277" s="190">
        <v>7</v>
      </c>
      <c r="E277" s="191" t="s">
        <v>315</v>
      </c>
      <c r="F277" s="190">
        <v>2</v>
      </c>
      <c r="G277" s="191" t="s">
        <v>36</v>
      </c>
      <c r="H277" s="190">
        <v>1</v>
      </c>
      <c r="I277" s="190">
        <v>110</v>
      </c>
      <c r="J277" s="191" t="s">
        <v>80</v>
      </c>
      <c r="K277" s="191" t="s">
        <v>81</v>
      </c>
      <c r="L277" s="191" t="s">
        <v>36</v>
      </c>
      <c r="M277" s="191" t="s">
        <v>37</v>
      </c>
      <c r="N277" s="191" t="s">
        <v>58</v>
      </c>
      <c r="O277" s="191" t="s">
        <v>39</v>
      </c>
      <c r="P277" s="191" t="s">
        <v>41</v>
      </c>
      <c r="Q277" s="191" t="s">
        <v>135</v>
      </c>
      <c r="R277" s="191" t="s">
        <v>60</v>
      </c>
      <c r="S277" s="191" t="s">
        <v>48</v>
      </c>
      <c r="T277" s="191" t="s">
        <v>44</v>
      </c>
      <c r="U277" s="191" t="s">
        <v>40</v>
      </c>
      <c r="V277" s="191" t="s">
        <v>44</v>
      </c>
      <c r="W277" s="191" t="s">
        <v>43</v>
      </c>
      <c r="X277" s="191" t="s">
        <v>44</v>
      </c>
      <c r="Y277" s="191" t="s">
        <v>45</v>
      </c>
      <c r="Z277" s="191" t="s">
        <v>43</v>
      </c>
      <c r="AA277" s="191" t="s">
        <v>49</v>
      </c>
      <c r="AB277" s="191" t="s">
        <v>84</v>
      </c>
      <c r="AC277" s="191" t="s">
        <v>43</v>
      </c>
      <c r="AD277" s="191" t="s">
        <v>72</v>
      </c>
      <c r="AE277" s="191" t="s">
        <v>44</v>
      </c>
      <c r="AF277" s="191" t="s">
        <v>95</v>
      </c>
      <c r="AG277" s="191" t="s">
        <v>43</v>
      </c>
      <c r="AH277" s="191" t="s">
        <v>44</v>
      </c>
      <c r="AI277" s="191" t="s">
        <v>39</v>
      </c>
      <c r="AJ277" s="191" t="s">
        <v>36</v>
      </c>
      <c r="AK277" s="191" t="s">
        <v>40</v>
      </c>
      <c r="AL277" s="191" t="s">
        <v>44</v>
      </c>
      <c r="AM277" s="191" t="s">
        <v>89</v>
      </c>
      <c r="AN277" s="191" t="s">
        <v>44</v>
      </c>
      <c r="AO277" s="191" t="s">
        <v>44</v>
      </c>
      <c r="AP277" s="191" t="s">
        <v>44</v>
      </c>
    </row>
    <row r="278" spans="1:42" ht="43.5">
      <c r="A278" s="191" t="s">
        <v>1548</v>
      </c>
      <c r="B278" s="190">
        <v>3</v>
      </c>
      <c r="C278" s="190">
        <v>7</v>
      </c>
      <c r="D278" s="190">
        <v>9</v>
      </c>
      <c r="E278" s="191" t="s">
        <v>318</v>
      </c>
      <c r="F278" s="190">
        <v>1</v>
      </c>
      <c r="G278" s="191" t="s">
        <v>36</v>
      </c>
      <c r="H278" s="190">
        <v>1</v>
      </c>
      <c r="I278" s="190">
        <v>180</v>
      </c>
      <c r="J278" s="191" t="s">
        <v>65</v>
      </c>
      <c r="K278" s="191" t="s">
        <v>40</v>
      </c>
      <c r="L278" s="191" t="s">
        <v>36</v>
      </c>
      <c r="M278" s="191" t="s">
        <v>37</v>
      </c>
      <c r="N278" s="191" t="s">
        <v>38</v>
      </c>
      <c r="O278" s="191" t="s">
        <v>288</v>
      </c>
      <c r="P278" s="191" t="s">
        <v>66</v>
      </c>
      <c r="Q278" s="191" t="s">
        <v>90</v>
      </c>
      <c r="R278" s="191" t="s">
        <v>42</v>
      </c>
      <c r="S278" s="191" t="s">
        <v>48</v>
      </c>
      <c r="T278" s="191" t="s">
        <v>44</v>
      </c>
      <c r="U278" s="191" t="s">
        <v>43</v>
      </c>
      <c r="V278" s="191" t="s">
        <v>1139</v>
      </c>
      <c r="W278" s="191" t="s">
        <v>43</v>
      </c>
      <c r="X278" s="191" t="s">
        <v>44</v>
      </c>
      <c r="Y278" s="191" t="s">
        <v>45</v>
      </c>
      <c r="Z278" s="191" t="s">
        <v>43</v>
      </c>
      <c r="AA278" s="191" t="s">
        <v>62</v>
      </c>
      <c r="AB278" s="191" t="s">
        <v>84</v>
      </c>
      <c r="AC278" s="191" t="s">
        <v>47</v>
      </c>
      <c r="AD278" s="191" t="s">
        <v>72</v>
      </c>
      <c r="AE278" s="191" t="s">
        <v>44</v>
      </c>
      <c r="AF278" s="191" t="s">
        <v>95</v>
      </c>
      <c r="AG278" s="191" t="s">
        <v>47</v>
      </c>
      <c r="AH278" s="191" t="s">
        <v>44</v>
      </c>
      <c r="AI278" s="191" t="s">
        <v>134</v>
      </c>
      <c r="AJ278" s="191" t="s">
        <v>36</v>
      </c>
      <c r="AK278" s="191" t="s">
        <v>114</v>
      </c>
      <c r="AL278" s="191" t="s">
        <v>1145</v>
      </c>
      <c r="AM278" s="191" t="s">
        <v>45</v>
      </c>
      <c r="AN278" s="191" t="s">
        <v>44</v>
      </c>
      <c r="AO278" s="191" t="s">
        <v>44</v>
      </c>
      <c r="AP278" s="191" t="s">
        <v>44</v>
      </c>
    </row>
    <row r="279" spans="1:42" ht="29">
      <c r="A279" s="191" t="s">
        <v>1549</v>
      </c>
      <c r="B279" s="190">
        <v>3</v>
      </c>
      <c r="C279" s="190">
        <v>5</v>
      </c>
      <c r="D279" s="190">
        <v>3</v>
      </c>
      <c r="E279" s="191" t="s">
        <v>311</v>
      </c>
      <c r="F279" s="190">
        <v>4</v>
      </c>
      <c r="G279" s="191" t="s">
        <v>36</v>
      </c>
      <c r="H279" s="190">
        <v>1</v>
      </c>
      <c r="I279" s="190">
        <v>120</v>
      </c>
      <c r="J279" s="191" t="s">
        <v>34</v>
      </c>
      <c r="K279" s="191" t="s">
        <v>61</v>
      </c>
      <c r="L279" s="191" t="s">
        <v>36</v>
      </c>
      <c r="M279" s="191" t="s">
        <v>37</v>
      </c>
      <c r="N279" s="191" t="s">
        <v>58</v>
      </c>
      <c r="O279" s="191" t="s">
        <v>39</v>
      </c>
      <c r="P279" s="191" t="s">
        <v>41</v>
      </c>
      <c r="Q279" s="191" t="s">
        <v>59</v>
      </c>
      <c r="R279" s="191" t="s">
        <v>60</v>
      </c>
      <c r="S279" s="191" t="s">
        <v>48</v>
      </c>
      <c r="T279" s="191" t="s">
        <v>44</v>
      </c>
      <c r="U279" s="191" t="s">
        <v>117</v>
      </c>
      <c r="V279" s="191" t="s">
        <v>1139</v>
      </c>
      <c r="W279" s="191" t="s">
        <v>43</v>
      </c>
      <c r="X279" s="191" t="s">
        <v>44</v>
      </c>
      <c r="Y279" s="191" t="s">
        <v>45</v>
      </c>
      <c r="Z279" s="191" t="s">
        <v>43</v>
      </c>
      <c r="AA279" s="191" t="s">
        <v>62</v>
      </c>
      <c r="AB279" s="191" t="s">
        <v>50</v>
      </c>
      <c r="AC279" s="191" t="s">
        <v>43</v>
      </c>
      <c r="AD279" s="191" t="s">
        <v>72</v>
      </c>
      <c r="AE279" s="191" t="s">
        <v>44</v>
      </c>
      <c r="AF279" s="191" t="s">
        <v>95</v>
      </c>
      <c r="AG279" s="191" t="s">
        <v>47</v>
      </c>
      <c r="AH279" s="191" t="s">
        <v>44</v>
      </c>
      <c r="AI279" s="191" t="s">
        <v>39</v>
      </c>
      <c r="AJ279" s="191" t="s">
        <v>36</v>
      </c>
      <c r="AK279" s="191" t="s">
        <v>59</v>
      </c>
      <c r="AL279" s="191" t="s">
        <v>44</v>
      </c>
      <c r="AM279" s="191" t="s">
        <v>1550</v>
      </c>
      <c r="AN279" s="191" t="s">
        <v>44</v>
      </c>
      <c r="AO279" s="191" t="s">
        <v>44</v>
      </c>
      <c r="AP279" s="191" t="s">
        <v>44</v>
      </c>
    </row>
    <row r="280" spans="1:42" ht="29">
      <c r="A280" s="191" t="s">
        <v>1551</v>
      </c>
      <c r="B280" s="190">
        <v>3</v>
      </c>
      <c r="C280" s="190">
        <v>8</v>
      </c>
      <c r="D280" s="190">
        <v>9</v>
      </c>
      <c r="E280" s="191" t="s">
        <v>315</v>
      </c>
      <c r="F280" s="190">
        <v>2</v>
      </c>
      <c r="G280" s="191" t="s">
        <v>36</v>
      </c>
      <c r="H280" s="190">
        <v>1</v>
      </c>
      <c r="I280" s="190">
        <v>100</v>
      </c>
      <c r="J280" s="191" t="s">
        <v>65</v>
      </c>
      <c r="K280" s="191" t="s">
        <v>40</v>
      </c>
      <c r="L280" s="191" t="s">
        <v>36</v>
      </c>
      <c r="M280" s="191" t="s">
        <v>37</v>
      </c>
      <c r="N280" s="191" t="s">
        <v>95</v>
      </c>
      <c r="O280" s="191" t="s">
        <v>39</v>
      </c>
      <c r="P280" s="191" t="s">
        <v>41</v>
      </c>
      <c r="Q280" s="191" t="s">
        <v>59</v>
      </c>
      <c r="R280" s="191" t="s">
        <v>87</v>
      </c>
      <c r="S280" s="191" t="s">
        <v>48</v>
      </c>
      <c r="T280" s="191" t="s">
        <v>44</v>
      </c>
      <c r="U280" s="191" t="s">
        <v>44</v>
      </c>
      <c r="V280" s="191" t="s">
        <v>44</v>
      </c>
      <c r="W280" s="191" t="s">
        <v>78</v>
      </c>
      <c r="X280" s="191" t="s">
        <v>44</v>
      </c>
      <c r="Y280" s="191" t="s">
        <v>45</v>
      </c>
      <c r="Z280" s="191" t="s">
        <v>43</v>
      </c>
      <c r="AA280" s="191" t="s">
        <v>49</v>
      </c>
      <c r="AB280" s="191" t="s">
        <v>84</v>
      </c>
      <c r="AC280" s="191" t="s">
        <v>43</v>
      </c>
      <c r="AD280" s="191" t="s">
        <v>72</v>
      </c>
      <c r="AE280" s="191" t="s">
        <v>44</v>
      </c>
      <c r="AF280" s="191" t="s">
        <v>95</v>
      </c>
      <c r="AG280" s="191" t="s">
        <v>43</v>
      </c>
      <c r="AH280" s="191" t="s">
        <v>44</v>
      </c>
      <c r="AI280" s="191" t="s">
        <v>39</v>
      </c>
      <c r="AJ280" s="191" t="s">
        <v>36</v>
      </c>
      <c r="AK280" s="191" t="s">
        <v>35</v>
      </c>
      <c r="AL280" s="191" t="s">
        <v>44</v>
      </c>
      <c r="AM280" s="191" t="s">
        <v>46</v>
      </c>
      <c r="AN280" s="191" t="s">
        <v>44</v>
      </c>
      <c r="AO280" s="191" t="s">
        <v>1546</v>
      </c>
      <c r="AP280" s="191" t="s">
        <v>1546</v>
      </c>
    </row>
    <row r="281" spans="1:42" ht="43.5">
      <c r="A281" s="191" t="s">
        <v>1552</v>
      </c>
      <c r="B281" s="190">
        <v>3</v>
      </c>
      <c r="C281" s="190">
        <v>7</v>
      </c>
      <c r="D281" s="190">
        <v>7</v>
      </c>
      <c r="E281" s="191" t="s">
        <v>318</v>
      </c>
      <c r="F281" s="190">
        <v>2</v>
      </c>
      <c r="G281" s="191" t="s">
        <v>36</v>
      </c>
      <c r="H281" s="190">
        <v>1</v>
      </c>
      <c r="I281" s="190">
        <v>160</v>
      </c>
      <c r="J281" s="191" t="s">
        <v>80</v>
      </c>
      <c r="K281" s="191" t="s">
        <v>61</v>
      </c>
      <c r="L281" s="191" t="s">
        <v>305</v>
      </c>
      <c r="M281" s="191" t="s">
        <v>37</v>
      </c>
      <c r="N281" s="191" t="s">
        <v>38</v>
      </c>
      <c r="O281" s="191" t="s">
        <v>288</v>
      </c>
      <c r="P281" s="191" t="s">
        <v>66</v>
      </c>
      <c r="Q281" s="191" t="s">
        <v>90</v>
      </c>
      <c r="R281" s="191" t="s">
        <v>82</v>
      </c>
      <c r="S281" s="191" t="s">
        <v>48</v>
      </c>
      <c r="T281" s="191" t="s">
        <v>44</v>
      </c>
      <c r="U281" s="191" t="s">
        <v>46</v>
      </c>
      <c r="V281" s="191" t="s">
        <v>1139</v>
      </c>
      <c r="W281" s="191" t="s">
        <v>78</v>
      </c>
      <c r="X281" s="191" t="s">
        <v>44</v>
      </c>
      <c r="Y281" s="191" t="s">
        <v>43</v>
      </c>
      <c r="Z281" s="191" t="s">
        <v>47</v>
      </c>
      <c r="AA281" s="191" t="s">
        <v>62</v>
      </c>
      <c r="AB281" s="191" t="s">
        <v>50</v>
      </c>
      <c r="AC281" s="191" t="s">
        <v>47</v>
      </c>
      <c r="AD281" s="191" t="s">
        <v>72</v>
      </c>
      <c r="AE281" s="191" t="s">
        <v>44</v>
      </c>
      <c r="AF281" s="191" t="s">
        <v>52</v>
      </c>
      <c r="AG281" s="191" t="s">
        <v>47</v>
      </c>
      <c r="AH281" s="191" t="s">
        <v>44</v>
      </c>
      <c r="AI281" s="191" t="s">
        <v>134</v>
      </c>
      <c r="AJ281" s="191" t="s">
        <v>36</v>
      </c>
      <c r="AK281" s="191" t="s">
        <v>63</v>
      </c>
      <c r="AL281" s="191" t="s">
        <v>44</v>
      </c>
      <c r="AM281" s="191" t="s">
        <v>111</v>
      </c>
      <c r="AN281" s="191" t="s">
        <v>44</v>
      </c>
      <c r="AO281" s="191" t="s">
        <v>44</v>
      </c>
      <c r="AP281" s="191" t="s">
        <v>44</v>
      </c>
    </row>
    <row r="282" spans="1:42" ht="29">
      <c r="A282" s="191" t="s">
        <v>1553</v>
      </c>
      <c r="B282" s="190">
        <v>3</v>
      </c>
      <c r="C282" s="190">
        <v>7</v>
      </c>
      <c r="D282" s="190">
        <v>7</v>
      </c>
      <c r="E282" s="191" t="s">
        <v>318</v>
      </c>
      <c r="F282" s="190">
        <v>2</v>
      </c>
      <c r="G282" s="191" t="s">
        <v>36</v>
      </c>
      <c r="H282" s="190">
        <v>1</v>
      </c>
      <c r="I282" s="190">
        <v>100</v>
      </c>
      <c r="J282" s="191" t="s">
        <v>54</v>
      </c>
      <c r="K282" s="191" t="s">
        <v>40</v>
      </c>
      <c r="L282" s="191" t="s">
        <v>36</v>
      </c>
      <c r="M282" s="191" t="s">
        <v>37</v>
      </c>
      <c r="N282" s="191" t="s">
        <v>58</v>
      </c>
      <c r="O282" s="191" t="s">
        <v>39</v>
      </c>
      <c r="P282" s="191" t="s">
        <v>41</v>
      </c>
      <c r="Q282" s="191" t="s">
        <v>40</v>
      </c>
      <c r="R282" s="191" t="s">
        <v>42</v>
      </c>
      <c r="S282" s="191" t="s">
        <v>48</v>
      </c>
      <c r="T282" s="191" t="s">
        <v>44</v>
      </c>
      <c r="U282" s="191" t="s">
        <v>74</v>
      </c>
      <c r="V282" s="191" t="s">
        <v>1139</v>
      </c>
      <c r="W282" s="191" t="s">
        <v>43</v>
      </c>
      <c r="X282" s="191" t="s">
        <v>44</v>
      </c>
      <c r="Y282" s="191" t="s">
        <v>45</v>
      </c>
      <c r="Z282" s="191" t="s">
        <v>43</v>
      </c>
      <c r="AA282" s="191" t="s">
        <v>62</v>
      </c>
      <c r="AB282" s="191" t="s">
        <v>50</v>
      </c>
      <c r="AC282" s="191" t="s">
        <v>43</v>
      </c>
      <c r="AD282" s="191" t="s">
        <v>72</v>
      </c>
      <c r="AE282" s="191" t="s">
        <v>44</v>
      </c>
      <c r="AF282" s="191" t="s">
        <v>95</v>
      </c>
      <c r="AG282" s="191" t="s">
        <v>43</v>
      </c>
      <c r="AH282" s="191" t="s">
        <v>44</v>
      </c>
      <c r="AI282" s="191" t="s">
        <v>39</v>
      </c>
      <c r="AJ282" s="191" t="s">
        <v>36</v>
      </c>
      <c r="AK282" s="191" t="s">
        <v>59</v>
      </c>
      <c r="AL282" s="191" t="s">
        <v>44</v>
      </c>
      <c r="AM282" s="191" t="s">
        <v>1247</v>
      </c>
      <c r="AN282" s="191" t="s">
        <v>44</v>
      </c>
      <c r="AO282" s="191" t="s">
        <v>44</v>
      </c>
      <c r="AP282" s="191" t="s">
        <v>44</v>
      </c>
    </row>
    <row r="283" spans="1:42" ht="29">
      <c r="A283" s="191" t="s">
        <v>1554</v>
      </c>
      <c r="B283" s="190">
        <v>3</v>
      </c>
      <c r="C283" s="190">
        <v>3</v>
      </c>
      <c r="D283" s="190">
        <v>3</v>
      </c>
      <c r="E283" s="191" t="s">
        <v>311</v>
      </c>
      <c r="F283" s="190">
        <v>4</v>
      </c>
      <c r="G283" s="191" t="s">
        <v>36</v>
      </c>
      <c r="H283" s="190">
        <v>1</v>
      </c>
      <c r="I283" s="190">
        <v>98</v>
      </c>
      <c r="J283" s="191" t="s">
        <v>34</v>
      </c>
      <c r="K283" s="191" t="s">
        <v>81</v>
      </c>
      <c r="L283" s="191" t="s">
        <v>36</v>
      </c>
      <c r="M283" s="191" t="s">
        <v>37</v>
      </c>
      <c r="N283" s="191" t="s">
        <v>38</v>
      </c>
      <c r="O283" s="191" t="s">
        <v>288</v>
      </c>
      <c r="P283" s="191" t="s">
        <v>98</v>
      </c>
      <c r="Q283" s="191" t="s">
        <v>90</v>
      </c>
      <c r="R283" s="191" t="s">
        <v>42</v>
      </c>
      <c r="S283" s="191" t="s">
        <v>48</v>
      </c>
      <c r="T283" s="191" t="s">
        <v>44</v>
      </c>
      <c r="U283" s="191" t="s">
        <v>47</v>
      </c>
      <c r="V283" s="191" t="s">
        <v>1144</v>
      </c>
      <c r="W283" s="191" t="s">
        <v>110</v>
      </c>
      <c r="X283" s="191" t="s">
        <v>44</v>
      </c>
      <c r="Y283" s="191" t="s">
        <v>45</v>
      </c>
      <c r="Z283" s="191" t="s">
        <v>43</v>
      </c>
      <c r="AA283" s="191" t="s">
        <v>49</v>
      </c>
      <c r="AB283" s="191" t="s">
        <v>84</v>
      </c>
      <c r="AC283" s="191" t="s">
        <v>47</v>
      </c>
      <c r="AD283" s="191" t="s">
        <v>51</v>
      </c>
      <c r="AE283" s="191" t="s">
        <v>44</v>
      </c>
      <c r="AF283" s="191" t="s">
        <v>95</v>
      </c>
      <c r="AG283" s="191" t="s">
        <v>47</v>
      </c>
      <c r="AH283" s="191" t="s">
        <v>44</v>
      </c>
      <c r="AI283" s="191" t="s">
        <v>134</v>
      </c>
      <c r="AJ283" s="191" t="s">
        <v>36</v>
      </c>
      <c r="AK283" s="191" t="s">
        <v>71</v>
      </c>
      <c r="AL283" s="191" t="s">
        <v>44</v>
      </c>
      <c r="AM283" s="191" t="s">
        <v>43</v>
      </c>
      <c r="AN283" s="191" t="s">
        <v>44</v>
      </c>
      <c r="AO283" s="191" t="s">
        <v>44</v>
      </c>
      <c r="AP283" s="191" t="s">
        <v>44</v>
      </c>
    </row>
    <row r="284" spans="1:42" ht="43.5">
      <c r="A284" s="191" t="s">
        <v>1555</v>
      </c>
      <c r="B284" s="190">
        <v>3</v>
      </c>
      <c r="C284" s="190">
        <v>5</v>
      </c>
      <c r="D284" s="190">
        <v>8</v>
      </c>
      <c r="E284" s="191" t="s">
        <v>311</v>
      </c>
      <c r="F284" s="190">
        <v>4</v>
      </c>
      <c r="G284" s="191" t="s">
        <v>36</v>
      </c>
      <c r="H284" s="190">
        <v>1</v>
      </c>
      <c r="I284" s="190">
        <v>100</v>
      </c>
      <c r="J284" s="191" t="s">
        <v>65</v>
      </c>
      <c r="K284" s="191" t="s">
        <v>81</v>
      </c>
      <c r="L284" s="191" t="s">
        <v>103</v>
      </c>
      <c r="M284" s="191" t="s">
        <v>37</v>
      </c>
      <c r="N284" s="191" t="s">
        <v>38</v>
      </c>
      <c r="O284" s="191" t="s">
        <v>288</v>
      </c>
      <c r="P284" s="191" t="s">
        <v>66</v>
      </c>
      <c r="Q284" s="191" t="s">
        <v>43</v>
      </c>
      <c r="R284" s="191" t="s">
        <v>42</v>
      </c>
      <c r="S284" s="191" t="s">
        <v>48</v>
      </c>
      <c r="T284" s="191" t="s">
        <v>44</v>
      </c>
      <c r="U284" s="191" t="s">
        <v>47</v>
      </c>
      <c r="V284" s="191" t="s">
        <v>1138</v>
      </c>
      <c r="W284" s="191" t="s">
        <v>47</v>
      </c>
      <c r="X284" s="191" t="s">
        <v>44</v>
      </c>
      <c r="Y284" s="191" t="s">
        <v>43</v>
      </c>
      <c r="Z284" s="191" t="s">
        <v>43</v>
      </c>
      <c r="AA284" s="191" t="s">
        <v>62</v>
      </c>
      <c r="AB284" s="191" t="s">
        <v>138</v>
      </c>
      <c r="AC284" s="191" t="s">
        <v>47</v>
      </c>
      <c r="AD284" s="191" t="s">
        <v>72</v>
      </c>
      <c r="AE284" s="191" t="s">
        <v>44</v>
      </c>
      <c r="AF284" s="191" t="s">
        <v>95</v>
      </c>
      <c r="AG284" s="191" t="s">
        <v>43</v>
      </c>
      <c r="AH284" s="191" t="s">
        <v>44</v>
      </c>
      <c r="AI284" s="191" t="s">
        <v>134</v>
      </c>
      <c r="AJ284" s="191" t="s">
        <v>36</v>
      </c>
      <c r="AK284" s="191" t="s">
        <v>147</v>
      </c>
      <c r="AL284" s="191" t="s">
        <v>1556</v>
      </c>
      <c r="AM284" s="191" t="s">
        <v>74</v>
      </c>
      <c r="AN284" s="191" t="s">
        <v>44</v>
      </c>
      <c r="AO284" s="191" t="s">
        <v>44</v>
      </c>
      <c r="AP284" s="191" t="s">
        <v>44</v>
      </c>
    </row>
    <row r="285" spans="1:42" ht="43.5">
      <c r="A285" s="191" t="s">
        <v>1557</v>
      </c>
      <c r="B285" s="190">
        <v>3</v>
      </c>
      <c r="C285" s="190">
        <v>2</v>
      </c>
      <c r="D285" s="190">
        <v>3</v>
      </c>
      <c r="E285" s="191" t="s">
        <v>311</v>
      </c>
      <c r="F285" s="190">
        <v>4</v>
      </c>
      <c r="G285" s="191" t="s">
        <v>36</v>
      </c>
      <c r="H285" s="190">
        <v>1</v>
      </c>
      <c r="I285" s="190">
        <v>195</v>
      </c>
      <c r="J285" s="191" t="s">
        <v>34</v>
      </c>
      <c r="K285" s="191" t="s">
        <v>124</v>
      </c>
      <c r="L285" s="191" t="s">
        <v>36</v>
      </c>
      <c r="M285" s="191" t="s">
        <v>37</v>
      </c>
      <c r="N285" s="191" t="s">
        <v>38</v>
      </c>
      <c r="O285" s="191" t="s">
        <v>288</v>
      </c>
      <c r="P285" s="191" t="s">
        <v>56</v>
      </c>
      <c r="Q285" s="191" t="s">
        <v>43</v>
      </c>
      <c r="R285" s="191" t="s">
        <v>42</v>
      </c>
      <c r="S285" s="191" t="s">
        <v>48</v>
      </c>
      <c r="T285" s="191" t="s">
        <v>44</v>
      </c>
      <c r="U285" s="191" t="s">
        <v>40</v>
      </c>
      <c r="V285" s="191" t="s">
        <v>1139</v>
      </c>
      <c r="W285" s="191" t="s">
        <v>43</v>
      </c>
      <c r="X285" s="191" t="s">
        <v>44</v>
      </c>
      <c r="Y285" s="191" t="s">
        <v>61</v>
      </c>
      <c r="Z285" s="191" t="s">
        <v>43</v>
      </c>
      <c r="AA285" s="191" t="s">
        <v>62</v>
      </c>
      <c r="AB285" s="191" t="s">
        <v>50</v>
      </c>
      <c r="AC285" s="191" t="s">
        <v>43</v>
      </c>
      <c r="AD285" s="191" t="s">
        <v>72</v>
      </c>
      <c r="AE285" s="191" t="s">
        <v>44</v>
      </c>
      <c r="AF285" s="191" t="s">
        <v>95</v>
      </c>
      <c r="AG285" s="191" t="s">
        <v>47</v>
      </c>
      <c r="AH285" s="191" t="s">
        <v>44</v>
      </c>
      <c r="AI285" s="191" t="s">
        <v>134</v>
      </c>
      <c r="AJ285" s="191" t="s">
        <v>36</v>
      </c>
      <c r="AK285" s="191" t="s">
        <v>59</v>
      </c>
      <c r="AL285" s="191" t="s">
        <v>44</v>
      </c>
      <c r="AM285" s="191" t="s">
        <v>74</v>
      </c>
      <c r="AN285" s="191" t="s">
        <v>44</v>
      </c>
      <c r="AO285" s="191" t="s">
        <v>44</v>
      </c>
      <c r="AP285" s="191" t="s">
        <v>44</v>
      </c>
    </row>
    <row r="286" spans="1:42" ht="43.5">
      <c r="A286" s="191" t="s">
        <v>1558</v>
      </c>
      <c r="B286" s="190">
        <v>3</v>
      </c>
      <c r="C286" s="190">
        <v>6</v>
      </c>
      <c r="D286" s="190">
        <v>6</v>
      </c>
      <c r="E286" s="191" t="s">
        <v>315</v>
      </c>
      <c r="F286" s="190">
        <v>2</v>
      </c>
      <c r="G286" s="191" t="s">
        <v>36</v>
      </c>
      <c r="H286" s="190">
        <v>1</v>
      </c>
      <c r="I286" s="190">
        <v>140</v>
      </c>
      <c r="J286" s="191" t="s">
        <v>54</v>
      </c>
      <c r="K286" s="191" t="s">
        <v>40</v>
      </c>
      <c r="L286" s="191" t="s">
        <v>36</v>
      </c>
      <c r="M286" s="191" t="s">
        <v>37</v>
      </c>
      <c r="N286" s="191" t="s">
        <v>38</v>
      </c>
      <c r="O286" s="191" t="s">
        <v>288</v>
      </c>
      <c r="P286" s="191" t="s">
        <v>66</v>
      </c>
      <c r="Q286" s="191" t="s">
        <v>76</v>
      </c>
      <c r="R286" s="191" t="s">
        <v>42</v>
      </c>
      <c r="S286" s="191" t="s">
        <v>48</v>
      </c>
      <c r="T286" s="191" t="s">
        <v>44</v>
      </c>
      <c r="U286" s="191" t="s">
        <v>40</v>
      </c>
      <c r="V286" s="191" t="s">
        <v>1139</v>
      </c>
      <c r="W286" s="191" t="s">
        <v>43</v>
      </c>
      <c r="X286" s="191" t="s">
        <v>44</v>
      </c>
      <c r="Y286" s="191" t="s">
        <v>43</v>
      </c>
      <c r="Z286" s="191" t="s">
        <v>43</v>
      </c>
      <c r="AA286" s="191" t="s">
        <v>49</v>
      </c>
      <c r="AB286" s="191" t="s">
        <v>50</v>
      </c>
      <c r="AC286" s="191" t="s">
        <v>43</v>
      </c>
      <c r="AD286" s="191" t="s">
        <v>72</v>
      </c>
      <c r="AE286" s="191" t="s">
        <v>44</v>
      </c>
      <c r="AF286" s="191" t="s">
        <v>95</v>
      </c>
      <c r="AG286" s="191" t="s">
        <v>43</v>
      </c>
      <c r="AH286" s="191" t="s">
        <v>44</v>
      </c>
      <c r="AI286" s="191" t="s">
        <v>39</v>
      </c>
      <c r="AJ286" s="191" t="s">
        <v>36</v>
      </c>
      <c r="AK286" s="191" t="s">
        <v>59</v>
      </c>
      <c r="AL286" s="191" t="s">
        <v>44</v>
      </c>
      <c r="AM286" s="191" t="s">
        <v>45</v>
      </c>
      <c r="AN286" s="191" t="s">
        <v>44</v>
      </c>
      <c r="AO286" s="191" t="s">
        <v>44</v>
      </c>
      <c r="AP286" s="191" t="s">
        <v>44</v>
      </c>
    </row>
    <row r="287" spans="1:42" ht="43.5">
      <c r="A287" s="191" t="s">
        <v>1559</v>
      </c>
      <c r="B287" s="190">
        <v>3</v>
      </c>
      <c r="C287" s="190">
        <v>5</v>
      </c>
      <c r="D287" s="190">
        <v>5</v>
      </c>
      <c r="E287" s="191" t="s">
        <v>315</v>
      </c>
      <c r="F287" s="190">
        <v>3</v>
      </c>
      <c r="G287" s="191" t="s">
        <v>36</v>
      </c>
      <c r="H287" s="190">
        <v>1</v>
      </c>
      <c r="I287" s="190">
        <v>120</v>
      </c>
      <c r="J287" s="191" t="s">
        <v>34</v>
      </c>
      <c r="K287" s="191" t="s">
        <v>81</v>
      </c>
      <c r="L287" s="191" t="s">
        <v>67</v>
      </c>
      <c r="M287" s="191" t="s">
        <v>37</v>
      </c>
      <c r="N287" s="191" t="s">
        <v>58</v>
      </c>
      <c r="O287" s="191" t="s">
        <v>39</v>
      </c>
      <c r="P287" s="191" t="s">
        <v>56</v>
      </c>
      <c r="Q287" s="191" t="s">
        <v>40</v>
      </c>
      <c r="R287" s="191" t="s">
        <v>42</v>
      </c>
      <c r="S287" s="191" t="s">
        <v>48</v>
      </c>
      <c r="T287" s="191" t="s">
        <v>44</v>
      </c>
      <c r="U287" s="191" t="s">
        <v>40</v>
      </c>
      <c r="V287" s="191" t="s">
        <v>1560</v>
      </c>
      <c r="W287" s="191" t="s">
        <v>43</v>
      </c>
      <c r="X287" s="191" t="s">
        <v>44</v>
      </c>
      <c r="Y287" s="191" t="s">
        <v>43</v>
      </c>
      <c r="Z287" s="191" t="s">
        <v>43</v>
      </c>
      <c r="AA287" s="191" t="s">
        <v>49</v>
      </c>
      <c r="AB287" s="191" t="s">
        <v>50</v>
      </c>
      <c r="AC287" s="191" t="s">
        <v>47</v>
      </c>
      <c r="AD287" s="191" t="s">
        <v>51</v>
      </c>
      <c r="AE287" s="191" t="s">
        <v>44</v>
      </c>
      <c r="AF287" s="191" t="s">
        <v>95</v>
      </c>
      <c r="AG287" s="191" t="s">
        <v>43</v>
      </c>
      <c r="AH287" s="191" t="s">
        <v>44</v>
      </c>
      <c r="AI287" s="191" t="s">
        <v>39</v>
      </c>
      <c r="AJ287" s="191" t="s">
        <v>36</v>
      </c>
      <c r="AK287" s="191" t="s">
        <v>73</v>
      </c>
      <c r="AL287" s="191" t="s">
        <v>44</v>
      </c>
      <c r="AM287" s="191" t="s">
        <v>89</v>
      </c>
      <c r="AN287" s="191" t="s">
        <v>44</v>
      </c>
      <c r="AO287" s="191" t="s">
        <v>44</v>
      </c>
      <c r="AP287" s="191" t="s">
        <v>44</v>
      </c>
    </row>
    <row r="288" spans="1:42" ht="43.5">
      <c r="A288" s="191" t="s">
        <v>1561</v>
      </c>
      <c r="B288" s="190">
        <v>3</v>
      </c>
      <c r="C288" s="190">
        <v>7</v>
      </c>
      <c r="D288" s="190">
        <v>9</v>
      </c>
      <c r="E288" s="191" t="s">
        <v>318</v>
      </c>
      <c r="F288" s="190">
        <v>1</v>
      </c>
      <c r="G288" s="191" t="s">
        <v>36</v>
      </c>
      <c r="H288" s="190">
        <v>1</v>
      </c>
      <c r="I288" s="190">
        <v>0</v>
      </c>
      <c r="J288" s="191" t="s">
        <v>65</v>
      </c>
      <c r="K288" s="191" t="s">
        <v>61</v>
      </c>
      <c r="L288" s="191" t="s">
        <v>36</v>
      </c>
      <c r="M288" s="191" t="s">
        <v>37</v>
      </c>
      <c r="N288" s="191" t="s">
        <v>95</v>
      </c>
      <c r="O288" s="191" t="s">
        <v>288</v>
      </c>
      <c r="P288" s="191" t="s">
        <v>56</v>
      </c>
      <c r="Q288" s="191" t="s">
        <v>124</v>
      </c>
      <c r="R288" s="191" t="s">
        <v>42</v>
      </c>
      <c r="S288" s="191" t="s">
        <v>48</v>
      </c>
      <c r="T288" s="191" t="s">
        <v>44</v>
      </c>
      <c r="U288" s="191" t="s">
        <v>43</v>
      </c>
      <c r="V288" s="191" t="s">
        <v>1139</v>
      </c>
      <c r="W288" s="191" t="s">
        <v>47</v>
      </c>
      <c r="X288" s="191" t="s">
        <v>44</v>
      </c>
      <c r="Y288" s="191" t="s">
        <v>61</v>
      </c>
      <c r="Z288" s="191" t="s">
        <v>47</v>
      </c>
      <c r="AA288" s="191" t="s">
        <v>62</v>
      </c>
      <c r="AB288" s="191" t="s">
        <v>50</v>
      </c>
      <c r="AC288" s="191" t="s">
        <v>47</v>
      </c>
      <c r="AD288" s="191" t="s">
        <v>72</v>
      </c>
      <c r="AE288" s="191" t="s">
        <v>44</v>
      </c>
      <c r="AF288" s="191" t="s">
        <v>95</v>
      </c>
      <c r="AG288" s="191" t="s">
        <v>47</v>
      </c>
      <c r="AH288" s="191" t="s">
        <v>44</v>
      </c>
      <c r="AI288" s="191" t="s">
        <v>134</v>
      </c>
      <c r="AJ288" s="191" t="s">
        <v>36</v>
      </c>
      <c r="AK288" s="191" t="s">
        <v>77</v>
      </c>
      <c r="AL288" s="191" t="s">
        <v>44</v>
      </c>
      <c r="AM288" s="191" t="s">
        <v>45</v>
      </c>
      <c r="AN288" s="191" t="s">
        <v>44</v>
      </c>
      <c r="AO288" s="191" t="s">
        <v>44</v>
      </c>
      <c r="AP288" s="191" t="s">
        <v>44</v>
      </c>
    </row>
    <row r="289" spans="1:42" ht="43.5">
      <c r="A289" s="191" t="s">
        <v>1562</v>
      </c>
      <c r="B289" s="190">
        <v>3</v>
      </c>
      <c r="C289" s="190">
        <v>3</v>
      </c>
      <c r="D289" s="190">
        <v>9</v>
      </c>
      <c r="E289" s="191" t="s">
        <v>36</v>
      </c>
      <c r="F289" s="190">
        <v>1</v>
      </c>
      <c r="G289" s="191" t="s">
        <v>36</v>
      </c>
      <c r="H289" s="190">
        <v>1</v>
      </c>
      <c r="I289" s="190">
        <v>75</v>
      </c>
      <c r="J289" s="191" t="s">
        <v>65</v>
      </c>
      <c r="K289" s="191" t="s">
        <v>40</v>
      </c>
      <c r="L289" s="191" t="s">
        <v>36</v>
      </c>
      <c r="M289" s="191" t="s">
        <v>37</v>
      </c>
      <c r="N289" s="191" t="s">
        <v>108</v>
      </c>
      <c r="O289" s="191" t="s">
        <v>39</v>
      </c>
      <c r="P289" s="191" t="s">
        <v>56</v>
      </c>
      <c r="Q289" s="191" t="s">
        <v>89</v>
      </c>
      <c r="R289" s="191" t="s">
        <v>87</v>
      </c>
      <c r="S289" s="191" t="s">
        <v>48</v>
      </c>
      <c r="T289" s="191" t="s">
        <v>44</v>
      </c>
      <c r="U289" s="191" t="s">
        <v>44</v>
      </c>
      <c r="V289" s="191" t="s">
        <v>44</v>
      </c>
      <c r="W289" s="191" t="s">
        <v>47</v>
      </c>
      <c r="X289" s="191" t="s">
        <v>44</v>
      </c>
      <c r="Y289" s="191" t="s">
        <v>61</v>
      </c>
      <c r="Z289" s="191" t="s">
        <v>43</v>
      </c>
      <c r="AA289" s="191" t="s">
        <v>62</v>
      </c>
      <c r="AB289" s="191" t="s">
        <v>84</v>
      </c>
      <c r="AC289" s="191" t="s">
        <v>47</v>
      </c>
      <c r="AD289" s="191" t="s">
        <v>91</v>
      </c>
      <c r="AE289" s="191" t="s">
        <v>44</v>
      </c>
      <c r="AF289" s="191" t="s">
        <v>95</v>
      </c>
      <c r="AG289" s="191" t="s">
        <v>47</v>
      </c>
      <c r="AH289" s="191" t="s">
        <v>44</v>
      </c>
      <c r="AI289" s="191" t="s">
        <v>39</v>
      </c>
      <c r="AJ289" s="191" t="s">
        <v>36</v>
      </c>
      <c r="AK289" s="191" t="s">
        <v>73</v>
      </c>
      <c r="AL289" s="191" t="s">
        <v>44</v>
      </c>
      <c r="AM289" s="191" t="s">
        <v>45</v>
      </c>
      <c r="AN289" s="191" t="s">
        <v>44</v>
      </c>
      <c r="AO289" s="191" t="s">
        <v>44</v>
      </c>
      <c r="AP289" s="191" t="s">
        <v>44</v>
      </c>
    </row>
    <row r="290" spans="1:42" ht="29">
      <c r="A290" s="191" t="s">
        <v>1563</v>
      </c>
      <c r="B290" s="190">
        <v>3</v>
      </c>
      <c r="C290" s="190">
        <v>5</v>
      </c>
      <c r="D290" s="190">
        <v>5</v>
      </c>
      <c r="E290" s="191" t="s">
        <v>315</v>
      </c>
      <c r="F290" s="190">
        <v>4</v>
      </c>
      <c r="G290" s="191" t="s">
        <v>36</v>
      </c>
      <c r="H290" s="190">
        <v>1</v>
      </c>
      <c r="I290" s="190">
        <v>200</v>
      </c>
      <c r="J290" s="191" t="s">
        <v>80</v>
      </c>
      <c r="K290" s="191" t="s">
        <v>61</v>
      </c>
      <c r="L290" s="191" t="s">
        <v>70</v>
      </c>
      <c r="M290" s="191" t="s">
        <v>37</v>
      </c>
      <c r="N290" s="191" t="s">
        <v>38</v>
      </c>
      <c r="O290" s="191" t="s">
        <v>288</v>
      </c>
      <c r="P290" s="191" t="s">
        <v>41</v>
      </c>
      <c r="Q290" s="191" t="s">
        <v>85</v>
      </c>
      <c r="R290" s="191" t="s">
        <v>60</v>
      </c>
      <c r="S290" s="191" t="s">
        <v>48</v>
      </c>
      <c r="T290" s="191" t="s">
        <v>44</v>
      </c>
      <c r="U290" s="191" t="s">
        <v>117</v>
      </c>
      <c r="V290" s="191" t="s">
        <v>1139</v>
      </c>
      <c r="W290" s="191" t="s">
        <v>43</v>
      </c>
      <c r="X290" s="191" t="s">
        <v>44</v>
      </c>
      <c r="Y290" s="191" t="s">
        <v>45</v>
      </c>
      <c r="Z290" s="191" t="s">
        <v>43</v>
      </c>
      <c r="AA290" s="191" t="s">
        <v>62</v>
      </c>
      <c r="AB290" s="191" t="s">
        <v>50</v>
      </c>
      <c r="AC290" s="191" t="s">
        <v>43</v>
      </c>
      <c r="AD290" s="191" t="s">
        <v>72</v>
      </c>
      <c r="AE290" s="191" t="s">
        <v>44</v>
      </c>
      <c r="AF290" s="191" t="s">
        <v>95</v>
      </c>
      <c r="AG290" s="191" t="s">
        <v>47</v>
      </c>
      <c r="AH290" s="191" t="s">
        <v>44</v>
      </c>
      <c r="AI290" s="191" t="s">
        <v>39</v>
      </c>
      <c r="AJ290" s="191" t="s">
        <v>36</v>
      </c>
      <c r="AK290" s="191" t="s">
        <v>73</v>
      </c>
      <c r="AL290" s="191" t="s">
        <v>44</v>
      </c>
      <c r="AM290" s="191" t="s">
        <v>43</v>
      </c>
      <c r="AN290" s="191" t="s">
        <v>44</v>
      </c>
      <c r="AO290" s="191" t="s">
        <v>44</v>
      </c>
      <c r="AP290" s="191" t="s">
        <v>44</v>
      </c>
    </row>
    <row r="291" spans="1:42" ht="29">
      <c r="A291" s="191" t="s">
        <v>1564</v>
      </c>
      <c r="B291" s="190">
        <v>1</v>
      </c>
      <c r="C291" s="190">
        <v>3</v>
      </c>
      <c r="D291" s="190">
        <v>8</v>
      </c>
      <c r="E291" s="191" t="s">
        <v>315</v>
      </c>
      <c r="F291" s="190">
        <v>2</v>
      </c>
      <c r="G291" s="191" t="s">
        <v>36</v>
      </c>
      <c r="H291" s="190">
        <v>1</v>
      </c>
      <c r="I291" s="190">
        <v>165</v>
      </c>
      <c r="J291" s="191" t="s">
        <v>65</v>
      </c>
      <c r="K291" s="191" t="s">
        <v>101</v>
      </c>
      <c r="L291" s="191" t="s">
        <v>36</v>
      </c>
      <c r="M291" s="191" t="s">
        <v>37</v>
      </c>
      <c r="N291" s="191" t="s">
        <v>95</v>
      </c>
      <c r="O291" s="191" t="s">
        <v>39</v>
      </c>
      <c r="P291" s="191" t="s">
        <v>41</v>
      </c>
      <c r="Q291" s="191" t="s">
        <v>40</v>
      </c>
      <c r="R291" s="191" t="s">
        <v>87</v>
      </c>
      <c r="S291" s="191" t="s">
        <v>48</v>
      </c>
      <c r="T291" s="191" t="s">
        <v>44</v>
      </c>
      <c r="U291" s="191" t="s">
        <v>1109</v>
      </c>
      <c r="V291" s="191" t="s">
        <v>1139</v>
      </c>
      <c r="W291" s="191" t="s">
        <v>78</v>
      </c>
      <c r="X291" s="191" t="s">
        <v>44</v>
      </c>
      <c r="Y291" s="191" t="s">
        <v>45</v>
      </c>
      <c r="Z291" s="191" t="s">
        <v>43</v>
      </c>
      <c r="AA291" s="191" t="s">
        <v>49</v>
      </c>
      <c r="AB291" s="191" t="s">
        <v>50</v>
      </c>
      <c r="AC291" s="191" t="s">
        <v>43</v>
      </c>
      <c r="AD291" s="191" t="s">
        <v>72</v>
      </c>
      <c r="AE291" s="191" t="s">
        <v>44</v>
      </c>
      <c r="AF291" s="191" t="s">
        <v>95</v>
      </c>
      <c r="AG291" s="191" t="s">
        <v>43</v>
      </c>
      <c r="AH291" s="191" t="s">
        <v>44</v>
      </c>
      <c r="AI291" s="191" t="s">
        <v>39</v>
      </c>
      <c r="AJ291" s="191" t="s">
        <v>36</v>
      </c>
      <c r="AK291" s="191" t="s">
        <v>85</v>
      </c>
      <c r="AL291" s="191" t="s">
        <v>44</v>
      </c>
      <c r="AM291" s="191" t="s">
        <v>45</v>
      </c>
      <c r="AN291" s="191" t="s">
        <v>44</v>
      </c>
      <c r="AO291" s="191" t="s">
        <v>44</v>
      </c>
      <c r="AP291" s="191" t="s">
        <v>44</v>
      </c>
    </row>
    <row r="292" spans="1:42" ht="43.5">
      <c r="A292" s="191" t="s">
        <v>1565</v>
      </c>
      <c r="B292" s="190">
        <v>3</v>
      </c>
      <c r="C292" s="190">
        <v>5</v>
      </c>
      <c r="D292" s="190">
        <v>9</v>
      </c>
      <c r="E292" s="191" t="s">
        <v>315</v>
      </c>
      <c r="F292" s="190">
        <v>2</v>
      </c>
      <c r="G292" s="191" t="s">
        <v>36</v>
      </c>
      <c r="H292" s="190">
        <v>1</v>
      </c>
      <c r="I292" s="190">
        <v>92</v>
      </c>
      <c r="J292" s="191" t="s">
        <v>54</v>
      </c>
      <c r="K292" s="191" t="s">
        <v>47</v>
      </c>
      <c r="L292" s="191" t="s">
        <v>36</v>
      </c>
      <c r="M292" s="191" t="s">
        <v>37</v>
      </c>
      <c r="N292" s="191" t="s">
        <v>58</v>
      </c>
      <c r="O292" s="191" t="s">
        <v>288</v>
      </c>
      <c r="P292" s="191" t="s">
        <v>56</v>
      </c>
      <c r="Q292" s="191" t="s">
        <v>127</v>
      </c>
      <c r="R292" s="191" t="s">
        <v>42</v>
      </c>
      <c r="S292" s="191" t="s">
        <v>48</v>
      </c>
      <c r="T292" s="191" t="s">
        <v>44</v>
      </c>
      <c r="U292" s="191" t="s">
        <v>45</v>
      </c>
      <c r="V292" s="191" t="s">
        <v>1139</v>
      </c>
      <c r="W292" s="191" t="s">
        <v>43</v>
      </c>
      <c r="X292" s="191" t="s">
        <v>44</v>
      </c>
      <c r="Y292" s="191" t="s">
        <v>45</v>
      </c>
      <c r="Z292" s="191" t="s">
        <v>43</v>
      </c>
      <c r="AA292" s="191" t="s">
        <v>49</v>
      </c>
      <c r="AB292" s="191" t="s">
        <v>50</v>
      </c>
      <c r="AC292" s="191" t="s">
        <v>43</v>
      </c>
      <c r="AD292" s="191" t="s">
        <v>72</v>
      </c>
      <c r="AE292" s="191" t="s">
        <v>44</v>
      </c>
      <c r="AF292" s="191" t="s">
        <v>95</v>
      </c>
      <c r="AG292" s="191" t="s">
        <v>43</v>
      </c>
      <c r="AH292" s="191" t="s">
        <v>44</v>
      </c>
      <c r="AI292" s="191" t="s">
        <v>134</v>
      </c>
      <c r="AJ292" s="191" t="s">
        <v>36</v>
      </c>
      <c r="AK292" s="191" t="s">
        <v>71</v>
      </c>
      <c r="AL292" s="191" t="s">
        <v>44</v>
      </c>
      <c r="AM292" s="191" t="s">
        <v>45</v>
      </c>
      <c r="AN292" s="191" t="s">
        <v>44</v>
      </c>
      <c r="AO292" s="191" t="s">
        <v>44</v>
      </c>
      <c r="AP292" s="191" t="s">
        <v>44</v>
      </c>
    </row>
    <row r="293" spans="1:42" ht="43.5">
      <c r="A293" s="191" t="s">
        <v>1566</v>
      </c>
      <c r="B293" s="190">
        <v>3</v>
      </c>
      <c r="C293" s="190">
        <v>7</v>
      </c>
      <c r="D293" s="190">
        <v>7</v>
      </c>
      <c r="E293" s="191" t="s">
        <v>318</v>
      </c>
      <c r="F293" s="190">
        <v>2</v>
      </c>
      <c r="G293" s="191" t="s">
        <v>36</v>
      </c>
      <c r="H293" s="190">
        <v>1</v>
      </c>
      <c r="I293" s="190">
        <v>120</v>
      </c>
      <c r="J293" s="191" t="s">
        <v>34</v>
      </c>
      <c r="K293" s="191" t="s">
        <v>81</v>
      </c>
      <c r="L293" s="191" t="s">
        <v>36</v>
      </c>
      <c r="M293" s="191" t="s">
        <v>37</v>
      </c>
      <c r="N293" s="191" t="s">
        <v>38</v>
      </c>
      <c r="O293" s="191" t="s">
        <v>288</v>
      </c>
      <c r="P293" s="191" t="s">
        <v>56</v>
      </c>
      <c r="Q293" s="191" t="s">
        <v>135</v>
      </c>
      <c r="R293" s="191" t="s">
        <v>42</v>
      </c>
      <c r="S293" s="191" t="s">
        <v>36</v>
      </c>
      <c r="T293" s="191" t="s">
        <v>44</v>
      </c>
      <c r="U293" s="191" t="s">
        <v>43</v>
      </c>
      <c r="V293" s="191" t="s">
        <v>1139</v>
      </c>
      <c r="W293" s="191" t="s">
        <v>47</v>
      </c>
      <c r="X293" s="191" t="s">
        <v>44</v>
      </c>
      <c r="Y293" s="191" t="s">
        <v>46</v>
      </c>
      <c r="Z293" s="191" t="s">
        <v>43</v>
      </c>
      <c r="AA293" s="191" t="s">
        <v>49</v>
      </c>
      <c r="AB293" s="191" t="s">
        <v>84</v>
      </c>
      <c r="AC293" s="191" t="s">
        <v>43</v>
      </c>
      <c r="AD293" s="191" t="s">
        <v>72</v>
      </c>
      <c r="AE293" s="191" t="s">
        <v>44</v>
      </c>
      <c r="AF293" s="191" t="s">
        <v>95</v>
      </c>
      <c r="AG293" s="191" t="s">
        <v>43</v>
      </c>
      <c r="AH293" s="191" t="s">
        <v>44</v>
      </c>
      <c r="AI293" s="191" t="s">
        <v>39</v>
      </c>
      <c r="AJ293" s="191" t="s">
        <v>36</v>
      </c>
      <c r="AK293" s="191" t="s">
        <v>40</v>
      </c>
      <c r="AL293" s="191" t="s">
        <v>44</v>
      </c>
      <c r="AM293" s="191" t="s">
        <v>45</v>
      </c>
      <c r="AN293" s="191" t="s">
        <v>44</v>
      </c>
      <c r="AO293" s="191" t="s">
        <v>44</v>
      </c>
      <c r="AP293" s="191" t="s">
        <v>44</v>
      </c>
    </row>
    <row r="294" spans="1:42" ht="58">
      <c r="A294" s="191" t="s">
        <v>1567</v>
      </c>
      <c r="B294" s="190">
        <v>3</v>
      </c>
      <c r="C294" s="190">
        <v>5</v>
      </c>
      <c r="D294" s="190">
        <v>8</v>
      </c>
      <c r="E294" s="191" t="s">
        <v>315</v>
      </c>
      <c r="F294" s="190">
        <v>2</v>
      </c>
      <c r="G294" s="191" t="s">
        <v>36</v>
      </c>
      <c r="H294" s="190">
        <v>1</v>
      </c>
      <c r="I294" s="190">
        <v>100</v>
      </c>
      <c r="J294" s="191" t="s">
        <v>65</v>
      </c>
      <c r="K294" s="191" t="s">
        <v>61</v>
      </c>
      <c r="L294" s="191" t="s">
        <v>67</v>
      </c>
      <c r="M294" s="191" t="s">
        <v>37</v>
      </c>
      <c r="N294" s="191" t="s">
        <v>108</v>
      </c>
      <c r="O294" s="191" t="s">
        <v>288</v>
      </c>
      <c r="P294" s="191" t="s">
        <v>66</v>
      </c>
      <c r="Q294" s="191" t="s">
        <v>115</v>
      </c>
      <c r="R294" s="191" t="s">
        <v>82</v>
      </c>
      <c r="S294" s="191" t="s">
        <v>48</v>
      </c>
      <c r="T294" s="191" t="s">
        <v>44</v>
      </c>
      <c r="U294" s="191" t="s">
        <v>43</v>
      </c>
      <c r="V294" s="191" t="s">
        <v>1139</v>
      </c>
      <c r="W294" s="191" t="s">
        <v>47</v>
      </c>
      <c r="X294" s="191" t="s">
        <v>44</v>
      </c>
      <c r="Y294" s="191" t="s">
        <v>45</v>
      </c>
      <c r="Z294" s="191" t="s">
        <v>43</v>
      </c>
      <c r="AA294" s="191" t="s">
        <v>62</v>
      </c>
      <c r="AB294" s="191" t="s">
        <v>50</v>
      </c>
      <c r="AC294" s="191" t="s">
        <v>47</v>
      </c>
      <c r="AD294" s="191" t="s">
        <v>91</v>
      </c>
      <c r="AE294" s="191" t="s">
        <v>44</v>
      </c>
      <c r="AF294" s="191" t="s">
        <v>95</v>
      </c>
      <c r="AG294" s="191" t="s">
        <v>47</v>
      </c>
      <c r="AH294" s="191" t="s">
        <v>44</v>
      </c>
      <c r="AI294" s="191" t="s">
        <v>134</v>
      </c>
      <c r="AJ294" s="191" t="s">
        <v>36</v>
      </c>
      <c r="AK294" s="191" t="s">
        <v>61</v>
      </c>
      <c r="AL294" s="191" t="s">
        <v>1146</v>
      </c>
      <c r="AM294" s="191" t="s">
        <v>89</v>
      </c>
      <c r="AN294" s="191" t="s">
        <v>44</v>
      </c>
      <c r="AO294" s="191" t="s">
        <v>44</v>
      </c>
      <c r="AP294" s="191" t="s">
        <v>44</v>
      </c>
    </row>
    <row r="295" spans="1:42" ht="43.5">
      <c r="A295" s="191" t="s">
        <v>1568</v>
      </c>
      <c r="B295" s="190">
        <v>3</v>
      </c>
      <c r="C295" s="190">
        <v>7</v>
      </c>
      <c r="D295" s="190">
        <v>7</v>
      </c>
      <c r="E295" s="191" t="s">
        <v>318</v>
      </c>
      <c r="F295" s="190">
        <v>2</v>
      </c>
      <c r="G295" s="191" t="s">
        <v>36</v>
      </c>
      <c r="H295" s="190">
        <v>1</v>
      </c>
      <c r="I295" s="190">
        <v>100</v>
      </c>
      <c r="J295" s="191" t="s">
        <v>54</v>
      </c>
      <c r="K295" s="191" t="s">
        <v>40</v>
      </c>
      <c r="L295" s="191" t="s">
        <v>36</v>
      </c>
      <c r="M295" s="191" t="s">
        <v>37</v>
      </c>
      <c r="N295" s="191" t="s">
        <v>58</v>
      </c>
      <c r="O295" s="191" t="s">
        <v>288</v>
      </c>
      <c r="P295" s="191" t="s">
        <v>56</v>
      </c>
      <c r="Q295" s="191" t="s">
        <v>135</v>
      </c>
      <c r="R295" s="191" t="s">
        <v>42</v>
      </c>
      <c r="S295" s="191" t="s">
        <v>48</v>
      </c>
      <c r="T295" s="191" t="s">
        <v>44</v>
      </c>
      <c r="U295" s="191" t="s">
        <v>45</v>
      </c>
      <c r="V295" s="191" t="s">
        <v>44</v>
      </c>
      <c r="W295" s="191" t="s">
        <v>43</v>
      </c>
      <c r="X295" s="191" t="s">
        <v>44</v>
      </c>
      <c r="Y295" s="191" t="s">
        <v>46</v>
      </c>
      <c r="Z295" s="191" t="s">
        <v>43</v>
      </c>
      <c r="AA295" s="191" t="s">
        <v>62</v>
      </c>
      <c r="AB295" s="191" t="s">
        <v>50</v>
      </c>
      <c r="AC295" s="191" t="s">
        <v>43</v>
      </c>
      <c r="AD295" s="191" t="s">
        <v>72</v>
      </c>
      <c r="AE295" s="191" t="s">
        <v>44</v>
      </c>
      <c r="AF295" s="191" t="s">
        <v>130</v>
      </c>
      <c r="AG295" s="191" t="s">
        <v>47</v>
      </c>
      <c r="AH295" s="191" t="s">
        <v>44</v>
      </c>
      <c r="AI295" s="191" t="s">
        <v>39</v>
      </c>
      <c r="AJ295" s="191" t="s">
        <v>36</v>
      </c>
      <c r="AK295" s="191" t="s">
        <v>77</v>
      </c>
      <c r="AL295" s="191" t="s">
        <v>44</v>
      </c>
      <c r="AM295" s="191" t="s">
        <v>89</v>
      </c>
      <c r="AN295" s="191" t="s">
        <v>44</v>
      </c>
      <c r="AO295" s="191" t="s">
        <v>44</v>
      </c>
      <c r="AP295" s="191" t="s">
        <v>44</v>
      </c>
    </row>
    <row r="296" spans="1:42" ht="43.5">
      <c r="A296" s="191" t="s">
        <v>1569</v>
      </c>
      <c r="B296" s="190">
        <v>3</v>
      </c>
      <c r="C296" s="190">
        <v>3</v>
      </c>
      <c r="D296" s="190">
        <v>3</v>
      </c>
      <c r="E296" s="191" t="s">
        <v>307</v>
      </c>
      <c r="F296" s="190">
        <v>4</v>
      </c>
      <c r="G296" s="191" t="s">
        <v>36</v>
      </c>
      <c r="H296" s="190">
        <v>1</v>
      </c>
      <c r="I296" s="190">
        <v>120</v>
      </c>
      <c r="J296" s="191" t="s">
        <v>65</v>
      </c>
      <c r="K296" s="191" t="s">
        <v>40</v>
      </c>
      <c r="L296" s="191" t="s">
        <v>36</v>
      </c>
      <c r="M296" s="191" t="s">
        <v>37</v>
      </c>
      <c r="N296" s="191" t="s">
        <v>95</v>
      </c>
      <c r="O296" s="191" t="s">
        <v>39</v>
      </c>
      <c r="P296" s="191" t="s">
        <v>41</v>
      </c>
      <c r="Q296" s="191" t="s">
        <v>77</v>
      </c>
      <c r="R296" s="191" t="s">
        <v>87</v>
      </c>
      <c r="S296" s="191" t="s">
        <v>133</v>
      </c>
      <c r="T296" s="191" t="s">
        <v>44</v>
      </c>
      <c r="U296" s="191" t="s">
        <v>44</v>
      </c>
      <c r="V296" s="191" t="s">
        <v>44</v>
      </c>
      <c r="W296" s="191" t="s">
        <v>47</v>
      </c>
      <c r="X296" s="191" t="s">
        <v>44</v>
      </c>
      <c r="Y296" s="191" t="s">
        <v>45</v>
      </c>
      <c r="Z296" s="191" t="s">
        <v>43</v>
      </c>
      <c r="AA296" s="191" t="s">
        <v>49</v>
      </c>
      <c r="AB296" s="191" t="s">
        <v>84</v>
      </c>
      <c r="AC296" s="191" t="s">
        <v>43</v>
      </c>
      <c r="AD296" s="191" t="s">
        <v>72</v>
      </c>
      <c r="AE296" s="191" t="s">
        <v>44</v>
      </c>
      <c r="AF296" s="191" t="s">
        <v>95</v>
      </c>
      <c r="AG296" s="191" t="s">
        <v>47</v>
      </c>
      <c r="AH296" s="191" t="s">
        <v>44</v>
      </c>
      <c r="AI296" s="191" t="s">
        <v>134</v>
      </c>
      <c r="AJ296" s="191" t="s">
        <v>36</v>
      </c>
      <c r="AK296" s="191" t="s">
        <v>73</v>
      </c>
      <c r="AL296" s="191" t="s">
        <v>44</v>
      </c>
      <c r="AM296" s="191" t="s">
        <v>45</v>
      </c>
      <c r="AN296" s="191" t="s">
        <v>44</v>
      </c>
      <c r="AO296" s="191" t="s">
        <v>44</v>
      </c>
      <c r="AP296" s="191" t="s">
        <v>44</v>
      </c>
    </row>
    <row r="297" spans="1:42" ht="29">
      <c r="A297" s="191" t="s">
        <v>1570</v>
      </c>
      <c r="B297" s="190">
        <v>3</v>
      </c>
      <c r="C297" s="190">
        <v>3</v>
      </c>
      <c r="D297" s="190">
        <v>8</v>
      </c>
      <c r="E297" s="191" t="s">
        <v>311</v>
      </c>
      <c r="F297" s="190">
        <v>4</v>
      </c>
      <c r="G297" s="191" t="s">
        <v>36</v>
      </c>
      <c r="H297" s="190">
        <v>1</v>
      </c>
      <c r="I297" s="190">
        <v>145</v>
      </c>
      <c r="J297" s="191" t="s">
        <v>54</v>
      </c>
      <c r="K297" s="191" t="s">
        <v>61</v>
      </c>
      <c r="L297" s="191" t="s">
        <v>70</v>
      </c>
      <c r="M297" s="191" t="s">
        <v>37</v>
      </c>
      <c r="N297" s="191" t="s">
        <v>58</v>
      </c>
      <c r="O297" s="191" t="s">
        <v>99</v>
      </c>
      <c r="P297" s="191" t="s">
        <v>123</v>
      </c>
      <c r="Q297" s="191" t="s">
        <v>89</v>
      </c>
      <c r="R297" s="191" t="s">
        <v>42</v>
      </c>
      <c r="S297" s="191" t="s">
        <v>48</v>
      </c>
      <c r="T297" s="191" t="s">
        <v>44</v>
      </c>
      <c r="U297" s="191" t="s">
        <v>44</v>
      </c>
      <c r="V297" s="191" t="s">
        <v>44</v>
      </c>
      <c r="W297" s="191" t="s">
        <v>45</v>
      </c>
      <c r="X297" s="191" t="s">
        <v>44</v>
      </c>
      <c r="Y297" s="191" t="s">
        <v>61</v>
      </c>
      <c r="Z297" s="191" t="s">
        <v>40</v>
      </c>
      <c r="AA297" s="191" t="s">
        <v>36</v>
      </c>
      <c r="AB297" s="191" t="s">
        <v>36</v>
      </c>
      <c r="AC297" s="191" t="s">
        <v>46</v>
      </c>
      <c r="AD297" s="191" t="s">
        <v>36</v>
      </c>
      <c r="AE297" s="191" t="s">
        <v>44</v>
      </c>
      <c r="AF297" s="191" t="s">
        <v>95</v>
      </c>
      <c r="AG297" s="191" t="s">
        <v>43</v>
      </c>
      <c r="AH297" s="191" t="s">
        <v>44</v>
      </c>
      <c r="AI297" s="191" t="s">
        <v>39</v>
      </c>
      <c r="AJ297" s="191" t="s">
        <v>36</v>
      </c>
      <c r="AK297" s="191" t="s">
        <v>73</v>
      </c>
      <c r="AL297" s="191" t="s">
        <v>44</v>
      </c>
      <c r="AM297" s="191" t="s">
        <v>47</v>
      </c>
      <c r="AN297" s="191" t="s">
        <v>44</v>
      </c>
      <c r="AO297" s="191" t="s">
        <v>44</v>
      </c>
      <c r="AP297" s="191" t="s">
        <v>44</v>
      </c>
    </row>
    <row r="298" spans="1:42" ht="43.5">
      <c r="A298" s="191" t="s">
        <v>1571</v>
      </c>
      <c r="B298" s="190">
        <v>3</v>
      </c>
      <c r="C298" s="190">
        <v>3</v>
      </c>
      <c r="D298" s="190">
        <v>6</v>
      </c>
      <c r="E298" s="191" t="s">
        <v>311</v>
      </c>
      <c r="F298" s="190">
        <v>3</v>
      </c>
      <c r="G298" s="191" t="s">
        <v>36</v>
      </c>
      <c r="H298" s="190">
        <v>1</v>
      </c>
      <c r="I298" s="190">
        <v>185</v>
      </c>
      <c r="J298" s="191" t="s">
        <v>54</v>
      </c>
      <c r="K298" s="191" t="s">
        <v>61</v>
      </c>
      <c r="L298" s="191" t="s">
        <v>70</v>
      </c>
      <c r="M298" s="191" t="s">
        <v>37</v>
      </c>
      <c r="N298" s="191" t="s">
        <v>58</v>
      </c>
      <c r="O298" s="191" t="s">
        <v>288</v>
      </c>
      <c r="P298" s="191" t="s">
        <v>56</v>
      </c>
      <c r="Q298" s="191" t="s">
        <v>135</v>
      </c>
      <c r="R298" s="191" t="s">
        <v>42</v>
      </c>
      <c r="S298" s="191" t="s">
        <v>48</v>
      </c>
      <c r="T298" s="191" t="s">
        <v>44</v>
      </c>
      <c r="U298" s="191" t="s">
        <v>44</v>
      </c>
      <c r="V298" s="191" t="s">
        <v>44</v>
      </c>
      <c r="W298" s="191" t="s">
        <v>47</v>
      </c>
      <c r="X298" s="191" t="s">
        <v>44</v>
      </c>
      <c r="Y298" s="191" t="s">
        <v>45</v>
      </c>
      <c r="Z298" s="191" t="s">
        <v>43</v>
      </c>
      <c r="AA298" s="191" t="s">
        <v>49</v>
      </c>
      <c r="AB298" s="191" t="s">
        <v>84</v>
      </c>
      <c r="AC298" s="191" t="s">
        <v>47</v>
      </c>
      <c r="AD298" s="191" t="s">
        <v>51</v>
      </c>
      <c r="AE298" s="191" t="s">
        <v>44</v>
      </c>
      <c r="AF298" s="191" t="s">
        <v>95</v>
      </c>
      <c r="AG298" s="191" t="s">
        <v>78</v>
      </c>
      <c r="AH298" s="191" t="s">
        <v>44</v>
      </c>
      <c r="AI298" s="191" t="s">
        <v>134</v>
      </c>
      <c r="AJ298" s="191" t="s">
        <v>36</v>
      </c>
      <c r="AK298" s="191" t="s">
        <v>77</v>
      </c>
      <c r="AL298" s="191" t="s">
        <v>44</v>
      </c>
      <c r="AM298" s="191" t="s">
        <v>43</v>
      </c>
      <c r="AN298" s="191" t="s">
        <v>44</v>
      </c>
      <c r="AO298" s="191" t="s">
        <v>44</v>
      </c>
      <c r="AP298" s="191" t="s">
        <v>44</v>
      </c>
    </row>
    <row r="299" spans="1:42" ht="43.5">
      <c r="A299" s="191" t="s">
        <v>1572</v>
      </c>
      <c r="B299" s="190">
        <v>3</v>
      </c>
      <c r="C299" s="190">
        <v>7</v>
      </c>
      <c r="D299" s="190">
        <v>9</v>
      </c>
      <c r="E299" s="191" t="s">
        <v>318</v>
      </c>
      <c r="F299" s="190">
        <v>1</v>
      </c>
      <c r="G299" s="191" t="s">
        <v>36</v>
      </c>
      <c r="H299" s="190">
        <v>1</v>
      </c>
      <c r="I299" s="190">
        <v>380</v>
      </c>
      <c r="J299" s="191" t="s">
        <v>65</v>
      </c>
      <c r="K299" s="191" t="s">
        <v>61</v>
      </c>
      <c r="L299" s="191" t="s">
        <v>36</v>
      </c>
      <c r="M299" s="191" t="s">
        <v>118</v>
      </c>
      <c r="N299" s="191" t="s">
        <v>38</v>
      </c>
      <c r="O299" s="191" t="s">
        <v>288</v>
      </c>
      <c r="P299" s="191" t="s">
        <v>66</v>
      </c>
      <c r="Q299" s="191" t="s">
        <v>77</v>
      </c>
      <c r="R299" s="191" t="s">
        <v>42</v>
      </c>
      <c r="S299" s="191" t="s">
        <v>48</v>
      </c>
      <c r="T299" s="191" t="s">
        <v>44</v>
      </c>
      <c r="U299" s="191" t="s">
        <v>1109</v>
      </c>
      <c r="V299" s="191" t="s">
        <v>1139</v>
      </c>
      <c r="W299" s="191" t="s">
        <v>47</v>
      </c>
      <c r="X299" s="191" t="s">
        <v>44</v>
      </c>
      <c r="Y299" s="191" t="s">
        <v>43</v>
      </c>
      <c r="Z299" s="191" t="s">
        <v>43</v>
      </c>
      <c r="AA299" s="191" t="s">
        <v>49</v>
      </c>
      <c r="AB299" s="191" t="s">
        <v>50</v>
      </c>
      <c r="AC299" s="191" t="s">
        <v>43</v>
      </c>
      <c r="AD299" s="191" t="s">
        <v>72</v>
      </c>
      <c r="AE299" s="191" t="s">
        <v>44</v>
      </c>
      <c r="AF299" s="191" t="s">
        <v>52</v>
      </c>
      <c r="AG299" s="191" t="s">
        <v>47</v>
      </c>
      <c r="AH299" s="191" t="s">
        <v>44</v>
      </c>
      <c r="AI299" s="191" t="s">
        <v>134</v>
      </c>
      <c r="AJ299" s="191" t="s">
        <v>36</v>
      </c>
      <c r="AK299" s="191" t="s">
        <v>35</v>
      </c>
      <c r="AL299" s="191" t="s">
        <v>44</v>
      </c>
      <c r="AM299" s="191" t="s">
        <v>74</v>
      </c>
      <c r="AN299" s="191" t="s">
        <v>44</v>
      </c>
      <c r="AO299" s="191" t="s">
        <v>44</v>
      </c>
      <c r="AP299" s="191" t="s">
        <v>44</v>
      </c>
    </row>
    <row r="300" spans="1:42" ht="29">
      <c r="A300" s="191" t="s">
        <v>1573</v>
      </c>
      <c r="B300" s="190">
        <v>3</v>
      </c>
      <c r="C300" s="190">
        <v>6</v>
      </c>
      <c r="D300" s="190">
        <v>6</v>
      </c>
      <c r="E300" s="191" t="s">
        <v>311</v>
      </c>
      <c r="F300" s="190">
        <v>4</v>
      </c>
      <c r="G300" s="191" t="s">
        <v>36</v>
      </c>
      <c r="H300" s="190">
        <v>1</v>
      </c>
      <c r="I300" s="190">
        <v>116</v>
      </c>
      <c r="J300" s="191" t="s">
        <v>54</v>
      </c>
      <c r="K300" s="191" t="s">
        <v>101</v>
      </c>
      <c r="L300" s="191" t="s">
        <v>55</v>
      </c>
      <c r="M300" s="191" t="s">
        <v>37</v>
      </c>
      <c r="N300" s="191" t="s">
        <v>38</v>
      </c>
      <c r="O300" s="191" t="s">
        <v>99</v>
      </c>
      <c r="P300" s="191" t="s">
        <v>98</v>
      </c>
      <c r="Q300" s="191" t="s">
        <v>139</v>
      </c>
      <c r="R300" s="191" t="s">
        <v>42</v>
      </c>
      <c r="S300" s="191" t="s">
        <v>48</v>
      </c>
      <c r="T300" s="191" t="s">
        <v>44</v>
      </c>
      <c r="U300" s="191" t="s">
        <v>43</v>
      </c>
      <c r="V300" s="191" t="s">
        <v>1139</v>
      </c>
      <c r="W300" s="191" t="s">
        <v>47</v>
      </c>
      <c r="X300" s="191" t="s">
        <v>44</v>
      </c>
      <c r="Y300" s="191" t="s">
        <v>43</v>
      </c>
      <c r="Z300" s="191" t="s">
        <v>110</v>
      </c>
      <c r="AA300" s="191" t="s">
        <v>49</v>
      </c>
      <c r="AB300" s="191" t="s">
        <v>84</v>
      </c>
      <c r="AC300" s="191" t="s">
        <v>47</v>
      </c>
      <c r="AD300" s="191" t="s">
        <v>51</v>
      </c>
      <c r="AE300" s="191" t="s">
        <v>44</v>
      </c>
      <c r="AF300" s="191" t="s">
        <v>95</v>
      </c>
      <c r="AG300" s="191" t="s">
        <v>47</v>
      </c>
      <c r="AH300" s="191" t="s">
        <v>44</v>
      </c>
      <c r="AI300" s="191" t="s">
        <v>39</v>
      </c>
      <c r="AJ300" s="191" t="s">
        <v>36</v>
      </c>
      <c r="AK300" s="191" t="s">
        <v>59</v>
      </c>
      <c r="AL300" s="191" t="s">
        <v>44</v>
      </c>
      <c r="AM300" s="191" t="s">
        <v>89</v>
      </c>
      <c r="AN300" s="191" t="s">
        <v>44</v>
      </c>
      <c r="AO300" s="191" t="s">
        <v>44</v>
      </c>
      <c r="AP300" s="191" t="s">
        <v>44</v>
      </c>
    </row>
    <row r="301" spans="1:42" ht="43.5">
      <c r="A301" s="191" t="s">
        <v>1574</v>
      </c>
      <c r="B301" s="190">
        <v>3</v>
      </c>
      <c r="C301" s="190">
        <v>5</v>
      </c>
      <c r="D301" s="190">
        <v>8</v>
      </c>
      <c r="E301" s="191" t="s">
        <v>311</v>
      </c>
      <c r="F301" s="190">
        <v>5</v>
      </c>
      <c r="G301" s="191" t="s">
        <v>36</v>
      </c>
      <c r="H301" s="190">
        <v>1</v>
      </c>
      <c r="I301" s="190">
        <v>180</v>
      </c>
      <c r="J301" s="191" t="s">
        <v>34</v>
      </c>
      <c r="K301" s="191" t="s">
        <v>40</v>
      </c>
      <c r="L301" s="191" t="s">
        <v>67</v>
      </c>
      <c r="M301" s="191" t="s">
        <v>37</v>
      </c>
      <c r="N301" s="191" t="s">
        <v>58</v>
      </c>
      <c r="O301" s="191" t="s">
        <v>288</v>
      </c>
      <c r="P301" s="191" t="s">
        <v>66</v>
      </c>
      <c r="Q301" s="191" t="s">
        <v>124</v>
      </c>
      <c r="R301" s="191" t="s">
        <v>60</v>
      </c>
      <c r="S301" s="191" t="s">
        <v>48</v>
      </c>
      <c r="T301" s="191" t="s">
        <v>44</v>
      </c>
      <c r="U301" s="191" t="s">
        <v>1109</v>
      </c>
      <c r="V301" s="191" t="s">
        <v>44</v>
      </c>
      <c r="W301" s="191" t="s">
        <v>47</v>
      </c>
      <c r="X301" s="191" t="s">
        <v>44</v>
      </c>
      <c r="Y301" s="191" t="s">
        <v>45</v>
      </c>
      <c r="Z301" s="191" t="s">
        <v>43</v>
      </c>
      <c r="AA301" s="191" t="s">
        <v>49</v>
      </c>
      <c r="AB301" s="191" t="s">
        <v>50</v>
      </c>
      <c r="AC301" s="191" t="s">
        <v>47</v>
      </c>
      <c r="AD301" s="191" t="s">
        <v>91</v>
      </c>
      <c r="AE301" s="191" t="s">
        <v>44</v>
      </c>
      <c r="AF301" s="191" t="s">
        <v>95</v>
      </c>
      <c r="AG301" s="191" t="s">
        <v>47</v>
      </c>
      <c r="AH301" s="191" t="s">
        <v>44</v>
      </c>
      <c r="AI301" s="191" t="s">
        <v>134</v>
      </c>
      <c r="AJ301" s="191" t="s">
        <v>36</v>
      </c>
      <c r="AK301" s="191" t="s">
        <v>40</v>
      </c>
      <c r="AL301" s="191" t="s">
        <v>44</v>
      </c>
      <c r="AM301" s="191" t="s">
        <v>109</v>
      </c>
      <c r="AN301" s="191" t="s">
        <v>44</v>
      </c>
      <c r="AO301" s="191" t="s">
        <v>44</v>
      </c>
      <c r="AP301" s="191" t="s">
        <v>44</v>
      </c>
    </row>
    <row r="302" spans="1:42" ht="43.5">
      <c r="A302" s="191" t="s">
        <v>1575</v>
      </c>
      <c r="B302" s="190">
        <v>3</v>
      </c>
      <c r="C302" s="190">
        <v>3</v>
      </c>
      <c r="D302" s="190">
        <v>9</v>
      </c>
      <c r="E302" s="191" t="s">
        <v>315</v>
      </c>
      <c r="F302" s="190">
        <v>4</v>
      </c>
      <c r="G302" s="191" t="s">
        <v>36</v>
      </c>
      <c r="H302" s="190">
        <v>1</v>
      </c>
      <c r="I302" s="190">
        <v>130</v>
      </c>
      <c r="J302" s="191" t="s">
        <v>34</v>
      </c>
      <c r="K302" s="191" t="s">
        <v>40</v>
      </c>
      <c r="L302" s="191" t="s">
        <v>36</v>
      </c>
      <c r="M302" s="191" t="s">
        <v>37</v>
      </c>
      <c r="N302" s="191" t="s">
        <v>58</v>
      </c>
      <c r="O302" s="191" t="s">
        <v>288</v>
      </c>
      <c r="P302" s="191" t="s">
        <v>66</v>
      </c>
      <c r="Q302" s="191" t="s">
        <v>88</v>
      </c>
      <c r="R302" s="191" t="s">
        <v>42</v>
      </c>
      <c r="S302" s="191" t="s">
        <v>48</v>
      </c>
      <c r="T302" s="191" t="s">
        <v>44</v>
      </c>
      <c r="U302" s="191" t="s">
        <v>43</v>
      </c>
      <c r="V302" s="191" t="s">
        <v>1139</v>
      </c>
      <c r="W302" s="191" t="s">
        <v>43</v>
      </c>
      <c r="X302" s="191" t="s">
        <v>44</v>
      </c>
      <c r="Y302" s="191" t="s">
        <v>45</v>
      </c>
      <c r="Z302" s="191" t="s">
        <v>43</v>
      </c>
      <c r="AA302" s="191" t="s">
        <v>49</v>
      </c>
      <c r="AB302" s="191" t="s">
        <v>50</v>
      </c>
      <c r="AC302" s="191" t="s">
        <v>43</v>
      </c>
      <c r="AD302" s="191" t="s">
        <v>51</v>
      </c>
      <c r="AE302" s="191" t="s">
        <v>44</v>
      </c>
      <c r="AF302" s="191" t="s">
        <v>36</v>
      </c>
      <c r="AG302" s="191" t="s">
        <v>47</v>
      </c>
      <c r="AH302" s="191" t="s">
        <v>44</v>
      </c>
      <c r="AI302" s="191" t="s">
        <v>134</v>
      </c>
      <c r="AJ302" s="191" t="s">
        <v>36</v>
      </c>
      <c r="AK302" s="191" t="s">
        <v>59</v>
      </c>
      <c r="AL302" s="191" t="s">
        <v>44</v>
      </c>
      <c r="AM302" s="191" t="s">
        <v>45</v>
      </c>
      <c r="AN302" s="191" t="s">
        <v>44</v>
      </c>
      <c r="AO302" s="191" t="s">
        <v>44</v>
      </c>
      <c r="AP302" s="191" t="s">
        <v>44</v>
      </c>
    </row>
    <row r="303" spans="1:42" ht="29">
      <c r="A303" s="191" t="s">
        <v>1576</v>
      </c>
      <c r="B303" s="190">
        <v>3</v>
      </c>
      <c r="C303" s="190">
        <v>5</v>
      </c>
      <c r="D303" s="190">
        <v>4</v>
      </c>
      <c r="E303" s="191" t="s">
        <v>315</v>
      </c>
      <c r="F303" s="190">
        <v>2</v>
      </c>
      <c r="G303" s="191" t="s">
        <v>36</v>
      </c>
      <c r="H303" s="190">
        <v>1</v>
      </c>
      <c r="I303" s="190">
        <v>140</v>
      </c>
      <c r="J303" s="191" t="s">
        <v>54</v>
      </c>
      <c r="K303" s="191" t="s">
        <v>47</v>
      </c>
      <c r="L303" s="191" t="s">
        <v>36</v>
      </c>
      <c r="M303" s="191" t="s">
        <v>37</v>
      </c>
      <c r="N303" s="191" t="s">
        <v>38</v>
      </c>
      <c r="O303" s="191" t="s">
        <v>288</v>
      </c>
      <c r="P303" s="191" t="s">
        <v>98</v>
      </c>
      <c r="Q303" s="191" t="s">
        <v>61</v>
      </c>
      <c r="R303" s="191" t="s">
        <v>42</v>
      </c>
      <c r="S303" s="191" t="s">
        <v>48</v>
      </c>
      <c r="T303" s="191" t="s">
        <v>44</v>
      </c>
      <c r="U303" s="191" t="s">
        <v>46</v>
      </c>
      <c r="V303" s="191" t="s">
        <v>1144</v>
      </c>
      <c r="W303" s="191" t="s">
        <v>47</v>
      </c>
      <c r="X303" s="191" t="s">
        <v>44</v>
      </c>
      <c r="Y303" s="191" t="s">
        <v>43</v>
      </c>
      <c r="Z303" s="191" t="s">
        <v>43</v>
      </c>
      <c r="AA303" s="191" t="s">
        <v>62</v>
      </c>
      <c r="AB303" s="191" t="s">
        <v>84</v>
      </c>
      <c r="AC303" s="191" t="s">
        <v>43</v>
      </c>
      <c r="AD303" s="191" t="s">
        <v>51</v>
      </c>
      <c r="AE303" s="191" t="s">
        <v>44</v>
      </c>
      <c r="AF303" s="191" t="s">
        <v>95</v>
      </c>
      <c r="AG303" s="191" t="s">
        <v>43</v>
      </c>
      <c r="AH303" s="191" t="s">
        <v>44</v>
      </c>
      <c r="AI303" s="191" t="s">
        <v>39</v>
      </c>
      <c r="AJ303" s="191" t="s">
        <v>36</v>
      </c>
      <c r="AK303" s="191" t="s">
        <v>150</v>
      </c>
      <c r="AL303" s="191" t="s">
        <v>44</v>
      </c>
      <c r="AM303" s="191" t="s">
        <v>45</v>
      </c>
      <c r="AN303" s="191" t="s">
        <v>44</v>
      </c>
      <c r="AO303" s="191" t="s">
        <v>44</v>
      </c>
      <c r="AP303" s="191" t="s">
        <v>44</v>
      </c>
    </row>
    <row r="304" spans="1:42" ht="29">
      <c r="A304" s="191" t="s">
        <v>1577</v>
      </c>
      <c r="B304" s="190">
        <v>3</v>
      </c>
      <c r="C304" s="190">
        <v>7</v>
      </c>
      <c r="D304" s="190">
        <v>3</v>
      </c>
      <c r="E304" s="191" t="s">
        <v>36</v>
      </c>
      <c r="F304" s="190">
        <v>3</v>
      </c>
      <c r="G304" s="191" t="s">
        <v>36</v>
      </c>
      <c r="H304" s="190">
        <v>1</v>
      </c>
      <c r="I304" s="190">
        <v>150</v>
      </c>
      <c r="J304" s="191" t="s">
        <v>80</v>
      </c>
      <c r="K304" s="191" t="s">
        <v>61</v>
      </c>
      <c r="L304" s="191" t="s">
        <v>67</v>
      </c>
      <c r="M304" s="191" t="s">
        <v>37</v>
      </c>
      <c r="N304" s="191" t="s">
        <v>58</v>
      </c>
      <c r="O304" s="191" t="s">
        <v>39</v>
      </c>
      <c r="P304" s="191" t="s">
        <v>41</v>
      </c>
      <c r="Q304" s="191" t="s">
        <v>35</v>
      </c>
      <c r="R304" s="191" t="s">
        <v>60</v>
      </c>
      <c r="S304" s="191" t="s">
        <v>48</v>
      </c>
      <c r="T304" s="191" t="s">
        <v>44</v>
      </c>
      <c r="U304" s="191" t="s">
        <v>666</v>
      </c>
      <c r="V304" s="191" t="s">
        <v>1139</v>
      </c>
      <c r="W304" s="191" t="s">
        <v>47</v>
      </c>
      <c r="X304" s="191" t="s">
        <v>44</v>
      </c>
      <c r="Y304" s="191" t="s">
        <v>45</v>
      </c>
      <c r="Z304" s="191" t="s">
        <v>43</v>
      </c>
      <c r="AA304" s="191" t="s">
        <v>62</v>
      </c>
      <c r="AB304" s="191" t="s">
        <v>84</v>
      </c>
      <c r="AC304" s="191" t="s">
        <v>47</v>
      </c>
      <c r="AD304" s="191" t="s">
        <v>91</v>
      </c>
      <c r="AE304" s="191" t="s">
        <v>44</v>
      </c>
      <c r="AF304" s="191" t="s">
        <v>95</v>
      </c>
      <c r="AG304" s="191" t="s">
        <v>47</v>
      </c>
      <c r="AH304" s="191" t="s">
        <v>44</v>
      </c>
      <c r="AI304" s="191" t="s">
        <v>39</v>
      </c>
      <c r="AJ304" s="191" t="s">
        <v>36</v>
      </c>
      <c r="AK304" s="191" t="s">
        <v>59</v>
      </c>
      <c r="AL304" s="191" t="s">
        <v>44</v>
      </c>
      <c r="AM304" s="191" t="s">
        <v>45</v>
      </c>
      <c r="AN304" s="191" t="s">
        <v>44</v>
      </c>
      <c r="AO304" s="191" t="s">
        <v>44</v>
      </c>
      <c r="AP304" s="191" t="s">
        <v>44</v>
      </c>
    </row>
    <row r="305" spans="1:42" ht="43.5">
      <c r="A305" s="191" t="s">
        <v>1578</v>
      </c>
      <c r="B305" s="190">
        <v>3</v>
      </c>
      <c r="C305" s="190">
        <v>1</v>
      </c>
      <c r="D305" s="190">
        <v>9</v>
      </c>
      <c r="E305" s="191" t="s">
        <v>315</v>
      </c>
      <c r="F305" s="190">
        <v>1</v>
      </c>
      <c r="G305" s="191" t="s">
        <v>36</v>
      </c>
      <c r="H305" s="190">
        <v>1</v>
      </c>
      <c r="I305" s="190">
        <v>120</v>
      </c>
      <c r="J305" s="191" t="s">
        <v>80</v>
      </c>
      <c r="K305" s="191" t="s">
        <v>61</v>
      </c>
      <c r="L305" s="191" t="s">
        <v>36</v>
      </c>
      <c r="M305" s="191" t="s">
        <v>37</v>
      </c>
      <c r="N305" s="191" t="s">
        <v>95</v>
      </c>
      <c r="O305" s="191" t="s">
        <v>288</v>
      </c>
      <c r="P305" s="191" t="s">
        <v>56</v>
      </c>
      <c r="Q305" s="191" t="s">
        <v>88</v>
      </c>
      <c r="R305" s="191" t="s">
        <v>87</v>
      </c>
      <c r="S305" s="191" t="s">
        <v>133</v>
      </c>
      <c r="T305" s="191" t="s">
        <v>44</v>
      </c>
      <c r="U305" s="191" t="s">
        <v>44</v>
      </c>
      <c r="V305" s="191" t="s">
        <v>44</v>
      </c>
      <c r="W305" s="191" t="s">
        <v>47</v>
      </c>
      <c r="X305" s="191" t="s">
        <v>44</v>
      </c>
      <c r="Y305" s="191" t="s">
        <v>45</v>
      </c>
      <c r="Z305" s="191" t="s">
        <v>47</v>
      </c>
      <c r="AA305" s="191" t="s">
        <v>49</v>
      </c>
      <c r="AB305" s="191" t="s">
        <v>84</v>
      </c>
      <c r="AC305" s="191" t="s">
        <v>47</v>
      </c>
      <c r="AD305" s="191" t="s">
        <v>51</v>
      </c>
      <c r="AE305" s="191" t="s">
        <v>44</v>
      </c>
      <c r="AF305" s="191" t="s">
        <v>95</v>
      </c>
      <c r="AG305" s="191" t="s">
        <v>47</v>
      </c>
      <c r="AH305" s="191" t="s">
        <v>44</v>
      </c>
      <c r="AI305" s="191" t="s">
        <v>134</v>
      </c>
      <c r="AJ305" s="191" t="s">
        <v>36</v>
      </c>
      <c r="AK305" s="191" t="s">
        <v>73</v>
      </c>
      <c r="AL305" s="191" t="s">
        <v>44</v>
      </c>
      <c r="AM305" s="191" t="s">
        <v>45</v>
      </c>
      <c r="AN305" s="191" t="s">
        <v>44</v>
      </c>
      <c r="AO305" s="191" t="s">
        <v>44</v>
      </c>
      <c r="AP305" s="191" t="s">
        <v>44</v>
      </c>
    </row>
    <row r="306" spans="1:42" ht="43.5">
      <c r="A306" s="191" t="s">
        <v>1579</v>
      </c>
      <c r="B306" s="190">
        <v>3</v>
      </c>
      <c r="C306" s="190">
        <v>7</v>
      </c>
      <c r="D306" s="190">
        <v>7</v>
      </c>
      <c r="E306" s="191" t="s">
        <v>318</v>
      </c>
      <c r="F306" s="190">
        <v>2</v>
      </c>
      <c r="G306" s="191" t="s">
        <v>36</v>
      </c>
      <c r="H306" s="190">
        <v>1</v>
      </c>
      <c r="I306" s="190">
        <v>200</v>
      </c>
      <c r="J306" s="191" t="s">
        <v>54</v>
      </c>
      <c r="K306" s="191" t="s">
        <v>61</v>
      </c>
      <c r="L306" s="191" t="s">
        <v>103</v>
      </c>
      <c r="M306" s="191" t="s">
        <v>37</v>
      </c>
      <c r="N306" s="191" t="s">
        <v>38</v>
      </c>
      <c r="O306" s="191" t="s">
        <v>288</v>
      </c>
      <c r="P306" s="191" t="s">
        <v>66</v>
      </c>
      <c r="Q306" s="191" t="s">
        <v>86</v>
      </c>
      <c r="R306" s="191" t="s">
        <v>42</v>
      </c>
      <c r="S306" s="191" t="s">
        <v>48</v>
      </c>
      <c r="T306" s="191" t="s">
        <v>44</v>
      </c>
      <c r="U306" s="191" t="s">
        <v>44</v>
      </c>
      <c r="V306" s="191" t="s">
        <v>44</v>
      </c>
      <c r="W306" s="191" t="s">
        <v>43</v>
      </c>
      <c r="X306" s="191" t="s">
        <v>44</v>
      </c>
      <c r="Y306" s="191" t="s">
        <v>47</v>
      </c>
      <c r="Z306" s="191" t="s">
        <v>43</v>
      </c>
      <c r="AA306" s="191" t="s">
        <v>62</v>
      </c>
      <c r="AB306" s="191" t="s">
        <v>50</v>
      </c>
      <c r="AC306" s="191" t="s">
        <v>43</v>
      </c>
      <c r="AD306" s="191" t="s">
        <v>72</v>
      </c>
      <c r="AE306" s="191" t="s">
        <v>44</v>
      </c>
      <c r="AF306" s="191" t="s">
        <v>95</v>
      </c>
      <c r="AG306" s="191" t="s">
        <v>47</v>
      </c>
      <c r="AH306" s="191" t="s">
        <v>44</v>
      </c>
      <c r="AI306" s="191" t="s">
        <v>134</v>
      </c>
      <c r="AJ306" s="191" t="s">
        <v>36</v>
      </c>
      <c r="AK306" s="191" t="s">
        <v>73</v>
      </c>
      <c r="AL306" s="191" t="s">
        <v>44</v>
      </c>
      <c r="AM306" s="191" t="s">
        <v>45</v>
      </c>
      <c r="AN306" s="191" t="s">
        <v>44</v>
      </c>
      <c r="AO306" s="191" t="s">
        <v>44</v>
      </c>
      <c r="AP306" s="191" t="s">
        <v>44</v>
      </c>
    </row>
    <row r="307" spans="1:42" ht="29">
      <c r="A307" s="191" t="s">
        <v>1580</v>
      </c>
      <c r="B307" s="190">
        <v>3</v>
      </c>
      <c r="C307" s="190">
        <v>8</v>
      </c>
      <c r="D307" s="190">
        <v>3</v>
      </c>
      <c r="E307" s="191" t="s">
        <v>311</v>
      </c>
      <c r="F307" s="190">
        <v>4</v>
      </c>
      <c r="G307" s="191" t="s">
        <v>36</v>
      </c>
      <c r="H307" s="190">
        <v>1</v>
      </c>
      <c r="I307" s="190">
        <v>100</v>
      </c>
      <c r="J307" s="191" t="s">
        <v>65</v>
      </c>
      <c r="K307" s="191" t="s">
        <v>101</v>
      </c>
      <c r="L307" s="191" t="s">
        <v>36</v>
      </c>
      <c r="M307" s="191" t="s">
        <v>37</v>
      </c>
      <c r="N307" s="191" t="s">
        <v>58</v>
      </c>
      <c r="O307" s="191" t="s">
        <v>288</v>
      </c>
      <c r="P307" s="191" t="s">
        <v>41</v>
      </c>
      <c r="Q307" s="191" t="s">
        <v>88</v>
      </c>
      <c r="R307" s="191" t="s">
        <v>42</v>
      </c>
      <c r="S307" s="191" t="s">
        <v>48</v>
      </c>
      <c r="T307" s="191" t="s">
        <v>44</v>
      </c>
      <c r="U307" s="191" t="s">
        <v>45</v>
      </c>
      <c r="V307" s="191" t="s">
        <v>1139</v>
      </c>
      <c r="W307" s="191" t="s">
        <v>47</v>
      </c>
      <c r="X307" s="191" t="s">
        <v>44</v>
      </c>
      <c r="Y307" s="191" t="s">
        <v>43</v>
      </c>
      <c r="Z307" s="191" t="s">
        <v>43</v>
      </c>
      <c r="AA307" s="191" t="s">
        <v>105</v>
      </c>
      <c r="AB307" s="191" t="s">
        <v>84</v>
      </c>
      <c r="AC307" s="191" t="s">
        <v>43</v>
      </c>
      <c r="AD307" s="191" t="s">
        <v>72</v>
      </c>
      <c r="AE307" s="191" t="s">
        <v>44</v>
      </c>
      <c r="AF307" s="191" t="s">
        <v>95</v>
      </c>
      <c r="AG307" s="191" t="s">
        <v>43</v>
      </c>
      <c r="AH307" s="191" t="s">
        <v>44</v>
      </c>
      <c r="AI307" s="191" t="s">
        <v>39</v>
      </c>
      <c r="AJ307" s="191" t="s">
        <v>36</v>
      </c>
      <c r="AK307" s="191" t="s">
        <v>71</v>
      </c>
      <c r="AL307" s="191" t="s">
        <v>44</v>
      </c>
      <c r="AM307" s="191" t="s">
        <v>89</v>
      </c>
      <c r="AN307" s="191" t="s">
        <v>44</v>
      </c>
      <c r="AO307" s="191" t="s">
        <v>44</v>
      </c>
      <c r="AP307" s="191" t="s">
        <v>44</v>
      </c>
    </row>
    <row r="308" spans="1:42" ht="43.5">
      <c r="A308" s="191" t="s">
        <v>1581</v>
      </c>
      <c r="B308" s="190">
        <v>3</v>
      </c>
      <c r="C308" s="190">
        <v>7</v>
      </c>
      <c r="D308" s="190">
        <v>7</v>
      </c>
      <c r="E308" s="191" t="s">
        <v>318</v>
      </c>
      <c r="F308" s="190">
        <v>2</v>
      </c>
      <c r="G308" s="191" t="s">
        <v>36</v>
      </c>
      <c r="H308" s="190">
        <v>1</v>
      </c>
      <c r="I308" s="190">
        <v>102</v>
      </c>
      <c r="J308" s="191" t="s">
        <v>54</v>
      </c>
      <c r="K308" s="191" t="s">
        <v>61</v>
      </c>
      <c r="L308" s="191" t="s">
        <v>67</v>
      </c>
      <c r="M308" s="191" t="s">
        <v>37</v>
      </c>
      <c r="N308" s="191" t="s">
        <v>38</v>
      </c>
      <c r="O308" s="191" t="s">
        <v>288</v>
      </c>
      <c r="P308" s="191" t="s">
        <v>56</v>
      </c>
      <c r="Q308" s="191" t="s">
        <v>88</v>
      </c>
      <c r="R308" s="191" t="s">
        <v>42</v>
      </c>
      <c r="S308" s="191" t="s">
        <v>48</v>
      </c>
      <c r="T308" s="191" t="s">
        <v>44</v>
      </c>
      <c r="U308" s="191" t="s">
        <v>61</v>
      </c>
      <c r="V308" s="191" t="s">
        <v>44</v>
      </c>
      <c r="W308" s="191" t="s">
        <v>43</v>
      </c>
      <c r="X308" s="191" t="s">
        <v>44</v>
      </c>
      <c r="Y308" s="191" t="s">
        <v>45</v>
      </c>
      <c r="Z308" s="191" t="s">
        <v>43</v>
      </c>
      <c r="AA308" s="191" t="s">
        <v>49</v>
      </c>
      <c r="AB308" s="191" t="s">
        <v>50</v>
      </c>
      <c r="AC308" s="191" t="s">
        <v>47</v>
      </c>
      <c r="AD308" s="191" t="s">
        <v>72</v>
      </c>
      <c r="AE308" s="191" t="s">
        <v>44</v>
      </c>
      <c r="AF308" s="191" t="s">
        <v>95</v>
      </c>
      <c r="AG308" s="191" t="s">
        <v>43</v>
      </c>
      <c r="AH308" s="191" t="s">
        <v>44</v>
      </c>
      <c r="AI308" s="191" t="s">
        <v>39</v>
      </c>
      <c r="AJ308" s="191" t="s">
        <v>36</v>
      </c>
      <c r="AK308" s="191" t="s">
        <v>73</v>
      </c>
      <c r="AL308" s="191" t="s">
        <v>44</v>
      </c>
      <c r="AM308" s="191" t="s">
        <v>1247</v>
      </c>
      <c r="AN308" s="191" t="s">
        <v>44</v>
      </c>
      <c r="AO308" s="191" t="s">
        <v>44</v>
      </c>
      <c r="AP308" s="191" t="s">
        <v>44</v>
      </c>
    </row>
    <row r="309" spans="1:42" ht="43.5">
      <c r="A309" s="191" t="s">
        <v>1582</v>
      </c>
      <c r="B309" s="190">
        <v>3</v>
      </c>
      <c r="C309" s="190">
        <v>5</v>
      </c>
      <c r="D309" s="190">
        <v>3</v>
      </c>
      <c r="E309" s="191" t="s">
        <v>307</v>
      </c>
      <c r="F309" s="190">
        <v>3</v>
      </c>
      <c r="G309" s="191" t="s">
        <v>36</v>
      </c>
      <c r="H309" s="190">
        <v>1</v>
      </c>
      <c r="I309" s="190">
        <v>90</v>
      </c>
      <c r="J309" s="191" t="s">
        <v>54</v>
      </c>
      <c r="K309" s="191" t="s">
        <v>61</v>
      </c>
      <c r="L309" s="191" t="s">
        <v>36</v>
      </c>
      <c r="M309" s="191" t="s">
        <v>37</v>
      </c>
      <c r="N309" s="191" t="s">
        <v>58</v>
      </c>
      <c r="O309" s="191" t="s">
        <v>39</v>
      </c>
      <c r="P309" s="191" t="s">
        <v>56</v>
      </c>
      <c r="Q309" s="191" t="s">
        <v>43</v>
      </c>
      <c r="R309" s="191" t="s">
        <v>42</v>
      </c>
      <c r="S309" s="191" t="s">
        <v>48</v>
      </c>
      <c r="T309" s="191" t="s">
        <v>44</v>
      </c>
      <c r="U309" s="191" t="s">
        <v>1135</v>
      </c>
      <c r="V309" s="191" t="s">
        <v>1144</v>
      </c>
      <c r="W309" s="191" t="s">
        <v>47</v>
      </c>
      <c r="X309" s="191" t="s">
        <v>44</v>
      </c>
      <c r="Y309" s="191" t="s">
        <v>43</v>
      </c>
      <c r="Z309" s="191" t="s">
        <v>43</v>
      </c>
      <c r="AA309" s="191" t="s">
        <v>49</v>
      </c>
      <c r="AB309" s="191" t="s">
        <v>138</v>
      </c>
      <c r="AC309" s="191" t="s">
        <v>43</v>
      </c>
      <c r="AD309" s="191" t="s">
        <v>72</v>
      </c>
      <c r="AE309" s="191" t="s">
        <v>44</v>
      </c>
      <c r="AF309" s="191" t="s">
        <v>95</v>
      </c>
      <c r="AG309" s="191" t="s">
        <v>47</v>
      </c>
      <c r="AH309" s="191" t="s">
        <v>44</v>
      </c>
      <c r="AI309" s="191" t="s">
        <v>134</v>
      </c>
      <c r="AJ309" s="191" t="s">
        <v>36</v>
      </c>
      <c r="AK309" s="191" t="s">
        <v>71</v>
      </c>
      <c r="AL309" s="191" t="s">
        <v>44</v>
      </c>
      <c r="AM309" s="191" t="s">
        <v>45</v>
      </c>
      <c r="AN309" s="191" t="s">
        <v>44</v>
      </c>
      <c r="AO309" s="191" t="s">
        <v>44</v>
      </c>
      <c r="AP309" s="191" t="s">
        <v>44</v>
      </c>
    </row>
    <row r="310" spans="1:42" ht="29">
      <c r="A310" s="191" t="s">
        <v>1583</v>
      </c>
      <c r="B310" s="190">
        <v>3</v>
      </c>
      <c r="C310" s="190">
        <v>4</v>
      </c>
      <c r="D310" s="190">
        <v>4</v>
      </c>
      <c r="E310" s="191" t="s">
        <v>315</v>
      </c>
      <c r="F310" s="190">
        <v>2</v>
      </c>
      <c r="G310" s="191" t="s">
        <v>36</v>
      </c>
      <c r="H310" s="190">
        <v>1</v>
      </c>
      <c r="I310" s="190">
        <v>110</v>
      </c>
      <c r="J310" s="191" t="s">
        <v>80</v>
      </c>
      <c r="K310" s="191" t="s">
        <v>81</v>
      </c>
      <c r="L310" s="191" t="s">
        <v>36</v>
      </c>
      <c r="M310" s="191" t="s">
        <v>37</v>
      </c>
      <c r="N310" s="191" t="s">
        <v>58</v>
      </c>
      <c r="O310" s="191" t="s">
        <v>39</v>
      </c>
      <c r="P310" s="191" t="s">
        <v>41</v>
      </c>
      <c r="Q310" s="191" t="s">
        <v>40</v>
      </c>
      <c r="R310" s="191" t="s">
        <v>87</v>
      </c>
      <c r="S310" s="191" t="s">
        <v>48</v>
      </c>
      <c r="T310" s="191" t="s">
        <v>44</v>
      </c>
      <c r="U310" s="191" t="s">
        <v>1111</v>
      </c>
      <c r="V310" s="191" t="s">
        <v>1139</v>
      </c>
      <c r="W310" s="191" t="s">
        <v>47</v>
      </c>
      <c r="X310" s="191" t="s">
        <v>44</v>
      </c>
      <c r="Y310" s="191" t="s">
        <v>61</v>
      </c>
      <c r="Z310" s="191" t="s">
        <v>43</v>
      </c>
      <c r="AA310" s="191" t="s">
        <v>105</v>
      </c>
      <c r="AB310" s="191" t="s">
        <v>50</v>
      </c>
      <c r="AC310" s="191" t="s">
        <v>43</v>
      </c>
      <c r="AD310" s="191" t="s">
        <v>72</v>
      </c>
      <c r="AE310" s="191" t="s">
        <v>44</v>
      </c>
      <c r="AF310" s="191" t="s">
        <v>95</v>
      </c>
      <c r="AG310" s="191" t="s">
        <v>43</v>
      </c>
      <c r="AH310" s="191" t="s">
        <v>44</v>
      </c>
      <c r="AI310" s="191" t="s">
        <v>39</v>
      </c>
      <c r="AJ310" s="191" t="s">
        <v>36</v>
      </c>
      <c r="AK310" s="191" t="s">
        <v>59</v>
      </c>
      <c r="AL310" s="191" t="s">
        <v>44</v>
      </c>
      <c r="AM310" s="191" t="s">
        <v>45</v>
      </c>
      <c r="AN310" s="191" t="s">
        <v>44</v>
      </c>
      <c r="AO310" s="191" t="s">
        <v>44</v>
      </c>
      <c r="AP310" s="191" t="s">
        <v>44</v>
      </c>
    </row>
    <row r="311" spans="1:42" ht="29">
      <c r="A311" s="191" t="s">
        <v>1584</v>
      </c>
      <c r="B311" s="190">
        <v>3</v>
      </c>
      <c r="C311" s="190">
        <v>3</v>
      </c>
      <c r="D311" s="190">
        <v>5</v>
      </c>
      <c r="E311" s="191" t="s">
        <v>315</v>
      </c>
      <c r="F311" s="190">
        <v>3</v>
      </c>
      <c r="G311" s="191" t="s">
        <v>36</v>
      </c>
      <c r="H311" s="190">
        <v>1</v>
      </c>
      <c r="I311" s="190">
        <v>127</v>
      </c>
      <c r="J311" s="191" t="s">
        <v>80</v>
      </c>
      <c r="K311" s="191" t="s">
        <v>40</v>
      </c>
      <c r="L311" s="191" t="s">
        <v>36</v>
      </c>
      <c r="M311" s="191" t="s">
        <v>37</v>
      </c>
      <c r="N311" s="191" t="s">
        <v>58</v>
      </c>
      <c r="O311" s="191" t="s">
        <v>39</v>
      </c>
      <c r="P311" s="191" t="s">
        <v>41</v>
      </c>
      <c r="Q311" s="191" t="s">
        <v>40</v>
      </c>
      <c r="R311" s="191" t="s">
        <v>60</v>
      </c>
      <c r="S311" s="191" t="s">
        <v>48</v>
      </c>
      <c r="T311" s="191" t="s">
        <v>44</v>
      </c>
      <c r="U311" s="191" t="s">
        <v>44</v>
      </c>
      <c r="V311" s="191" t="s">
        <v>44</v>
      </c>
      <c r="W311" s="191" t="s">
        <v>47</v>
      </c>
      <c r="X311" s="191" t="s">
        <v>44</v>
      </c>
      <c r="Y311" s="191" t="s">
        <v>61</v>
      </c>
      <c r="Z311" s="191" t="s">
        <v>43</v>
      </c>
      <c r="AA311" s="191" t="s">
        <v>62</v>
      </c>
      <c r="AB311" s="191" t="s">
        <v>50</v>
      </c>
      <c r="AC311" s="191" t="s">
        <v>47</v>
      </c>
      <c r="AD311" s="191" t="s">
        <v>91</v>
      </c>
      <c r="AE311" s="191" t="s">
        <v>44</v>
      </c>
      <c r="AF311" s="191" t="s">
        <v>95</v>
      </c>
      <c r="AG311" s="191" t="s">
        <v>47</v>
      </c>
      <c r="AH311" s="191" t="s">
        <v>44</v>
      </c>
      <c r="AI311" s="191" t="s">
        <v>39</v>
      </c>
      <c r="AJ311" s="191" t="s">
        <v>36</v>
      </c>
      <c r="AK311" s="191" t="s">
        <v>73</v>
      </c>
      <c r="AL311" s="191" t="s">
        <v>44</v>
      </c>
      <c r="AM311" s="191" t="s">
        <v>45</v>
      </c>
      <c r="AN311" s="191" t="s">
        <v>44</v>
      </c>
      <c r="AO311" s="191" t="s">
        <v>44</v>
      </c>
      <c r="AP311" s="191" t="s">
        <v>44</v>
      </c>
    </row>
    <row r="312" spans="1:42" ht="29">
      <c r="A312" s="191" t="s">
        <v>1585</v>
      </c>
      <c r="B312" s="190">
        <v>3</v>
      </c>
      <c r="C312" s="190">
        <v>7</v>
      </c>
      <c r="D312" s="190">
        <v>7</v>
      </c>
      <c r="E312" s="191" t="s">
        <v>318</v>
      </c>
      <c r="F312" s="190">
        <v>2</v>
      </c>
      <c r="G312" s="191" t="s">
        <v>53</v>
      </c>
      <c r="H312" s="190">
        <v>1</v>
      </c>
      <c r="I312" s="190">
        <v>95</v>
      </c>
      <c r="J312" s="191" t="s">
        <v>65</v>
      </c>
      <c r="K312" s="191" t="s">
        <v>40</v>
      </c>
      <c r="L312" s="191" t="s">
        <v>36</v>
      </c>
      <c r="M312" s="191" t="s">
        <v>37</v>
      </c>
      <c r="N312" s="191" t="s">
        <v>108</v>
      </c>
      <c r="O312" s="191" t="s">
        <v>39</v>
      </c>
      <c r="P312" s="191" t="s">
        <v>41</v>
      </c>
      <c r="Q312" s="191" t="s">
        <v>89</v>
      </c>
      <c r="R312" s="191" t="s">
        <v>60</v>
      </c>
      <c r="S312" s="191" t="s">
        <v>48</v>
      </c>
      <c r="T312" s="191" t="s">
        <v>44</v>
      </c>
      <c r="U312" s="191" t="s">
        <v>89</v>
      </c>
      <c r="V312" s="191" t="s">
        <v>339</v>
      </c>
      <c r="W312" s="191" t="s">
        <v>43</v>
      </c>
      <c r="X312" s="191" t="s">
        <v>44</v>
      </c>
      <c r="Y312" s="191" t="s">
        <v>61</v>
      </c>
      <c r="Z312" s="191" t="s">
        <v>43</v>
      </c>
      <c r="AA312" s="191" t="s">
        <v>49</v>
      </c>
      <c r="AB312" s="191" t="s">
        <v>50</v>
      </c>
      <c r="AC312" s="191" t="s">
        <v>43</v>
      </c>
      <c r="AD312" s="191" t="s">
        <v>72</v>
      </c>
      <c r="AE312" s="191" t="s">
        <v>44</v>
      </c>
      <c r="AF312" s="191" t="s">
        <v>95</v>
      </c>
      <c r="AG312" s="191" t="s">
        <v>43</v>
      </c>
      <c r="AH312" s="191" t="s">
        <v>44</v>
      </c>
      <c r="AI312" s="191" t="s">
        <v>39</v>
      </c>
      <c r="AJ312" s="191" t="s">
        <v>36</v>
      </c>
      <c r="AK312" s="191" t="s">
        <v>85</v>
      </c>
      <c r="AL312" s="191" t="s">
        <v>44</v>
      </c>
      <c r="AM312" s="191" t="s">
        <v>45</v>
      </c>
      <c r="AN312" s="191" t="s">
        <v>44</v>
      </c>
      <c r="AO312" s="191" t="s">
        <v>44</v>
      </c>
      <c r="AP312" s="191" t="s">
        <v>44</v>
      </c>
    </row>
    <row r="313" spans="1:42" ht="29">
      <c r="A313" s="191" t="s">
        <v>1586</v>
      </c>
      <c r="B313" s="190">
        <v>3</v>
      </c>
      <c r="C313" s="190">
        <v>2</v>
      </c>
      <c r="D313" s="190">
        <v>5</v>
      </c>
      <c r="E313" s="191" t="s">
        <v>311</v>
      </c>
      <c r="F313" s="190">
        <v>4</v>
      </c>
      <c r="G313" s="191" t="s">
        <v>64</v>
      </c>
      <c r="H313" s="190">
        <v>1</v>
      </c>
      <c r="I313" s="190">
        <v>50</v>
      </c>
      <c r="J313" s="191" t="s">
        <v>65</v>
      </c>
      <c r="K313" s="191" t="s">
        <v>61</v>
      </c>
      <c r="L313" s="191" t="s">
        <v>36</v>
      </c>
      <c r="M313" s="191" t="s">
        <v>37</v>
      </c>
      <c r="N313" s="191" t="s">
        <v>38</v>
      </c>
      <c r="O313" s="191" t="s">
        <v>39</v>
      </c>
      <c r="P313" s="191" t="s">
        <v>36</v>
      </c>
      <c r="Q313" s="191" t="s">
        <v>89</v>
      </c>
      <c r="R313" s="191" t="s">
        <v>42</v>
      </c>
      <c r="S313" s="191" t="s">
        <v>36</v>
      </c>
      <c r="T313" s="191" t="s">
        <v>44</v>
      </c>
      <c r="U313" s="191" t="s">
        <v>44</v>
      </c>
      <c r="V313" s="191" t="s">
        <v>44</v>
      </c>
      <c r="W313" s="191" t="s">
        <v>45</v>
      </c>
      <c r="X313" s="191" t="s">
        <v>44</v>
      </c>
      <c r="Y313" s="191" t="s">
        <v>61</v>
      </c>
      <c r="Z313" s="191" t="s">
        <v>40</v>
      </c>
      <c r="AA313" s="191" t="s">
        <v>36</v>
      </c>
      <c r="AB313" s="191" t="s">
        <v>36</v>
      </c>
      <c r="AC313" s="191" t="s">
        <v>46</v>
      </c>
      <c r="AD313" s="191" t="s">
        <v>36</v>
      </c>
      <c r="AE313" s="191" t="s">
        <v>44</v>
      </c>
      <c r="AF313" s="191" t="s">
        <v>95</v>
      </c>
      <c r="AG313" s="191" t="s">
        <v>47</v>
      </c>
      <c r="AH313" s="191" t="s">
        <v>44</v>
      </c>
      <c r="AI313" s="191" t="s">
        <v>134</v>
      </c>
      <c r="AJ313" s="191" t="s">
        <v>36</v>
      </c>
      <c r="AK313" s="191" t="s">
        <v>77</v>
      </c>
      <c r="AL313" s="191" t="s">
        <v>44</v>
      </c>
      <c r="AM313" s="191" t="s">
        <v>89</v>
      </c>
      <c r="AN313" s="191" t="s">
        <v>44</v>
      </c>
      <c r="AO313" s="191" t="s">
        <v>44</v>
      </c>
      <c r="AP313" s="191" t="s">
        <v>44</v>
      </c>
    </row>
    <row r="314" spans="1:42" ht="29">
      <c r="A314" s="191" t="s">
        <v>1587</v>
      </c>
      <c r="B314" s="190">
        <v>3</v>
      </c>
      <c r="C314" s="190">
        <v>7</v>
      </c>
      <c r="D314" s="190">
        <v>9</v>
      </c>
      <c r="E314" s="191" t="s">
        <v>318</v>
      </c>
      <c r="F314" s="190">
        <v>1</v>
      </c>
      <c r="G314" s="191" t="s">
        <v>79</v>
      </c>
      <c r="H314" s="190">
        <v>1</v>
      </c>
      <c r="I314" s="190">
        <v>80</v>
      </c>
      <c r="J314" s="191" t="s">
        <v>54</v>
      </c>
      <c r="K314" s="191" t="s">
        <v>131</v>
      </c>
      <c r="L314" s="191" t="s">
        <v>67</v>
      </c>
      <c r="M314" s="191" t="s">
        <v>37</v>
      </c>
      <c r="N314" s="191" t="s">
        <v>58</v>
      </c>
      <c r="O314" s="191" t="s">
        <v>288</v>
      </c>
      <c r="P314" s="191" t="s">
        <v>41</v>
      </c>
      <c r="Q314" s="191" t="s">
        <v>35</v>
      </c>
      <c r="R314" s="191" t="s">
        <v>36</v>
      </c>
      <c r="S314" s="191" t="s">
        <v>48</v>
      </c>
      <c r="T314" s="191" t="s">
        <v>44</v>
      </c>
      <c r="U314" s="191" t="s">
        <v>46</v>
      </c>
      <c r="V314" s="191" t="s">
        <v>339</v>
      </c>
      <c r="W314" s="191" t="s">
        <v>43</v>
      </c>
      <c r="X314" s="191" t="s">
        <v>44</v>
      </c>
      <c r="Y314" s="191" t="s">
        <v>47</v>
      </c>
      <c r="Z314" s="191" t="s">
        <v>43</v>
      </c>
      <c r="AA314" s="191" t="s">
        <v>49</v>
      </c>
      <c r="AB314" s="191" t="s">
        <v>84</v>
      </c>
      <c r="AC314" s="191" t="s">
        <v>43</v>
      </c>
      <c r="AD314" s="191" t="s">
        <v>72</v>
      </c>
      <c r="AE314" s="191" t="s">
        <v>44</v>
      </c>
      <c r="AF314" s="191" t="s">
        <v>95</v>
      </c>
      <c r="AG314" s="191" t="s">
        <v>43</v>
      </c>
      <c r="AH314" s="191" t="s">
        <v>44</v>
      </c>
      <c r="AI314" s="191" t="s">
        <v>39</v>
      </c>
      <c r="AJ314" s="191" t="s">
        <v>36</v>
      </c>
      <c r="AK314" s="191" t="s">
        <v>59</v>
      </c>
      <c r="AL314" s="191" t="s">
        <v>44</v>
      </c>
      <c r="AM314" s="191" t="s">
        <v>45</v>
      </c>
      <c r="AN314" s="191" t="s">
        <v>44</v>
      </c>
      <c r="AO314" s="191" t="s">
        <v>44</v>
      </c>
      <c r="AP314" s="191" t="s">
        <v>44</v>
      </c>
    </row>
    <row r="315" spans="1:42" ht="29">
      <c r="A315" s="191" t="s">
        <v>1588</v>
      </c>
      <c r="B315" s="190">
        <v>3</v>
      </c>
      <c r="C315" s="190">
        <v>7</v>
      </c>
      <c r="D315" s="190">
        <v>8</v>
      </c>
      <c r="E315" s="191" t="s">
        <v>318</v>
      </c>
      <c r="F315" s="190">
        <v>1</v>
      </c>
      <c r="G315" s="191" t="s">
        <v>79</v>
      </c>
      <c r="H315" s="190">
        <v>1</v>
      </c>
      <c r="I315" s="190">
        <v>90</v>
      </c>
      <c r="J315" s="191" t="s">
        <v>80</v>
      </c>
      <c r="K315" s="191" t="s">
        <v>61</v>
      </c>
      <c r="L315" s="191" t="s">
        <v>36</v>
      </c>
      <c r="M315" s="191" t="s">
        <v>37</v>
      </c>
      <c r="N315" s="191" t="s">
        <v>95</v>
      </c>
      <c r="O315" s="191" t="s">
        <v>39</v>
      </c>
      <c r="P315" s="191" t="s">
        <v>41</v>
      </c>
      <c r="Q315" s="191" t="s">
        <v>35</v>
      </c>
      <c r="R315" s="191" t="s">
        <v>87</v>
      </c>
      <c r="S315" s="191" t="s">
        <v>48</v>
      </c>
      <c r="T315" s="191" t="s">
        <v>44</v>
      </c>
      <c r="U315" s="191" t="s">
        <v>61</v>
      </c>
      <c r="V315" s="191" t="s">
        <v>339</v>
      </c>
      <c r="W315" s="191" t="s">
        <v>46</v>
      </c>
      <c r="X315" s="191" t="s">
        <v>44</v>
      </c>
      <c r="Y315" s="191" t="s">
        <v>45</v>
      </c>
      <c r="Z315" s="191" t="s">
        <v>46</v>
      </c>
      <c r="AA315" s="191" t="s">
        <v>62</v>
      </c>
      <c r="AB315" s="191" t="s">
        <v>84</v>
      </c>
      <c r="AC315" s="191" t="s">
        <v>43</v>
      </c>
      <c r="AD315" s="191" t="s">
        <v>72</v>
      </c>
      <c r="AE315" s="191" t="s">
        <v>44</v>
      </c>
      <c r="AF315" s="191" t="s">
        <v>95</v>
      </c>
      <c r="AG315" s="191" t="s">
        <v>43</v>
      </c>
      <c r="AH315" s="191" t="s">
        <v>44</v>
      </c>
      <c r="AI315" s="191" t="s">
        <v>39</v>
      </c>
      <c r="AJ315" s="191" t="s">
        <v>36</v>
      </c>
      <c r="AK315" s="191" t="s">
        <v>78</v>
      </c>
      <c r="AL315" s="191" t="s">
        <v>44</v>
      </c>
      <c r="AM315" s="191" t="s">
        <v>45</v>
      </c>
      <c r="AN315" s="191" t="s">
        <v>44</v>
      </c>
      <c r="AO315" s="191" t="s">
        <v>44</v>
      </c>
      <c r="AP315" s="191" t="s">
        <v>44</v>
      </c>
    </row>
    <row r="316" spans="1:42" ht="29">
      <c r="A316" s="191" t="s">
        <v>1589</v>
      </c>
      <c r="B316" s="190">
        <v>3</v>
      </c>
      <c r="C316" s="190">
        <v>4</v>
      </c>
      <c r="D316" s="190">
        <v>3</v>
      </c>
      <c r="E316" s="191" t="s">
        <v>315</v>
      </c>
      <c r="F316" s="190">
        <v>2</v>
      </c>
      <c r="G316" s="191" t="s">
        <v>53</v>
      </c>
      <c r="H316" s="190">
        <v>1</v>
      </c>
      <c r="I316" s="190">
        <v>123</v>
      </c>
      <c r="J316" s="191" t="s">
        <v>80</v>
      </c>
      <c r="K316" s="191" t="s">
        <v>47</v>
      </c>
      <c r="L316" s="191" t="s">
        <v>36</v>
      </c>
      <c r="M316" s="191" t="s">
        <v>37</v>
      </c>
      <c r="N316" s="191" t="s">
        <v>58</v>
      </c>
      <c r="O316" s="191" t="s">
        <v>39</v>
      </c>
      <c r="P316" s="191" t="s">
        <v>41</v>
      </c>
      <c r="Q316" s="191" t="s">
        <v>77</v>
      </c>
      <c r="R316" s="191" t="s">
        <v>60</v>
      </c>
      <c r="S316" s="191" t="s">
        <v>48</v>
      </c>
      <c r="T316" s="191" t="s">
        <v>44</v>
      </c>
      <c r="U316" s="191" t="s">
        <v>1113</v>
      </c>
      <c r="V316" s="191" t="s">
        <v>1590</v>
      </c>
      <c r="W316" s="191" t="s">
        <v>78</v>
      </c>
      <c r="X316" s="191" t="s">
        <v>44</v>
      </c>
      <c r="Y316" s="191" t="s">
        <v>61</v>
      </c>
      <c r="Z316" s="191" t="s">
        <v>43</v>
      </c>
      <c r="AA316" s="191" t="s">
        <v>62</v>
      </c>
      <c r="AB316" s="191" t="s">
        <v>84</v>
      </c>
      <c r="AC316" s="191" t="s">
        <v>43</v>
      </c>
      <c r="AD316" s="191" t="s">
        <v>72</v>
      </c>
      <c r="AE316" s="191" t="s">
        <v>44</v>
      </c>
      <c r="AF316" s="191" t="s">
        <v>95</v>
      </c>
      <c r="AG316" s="191" t="s">
        <v>47</v>
      </c>
      <c r="AH316" s="191" t="s">
        <v>44</v>
      </c>
      <c r="AI316" s="191" t="s">
        <v>39</v>
      </c>
      <c r="AJ316" s="191" t="s">
        <v>36</v>
      </c>
      <c r="AK316" s="191" t="s">
        <v>71</v>
      </c>
      <c r="AL316" s="191" t="s">
        <v>44</v>
      </c>
      <c r="AM316" s="191" t="s">
        <v>45</v>
      </c>
      <c r="AN316" s="191" t="s">
        <v>44</v>
      </c>
      <c r="AO316" s="191" t="s">
        <v>44</v>
      </c>
      <c r="AP316" s="191" t="s">
        <v>44</v>
      </c>
    </row>
    <row r="317" spans="1:42" ht="29">
      <c r="A317" s="191" t="s">
        <v>1591</v>
      </c>
      <c r="B317" s="190">
        <v>3</v>
      </c>
      <c r="C317" s="190">
        <v>6</v>
      </c>
      <c r="D317" s="190">
        <v>8</v>
      </c>
      <c r="E317" s="191" t="s">
        <v>315</v>
      </c>
      <c r="F317" s="190">
        <v>2</v>
      </c>
      <c r="G317" s="191" t="s">
        <v>53</v>
      </c>
      <c r="H317" s="190">
        <v>1</v>
      </c>
      <c r="I317" s="190">
        <v>175</v>
      </c>
      <c r="J317" s="191" t="s">
        <v>80</v>
      </c>
      <c r="K317" s="191" t="s">
        <v>61</v>
      </c>
      <c r="L317" s="191" t="s">
        <v>36</v>
      </c>
      <c r="M317" s="191" t="s">
        <v>37</v>
      </c>
      <c r="N317" s="191" t="s">
        <v>58</v>
      </c>
      <c r="O317" s="191" t="s">
        <v>39</v>
      </c>
      <c r="P317" s="191" t="s">
        <v>41</v>
      </c>
      <c r="Q317" s="191" t="s">
        <v>35</v>
      </c>
      <c r="R317" s="191" t="s">
        <v>60</v>
      </c>
      <c r="S317" s="191" t="s">
        <v>48</v>
      </c>
      <c r="T317" s="191" t="s">
        <v>44</v>
      </c>
      <c r="U317" s="191" t="s">
        <v>1592</v>
      </c>
      <c r="V317" s="191" t="s">
        <v>1144</v>
      </c>
      <c r="W317" s="191" t="s">
        <v>43</v>
      </c>
      <c r="X317" s="191" t="s">
        <v>44</v>
      </c>
      <c r="Y317" s="191" t="s">
        <v>45</v>
      </c>
      <c r="Z317" s="191" t="s">
        <v>43</v>
      </c>
      <c r="AA317" s="191" t="s">
        <v>49</v>
      </c>
      <c r="AB317" s="191" t="s">
        <v>50</v>
      </c>
      <c r="AC317" s="191" t="s">
        <v>43</v>
      </c>
      <c r="AD317" s="191" t="s">
        <v>72</v>
      </c>
      <c r="AE317" s="191" t="s">
        <v>44</v>
      </c>
      <c r="AF317" s="191" t="s">
        <v>95</v>
      </c>
      <c r="AG317" s="191" t="s">
        <v>47</v>
      </c>
      <c r="AH317" s="191" t="s">
        <v>44</v>
      </c>
      <c r="AI317" s="191" t="s">
        <v>39</v>
      </c>
      <c r="AJ317" s="191" t="s">
        <v>36</v>
      </c>
      <c r="AK317" s="191" t="s">
        <v>63</v>
      </c>
      <c r="AL317" s="191" t="s">
        <v>44</v>
      </c>
      <c r="AM317" s="191" t="s">
        <v>89</v>
      </c>
      <c r="AN317" s="191" t="s">
        <v>44</v>
      </c>
      <c r="AO317" s="191" t="s">
        <v>44</v>
      </c>
      <c r="AP317" s="191" t="s">
        <v>44</v>
      </c>
    </row>
    <row r="318" spans="1:42" ht="43.5">
      <c r="A318" s="191" t="s">
        <v>1593</v>
      </c>
      <c r="B318" s="190">
        <v>3</v>
      </c>
      <c r="C318" s="190">
        <v>5</v>
      </c>
      <c r="D318" s="190">
        <v>2</v>
      </c>
      <c r="E318" s="191" t="s">
        <v>315</v>
      </c>
      <c r="F318" s="190">
        <v>2</v>
      </c>
      <c r="G318" s="191" t="s">
        <v>100</v>
      </c>
      <c r="H318" s="190">
        <v>1</v>
      </c>
      <c r="I318" s="190">
        <v>130</v>
      </c>
      <c r="J318" s="191" t="s">
        <v>34</v>
      </c>
      <c r="K318" s="191" t="s">
        <v>47</v>
      </c>
      <c r="L318" s="191" t="s">
        <v>36</v>
      </c>
      <c r="M318" s="191" t="s">
        <v>37</v>
      </c>
      <c r="N318" s="191" t="s">
        <v>38</v>
      </c>
      <c r="O318" s="191" t="s">
        <v>288</v>
      </c>
      <c r="P318" s="191" t="s">
        <v>66</v>
      </c>
      <c r="Q318" s="191" t="s">
        <v>139</v>
      </c>
      <c r="R318" s="191" t="s">
        <v>42</v>
      </c>
      <c r="S318" s="191" t="s">
        <v>48</v>
      </c>
      <c r="T318" s="191" t="s">
        <v>44</v>
      </c>
      <c r="U318" s="191" t="s">
        <v>40</v>
      </c>
      <c r="V318" s="191" t="s">
        <v>1144</v>
      </c>
      <c r="W318" s="191" t="s">
        <v>47</v>
      </c>
      <c r="X318" s="191" t="s">
        <v>44</v>
      </c>
      <c r="Y318" s="191" t="s">
        <v>45</v>
      </c>
      <c r="Z318" s="191" t="s">
        <v>46</v>
      </c>
      <c r="AA318" s="191" t="s">
        <v>49</v>
      </c>
      <c r="AB318" s="191" t="s">
        <v>50</v>
      </c>
      <c r="AC318" s="191" t="s">
        <v>43</v>
      </c>
      <c r="AD318" s="191" t="s">
        <v>72</v>
      </c>
      <c r="AE318" s="191" t="s">
        <v>44</v>
      </c>
      <c r="AF318" s="191" t="s">
        <v>95</v>
      </c>
      <c r="AG318" s="191" t="s">
        <v>47</v>
      </c>
      <c r="AH318" s="191" t="s">
        <v>44</v>
      </c>
      <c r="AI318" s="191" t="s">
        <v>134</v>
      </c>
      <c r="AJ318" s="191" t="s">
        <v>36</v>
      </c>
      <c r="AK318" s="191" t="s">
        <v>59</v>
      </c>
      <c r="AL318" s="191" t="s">
        <v>44</v>
      </c>
      <c r="AM318" s="191" t="s">
        <v>45</v>
      </c>
      <c r="AN318" s="191" t="s">
        <v>44</v>
      </c>
      <c r="AO318" s="191" t="s">
        <v>44</v>
      </c>
      <c r="AP318" s="191" t="s">
        <v>44</v>
      </c>
    </row>
    <row r="319" spans="1:42" ht="29">
      <c r="A319" s="191" t="s">
        <v>1594</v>
      </c>
      <c r="B319" s="190">
        <v>3</v>
      </c>
      <c r="C319" s="190">
        <v>3</v>
      </c>
      <c r="D319" s="190">
        <v>9</v>
      </c>
      <c r="E319" s="191" t="s">
        <v>315</v>
      </c>
      <c r="F319" s="190">
        <v>1</v>
      </c>
      <c r="G319" s="191" t="s">
        <v>33</v>
      </c>
      <c r="H319" s="190">
        <v>1</v>
      </c>
      <c r="I319" s="190">
        <v>100</v>
      </c>
      <c r="J319" s="191" t="s">
        <v>80</v>
      </c>
      <c r="K319" s="191" t="s">
        <v>61</v>
      </c>
      <c r="L319" s="191" t="s">
        <v>36</v>
      </c>
      <c r="M319" s="191" t="s">
        <v>37</v>
      </c>
      <c r="N319" s="191" t="s">
        <v>58</v>
      </c>
      <c r="O319" s="191" t="s">
        <v>39</v>
      </c>
      <c r="P319" s="191" t="s">
        <v>41</v>
      </c>
      <c r="Q319" s="191" t="s">
        <v>40</v>
      </c>
      <c r="R319" s="191" t="s">
        <v>87</v>
      </c>
      <c r="S319" s="191" t="s">
        <v>48</v>
      </c>
      <c r="T319" s="191" t="s">
        <v>44</v>
      </c>
      <c r="U319" s="191" t="s">
        <v>1114</v>
      </c>
      <c r="V319" s="191" t="s">
        <v>44</v>
      </c>
      <c r="W319" s="191" t="s">
        <v>43</v>
      </c>
      <c r="X319" s="191" t="s">
        <v>44</v>
      </c>
      <c r="Y319" s="191" t="s">
        <v>45</v>
      </c>
      <c r="Z319" s="191" t="s">
        <v>43</v>
      </c>
      <c r="AA319" s="191" t="s">
        <v>62</v>
      </c>
      <c r="AB319" s="191" t="s">
        <v>50</v>
      </c>
      <c r="AC319" s="191" t="s">
        <v>43</v>
      </c>
      <c r="AD319" s="191" t="s">
        <v>72</v>
      </c>
      <c r="AE319" s="191" t="s">
        <v>44</v>
      </c>
      <c r="AF319" s="191" t="s">
        <v>95</v>
      </c>
      <c r="AG319" s="191" t="s">
        <v>43</v>
      </c>
      <c r="AH319" s="191" t="s">
        <v>44</v>
      </c>
      <c r="AI319" s="191" t="s">
        <v>39</v>
      </c>
      <c r="AJ319" s="191" t="s">
        <v>36</v>
      </c>
      <c r="AK319" s="191" t="s">
        <v>71</v>
      </c>
      <c r="AL319" s="191" t="s">
        <v>44</v>
      </c>
      <c r="AM319" s="191" t="s">
        <v>45</v>
      </c>
      <c r="AN319" s="191" t="s">
        <v>44</v>
      </c>
      <c r="AO319" s="191" t="s">
        <v>44</v>
      </c>
      <c r="AP319" s="191" t="s">
        <v>44</v>
      </c>
    </row>
    <row r="320" spans="1:42" ht="29">
      <c r="A320" s="191" t="s">
        <v>1595</v>
      </c>
      <c r="B320" s="190">
        <v>3</v>
      </c>
      <c r="C320" s="190">
        <v>4</v>
      </c>
      <c r="D320" s="190">
        <v>3</v>
      </c>
      <c r="E320" s="191" t="s">
        <v>311</v>
      </c>
      <c r="F320" s="190">
        <v>4</v>
      </c>
      <c r="G320" s="191" t="s">
        <v>53</v>
      </c>
      <c r="H320" s="190">
        <v>1</v>
      </c>
      <c r="I320" s="190">
        <v>140</v>
      </c>
      <c r="J320" s="191" t="s">
        <v>116</v>
      </c>
      <c r="K320" s="191" t="s">
        <v>61</v>
      </c>
      <c r="L320" s="191" t="s">
        <v>36</v>
      </c>
      <c r="M320" s="191" t="s">
        <v>37</v>
      </c>
      <c r="N320" s="191" t="s">
        <v>95</v>
      </c>
      <c r="O320" s="191" t="s">
        <v>39</v>
      </c>
      <c r="P320" s="191" t="s">
        <v>41</v>
      </c>
      <c r="Q320" s="191" t="s">
        <v>40</v>
      </c>
      <c r="R320" s="191" t="s">
        <v>82</v>
      </c>
      <c r="S320" s="191" t="s">
        <v>48</v>
      </c>
      <c r="T320" s="191" t="s">
        <v>44</v>
      </c>
      <c r="U320" s="191" t="s">
        <v>666</v>
      </c>
      <c r="V320" s="191" t="s">
        <v>1141</v>
      </c>
      <c r="W320" s="191" t="s">
        <v>47</v>
      </c>
      <c r="X320" s="191" t="s">
        <v>44</v>
      </c>
      <c r="Y320" s="191" t="s">
        <v>43</v>
      </c>
      <c r="Z320" s="191" t="s">
        <v>43</v>
      </c>
      <c r="AA320" s="191" t="s">
        <v>62</v>
      </c>
      <c r="AB320" s="191" t="s">
        <v>50</v>
      </c>
      <c r="AC320" s="191" t="s">
        <v>47</v>
      </c>
      <c r="AD320" s="191" t="s">
        <v>91</v>
      </c>
      <c r="AE320" s="191" t="s">
        <v>44</v>
      </c>
      <c r="AF320" s="191" t="s">
        <v>95</v>
      </c>
      <c r="AG320" s="191" t="s">
        <v>78</v>
      </c>
      <c r="AH320" s="191" t="s">
        <v>44</v>
      </c>
      <c r="AI320" s="191" t="s">
        <v>39</v>
      </c>
      <c r="AJ320" s="191" t="s">
        <v>36</v>
      </c>
      <c r="AK320" s="191" t="s">
        <v>71</v>
      </c>
      <c r="AL320" s="191" t="s">
        <v>44</v>
      </c>
      <c r="AM320" s="191" t="s">
        <v>89</v>
      </c>
      <c r="AN320" s="191" t="s">
        <v>44</v>
      </c>
      <c r="AO320" s="191" t="s">
        <v>44</v>
      </c>
      <c r="AP320" s="191" t="s">
        <v>44</v>
      </c>
    </row>
    <row r="321" spans="1:42" ht="29">
      <c r="A321" s="191" t="s">
        <v>1596</v>
      </c>
      <c r="B321" s="190">
        <v>3</v>
      </c>
      <c r="C321" s="190">
        <v>2</v>
      </c>
      <c r="D321" s="190">
        <v>9</v>
      </c>
      <c r="E321" s="191" t="s">
        <v>36</v>
      </c>
      <c r="F321" s="190">
        <v>2</v>
      </c>
      <c r="G321" s="191" t="s">
        <v>79</v>
      </c>
      <c r="H321" s="190">
        <v>1</v>
      </c>
      <c r="I321" s="190">
        <v>88</v>
      </c>
      <c r="J321" s="191" t="s">
        <v>54</v>
      </c>
      <c r="K321" s="191" t="s">
        <v>40</v>
      </c>
      <c r="L321" s="191" t="s">
        <v>36</v>
      </c>
      <c r="M321" s="191" t="s">
        <v>37</v>
      </c>
      <c r="N321" s="191" t="s">
        <v>95</v>
      </c>
      <c r="O321" s="191" t="s">
        <v>39</v>
      </c>
      <c r="P321" s="191" t="s">
        <v>41</v>
      </c>
      <c r="Q321" s="191" t="s">
        <v>89</v>
      </c>
      <c r="R321" s="191" t="s">
        <v>87</v>
      </c>
      <c r="S321" s="191" t="s">
        <v>48</v>
      </c>
      <c r="T321" s="191" t="s">
        <v>44</v>
      </c>
      <c r="U321" s="191" t="s">
        <v>45</v>
      </c>
      <c r="V321" s="191" t="s">
        <v>44</v>
      </c>
      <c r="W321" s="191" t="s">
        <v>43</v>
      </c>
      <c r="X321" s="191" t="s">
        <v>44</v>
      </c>
      <c r="Y321" s="191" t="s">
        <v>47</v>
      </c>
      <c r="Z321" s="191" t="s">
        <v>43</v>
      </c>
      <c r="AA321" s="191" t="s">
        <v>49</v>
      </c>
      <c r="AB321" s="191" t="s">
        <v>50</v>
      </c>
      <c r="AC321" s="191" t="s">
        <v>47</v>
      </c>
      <c r="AD321" s="191" t="s">
        <v>72</v>
      </c>
      <c r="AE321" s="191" t="s">
        <v>44</v>
      </c>
      <c r="AF321" s="191" t="s">
        <v>95</v>
      </c>
      <c r="AG321" s="191" t="s">
        <v>43</v>
      </c>
      <c r="AH321" s="191" t="s">
        <v>44</v>
      </c>
      <c r="AI321" s="191" t="s">
        <v>39</v>
      </c>
      <c r="AJ321" s="191" t="s">
        <v>36</v>
      </c>
      <c r="AK321" s="191" t="s">
        <v>59</v>
      </c>
      <c r="AL321" s="191" t="s">
        <v>44</v>
      </c>
      <c r="AM321" s="191" t="s">
        <v>45</v>
      </c>
      <c r="AN321" s="191" t="s">
        <v>44</v>
      </c>
      <c r="AO321" s="191" t="s">
        <v>44</v>
      </c>
      <c r="AP321" s="191" t="s">
        <v>44</v>
      </c>
    </row>
    <row r="322" spans="1:42" ht="29">
      <c r="A322" s="191" t="s">
        <v>1597</v>
      </c>
      <c r="B322" s="190">
        <v>3</v>
      </c>
      <c r="C322" s="190">
        <v>7</v>
      </c>
      <c r="D322" s="190">
        <v>7</v>
      </c>
      <c r="E322" s="191" t="s">
        <v>318</v>
      </c>
      <c r="F322" s="190">
        <v>2</v>
      </c>
      <c r="G322" s="191" t="s">
        <v>33</v>
      </c>
      <c r="H322" s="190">
        <v>1</v>
      </c>
      <c r="I322" s="190">
        <v>90</v>
      </c>
      <c r="J322" s="191" t="s">
        <v>54</v>
      </c>
      <c r="K322" s="191" t="s">
        <v>40</v>
      </c>
      <c r="L322" s="191" t="s">
        <v>36</v>
      </c>
      <c r="M322" s="191" t="s">
        <v>37</v>
      </c>
      <c r="N322" s="191" t="s">
        <v>95</v>
      </c>
      <c r="O322" s="191" t="s">
        <v>39</v>
      </c>
      <c r="P322" s="191" t="s">
        <v>41</v>
      </c>
      <c r="Q322" s="191" t="s">
        <v>89</v>
      </c>
      <c r="R322" s="191" t="s">
        <v>87</v>
      </c>
      <c r="S322" s="191" t="s">
        <v>48</v>
      </c>
      <c r="T322" s="191" t="s">
        <v>44</v>
      </c>
      <c r="U322" s="191" t="s">
        <v>40</v>
      </c>
      <c r="V322" s="191" t="s">
        <v>339</v>
      </c>
      <c r="W322" s="191" t="s">
        <v>43</v>
      </c>
      <c r="X322" s="191" t="s">
        <v>44</v>
      </c>
      <c r="Y322" s="191" t="s">
        <v>47</v>
      </c>
      <c r="Z322" s="191" t="s">
        <v>43</v>
      </c>
      <c r="AA322" s="191" t="s">
        <v>62</v>
      </c>
      <c r="AB322" s="191" t="s">
        <v>50</v>
      </c>
      <c r="AC322" s="191" t="s">
        <v>47</v>
      </c>
      <c r="AD322" s="191" t="s">
        <v>72</v>
      </c>
      <c r="AE322" s="191" t="s">
        <v>44</v>
      </c>
      <c r="AF322" s="191" t="s">
        <v>95</v>
      </c>
      <c r="AG322" s="191" t="s">
        <v>43</v>
      </c>
      <c r="AH322" s="191" t="s">
        <v>44</v>
      </c>
      <c r="AI322" s="191" t="s">
        <v>39</v>
      </c>
      <c r="AJ322" s="191" t="s">
        <v>36</v>
      </c>
      <c r="AK322" s="191" t="s">
        <v>59</v>
      </c>
      <c r="AL322" s="191" t="s">
        <v>44</v>
      </c>
      <c r="AM322" s="191" t="s">
        <v>45</v>
      </c>
      <c r="AN322" s="191" t="s">
        <v>44</v>
      </c>
      <c r="AO322" s="191" t="s">
        <v>44</v>
      </c>
      <c r="AP322" s="191" t="s">
        <v>44</v>
      </c>
    </row>
    <row r="323" spans="1:42" ht="29">
      <c r="A323" s="191" t="s">
        <v>1598</v>
      </c>
      <c r="B323" s="190">
        <v>3</v>
      </c>
      <c r="C323" s="190">
        <v>3</v>
      </c>
      <c r="D323" s="190">
        <v>3</v>
      </c>
      <c r="E323" s="191" t="s">
        <v>36</v>
      </c>
      <c r="F323" s="190">
        <v>3</v>
      </c>
      <c r="G323" s="191" t="s">
        <v>53</v>
      </c>
      <c r="H323" s="190">
        <v>1</v>
      </c>
      <c r="I323" s="190">
        <v>120</v>
      </c>
      <c r="J323" s="191" t="s">
        <v>80</v>
      </c>
      <c r="K323" s="191" t="s">
        <v>40</v>
      </c>
      <c r="L323" s="191" t="s">
        <v>36</v>
      </c>
      <c r="M323" s="191" t="s">
        <v>37</v>
      </c>
      <c r="N323" s="191" t="s">
        <v>58</v>
      </c>
      <c r="O323" s="191" t="s">
        <v>39</v>
      </c>
      <c r="P323" s="191" t="s">
        <v>41</v>
      </c>
      <c r="Q323" s="191" t="s">
        <v>137</v>
      </c>
      <c r="R323" s="191" t="s">
        <v>87</v>
      </c>
      <c r="S323" s="191" t="s">
        <v>48</v>
      </c>
      <c r="T323" s="191" t="s">
        <v>44</v>
      </c>
      <c r="U323" s="191" t="s">
        <v>44</v>
      </c>
      <c r="V323" s="191" t="s">
        <v>1147</v>
      </c>
      <c r="W323" s="191" t="s">
        <v>45</v>
      </c>
      <c r="X323" s="191" t="s">
        <v>1599</v>
      </c>
      <c r="Y323" s="191" t="s">
        <v>61</v>
      </c>
      <c r="Z323" s="191" t="s">
        <v>40</v>
      </c>
      <c r="AA323" s="191" t="s">
        <v>36</v>
      </c>
      <c r="AB323" s="191" t="s">
        <v>36</v>
      </c>
      <c r="AC323" s="191" t="s">
        <v>46</v>
      </c>
      <c r="AD323" s="191" t="s">
        <v>36</v>
      </c>
      <c r="AE323" s="191" t="s">
        <v>44</v>
      </c>
      <c r="AF323" s="191" t="s">
        <v>95</v>
      </c>
      <c r="AG323" s="191" t="s">
        <v>43</v>
      </c>
      <c r="AH323" s="191" t="s">
        <v>44</v>
      </c>
      <c r="AI323" s="191" t="s">
        <v>39</v>
      </c>
      <c r="AJ323" s="191" t="s">
        <v>36</v>
      </c>
      <c r="AK323" s="191" t="s">
        <v>59</v>
      </c>
      <c r="AL323" s="191" t="s">
        <v>44</v>
      </c>
      <c r="AM323" s="191" t="s">
        <v>45</v>
      </c>
      <c r="AN323" s="191" t="s">
        <v>44</v>
      </c>
      <c r="AO323" s="191" t="s">
        <v>44</v>
      </c>
      <c r="AP323" s="191" t="s">
        <v>44</v>
      </c>
    </row>
    <row r="324" spans="1:42" ht="29">
      <c r="A324" s="191" t="s">
        <v>1600</v>
      </c>
      <c r="B324" s="190">
        <v>3</v>
      </c>
      <c r="C324" s="190">
        <v>4</v>
      </c>
      <c r="D324" s="190">
        <v>3</v>
      </c>
      <c r="E324" s="191" t="s">
        <v>307</v>
      </c>
      <c r="F324" s="190">
        <v>3</v>
      </c>
      <c r="G324" s="191" t="s">
        <v>33</v>
      </c>
      <c r="H324" s="190">
        <v>1</v>
      </c>
      <c r="I324" s="190">
        <v>94</v>
      </c>
      <c r="J324" s="191" t="s">
        <v>54</v>
      </c>
      <c r="K324" s="191" t="s">
        <v>40</v>
      </c>
      <c r="L324" s="191" t="s">
        <v>70</v>
      </c>
      <c r="M324" s="191" t="s">
        <v>37</v>
      </c>
      <c r="N324" s="191" t="s">
        <v>58</v>
      </c>
      <c r="O324" s="191" t="s">
        <v>288</v>
      </c>
      <c r="P324" s="191" t="s">
        <v>36</v>
      </c>
      <c r="Q324" s="191" t="s">
        <v>61</v>
      </c>
      <c r="R324" s="191" t="s">
        <v>42</v>
      </c>
      <c r="S324" s="191" t="s">
        <v>48</v>
      </c>
      <c r="T324" s="191" t="s">
        <v>44</v>
      </c>
      <c r="U324" s="191" t="s">
        <v>44</v>
      </c>
      <c r="V324" s="191" t="s">
        <v>44</v>
      </c>
      <c r="W324" s="191" t="s">
        <v>45</v>
      </c>
      <c r="X324" s="191" t="s">
        <v>44</v>
      </c>
      <c r="Y324" s="191" t="s">
        <v>45</v>
      </c>
      <c r="Z324" s="191" t="s">
        <v>43</v>
      </c>
      <c r="AA324" s="191" t="s">
        <v>67</v>
      </c>
      <c r="AB324" s="191" t="s">
        <v>67</v>
      </c>
      <c r="AC324" s="191" t="s">
        <v>43</v>
      </c>
      <c r="AD324" s="191" t="s">
        <v>36</v>
      </c>
      <c r="AE324" s="191" t="s">
        <v>44</v>
      </c>
      <c r="AF324" s="191" t="s">
        <v>95</v>
      </c>
      <c r="AG324" s="191" t="s">
        <v>43</v>
      </c>
      <c r="AH324" s="191" t="s">
        <v>44</v>
      </c>
      <c r="AI324" s="191" t="s">
        <v>39</v>
      </c>
      <c r="AJ324" s="191" t="s">
        <v>36</v>
      </c>
      <c r="AK324" s="191" t="s">
        <v>73</v>
      </c>
      <c r="AL324" s="191" t="s">
        <v>44</v>
      </c>
      <c r="AM324" s="191" t="s">
        <v>45</v>
      </c>
      <c r="AN324" s="191" t="s">
        <v>44</v>
      </c>
      <c r="AO324" s="191" t="s">
        <v>44</v>
      </c>
      <c r="AP324" s="191" t="s">
        <v>44</v>
      </c>
    </row>
    <row r="325" spans="1:42" ht="29">
      <c r="A325" s="191" t="s">
        <v>1601</v>
      </c>
      <c r="B325" s="190">
        <v>3</v>
      </c>
      <c r="C325" s="190">
        <v>7</v>
      </c>
      <c r="D325" s="190">
        <v>9</v>
      </c>
      <c r="E325" s="191" t="s">
        <v>318</v>
      </c>
      <c r="F325" s="190">
        <v>1</v>
      </c>
      <c r="G325" s="191" t="s">
        <v>33</v>
      </c>
      <c r="H325" s="190">
        <v>1</v>
      </c>
      <c r="I325" s="190">
        <v>90</v>
      </c>
      <c r="J325" s="191" t="s">
        <v>65</v>
      </c>
      <c r="K325" s="191" t="s">
        <v>81</v>
      </c>
      <c r="L325" s="191" t="s">
        <v>36</v>
      </c>
      <c r="M325" s="191" t="s">
        <v>37</v>
      </c>
      <c r="N325" s="191" t="s">
        <v>95</v>
      </c>
      <c r="O325" s="191" t="s">
        <v>288</v>
      </c>
      <c r="P325" s="191" t="s">
        <v>41</v>
      </c>
      <c r="Q325" s="191" t="s">
        <v>61</v>
      </c>
      <c r="R325" s="191" t="s">
        <v>87</v>
      </c>
      <c r="S325" s="191" t="s">
        <v>48</v>
      </c>
      <c r="T325" s="191" t="s">
        <v>44</v>
      </c>
      <c r="U325" s="191" t="s">
        <v>45</v>
      </c>
      <c r="V325" s="191" t="s">
        <v>1108</v>
      </c>
      <c r="W325" s="191" t="s">
        <v>43</v>
      </c>
      <c r="X325" s="191" t="s">
        <v>44</v>
      </c>
      <c r="Y325" s="191" t="s">
        <v>45</v>
      </c>
      <c r="Z325" s="191" t="s">
        <v>43</v>
      </c>
      <c r="AA325" s="191" t="s">
        <v>67</v>
      </c>
      <c r="AB325" s="191" t="s">
        <v>84</v>
      </c>
      <c r="AC325" s="191" t="s">
        <v>43</v>
      </c>
      <c r="AD325" s="191" t="s">
        <v>72</v>
      </c>
      <c r="AE325" s="191" t="s">
        <v>44</v>
      </c>
      <c r="AF325" s="191" t="s">
        <v>95</v>
      </c>
      <c r="AG325" s="191" t="s">
        <v>43</v>
      </c>
      <c r="AH325" s="191" t="s">
        <v>44</v>
      </c>
      <c r="AI325" s="191" t="s">
        <v>134</v>
      </c>
      <c r="AJ325" s="191" t="s">
        <v>36</v>
      </c>
      <c r="AK325" s="191" t="s">
        <v>59</v>
      </c>
      <c r="AL325" s="191" t="s">
        <v>44</v>
      </c>
      <c r="AM325" s="191" t="s">
        <v>45</v>
      </c>
      <c r="AN325" s="191" t="s">
        <v>44</v>
      </c>
      <c r="AO325" s="191" t="s">
        <v>44</v>
      </c>
      <c r="AP325" s="191" t="s">
        <v>44</v>
      </c>
    </row>
    <row r="326" spans="1:42" ht="43.5">
      <c r="A326" s="191" t="s">
        <v>1602</v>
      </c>
      <c r="B326" s="190">
        <v>3</v>
      </c>
      <c r="C326" s="190">
        <v>7</v>
      </c>
      <c r="D326" s="190">
        <v>3</v>
      </c>
      <c r="E326" s="191" t="s">
        <v>315</v>
      </c>
      <c r="F326" s="190">
        <v>2</v>
      </c>
      <c r="G326" s="191" t="s">
        <v>33</v>
      </c>
      <c r="H326" s="190">
        <v>1</v>
      </c>
      <c r="I326" s="190">
        <v>70</v>
      </c>
      <c r="J326" s="191" t="s">
        <v>34</v>
      </c>
      <c r="K326" s="191" t="s">
        <v>81</v>
      </c>
      <c r="L326" s="191" t="s">
        <v>36</v>
      </c>
      <c r="M326" s="191" t="s">
        <v>37</v>
      </c>
      <c r="N326" s="191" t="s">
        <v>38</v>
      </c>
      <c r="O326" s="191" t="s">
        <v>288</v>
      </c>
      <c r="P326" s="191" t="s">
        <v>56</v>
      </c>
      <c r="Q326" s="191" t="s">
        <v>124</v>
      </c>
      <c r="R326" s="191" t="s">
        <v>42</v>
      </c>
      <c r="S326" s="191" t="s">
        <v>48</v>
      </c>
      <c r="T326" s="191" t="s">
        <v>44</v>
      </c>
      <c r="U326" s="191" t="s">
        <v>46</v>
      </c>
      <c r="V326" s="191" t="s">
        <v>339</v>
      </c>
      <c r="W326" s="191" t="s">
        <v>47</v>
      </c>
      <c r="X326" s="191" t="s">
        <v>44</v>
      </c>
      <c r="Y326" s="191" t="s">
        <v>47</v>
      </c>
      <c r="Z326" s="191" t="s">
        <v>43</v>
      </c>
      <c r="AA326" s="191" t="s">
        <v>62</v>
      </c>
      <c r="AB326" s="191" t="s">
        <v>50</v>
      </c>
      <c r="AC326" s="191" t="s">
        <v>43</v>
      </c>
      <c r="AD326" s="191" t="s">
        <v>72</v>
      </c>
      <c r="AE326" s="191" t="s">
        <v>44</v>
      </c>
      <c r="AF326" s="191" t="s">
        <v>52</v>
      </c>
      <c r="AG326" s="191" t="s">
        <v>47</v>
      </c>
      <c r="AH326" s="191" t="s">
        <v>44</v>
      </c>
      <c r="AI326" s="191" t="s">
        <v>134</v>
      </c>
      <c r="AJ326" s="191" t="s">
        <v>36</v>
      </c>
      <c r="AK326" s="191" t="s">
        <v>109</v>
      </c>
      <c r="AL326" s="191" t="s">
        <v>44</v>
      </c>
      <c r="AM326" s="191" t="s">
        <v>111</v>
      </c>
      <c r="AN326" s="191" t="s">
        <v>44</v>
      </c>
      <c r="AO326" s="191" t="s">
        <v>44</v>
      </c>
      <c r="AP326" s="191" t="s">
        <v>44</v>
      </c>
    </row>
    <row r="327" spans="1:42" ht="29">
      <c r="A327" s="191" t="s">
        <v>1603</v>
      </c>
      <c r="B327" s="190">
        <v>3</v>
      </c>
      <c r="C327" s="190">
        <v>7</v>
      </c>
      <c r="D327" s="190">
        <v>7</v>
      </c>
      <c r="E327" s="191" t="s">
        <v>318</v>
      </c>
      <c r="F327" s="190">
        <v>2</v>
      </c>
      <c r="G327" s="191" t="s">
        <v>53</v>
      </c>
      <c r="H327" s="190">
        <v>1</v>
      </c>
      <c r="I327" s="190">
        <v>96</v>
      </c>
      <c r="J327" s="191" t="s">
        <v>80</v>
      </c>
      <c r="K327" s="191" t="s">
        <v>47</v>
      </c>
      <c r="L327" s="191" t="s">
        <v>36</v>
      </c>
      <c r="M327" s="191" t="s">
        <v>37</v>
      </c>
      <c r="N327" s="191" t="s">
        <v>95</v>
      </c>
      <c r="O327" s="191" t="s">
        <v>288</v>
      </c>
      <c r="P327" s="191" t="s">
        <v>41</v>
      </c>
      <c r="Q327" s="191" t="s">
        <v>35</v>
      </c>
      <c r="R327" s="191" t="s">
        <v>87</v>
      </c>
      <c r="S327" s="191" t="s">
        <v>48</v>
      </c>
      <c r="T327" s="191" t="s">
        <v>44</v>
      </c>
      <c r="U327" s="191" t="s">
        <v>117</v>
      </c>
      <c r="V327" s="191" t="s">
        <v>1141</v>
      </c>
      <c r="W327" s="191" t="s">
        <v>43</v>
      </c>
      <c r="X327" s="191" t="s">
        <v>44</v>
      </c>
      <c r="Y327" s="191" t="s">
        <v>47</v>
      </c>
      <c r="Z327" s="191" t="s">
        <v>43</v>
      </c>
      <c r="AA327" s="191" t="s">
        <v>49</v>
      </c>
      <c r="AB327" s="191" t="s">
        <v>50</v>
      </c>
      <c r="AC327" s="191" t="s">
        <v>78</v>
      </c>
      <c r="AD327" s="191" t="s">
        <v>91</v>
      </c>
      <c r="AE327" s="191" t="s">
        <v>44</v>
      </c>
      <c r="AF327" s="191" t="s">
        <v>95</v>
      </c>
      <c r="AG327" s="191" t="s">
        <v>43</v>
      </c>
      <c r="AH327" s="191" t="s">
        <v>44</v>
      </c>
      <c r="AI327" s="191" t="s">
        <v>134</v>
      </c>
      <c r="AJ327" s="191" t="s">
        <v>36</v>
      </c>
      <c r="AK327" s="191" t="s">
        <v>59</v>
      </c>
      <c r="AL327" s="191" t="s">
        <v>44</v>
      </c>
      <c r="AM327" s="191" t="s">
        <v>45</v>
      </c>
      <c r="AN327" s="191" t="s">
        <v>44</v>
      </c>
      <c r="AO327" s="191" t="s">
        <v>44</v>
      </c>
      <c r="AP327" s="191" t="s">
        <v>44</v>
      </c>
    </row>
    <row r="328" spans="1:42" ht="29">
      <c r="A328" s="191" t="s">
        <v>1604</v>
      </c>
      <c r="B328" s="190">
        <v>3</v>
      </c>
      <c r="C328" s="190">
        <v>3</v>
      </c>
      <c r="D328" s="190">
        <v>2</v>
      </c>
      <c r="E328" s="191" t="s">
        <v>311</v>
      </c>
      <c r="F328" s="190">
        <v>3</v>
      </c>
      <c r="G328" s="191" t="s">
        <v>33</v>
      </c>
      <c r="H328" s="190">
        <v>1</v>
      </c>
      <c r="I328" s="190">
        <v>150</v>
      </c>
      <c r="J328" s="191" t="s">
        <v>34</v>
      </c>
      <c r="K328" s="191" t="s">
        <v>61</v>
      </c>
      <c r="L328" s="191" t="s">
        <v>103</v>
      </c>
      <c r="M328" s="191" t="s">
        <v>37</v>
      </c>
      <c r="N328" s="191" t="s">
        <v>38</v>
      </c>
      <c r="O328" s="191" t="s">
        <v>288</v>
      </c>
      <c r="P328" s="191" t="s">
        <v>98</v>
      </c>
      <c r="Q328" s="191" t="s">
        <v>43</v>
      </c>
      <c r="R328" s="191" t="s">
        <v>42</v>
      </c>
      <c r="S328" s="191" t="s">
        <v>48</v>
      </c>
      <c r="T328" s="191" t="s">
        <v>44</v>
      </c>
      <c r="U328" s="191" t="s">
        <v>46</v>
      </c>
      <c r="V328" s="191" t="s">
        <v>1141</v>
      </c>
      <c r="W328" s="191" t="s">
        <v>43</v>
      </c>
      <c r="X328" s="191" t="s">
        <v>44</v>
      </c>
      <c r="Y328" s="191" t="s">
        <v>43</v>
      </c>
      <c r="Z328" s="191" t="s">
        <v>43</v>
      </c>
      <c r="AA328" s="191" t="s">
        <v>49</v>
      </c>
      <c r="AB328" s="191" t="s">
        <v>84</v>
      </c>
      <c r="AC328" s="191" t="s">
        <v>43</v>
      </c>
      <c r="AD328" s="191" t="s">
        <v>72</v>
      </c>
      <c r="AE328" s="191" t="s">
        <v>44</v>
      </c>
      <c r="AF328" s="191" t="s">
        <v>95</v>
      </c>
      <c r="AG328" s="191" t="s">
        <v>43</v>
      </c>
      <c r="AH328" s="191" t="s">
        <v>44</v>
      </c>
      <c r="AI328" s="191" t="s">
        <v>39</v>
      </c>
      <c r="AJ328" s="191" t="s">
        <v>36</v>
      </c>
      <c r="AK328" s="191" t="s">
        <v>71</v>
      </c>
      <c r="AL328" s="191" t="s">
        <v>44</v>
      </c>
      <c r="AM328" s="191" t="s">
        <v>47</v>
      </c>
      <c r="AN328" s="191" t="s">
        <v>44</v>
      </c>
      <c r="AO328" s="191" t="s">
        <v>44</v>
      </c>
      <c r="AP328" s="191" t="s">
        <v>44</v>
      </c>
    </row>
    <row r="329" spans="1:42" ht="87">
      <c r="A329" s="191" t="s">
        <v>1605</v>
      </c>
      <c r="B329" s="190">
        <v>3</v>
      </c>
      <c r="C329" s="190">
        <v>7</v>
      </c>
      <c r="D329" s="190">
        <v>7</v>
      </c>
      <c r="E329" s="191" t="s">
        <v>318</v>
      </c>
      <c r="F329" s="190">
        <v>2</v>
      </c>
      <c r="G329" s="191" t="s">
        <v>69</v>
      </c>
      <c r="H329" s="190">
        <v>1</v>
      </c>
      <c r="I329" s="190">
        <v>110</v>
      </c>
      <c r="J329" s="191" t="s">
        <v>54</v>
      </c>
      <c r="K329" s="191" t="s">
        <v>101</v>
      </c>
      <c r="L329" s="191" t="s">
        <v>36</v>
      </c>
      <c r="M329" s="191" t="s">
        <v>37</v>
      </c>
      <c r="N329" s="191" t="s">
        <v>95</v>
      </c>
      <c r="O329" s="191" t="s">
        <v>39</v>
      </c>
      <c r="P329" s="191" t="s">
        <v>41</v>
      </c>
      <c r="Q329" s="191" t="s">
        <v>77</v>
      </c>
      <c r="R329" s="191" t="s">
        <v>42</v>
      </c>
      <c r="S329" s="191" t="s">
        <v>48</v>
      </c>
      <c r="T329" s="191" t="s">
        <v>44</v>
      </c>
      <c r="U329" s="191" t="s">
        <v>45</v>
      </c>
      <c r="V329" s="191" t="s">
        <v>1144</v>
      </c>
      <c r="W329" s="191" t="s">
        <v>47</v>
      </c>
      <c r="X329" s="191" t="s">
        <v>44</v>
      </c>
      <c r="Y329" s="191" t="s">
        <v>46</v>
      </c>
      <c r="Z329" s="191" t="s">
        <v>43</v>
      </c>
      <c r="AA329" s="191" t="s">
        <v>62</v>
      </c>
      <c r="AB329" s="191" t="s">
        <v>50</v>
      </c>
      <c r="AC329" s="191" t="s">
        <v>47</v>
      </c>
      <c r="AD329" s="191" t="s">
        <v>91</v>
      </c>
      <c r="AE329" s="191" t="s">
        <v>44</v>
      </c>
      <c r="AF329" s="191" t="s">
        <v>95</v>
      </c>
      <c r="AG329" s="191" t="s">
        <v>47</v>
      </c>
      <c r="AH329" s="191" t="s">
        <v>44</v>
      </c>
      <c r="AI329" s="191" t="s">
        <v>39</v>
      </c>
      <c r="AJ329" s="191" t="s">
        <v>36</v>
      </c>
      <c r="AK329" s="191" t="s">
        <v>106</v>
      </c>
      <c r="AL329" s="191" t="s">
        <v>1606</v>
      </c>
      <c r="AM329" s="191" t="s">
        <v>74</v>
      </c>
      <c r="AN329" s="191" t="s">
        <v>44</v>
      </c>
      <c r="AO329" s="191" t="s">
        <v>44</v>
      </c>
      <c r="AP329" s="191" t="s">
        <v>44</v>
      </c>
    </row>
    <row r="330" spans="1:42" ht="29">
      <c r="A330" s="191" t="s">
        <v>1607</v>
      </c>
      <c r="B330" s="190">
        <v>3</v>
      </c>
      <c r="C330" s="190">
        <v>8</v>
      </c>
      <c r="D330" s="190">
        <v>3</v>
      </c>
      <c r="E330" s="191" t="s">
        <v>311</v>
      </c>
      <c r="F330" s="190">
        <v>4</v>
      </c>
      <c r="G330" s="191" t="s">
        <v>69</v>
      </c>
      <c r="H330" s="190">
        <v>1</v>
      </c>
      <c r="I330" s="190">
        <v>120</v>
      </c>
      <c r="J330" s="191" t="s">
        <v>54</v>
      </c>
      <c r="K330" s="191" t="s">
        <v>47</v>
      </c>
      <c r="L330" s="191" t="s">
        <v>36</v>
      </c>
      <c r="M330" s="191" t="s">
        <v>37</v>
      </c>
      <c r="N330" s="191" t="s">
        <v>38</v>
      </c>
      <c r="O330" s="191" t="s">
        <v>39</v>
      </c>
      <c r="P330" s="191" t="s">
        <v>41</v>
      </c>
      <c r="Q330" s="191" t="s">
        <v>40</v>
      </c>
      <c r="R330" s="191" t="s">
        <v>42</v>
      </c>
      <c r="S330" s="191" t="s">
        <v>48</v>
      </c>
      <c r="T330" s="191" t="s">
        <v>44</v>
      </c>
      <c r="U330" s="191" t="s">
        <v>45</v>
      </c>
      <c r="V330" s="191" t="s">
        <v>1141</v>
      </c>
      <c r="W330" s="191" t="s">
        <v>43</v>
      </c>
      <c r="X330" s="191" t="s">
        <v>44</v>
      </c>
      <c r="Y330" s="191" t="s">
        <v>43</v>
      </c>
      <c r="Z330" s="191" t="s">
        <v>43</v>
      </c>
      <c r="AA330" s="191" t="s">
        <v>49</v>
      </c>
      <c r="AB330" s="191" t="s">
        <v>84</v>
      </c>
      <c r="AC330" s="191" t="s">
        <v>43</v>
      </c>
      <c r="AD330" s="191" t="s">
        <v>72</v>
      </c>
      <c r="AE330" s="191" t="s">
        <v>44</v>
      </c>
      <c r="AF330" s="191" t="s">
        <v>95</v>
      </c>
      <c r="AG330" s="191" t="s">
        <v>43</v>
      </c>
      <c r="AH330" s="191" t="s">
        <v>44</v>
      </c>
      <c r="AI330" s="191" t="s">
        <v>39</v>
      </c>
      <c r="AJ330" s="191" t="s">
        <v>36</v>
      </c>
      <c r="AK330" s="191" t="s">
        <v>40</v>
      </c>
      <c r="AL330" s="191" t="s">
        <v>44</v>
      </c>
      <c r="AM330" s="191" t="s">
        <v>47</v>
      </c>
      <c r="AN330" s="191" t="s">
        <v>44</v>
      </c>
      <c r="AO330" s="191" t="s">
        <v>44</v>
      </c>
      <c r="AP330" s="191" t="s">
        <v>44</v>
      </c>
    </row>
    <row r="331" spans="1:42" ht="29">
      <c r="A331" s="191" t="s">
        <v>1608</v>
      </c>
      <c r="B331" s="190">
        <v>3</v>
      </c>
      <c r="C331" s="190">
        <v>3</v>
      </c>
      <c r="D331" s="190">
        <v>3</v>
      </c>
      <c r="E331" s="191" t="s">
        <v>315</v>
      </c>
      <c r="F331" s="190">
        <v>2</v>
      </c>
      <c r="G331" s="191" t="s">
        <v>94</v>
      </c>
      <c r="H331" s="190">
        <v>1</v>
      </c>
      <c r="I331" s="190">
        <v>0</v>
      </c>
      <c r="J331" s="191" t="s">
        <v>65</v>
      </c>
      <c r="K331" s="191" t="s">
        <v>61</v>
      </c>
      <c r="L331" s="191" t="s">
        <v>36</v>
      </c>
      <c r="M331" s="191" t="s">
        <v>37</v>
      </c>
      <c r="N331" s="191" t="s">
        <v>95</v>
      </c>
      <c r="O331" s="191" t="s">
        <v>288</v>
      </c>
      <c r="P331" s="191" t="s">
        <v>36</v>
      </c>
      <c r="Q331" s="191" t="s">
        <v>90</v>
      </c>
      <c r="R331" s="191" t="s">
        <v>60</v>
      </c>
      <c r="S331" s="191" t="s">
        <v>48</v>
      </c>
      <c r="T331" s="191" t="s">
        <v>44</v>
      </c>
      <c r="U331" s="191" t="s">
        <v>1120</v>
      </c>
      <c r="V331" s="191" t="s">
        <v>44</v>
      </c>
      <c r="W331" s="191" t="s">
        <v>78</v>
      </c>
      <c r="X331" s="191" t="s">
        <v>44</v>
      </c>
      <c r="Y331" s="191" t="s">
        <v>45</v>
      </c>
      <c r="Z331" s="191" t="s">
        <v>43</v>
      </c>
      <c r="AA331" s="191" t="s">
        <v>49</v>
      </c>
      <c r="AB331" s="191" t="s">
        <v>84</v>
      </c>
      <c r="AC331" s="191" t="s">
        <v>78</v>
      </c>
      <c r="AD331" s="191" t="s">
        <v>51</v>
      </c>
      <c r="AE331" s="191" t="s">
        <v>44</v>
      </c>
      <c r="AF331" s="191" t="s">
        <v>95</v>
      </c>
      <c r="AG331" s="191" t="s">
        <v>47</v>
      </c>
      <c r="AH331" s="191" t="s">
        <v>44</v>
      </c>
      <c r="AI331" s="191" t="s">
        <v>134</v>
      </c>
      <c r="AJ331" s="191" t="s">
        <v>36</v>
      </c>
      <c r="AK331" s="191" t="s">
        <v>40</v>
      </c>
      <c r="AL331" s="191" t="s">
        <v>44</v>
      </c>
      <c r="AM331" s="191" t="s">
        <v>45</v>
      </c>
      <c r="AN331" s="191" t="s">
        <v>44</v>
      </c>
      <c r="AO331" s="191" t="s">
        <v>44</v>
      </c>
      <c r="AP331" s="191" t="s">
        <v>44</v>
      </c>
    </row>
    <row r="332" spans="1:42" ht="29">
      <c r="A332" s="191" t="s">
        <v>1609</v>
      </c>
      <c r="B332" s="190">
        <v>3</v>
      </c>
      <c r="C332" s="190">
        <v>7</v>
      </c>
      <c r="D332" s="190">
        <v>7</v>
      </c>
      <c r="E332" s="191" t="s">
        <v>318</v>
      </c>
      <c r="F332" s="190">
        <v>2</v>
      </c>
      <c r="G332" s="191" t="s">
        <v>69</v>
      </c>
      <c r="H332" s="190">
        <v>1</v>
      </c>
      <c r="I332" s="190">
        <v>100</v>
      </c>
      <c r="J332" s="191" t="s">
        <v>54</v>
      </c>
      <c r="K332" s="191" t="s">
        <v>81</v>
      </c>
      <c r="L332" s="191" t="s">
        <v>36</v>
      </c>
      <c r="M332" s="191" t="s">
        <v>37</v>
      </c>
      <c r="N332" s="191" t="s">
        <v>58</v>
      </c>
      <c r="O332" s="191" t="s">
        <v>288</v>
      </c>
      <c r="P332" s="191" t="s">
        <v>41</v>
      </c>
      <c r="Q332" s="191" t="s">
        <v>40</v>
      </c>
      <c r="R332" s="191" t="s">
        <v>42</v>
      </c>
      <c r="S332" s="191" t="s">
        <v>48</v>
      </c>
      <c r="T332" s="191" t="s">
        <v>44</v>
      </c>
      <c r="U332" s="191" t="s">
        <v>61</v>
      </c>
      <c r="V332" s="191" t="s">
        <v>1108</v>
      </c>
      <c r="W332" s="191" t="s">
        <v>43</v>
      </c>
      <c r="X332" s="191" t="s">
        <v>44</v>
      </c>
      <c r="Y332" s="191" t="s">
        <v>45</v>
      </c>
      <c r="Z332" s="191" t="s">
        <v>43</v>
      </c>
      <c r="AA332" s="191" t="s">
        <v>49</v>
      </c>
      <c r="AB332" s="191" t="s">
        <v>50</v>
      </c>
      <c r="AC332" s="191" t="s">
        <v>47</v>
      </c>
      <c r="AD332" s="191" t="s">
        <v>91</v>
      </c>
      <c r="AE332" s="191" t="s">
        <v>44</v>
      </c>
      <c r="AF332" s="191" t="s">
        <v>95</v>
      </c>
      <c r="AG332" s="191" t="s">
        <v>43</v>
      </c>
      <c r="AH332" s="191" t="s">
        <v>44</v>
      </c>
      <c r="AI332" s="191" t="s">
        <v>39</v>
      </c>
      <c r="AJ332" s="191" t="s">
        <v>36</v>
      </c>
      <c r="AK332" s="191" t="s">
        <v>59</v>
      </c>
      <c r="AL332" s="191" t="s">
        <v>44</v>
      </c>
      <c r="AM332" s="191" t="s">
        <v>45</v>
      </c>
      <c r="AN332" s="191" t="s">
        <v>44</v>
      </c>
      <c r="AO332" s="191" t="s">
        <v>44</v>
      </c>
      <c r="AP332" s="191" t="s">
        <v>44</v>
      </c>
    </row>
    <row r="333" spans="1:42" ht="72.5">
      <c r="A333" s="191" t="s">
        <v>1610</v>
      </c>
      <c r="B333" s="190">
        <v>3</v>
      </c>
      <c r="C333" s="190">
        <v>7</v>
      </c>
      <c r="D333" s="190">
        <v>9</v>
      </c>
      <c r="E333" s="191" t="s">
        <v>318</v>
      </c>
      <c r="F333" s="190">
        <v>1</v>
      </c>
      <c r="G333" s="191" t="s">
        <v>79</v>
      </c>
      <c r="H333" s="190">
        <v>1</v>
      </c>
      <c r="I333" s="190">
        <v>150</v>
      </c>
      <c r="J333" s="191" t="s">
        <v>65</v>
      </c>
      <c r="K333" s="191" t="s">
        <v>35</v>
      </c>
      <c r="L333" s="191" t="s">
        <v>36</v>
      </c>
      <c r="M333" s="191" t="s">
        <v>37</v>
      </c>
      <c r="N333" s="191" t="s">
        <v>38</v>
      </c>
      <c r="O333" s="191" t="s">
        <v>288</v>
      </c>
      <c r="P333" s="191" t="s">
        <v>66</v>
      </c>
      <c r="Q333" s="191" t="s">
        <v>43</v>
      </c>
      <c r="R333" s="191" t="s">
        <v>42</v>
      </c>
      <c r="S333" s="191" t="s">
        <v>48</v>
      </c>
      <c r="T333" s="191" t="s">
        <v>44</v>
      </c>
      <c r="U333" s="191" t="s">
        <v>47</v>
      </c>
      <c r="V333" s="191" t="s">
        <v>339</v>
      </c>
      <c r="W333" s="191" t="s">
        <v>47</v>
      </c>
      <c r="X333" s="191" t="s">
        <v>44</v>
      </c>
      <c r="Y333" s="191" t="s">
        <v>45</v>
      </c>
      <c r="Z333" s="191" t="s">
        <v>43</v>
      </c>
      <c r="AA333" s="191" t="s">
        <v>49</v>
      </c>
      <c r="AB333" s="191" t="s">
        <v>84</v>
      </c>
      <c r="AC333" s="191" t="s">
        <v>43</v>
      </c>
      <c r="AD333" s="191" t="s">
        <v>72</v>
      </c>
      <c r="AE333" s="191" t="s">
        <v>44</v>
      </c>
      <c r="AF333" s="191" t="s">
        <v>95</v>
      </c>
      <c r="AG333" s="191" t="s">
        <v>43</v>
      </c>
      <c r="AH333" s="191" t="s">
        <v>44</v>
      </c>
      <c r="AI333" s="191" t="s">
        <v>134</v>
      </c>
      <c r="AJ333" s="191" t="s">
        <v>36</v>
      </c>
      <c r="AK333" s="191" t="s">
        <v>73</v>
      </c>
      <c r="AL333" s="191" t="s">
        <v>1611</v>
      </c>
      <c r="AM333" s="191" t="s">
        <v>89</v>
      </c>
      <c r="AN333" s="191" t="s">
        <v>44</v>
      </c>
      <c r="AO333" s="191" t="s">
        <v>44</v>
      </c>
      <c r="AP333" s="191" t="s">
        <v>44</v>
      </c>
    </row>
    <row r="334" spans="1:42" ht="43.5">
      <c r="A334" s="191" t="s">
        <v>1612</v>
      </c>
      <c r="B334" s="190">
        <v>3</v>
      </c>
      <c r="C334" s="190">
        <v>7</v>
      </c>
      <c r="D334" s="190">
        <v>9</v>
      </c>
      <c r="E334" s="191" t="s">
        <v>315</v>
      </c>
      <c r="F334" s="190">
        <v>2</v>
      </c>
      <c r="G334" s="191" t="s">
        <v>79</v>
      </c>
      <c r="H334" s="190">
        <v>1</v>
      </c>
      <c r="I334" s="190">
        <v>85</v>
      </c>
      <c r="J334" s="191" t="s">
        <v>65</v>
      </c>
      <c r="K334" s="191" t="s">
        <v>61</v>
      </c>
      <c r="L334" s="191" t="s">
        <v>107</v>
      </c>
      <c r="M334" s="191" t="s">
        <v>37</v>
      </c>
      <c r="N334" s="191" t="s">
        <v>38</v>
      </c>
      <c r="O334" s="191" t="s">
        <v>288</v>
      </c>
      <c r="P334" s="191" t="s">
        <v>56</v>
      </c>
      <c r="Q334" s="191" t="s">
        <v>40</v>
      </c>
      <c r="R334" s="191" t="s">
        <v>42</v>
      </c>
      <c r="S334" s="191" t="s">
        <v>48</v>
      </c>
      <c r="T334" s="191" t="s">
        <v>44</v>
      </c>
      <c r="U334" s="191" t="s">
        <v>89</v>
      </c>
      <c r="V334" s="191" t="s">
        <v>1108</v>
      </c>
      <c r="W334" s="191" t="s">
        <v>43</v>
      </c>
      <c r="X334" s="191" t="s">
        <v>44</v>
      </c>
      <c r="Y334" s="191" t="s">
        <v>45</v>
      </c>
      <c r="Z334" s="191" t="s">
        <v>43</v>
      </c>
      <c r="AA334" s="191" t="s">
        <v>62</v>
      </c>
      <c r="AB334" s="191" t="s">
        <v>50</v>
      </c>
      <c r="AC334" s="191" t="s">
        <v>43</v>
      </c>
      <c r="AD334" s="191" t="s">
        <v>91</v>
      </c>
      <c r="AE334" s="191" t="s">
        <v>44</v>
      </c>
      <c r="AF334" s="191" t="s">
        <v>95</v>
      </c>
      <c r="AG334" s="191" t="s">
        <v>47</v>
      </c>
      <c r="AH334" s="191" t="s">
        <v>44</v>
      </c>
      <c r="AI334" s="191" t="s">
        <v>134</v>
      </c>
      <c r="AJ334" s="191" t="s">
        <v>36</v>
      </c>
      <c r="AK334" s="191" t="s">
        <v>40</v>
      </c>
      <c r="AL334" s="191" t="s">
        <v>44</v>
      </c>
      <c r="AM334" s="191" t="s">
        <v>89</v>
      </c>
      <c r="AN334" s="191" t="s">
        <v>44</v>
      </c>
      <c r="AO334" s="191" t="s">
        <v>44</v>
      </c>
      <c r="AP334" s="191" t="s">
        <v>44</v>
      </c>
    </row>
    <row r="335" spans="1:42" ht="43.5">
      <c r="A335" s="191" t="s">
        <v>1613</v>
      </c>
      <c r="B335" s="190">
        <v>3</v>
      </c>
      <c r="C335" s="190">
        <v>2</v>
      </c>
      <c r="D335" s="190">
        <v>9</v>
      </c>
      <c r="E335" s="191" t="s">
        <v>311</v>
      </c>
      <c r="F335" s="190">
        <v>3</v>
      </c>
      <c r="G335" s="191" t="s">
        <v>64</v>
      </c>
      <c r="H335" s="190">
        <v>1</v>
      </c>
      <c r="I335" s="190">
        <v>144</v>
      </c>
      <c r="J335" s="191" t="s">
        <v>34</v>
      </c>
      <c r="K335" s="191" t="s">
        <v>101</v>
      </c>
      <c r="L335" s="191" t="s">
        <v>36</v>
      </c>
      <c r="M335" s="191" t="s">
        <v>37</v>
      </c>
      <c r="N335" s="191" t="s">
        <v>38</v>
      </c>
      <c r="O335" s="191" t="s">
        <v>288</v>
      </c>
      <c r="P335" s="191" t="s">
        <v>56</v>
      </c>
      <c r="Q335" s="191" t="s">
        <v>43</v>
      </c>
      <c r="R335" s="191" t="s">
        <v>42</v>
      </c>
      <c r="S335" s="191" t="s">
        <v>36</v>
      </c>
      <c r="T335" s="191" t="s">
        <v>44</v>
      </c>
      <c r="U335" s="191" t="s">
        <v>40</v>
      </c>
      <c r="V335" s="191" t="s">
        <v>1141</v>
      </c>
      <c r="W335" s="191" t="s">
        <v>47</v>
      </c>
      <c r="X335" s="191" t="s">
        <v>44</v>
      </c>
      <c r="Y335" s="191" t="s">
        <v>61</v>
      </c>
      <c r="Z335" s="191" t="s">
        <v>43</v>
      </c>
      <c r="AA335" s="191" t="s">
        <v>62</v>
      </c>
      <c r="AB335" s="191" t="s">
        <v>36</v>
      </c>
      <c r="AC335" s="191" t="s">
        <v>46</v>
      </c>
      <c r="AD335" s="191" t="s">
        <v>36</v>
      </c>
      <c r="AE335" s="191" t="s">
        <v>44</v>
      </c>
      <c r="AF335" s="191" t="s">
        <v>95</v>
      </c>
      <c r="AG335" s="191" t="s">
        <v>47</v>
      </c>
      <c r="AH335" s="191" t="s">
        <v>44</v>
      </c>
      <c r="AI335" s="191" t="s">
        <v>134</v>
      </c>
      <c r="AJ335" s="191" t="s">
        <v>36</v>
      </c>
      <c r="AK335" s="191" t="s">
        <v>59</v>
      </c>
      <c r="AL335" s="191" t="s">
        <v>44</v>
      </c>
      <c r="AM335" s="191" t="s">
        <v>45</v>
      </c>
      <c r="AN335" s="191" t="s">
        <v>44</v>
      </c>
      <c r="AO335" s="191" t="s">
        <v>44</v>
      </c>
      <c r="AP335" s="191" t="s">
        <v>44</v>
      </c>
    </row>
    <row r="336" spans="1:42" ht="29">
      <c r="A336" s="191" t="s">
        <v>1614</v>
      </c>
      <c r="B336" s="190">
        <v>3</v>
      </c>
      <c r="C336" s="190">
        <v>2</v>
      </c>
      <c r="D336" s="190">
        <v>6</v>
      </c>
      <c r="E336" s="191" t="s">
        <v>315</v>
      </c>
      <c r="F336" s="190">
        <v>2</v>
      </c>
      <c r="G336" s="191" t="s">
        <v>97</v>
      </c>
      <c r="H336" s="190">
        <v>1</v>
      </c>
      <c r="I336" s="190">
        <v>120</v>
      </c>
      <c r="J336" s="191" t="s">
        <v>54</v>
      </c>
      <c r="K336" s="191" t="s">
        <v>47</v>
      </c>
      <c r="L336" s="191" t="s">
        <v>36</v>
      </c>
      <c r="M336" s="191" t="s">
        <v>37</v>
      </c>
      <c r="N336" s="191" t="s">
        <v>95</v>
      </c>
      <c r="O336" s="191" t="s">
        <v>288</v>
      </c>
      <c r="P336" s="191" t="s">
        <v>41</v>
      </c>
      <c r="Q336" s="191" t="s">
        <v>46</v>
      </c>
      <c r="R336" s="191" t="s">
        <v>60</v>
      </c>
      <c r="S336" s="191" t="s">
        <v>48</v>
      </c>
      <c r="T336" s="191" t="s">
        <v>44</v>
      </c>
      <c r="U336" s="191" t="s">
        <v>40</v>
      </c>
      <c r="V336" s="191" t="s">
        <v>44</v>
      </c>
      <c r="W336" s="191" t="s">
        <v>43</v>
      </c>
      <c r="X336" s="191" t="s">
        <v>44</v>
      </c>
      <c r="Y336" s="191" t="s">
        <v>45</v>
      </c>
      <c r="Z336" s="191" t="s">
        <v>43</v>
      </c>
      <c r="AA336" s="191" t="s">
        <v>62</v>
      </c>
      <c r="AB336" s="191" t="s">
        <v>50</v>
      </c>
      <c r="AC336" s="191" t="s">
        <v>43</v>
      </c>
      <c r="AD336" s="191" t="s">
        <v>72</v>
      </c>
      <c r="AE336" s="191" t="s">
        <v>44</v>
      </c>
      <c r="AF336" s="191" t="s">
        <v>95</v>
      </c>
      <c r="AG336" s="191" t="s">
        <v>47</v>
      </c>
      <c r="AH336" s="191" t="s">
        <v>44</v>
      </c>
      <c r="AI336" s="191" t="s">
        <v>134</v>
      </c>
      <c r="AJ336" s="191" t="s">
        <v>36</v>
      </c>
      <c r="AK336" s="191" t="s">
        <v>73</v>
      </c>
      <c r="AL336" s="191" t="s">
        <v>44</v>
      </c>
      <c r="AM336" s="191" t="s">
        <v>109</v>
      </c>
      <c r="AN336" s="191" t="s">
        <v>44</v>
      </c>
      <c r="AO336" s="191" t="s">
        <v>44</v>
      </c>
      <c r="AP336" s="191" t="s">
        <v>44</v>
      </c>
    </row>
    <row r="337" spans="1:42" ht="43.5">
      <c r="A337" s="191" t="s">
        <v>1615</v>
      </c>
      <c r="B337" s="190">
        <v>3</v>
      </c>
      <c r="C337" s="190">
        <v>7</v>
      </c>
      <c r="D337" s="190">
        <v>7</v>
      </c>
      <c r="E337" s="191" t="s">
        <v>315</v>
      </c>
      <c r="F337" s="190">
        <v>2</v>
      </c>
      <c r="G337" s="191" t="s">
        <v>69</v>
      </c>
      <c r="H337" s="190">
        <v>1</v>
      </c>
      <c r="I337" s="190">
        <v>100</v>
      </c>
      <c r="J337" s="191" t="s">
        <v>54</v>
      </c>
      <c r="K337" s="191" t="s">
        <v>40</v>
      </c>
      <c r="L337" s="191" t="s">
        <v>36</v>
      </c>
      <c r="M337" s="191" t="s">
        <v>37</v>
      </c>
      <c r="N337" s="191" t="s">
        <v>58</v>
      </c>
      <c r="O337" s="191" t="s">
        <v>288</v>
      </c>
      <c r="P337" s="191" t="s">
        <v>56</v>
      </c>
      <c r="Q337" s="191" t="s">
        <v>139</v>
      </c>
      <c r="R337" s="191" t="s">
        <v>42</v>
      </c>
      <c r="S337" s="191" t="s">
        <v>48</v>
      </c>
      <c r="T337" s="191" t="s">
        <v>44</v>
      </c>
      <c r="U337" s="191" t="s">
        <v>1616</v>
      </c>
      <c r="V337" s="191" t="s">
        <v>355</v>
      </c>
      <c r="W337" s="191" t="s">
        <v>43</v>
      </c>
      <c r="X337" s="191" t="s">
        <v>44</v>
      </c>
      <c r="Y337" s="191" t="s">
        <v>43</v>
      </c>
      <c r="Z337" s="191" t="s">
        <v>43</v>
      </c>
      <c r="AA337" s="191" t="s">
        <v>49</v>
      </c>
      <c r="AB337" s="191" t="s">
        <v>50</v>
      </c>
      <c r="AC337" s="191" t="s">
        <v>43</v>
      </c>
      <c r="AD337" s="191" t="s">
        <v>72</v>
      </c>
      <c r="AE337" s="191" t="s">
        <v>44</v>
      </c>
      <c r="AF337" s="191" t="s">
        <v>95</v>
      </c>
      <c r="AG337" s="191" t="s">
        <v>47</v>
      </c>
      <c r="AH337" s="191" t="s">
        <v>44</v>
      </c>
      <c r="AI337" s="191" t="s">
        <v>134</v>
      </c>
      <c r="AJ337" s="191" t="s">
        <v>36</v>
      </c>
      <c r="AK337" s="191" t="s">
        <v>73</v>
      </c>
      <c r="AL337" s="191" t="s">
        <v>44</v>
      </c>
      <c r="AM337" s="191" t="s">
        <v>89</v>
      </c>
      <c r="AN337" s="191" t="s">
        <v>44</v>
      </c>
      <c r="AO337" s="191" t="s">
        <v>44</v>
      </c>
      <c r="AP337" s="191" t="s">
        <v>44</v>
      </c>
    </row>
    <row r="338" spans="1:42" ht="87">
      <c r="A338" s="191" t="s">
        <v>1617</v>
      </c>
      <c r="B338" s="190">
        <v>3</v>
      </c>
      <c r="C338" s="190">
        <v>4</v>
      </c>
      <c r="D338" s="190">
        <v>8</v>
      </c>
      <c r="E338" s="191" t="s">
        <v>307</v>
      </c>
      <c r="F338" s="190">
        <v>4</v>
      </c>
      <c r="G338" s="191" t="s">
        <v>33</v>
      </c>
      <c r="H338" s="190">
        <v>1</v>
      </c>
      <c r="I338" s="190">
        <v>160</v>
      </c>
      <c r="J338" s="191" t="s">
        <v>54</v>
      </c>
      <c r="K338" s="191" t="s">
        <v>40</v>
      </c>
      <c r="L338" s="191" t="s">
        <v>36</v>
      </c>
      <c r="M338" s="191" t="s">
        <v>37</v>
      </c>
      <c r="N338" s="191" t="s">
        <v>132</v>
      </c>
      <c r="O338" s="191" t="s">
        <v>39</v>
      </c>
      <c r="P338" s="191" t="s">
        <v>41</v>
      </c>
      <c r="Q338" s="191" t="s">
        <v>40</v>
      </c>
      <c r="R338" s="191" t="s">
        <v>36</v>
      </c>
      <c r="S338" s="191" t="s">
        <v>48</v>
      </c>
      <c r="T338" s="191" t="s">
        <v>44</v>
      </c>
      <c r="U338" s="191" t="s">
        <v>1120</v>
      </c>
      <c r="V338" s="191" t="s">
        <v>44</v>
      </c>
      <c r="W338" s="191" t="s">
        <v>45</v>
      </c>
      <c r="X338" s="191" t="s">
        <v>1618</v>
      </c>
      <c r="Y338" s="191" t="s">
        <v>45</v>
      </c>
      <c r="Z338" s="191" t="s">
        <v>43</v>
      </c>
      <c r="AA338" s="191" t="s">
        <v>67</v>
      </c>
      <c r="AB338" s="191" t="s">
        <v>67</v>
      </c>
      <c r="AC338" s="191" t="s">
        <v>46</v>
      </c>
      <c r="AD338" s="191" t="s">
        <v>36</v>
      </c>
      <c r="AE338" s="191" t="s">
        <v>44</v>
      </c>
      <c r="AF338" s="191" t="s">
        <v>95</v>
      </c>
      <c r="AG338" s="191" t="s">
        <v>47</v>
      </c>
      <c r="AH338" s="191" t="s">
        <v>44</v>
      </c>
      <c r="AI338" s="191" t="s">
        <v>39</v>
      </c>
      <c r="AJ338" s="191" t="s">
        <v>36</v>
      </c>
      <c r="AK338" s="191" t="s">
        <v>61</v>
      </c>
      <c r="AL338" s="191" t="s">
        <v>1619</v>
      </c>
      <c r="AM338" s="191" t="s">
        <v>45</v>
      </c>
      <c r="AN338" s="191" t="s">
        <v>44</v>
      </c>
      <c r="AO338" s="191" t="s">
        <v>44</v>
      </c>
      <c r="AP338" s="191" t="s">
        <v>44</v>
      </c>
    </row>
    <row r="339" spans="1:42" ht="29">
      <c r="A339" s="191" t="s">
        <v>1620</v>
      </c>
      <c r="B339" s="190">
        <v>3</v>
      </c>
      <c r="C339" s="190">
        <v>4</v>
      </c>
      <c r="D339" s="190">
        <v>3</v>
      </c>
      <c r="E339" s="191" t="s">
        <v>315</v>
      </c>
      <c r="F339" s="190">
        <v>2</v>
      </c>
      <c r="G339" s="191" t="s">
        <v>69</v>
      </c>
      <c r="H339" s="190">
        <v>1</v>
      </c>
      <c r="I339" s="190">
        <v>90</v>
      </c>
      <c r="J339" s="191" t="s">
        <v>54</v>
      </c>
      <c r="K339" s="191" t="s">
        <v>61</v>
      </c>
      <c r="L339" s="191" t="s">
        <v>36</v>
      </c>
      <c r="M339" s="191" t="s">
        <v>37</v>
      </c>
      <c r="N339" s="191" t="s">
        <v>58</v>
      </c>
      <c r="O339" s="191" t="s">
        <v>39</v>
      </c>
      <c r="P339" s="191" t="s">
        <v>41</v>
      </c>
      <c r="Q339" s="191" t="s">
        <v>77</v>
      </c>
      <c r="R339" s="191" t="s">
        <v>42</v>
      </c>
      <c r="S339" s="191" t="s">
        <v>48</v>
      </c>
      <c r="T339" s="191" t="s">
        <v>44</v>
      </c>
      <c r="U339" s="191" t="s">
        <v>1120</v>
      </c>
      <c r="V339" s="191" t="s">
        <v>44</v>
      </c>
      <c r="W339" s="191" t="s">
        <v>43</v>
      </c>
      <c r="X339" s="191" t="s">
        <v>44</v>
      </c>
      <c r="Y339" s="191" t="s">
        <v>45</v>
      </c>
      <c r="Z339" s="191" t="s">
        <v>46</v>
      </c>
      <c r="AA339" s="191" t="s">
        <v>105</v>
      </c>
      <c r="AB339" s="191" t="s">
        <v>50</v>
      </c>
      <c r="AC339" s="191" t="s">
        <v>43</v>
      </c>
      <c r="AD339" s="191" t="s">
        <v>51</v>
      </c>
      <c r="AE339" s="191" t="s">
        <v>44</v>
      </c>
      <c r="AF339" s="191" t="s">
        <v>95</v>
      </c>
      <c r="AG339" s="191" t="s">
        <v>43</v>
      </c>
      <c r="AH339" s="191" t="s">
        <v>44</v>
      </c>
      <c r="AI339" s="191" t="s">
        <v>39</v>
      </c>
      <c r="AJ339" s="191" t="s">
        <v>36</v>
      </c>
      <c r="AK339" s="191" t="s">
        <v>63</v>
      </c>
      <c r="AL339" s="191" t="s">
        <v>44</v>
      </c>
      <c r="AM339" s="191" t="s">
        <v>45</v>
      </c>
      <c r="AN339" s="191" t="s">
        <v>44</v>
      </c>
      <c r="AO339" s="191" t="s">
        <v>44</v>
      </c>
      <c r="AP339" s="191" t="s">
        <v>44</v>
      </c>
    </row>
    <row r="340" spans="1:42" ht="29">
      <c r="A340" s="191" t="s">
        <v>1621</v>
      </c>
      <c r="B340" s="190">
        <v>3</v>
      </c>
      <c r="C340" s="190">
        <v>3</v>
      </c>
      <c r="D340" s="190">
        <v>3</v>
      </c>
      <c r="E340" s="191" t="s">
        <v>307</v>
      </c>
      <c r="F340" s="190">
        <v>4</v>
      </c>
      <c r="G340" s="191" t="s">
        <v>53</v>
      </c>
      <c r="H340" s="190">
        <v>1</v>
      </c>
      <c r="I340" s="190">
        <v>101</v>
      </c>
      <c r="J340" s="191" t="s">
        <v>54</v>
      </c>
      <c r="K340" s="191" t="s">
        <v>47</v>
      </c>
      <c r="L340" s="191" t="s">
        <v>70</v>
      </c>
      <c r="M340" s="191" t="s">
        <v>37</v>
      </c>
      <c r="N340" s="191" t="s">
        <v>58</v>
      </c>
      <c r="O340" s="191" t="s">
        <v>39</v>
      </c>
      <c r="P340" s="191" t="s">
        <v>41</v>
      </c>
      <c r="Q340" s="191" t="s">
        <v>35</v>
      </c>
      <c r="R340" s="191" t="s">
        <v>60</v>
      </c>
      <c r="S340" s="191" t="s">
        <v>48</v>
      </c>
      <c r="T340" s="191" t="s">
        <v>44</v>
      </c>
      <c r="U340" s="191" t="s">
        <v>89</v>
      </c>
      <c r="V340" s="191" t="s">
        <v>1141</v>
      </c>
      <c r="W340" s="191" t="s">
        <v>43</v>
      </c>
      <c r="X340" s="191" t="s">
        <v>44</v>
      </c>
      <c r="Y340" s="191" t="s">
        <v>45</v>
      </c>
      <c r="Z340" s="191" t="s">
        <v>43</v>
      </c>
      <c r="AA340" s="191" t="s">
        <v>62</v>
      </c>
      <c r="AB340" s="191" t="s">
        <v>84</v>
      </c>
      <c r="AC340" s="191" t="s">
        <v>43</v>
      </c>
      <c r="AD340" s="191" t="s">
        <v>91</v>
      </c>
      <c r="AE340" s="191" t="s">
        <v>44</v>
      </c>
      <c r="AF340" s="191" t="s">
        <v>95</v>
      </c>
      <c r="AG340" s="191" t="s">
        <v>47</v>
      </c>
      <c r="AH340" s="191" t="s">
        <v>44</v>
      </c>
      <c r="AI340" s="191" t="s">
        <v>39</v>
      </c>
      <c r="AJ340" s="191" t="s">
        <v>36</v>
      </c>
      <c r="AK340" s="191" t="s">
        <v>59</v>
      </c>
      <c r="AL340" s="191" t="s">
        <v>44</v>
      </c>
      <c r="AM340" s="191" t="s">
        <v>119</v>
      </c>
      <c r="AN340" s="191" t="s">
        <v>1622</v>
      </c>
      <c r="AO340" s="191" t="s">
        <v>44</v>
      </c>
      <c r="AP340" s="191" t="s">
        <v>44</v>
      </c>
    </row>
    <row r="341" spans="1:42" ht="43.5">
      <c r="A341" s="191" t="s">
        <v>1623</v>
      </c>
      <c r="B341" s="190">
        <v>3</v>
      </c>
      <c r="C341" s="190">
        <v>5</v>
      </c>
      <c r="D341" s="190">
        <v>5</v>
      </c>
      <c r="E341" s="191" t="s">
        <v>315</v>
      </c>
      <c r="F341" s="190">
        <v>3</v>
      </c>
      <c r="G341" s="191" t="s">
        <v>94</v>
      </c>
      <c r="H341" s="190">
        <v>1</v>
      </c>
      <c r="I341" s="190">
        <v>160</v>
      </c>
      <c r="J341" s="191" t="s">
        <v>34</v>
      </c>
      <c r="K341" s="191" t="s">
        <v>81</v>
      </c>
      <c r="L341" s="191" t="s">
        <v>36</v>
      </c>
      <c r="M341" s="191" t="s">
        <v>37</v>
      </c>
      <c r="N341" s="191" t="s">
        <v>38</v>
      </c>
      <c r="O341" s="191" t="s">
        <v>288</v>
      </c>
      <c r="P341" s="191" t="s">
        <v>66</v>
      </c>
      <c r="Q341" s="191" t="s">
        <v>139</v>
      </c>
      <c r="R341" s="191" t="s">
        <v>60</v>
      </c>
      <c r="S341" s="191" t="s">
        <v>133</v>
      </c>
      <c r="T341" s="191" t="s">
        <v>1624</v>
      </c>
      <c r="U341" s="191" t="s">
        <v>40</v>
      </c>
      <c r="V341" s="191" t="s">
        <v>44</v>
      </c>
      <c r="W341" s="191" t="s">
        <v>47</v>
      </c>
      <c r="X341" s="191" t="s">
        <v>44</v>
      </c>
      <c r="Y341" s="191" t="s">
        <v>45</v>
      </c>
      <c r="Z341" s="191" t="s">
        <v>43</v>
      </c>
      <c r="AA341" s="191" t="s">
        <v>62</v>
      </c>
      <c r="AB341" s="191" t="s">
        <v>50</v>
      </c>
      <c r="AC341" s="191" t="s">
        <v>47</v>
      </c>
      <c r="AD341" s="191" t="s">
        <v>72</v>
      </c>
      <c r="AE341" s="191" t="s">
        <v>44</v>
      </c>
      <c r="AF341" s="191" t="s">
        <v>95</v>
      </c>
      <c r="AG341" s="191" t="s">
        <v>47</v>
      </c>
      <c r="AH341" s="191" t="s">
        <v>44</v>
      </c>
      <c r="AI341" s="191" t="s">
        <v>134</v>
      </c>
      <c r="AJ341" s="191" t="s">
        <v>36</v>
      </c>
      <c r="AK341" s="191" t="s">
        <v>114</v>
      </c>
      <c r="AL341" s="191" t="s">
        <v>1625</v>
      </c>
      <c r="AM341" s="191" t="s">
        <v>45</v>
      </c>
      <c r="AN341" s="191" t="s">
        <v>44</v>
      </c>
      <c r="AO341" s="191" t="s">
        <v>44</v>
      </c>
      <c r="AP341" s="191" t="s">
        <v>44</v>
      </c>
    </row>
    <row r="342" spans="1:42" ht="29">
      <c r="A342" s="191" t="s">
        <v>1626</v>
      </c>
      <c r="B342" s="190">
        <v>3</v>
      </c>
      <c r="C342" s="190">
        <v>7</v>
      </c>
      <c r="D342" s="190">
        <v>9</v>
      </c>
      <c r="E342" s="191" t="s">
        <v>318</v>
      </c>
      <c r="F342" s="190">
        <v>1</v>
      </c>
      <c r="G342" s="191" t="s">
        <v>79</v>
      </c>
      <c r="H342" s="190">
        <v>1</v>
      </c>
      <c r="I342" s="190">
        <v>96</v>
      </c>
      <c r="J342" s="191" t="s">
        <v>65</v>
      </c>
      <c r="K342" s="191" t="s">
        <v>40</v>
      </c>
      <c r="L342" s="191" t="s">
        <v>36</v>
      </c>
      <c r="M342" s="191" t="s">
        <v>37</v>
      </c>
      <c r="N342" s="191" t="s">
        <v>95</v>
      </c>
      <c r="O342" s="191" t="s">
        <v>39</v>
      </c>
      <c r="P342" s="191" t="s">
        <v>41</v>
      </c>
      <c r="Q342" s="191" t="s">
        <v>104</v>
      </c>
      <c r="R342" s="191" t="s">
        <v>42</v>
      </c>
      <c r="S342" s="191" t="s">
        <v>48</v>
      </c>
      <c r="T342" s="191" t="s">
        <v>44</v>
      </c>
      <c r="U342" s="191" t="s">
        <v>74</v>
      </c>
      <c r="V342" s="191" t="s">
        <v>339</v>
      </c>
      <c r="W342" s="191" t="s">
        <v>43</v>
      </c>
      <c r="X342" s="191" t="s">
        <v>44</v>
      </c>
      <c r="Y342" s="191" t="s">
        <v>47</v>
      </c>
      <c r="Z342" s="191" t="s">
        <v>43</v>
      </c>
      <c r="AA342" s="191" t="s">
        <v>62</v>
      </c>
      <c r="AB342" s="191" t="s">
        <v>84</v>
      </c>
      <c r="AC342" s="191" t="s">
        <v>43</v>
      </c>
      <c r="AD342" s="191" t="s">
        <v>51</v>
      </c>
      <c r="AE342" s="191" t="s">
        <v>44</v>
      </c>
      <c r="AF342" s="191" t="s">
        <v>159</v>
      </c>
      <c r="AG342" s="191" t="s">
        <v>43</v>
      </c>
      <c r="AH342" s="191" t="s">
        <v>44</v>
      </c>
      <c r="AI342" s="191" t="s">
        <v>39</v>
      </c>
      <c r="AJ342" s="191" t="s">
        <v>36</v>
      </c>
      <c r="AK342" s="191" t="s">
        <v>59</v>
      </c>
      <c r="AL342" s="191" t="s">
        <v>44</v>
      </c>
      <c r="AM342" s="191" t="s">
        <v>45</v>
      </c>
      <c r="AN342" s="191" t="s">
        <v>44</v>
      </c>
      <c r="AO342" s="191" t="s">
        <v>44</v>
      </c>
      <c r="AP342" s="191" t="s">
        <v>44</v>
      </c>
    </row>
    <row r="343" spans="1:42" ht="58">
      <c r="A343" s="191" t="s">
        <v>1627</v>
      </c>
      <c r="B343" s="190">
        <v>3</v>
      </c>
      <c r="C343" s="190">
        <v>6</v>
      </c>
      <c r="D343" s="190">
        <v>3</v>
      </c>
      <c r="E343" s="191" t="s">
        <v>315</v>
      </c>
      <c r="F343" s="190">
        <v>1</v>
      </c>
      <c r="G343" s="191" t="s">
        <v>69</v>
      </c>
      <c r="H343" s="190">
        <v>1</v>
      </c>
      <c r="I343" s="190">
        <v>120</v>
      </c>
      <c r="J343" s="191" t="s">
        <v>54</v>
      </c>
      <c r="K343" s="191" t="s">
        <v>40</v>
      </c>
      <c r="L343" s="191" t="s">
        <v>70</v>
      </c>
      <c r="M343" s="191" t="s">
        <v>37</v>
      </c>
      <c r="N343" s="191" t="s">
        <v>95</v>
      </c>
      <c r="O343" s="191" t="s">
        <v>39</v>
      </c>
      <c r="P343" s="191" t="s">
        <v>41</v>
      </c>
      <c r="Q343" s="191" t="s">
        <v>104</v>
      </c>
      <c r="R343" s="191" t="s">
        <v>87</v>
      </c>
      <c r="S343" s="191" t="s">
        <v>48</v>
      </c>
      <c r="T343" s="191" t="s">
        <v>44</v>
      </c>
      <c r="U343" s="191" t="s">
        <v>1119</v>
      </c>
      <c r="V343" s="191" t="s">
        <v>1141</v>
      </c>
      <c r="W343" s="191" t="s">
        <v>43</v>
      </c>
      <c r="X343" s="191" t="s">
        <v>44</v>
      </c>
      <c r="Y343" s="191" t="s">
        <v>43</v>
      </c>
      <c r="Z343" s="191" t="s">
        <v>43</v>
      </c>
      <c r="AA343" s="191" t="s">
        <v>49</v>
      </c>
      <c r="AB343" s="191" t="s">
        <v>50</v>
      </c>
      <c r="AC343" s="191" t="s">
        <v>43</v>
      </c>
      <c r="AD343" s="191" t="s">
        <v>72</v>
      </c>
      <c r="AE343" s="191" t="s">
        <v>44</v>
      </c>
      <c r="AF343" s="191" t="s">
        <v>95</v>
      </c>
      <c r="AG343" s="191" t="s">
        <v>47</v>
      </c>
      <c r="AH343" s="191" t="s">
        <v>44</v>
      </c>
      <c r="AI343" s="191" t="s">
        <v>39</v>
      </c>
      <c r="AJ343" s="191" t="s">
        <v>36</v>
      </c>
      <c r="AK343" s="191" t="s">
        <v>59</v>
      </c>
      <c r="AL343" s="191" t="s">
        <v>44</v>
      </c>
      <c r="AM343" s="191" t="s">
        <v>119</v>
      </c>
      <c r="AN343" s="191" t="s">
        <v>1628</v>
      </c>
      <c r="AO343" s="191" t="s">
        <v>44</v>
      </c>
      <c r="AP343" s="191" t="s">
        <v>44</v>
      </c>
    </row>
    <row r="344" spans="1:42" ht="29">
      <c r="A344" s="191" t="s">
        <v>1629</v>
      </c>
      <c r="B344" s="190">
        <v>3</v>
      </c>
      <c r="C344" s="190">
        <v>8</v>
      </c>
      <c r="D344" s="190">
        <v>3</v>
      </c>
      <c r="E344" s="191" t="s">
        <v>315</v>
      </c>
      <c r="F344" s="190">
        <v>2</v>
      </c>
      <c r="G344" s="191" t="s">
        <v>79</v>
      </c>
      <c r="H344" s="190">
        <v>1</v>
      </c>
      <c r="I344" s="190">
        <v>110</v>
      </c>
      <c r="J344" s="191" t="s">
        <v>65</v>
      </c>
      <c r="K344" s="191" t="s">
        <v>35</v>
      </c>
      <c r="L344" s="191" t="s">
        <v>36</v>
      </c>
      <c r="M344" s="191" t="s">
        <v>37</v>
      </c>
      <c r="N344" s="191" t="s">
        <v>95</v>
      </c>
      <c r="O344" s="191" t="s">
        <v>39</v>
      </c>
      <c r="P344" s="191" t="s">
        <v>41</v>
      </c>
      <c r="Q344" s="191" t="s">
        <v>77</v>
      </c>
      <c r="R344" s="191" t="s">
        <v>42</v>
      </c>
      <c r="S344" s="191" t="s">
        <v>48</v>
      </c>
      <c r="T344" s="191" t="s">
        <v>44</v>
      </c>
      <c r="U344" s="191" t="s">
        <v>1123</v>
      </c>
      <c r="V344" s="191" t="s">
        <v>1144</v>
      </c>
      <c r="W344" s="191" t="s">
        <v>43</v>
      </c>
      <c r="X344" s="191" t="s">
        <v>44</v>
      </c>
      <c r="Y344" s="191" t="s">
        <v>45</v>
      </c>
      <c r="Z344" s="191" t="s">
        <v>43</v>
      </c>
      <c r="AA344" s="191" t="s">
        <v>49</v>
      </c>
      <c r="AB344" s="191" t="s">
        <v>50</v>
      </c>
      <c r="AC344" s="191" t="s">
        <v>43</v>
      </c>
      <c r="AD344" s="191" t="s">
        <v>72</v>
      </c>
      <c r="AE344" s="191" t="s">
        <v>44</v>
      </c>
      <c r="AF344" s="191" t="s">
        <v>159</v>
      </c>
      <c r="AG344" s="191" t="s">
        <v>43</v>
      </c>
      <c r="AH344" s="191" t="s">
        <v>44</v>
      </c>
      <c r="AI344" s="191" t="s">
        <v>39</v>
      </c>
      <c r="AJ344" s="191" t="s">
        <v>36</v>
      </c>
      <c r="AK344" s="191" t="s">
        <v>85</v>
      </c>
      <c r="AL344" s="191" t="s">
        <v>44</v>
      </c>
      <c r="AM344" s="191" t="s">
        <v>45</v>
      </c>
      <c r="AN344" s="191" t="s">
        <v>44</v>
      </c>
      <c r="AO344" s="191" t="s">
        <v>44</v>
      </c>
      <c r="AP344" s="191" t="s">
        <v>44</v>
      </c>
    </row>
    <row r="345" spans="1:42" ht="29">
      <c r="A345" s="191" t="s">
        <v>1630</v>
      </c>
      <c r="B345" s="190">
        <v>3</v>
      </c>
      <c r="C345" s="190">
        <v>4</v>
      </c>
      <c r="D345" s="190">
        <v>3</v>
      </c>
      <c r="E345" s="191" t="s">
        <v>307</v>
      </c>
      <c r="F345" s="190">
        <v>2</v>
      </c>
      <c r="G345" s="191" t="s">
        <v>53</v>
      </c>
      <c r="H345" s="190">
        <v>1</v>
      </c>
      <c r="I345" s="190">
        <v>0</v>
      </c>
      <c r="J345" s="191" t="s">
        <v>65</v>
      </c>
      <c r="K345" s="191" t="s">
        <v>81</v>
      </c>
      <c r="L345" s="191" t="s">
        <v>36</v>
      </c>
      <c r="M345" s="191" t="s">
        <v>37</v>
      </c>
      <c r="N345" s="191" t="s">
        <v>95</v>
      </c>
      <c r="O345" s="191" t="s">
        <v>39</v>
      </c>
      <c r="P345" s="191" t="s">
        <v>41</v>
      </c>
      <c r="Q345" s="191" t="s">
        <v>40</v>
      </c>
      <c r="R345" s="191" t="s">
        <v>42</v>
      </c>
      <c r="S345" s="191" t="s">
        <v>48</v>
      </c>
      <c r="T345" s="191" t="s">
        <v>44</v>
      </c>
      <c r="U345" s="191" t="s">
        <v>126</v>
      </c>
      <c r="V345" s="191" t="s">
        <v>339</v>
      </c>
      <c r="W345" s="191" t="s">
        <v>47</v>
      </c>
      <c r="X345" s="191" t="s">
        <v>44</v>
      </c>
      <c r="Y345" s="191" t="s">
        <v>45</v>
      </c>
      <c r="Z345" s="191" t="s">
        <v>43</v>
      </c>
      <c r="AA345" s="191" t="s">
        <v>105</v>
      </c>
      <c r="AB345" s="191" t="s">
        <v>84</v>
      </c>
      <c r="AC345" s="191" t="s">
        <v>47</v>
      </c>
      <c r="AD345" s="191" t="s">
        <v>72</v>
      </c>
      <c r="AE345" s="191" t="s">
        <v>44</v>
      </c>
      <c r="AF345" s="191" t="s">
        <v>95</v>
      </c>
      <c r="AG345" s="191" t="s">
        <v>43</v>
      </c>
      <c r="AH345" s="191" t="s">
        <v>44</v>
      </c>
      <c r="AI345" s="191" t="s">
        <v>39</v>
      </c>
      <c r="AJ345" s="191" t="s">
        <v>36</v>
      </c>
      <c r="AK345" s="191" t="s">
        <v>71</v>
      </c>
      <c r="AL345" s="191" t="s">
        <v>44</v>
      </c>
      <c r="AM345" s="191" t="s">
        <v>45</v>
      </c>
      <c r="AN345" s="191" t="s">
        <v>44</v>
      </c>
      <c r="AO345" s="191" t="s">
        <v>44</v>
      </c>
      <c r="AP345" s="191" t="s">
        <v>44</v>
      </c>
    </row>
    <row r="346" spans="1:42" ht="29">
      <c r="A346" s="191" t="s">
        <v>1631</v>
      </c>
      <c r="B346" s="190">
        <v>3</v>
      </c>
      <c r="C346" s="190">
        <v>3</v>
      </c>
      <c r="D346" s="190">
        <v>9</v>
      </c>
      <c r="E346" s="191" t="s">
        <v>315</v>
      </c>
      <c r="F346" s="190">
        <v>1</v>
      </c>
      <c r="G346" s="191" t="s">
        <v>33</v>
      </c>
      <c r="H346" s="190">
        <v>1</v>
      </c>
      <c r="I346" s="190">
        <v>90</v>
      </c>
      <c r="J346" s="191" t="s">
        <v>34</v>
      </c>
      <c r="K346" s="191" t="s">
        <v>61</v>
      </c>
      <c r="L346" s="191" t="s">
        <v>155</v>
      </c>
      <c r="M346" s="191" t="s">
        <v>37</v>
      </c>
      <c r="N346" s="191" t="s">
        <v>38</v>
      </c>
      <c r="O346" s="191" t="s">
        <v>288</v>
      </c>
      <c r="P346" s="191" t="s">
        <v>36</v>
      </c>
      <c r="Q346" s="191" t="s">
        <v>89</v>
      </c>
      <c r="R346" s="191" t="s">
        <v>42</v>
      </c>
      <c r="S346" s="191" t="s">
        <v>48</v>
      </c>
      <c r="T346" s="191" t="s">
        <v>44</v>
      </c>
      <c r="U346" s="191" t="s">
        <v>44</v>
      </c>
      <c r="V346" s="191" t="s">
        <v>44</v>
      </c>
      <c r="W346" s="191" t="s">
        <v>45</v>
      </c>
      <c r="X346" s="191" t="s">
        <v>44</v>
      </c>
      <c r="Y346" s="191" t="s">
        <v>61</v>
      </c>
      <c r="Z346" s="191" t="s">
        <v>40</v>
      </c>
      <c r="AA346" s="191" t="s">
        <v>36</v>
      </c>
      <c r="AB346" s="191" t="s">
        <v>36</v>
      </c>
      <c r="AC346" s="191" t="s">
        <v>46</v>
      </c>
      <c r="AD346" s="191" t="s">
        <v>36</v>
      </c>
      <c r="AE346" s="191" t="s">
        <v>44</v>
      </c>
      <c r="AF346" s="191" t="s">
        <v>95</v>
      </c>
      <c r="AG346" s="191" t="s">
        <v>43</v>
      </c>
      <c r="AH346" s="191" t="s">
        <v>44</v>
      </c>
      <c r="AI346" s="191" t="s">
        <v>39</v>
      </c>
      <c r="AJ346" s="191" t="s">
        <v>36</v>
      </c>
      <c r="AK346" s="191" t="s">
        <v>63</v>
      </c>
      <c r="AL346" s="191" t="s">
        <v>44</v>
      </c>
      <c r="AM346" s="191" t="s">
        <v>47</v>
      </c>
      <c r="AN346" s="191" t="s">
        <v>44</v>
      </c>
      <c r="AO346" s="191" t="s">
        <v>44</v>
      </c>
      <c r="AP346" s="191" t="s">
        <v>44</v>
      </c>
    </row>
    <row r="347" spans="1:42" ht="43.5">
      <c r="A347" s="191" t="s">
        <v>1632</v>
      </c>
      <c r="B347" s="190">
        <v>3</v>
      </c>
      <c r="C347" s="190">
        <v>5</v>
      </c>
      <c r="D347" s="190">
        <v>5</v>
      </c>
      <c r="E347" s="191" t="s">
        <v>311</v>
      </c>
      <c r="F347" s="190">
        <v>1</v>
      </c>
      <c r="G347" s="191" t="s">
        <v>79</v>
      </c>
      <c r="H347" s="190">
        <v>1</v>
      </c>
      <c r="I347" s="190">
        <v>70</v>
      </c>
      <c r="J347" s="191" t="s">
        <v>65</v>
      </c>
      <c r="K347" s="191" t="s">
        <v>71</v>
      </c>
      <c r="L347" s="191" t="s">
        <v>36</v>
      </c>
      <c r="M347" s="191" t="s">
        <v>37</v>
      </c>
      <c r="N347" s="191" t="s">
        <v>95</v>
      </c>
      <c r="O347" s="191" t="s">
        <v>39</v>
      </c>
      <c r="P347" s="191" t="s">
        <v>56</v>
      </c>
      <c r="Q347" s="191" t="s">
        <v>71</v>
      </c>
      <c r="R347" s="191" t="s">
        <v>87</v>
      </c>
      <c r="S347" s="191" t="s">
        <v>48</v>
      </c>
      <c r="T347" s="191" t="s">
        <v>44</v>
      </c>
      <c r="U347" s="191" t="s">
        <v>40</v>
      </c>
      <c r="V347" s="191" t="s">
        <v>339</v>
      </c>
      <c r="W347" s="191" t="s">
        <v>46</v>
      </c>
      <c r="X347" s="191" t="s">
        <v>44</v>
      </c>
      <c r="Y347" s="191" t="s">
        <v>45</v>
      </c>
      <c r="Z347" s="191" t="s">
        <v>47</v>
      </c>
      <c r="AA347" s="191" t="s">
        <v>49</v>
      </c>
      <c r="AB347" s="191" t="s">
        <v>50</v>
      </c>
      <c r="AC347" s="191" t="s">
        <v>43</v>
      </c>
      <c r="AD347" s="191" t="s">
        <v>72</v>
      </c>
      <c r="AE347" s="191" t="s">
        <v>44</v>
      </c>
      <c r="AF347" s="191" t="s">
        <v>95</v>
      </c>
      <c r="AG347" s="191" t="s">
        <v>43</v>
      </c>
      <c r="AH347" s="191" t="s">
        <v>44</v>
      </c>
      <c r="AI347" s="191" t="s">
        <v>39</v>
      </c>
      <c r="AJ347" s="191" t="s">
        <v>36</v>
      </c>
      <c r="AK347" s="191" t="s">
        <v>85</v>
      </c>
      <c r="AL347" s="191" t="s">
        <v>44</v>
      </c>
      <c r="AM347" s="191" t="s">
        <v>1268</v>
      </c>
      <c r="AN347" s="191" t="s">
        <v>44</v>
      </c>
      <c r="AO347" s="191" t="s">
        <v>44</v>
      </c>
      <c r="AP347" s="191" t="s">
        <v>44</v>
      </c>
    </row>
    <row r="348" spans="1:42" ht="29">
      <c r="A348" s="191" t="s">
        <v>1633</v>
      </c>
      <c r="B348" s="190">
        <v>3</v>
      </c>
      <c r="C348" s="190">
        <v>7</v>
      </c>
      <c r="D348" s="190">
        <v>3</v>
      </c>
      <c r="E348" s="191" t="s">
        <v>318</v>
      </c>
      <c r="F348" s="190">
        <v>3</v>
      </c>
      <c r="G348" s="191" t="s">
        <v>69</v>
      </c>
      <c r="H348" s="190">
        <v>1</v>
      </c>
      <c r="I348" s="190">
        <v>100</v>
      </c>
      <c r="J348" s="191" t="s">
        <v>54</v>
      </c>
      <c r="K348" s="191" t="s">
        <v>81</v>
      </c>
      <c r="L348" s="191" t="s">
        <v>67</v>
      </c>
      <c r="M348" s="191" t="s">
        <v>37</v>
      </c>
      <c r="N348" s="191" t="s">
        <v>58</v>
      </c>
      <c r="O348" s="191" t="s">
        <v>39</v>
      </c>
      <c r="P348" s="191" t="s">
        <v>41</v>
      </c>
      <c r="Q348" s="191" t="s">
        <v>86</v>
      </c>
      <c r="R348" s="191" t="s">
        <v>42</v>
      </c>
      <c r="S348" s="191" t="s">
        <v>48</v>
      </c>
      <c r="T348" s="191" t="s">
        <v>44</v>
      </c>
      <c r="U348" s="191" t="s">
        <v>1634</v>
      </c>
      <c r="V348" s="191" t="s">
        <v>339</v>
      </c>
      <c r="W348" s="191" t="s">
        <v>43</v>
      </c>
      <c r="X348" s="191" t="s">
        <v>44</v>
      </c>
      <c r="Y348" s="191" t="s">
        <v>47</v>
      </c>
      <c r="Z348" s="191" t="s">
        <v>43</v>
      </c>
      <c r="AA348" s="191" t="s">
        <v>49</v>
      </c>
      <c r="AB348" s="191" t="s">
        <v>50</v>
      </c>
      <c r="AC348" s="191" t="s">
        <v>47</v>
      </c>
      <c r="AD348" s="191" t="s">
        <v>91</v>
      </c>
      <c r="AE348" s="191" t="s">
        <v>44</v>
      </c>
      <c r="AF348" s="191" t="s">
        <v>95</v>
      </c>
      <c r="AG348" s="191" t="s">
        <v>43</v>
      </c>
      <c r="AH348" s="191" t="s">
        <v>44</v>
      </c>
      <c r="AI348" s="191" t="s">
        <v>39</v>
      </c>
      <c r="AJ348" s="191" t="s">
        <v>36</v>
      </c>
      <c r="AK348" s="191" t="s">
        <v>73</v>
      </c>
      <c r="AL348" s="191" t="s">
        <v>44</v>
      </c>
      <c r="AM348" s="191" t="s">
        <v>43</v>
      </c>
      <c r="AN348" s="191" t="s">
        <v>44</v>
      </c>
      <c r="AO348" s="191" t="s">
        <v>44</v>
      </c>
      <c r="AP348" s="191" t="s">
        <v>44</v>
      </c>
    </row>
    <row r="349" spans="1:42" ht="29">
      <c r="A349" s="191" t="s">
        <v>1635</v>
      </c>
      <c r="B349" s="190">
        <v>3</v>
      </c>
      <c r="C349" s="190">
        <v>7</v>
      </c>
      <c r="D349" s="190">
        <v>9</v>
      </c>
      <c r="E349" s="191" t="s">
        <v>318</v>
      </c>
      <c r="F349" s="190">
        <v>1</v>
      </c>
      <c r="G349" s="191" t="s">
        <v>79</v>
      </c>
      <c r="H349" s="190">
        <v>1</v>
      </c>
      <c r="I349" s="190">
        <v>100</v>
      </c>
      <c r="J349" s="191" t="s">
        <v>54</v>
      </c>
      <c r="K349" s="191" t="s">
        <v>47</v>
      </c>
      <c r="L349" s="191" t="s">
        <v>36</v>
      </c>
      <c r="M349" s="191" t="s">
        <v>37</v>
      </c>
      <c r="N349" s="191" t="s">
        <v>58</v>
      </c>
      <c r="O349" s="191" t="s">
        <v>39</v>
      </c>
      <c r="P349" s="191" t="s">
        <v>41</v>
      </c>
      <c r="Q349" s="191" t="s">
        <v>83</v>
      </c>
      <c r="R349" s="191" t="s">
        <v>42</v>
      </c>
      <c r="S349" s="191" t="s">
        <v>48</v>
      </c>
      <c r="T349" s="191" t="s">
        <v>44</v>
      </c>
      <c r="U349" s="191" t="s">
        <v>74</v>
      </c>
      <c r="V349" s="191" t="s">
        <v>1108</v>
      </c>
      <c r="W349" s="191" t="s">
        <v>43</v>
      </c>
      <c r="X349" s="191" t="s">
        <v>44</v>
      </c>
      <c r="Y349" s="191" t="s">
        <v>43</v>
      </c>
      <c r="Z349" s="191" t="s">
        <v>43</v>
      </c>
      <c r="AA349" s="191" t="s">
        <v>49</v>
      </c>
      <c r="AB349" s="191" t="s">
        <v>50</v>
      </c>
      <c r="AC349" s="191" t="s">
        <v>43</v>
      </c>
      <c r="AD349" s="191" t="s">
        <v>72</v>
      </c>
      <c r="AE349" s="191" t="s">
        <v>44</v>
      </c>
      <c r="AF349" s="191" t="s">
        <v>95</v>
      </c>
      <c r="AG349" s="191" t="s">
        <v>43</v>
      </c>
      <c r="AH349" s="191" t="s">
        <v>44</v>
      </c>
      <c r="AI349" s="191" t="s">
        <v>39</v>
      </c>
      <c r="AJ349" s="191" t="s">
        <v>36</v>
      </c>
      <c r="AK349" s="191" t="s">
        <v>73</v>
      </c>
      <c r="AL349" s="191" t="s">
        <v>44</v>
      </c>
      <c r="AM349" s="191" t="s">
        <v>1362</v>
      </c>
      <c r="AN349" s="191" t="s">
        <v>44</v>
      </c>
      <c r="AO349" s="191" t="s">
        <v>44</v>
      </c>
      <c r="AP349" s="191" t="s">
        <v>44</v>
      </c>
    </row>
    <row r="350" spans="1:42" ht="43.5">
      <c r="A350" s="191" t="s">
        <v>1636</v>
      </c>
      <c r="B350" s="190">
        <v>3</v>
      </c>
      <c r="C350" s="190">
        <v>5</v>
      </c>
      <c r="D350" s="190">
        <v>3</v>
      </c>
      <c r="E350" s="191" t="s">
        <v>311</v>
      </c>
      <c r="F350" s="190">
        <v>2</v>
      </c>
      <c r="G350" s="191" t="s">
        <v>64</v>
      </c>
      <c r="H350" s="190">
        <v>1</v>
      </c>
      <c r="I350" s="190">
        <v>0</v>
      </c>
      <c r="J350" s="191" t="s">
        <v>54</v>
      </c>
      <c r="K350" s="191" t="s">
        <v>40</v>
      </c>
      <c r="L350" s="191" t="s">
        <v>36</v>
      </c>
      <c r="M350" s="191" t="s">
        <v>37</v>
      </c>
      <c r="N350" s="191" t="s">
        <v>38</v>
      </c>
      <c r="O350" s="191" t="s">
        <v>288</v>
      </c>
      <c r="P350" s="191" t="s">
        <v>56</v>
      </c>
      <c r="Q350" s="191" t="s">
        <v>88</v>
      </c>
      <c r="R350" s="191" t="s">
        <v>42</v>
      </c>
      <c r="S350" s="191" t="s">
        <v>48</v>
      </c>
      <c r="T350" s="191" t="s">
        <v>44</v>
      </c>
      <c r="U350" s="191" t="s">
        <v>1120</v>
      </c>
      <c r="V350" s="191" t="s">
        <v>44</v>
      </c>
      <c r="W350" s="191" t="s">
        <v>43</v>
      </c>
      <c r="X350" s="191" t="s">
        <v>44</v>
      </c>
      <c r="Y350" s="191" t="s">
        <v>61</v>
      </c>
      <c r="Z350" s="191" t="s">
        <v>47</v>
      </c>
      <c r="AA350" s="191" t="s">
        <v>105</v>
      </c>
      <c r="AB350" s="191" t="s">
        <v>138</v>
      </c>
      <c r="AC350" s="191" t="s">
        <v>47</v>
      </c>
      <c r="AD350" s="191" t="s">
        <v>129</v>
      </c>
      <c r="AE350" s="191" t="s">
        <v>44</v>
      </c>
      <c r="AF350" s="191" t="s">
        <v>95</v>
      </c>
      <c r="AG350" s="191" t="s">
        <v>43</v>
      </c>
      <c r="AH350" s="191" t="s">
        <v>44</v>
      </c>
      <c r="AI350" s="191" t="s">
        <v>39</v>
      </c>
      <c r="AJ350" s="191" t="s">
        <v>36</v>
      </c>
      <c r="AK350" s="191" t="s">
        <v>71</v>
      </c>
      <c r="AL350" s="191" t="s">
        <v>44</v>
      </c>
      <c r="AM350" s="191" t="s">
        <v>89</v>
      </c>
      <c r="AN350" s="191" t="s">
        <v>44</v>
      </c>
      <c r="AO350" s="191" t="s">
        <v>44</v>
      </c>
      <c r="AP350" s="191" t="s">
        <v>44</v>
      </c>
    </row>
    <row r="351" spans="1:42" ht="29">
      <c r="A351" s="191" t="s">
        <v>1637</v>
      </c>
      <c r="B351" s="190">
        <v>3</v>
      </c>
      <c r="C351" s="190">
        <v>3</v>
      </c>
      <c r="D351" s="190">
        <v>3</v>
      </c>
      <c r="E351" s="191" t="s">
        <v>311</v>
      </c>
      <c r="F351" s="190">
        <v>4</v>
      </c>
      <c r="G351" s="191" t="s">
        <v>64</v>
      </c>
      <c r="H351" s="190">
        <v>1</v>
      </c>
      <c r="I351" s="190">
        <v>118</v>
      </c>
      <c r="J351" s="191" t="s">
        <v>80</v>
      </c>
      <c r="K351" s="191" t="s">
        <v>47</v>
      </c>
      <c r="L351" s="191" t="s">
        <v>107</v>
      </c>
      <c r="M351" s="191" t="s">
        <v>37</v>
      </c>
      <c r="N351" s="191" t="s">
        <v>58</v>
      </c>
      <c r="O351" s="191" t="s">
        <v>39</v>
      </c>
      <c r="P351" s="191" t="s">
        <v>41</v>
      </c>
      <c r="Q351" s="191" t="s">
        <v>128</v>
      </c>
      <c r="R351" s="191" t="s">
        <v>87</v>
      </c>
      <c r="S351" s="191" t="s">
        <v>48</v>
      </c>
      <c r="T351" s="191" t="s">
        <v>44</v>
      </c>
      <c r="U351" s="191" t="s">
        <v>117</v>
      </c>
      <c r="V351" s="191" t="s">
        <v>339</v>
      </c>
      <c r="W351" s="191" t="s">
        <v>43</v>
      </c>
      <c r="X351" s="191" t="s">
        <v>44</v>
      </c>
      <c r="Y351" s="191" t="s">
        <v>43</v>
      </c>
      <c r="Z351" s="191" t="s">
        <v>43</v>
      </c>
      <c r="AA351" s="191" t="s">
        <v>62</v>
      </c>
      <c r="AB351" s="191" t="s">
        <v>84</v>
      </c>
      <c r="AC351" s="191" t="s">
        <v>43</v>
      </c>
      <c r="AD351" s="191" t="s">
        <v>72</v>
      </c>
      <c r="AE351" s="191" t="s">
        <v>44</v>
      </c>
      <c r="AF351" s="191" t="s">
        <v>95</v>
      </c>
      <c r="AG351" s="191" t="s">
        <v>43</v>
      </c>
      <c r="AH351" s="191" t="s">
        <v>44</v>
      </c>
      <c r="AI351" s="191" t="s">
        <v>39</v>
      </c>
      <c r="AJ351" s="191" t="s">
        <v>36</v>
      </c>
      <c r="AK351" s="191" t="s">
        <v>77</v>
      </c>
      <c r="AL351" s="191" t="s">
        <v>44</v>
      </c>
      <c r="AM351" s="191" t="s">
        <v>1242</v>
      </c>
      <c r="AN351" s="191" t="s">
        <v>44</v>
      </c>
      <c r="AO351" s="191" t="s">
        <v>44</v>
      </c>
      <c r="AP351" s="191" t="s">
        <v>44</v>
      </c>
    </row>
    <row r="352" spans="1:42" ht="43.5">
      <c r="A352" s="191" t="s">
        <v>1638</v>
      </c>
      <c r="B352" s="190">
        <v>3</v>
      </c>
      <c r="C352" s="190">
        <v>7</v>
      </c>
      <c r="D352" s="190">
        <v>7</v>
      </c>
      <c r="E352" s="191" t="s">
        <v>318</v>
      </c>
      <c r="F352" s="190">
        <v>1</v>
      </c>
      <c r="G352" s="191" t="s">
        <v>94</v>
      </c>
      <c r="H352" s="190">
        <v>1</v>
      </c>
      <c r="I352" s="190">
        <v>228</v>
      </c>
      <c r="J352" s="191" t="s">
        <v>116</v>
      </c>
      <c r="K352" s="191" t="s">
        <v>78</v>
      </c>
      <c r="L352" s="191" t="s">
        <v>36</v>
      </c>
      <c r="M352" s="191" t="s">
        <v>37</v>
      </c>
      <c r="N352" s="191" t="s">
        <v>58</v>
      </c>
      <c r="O352" s="191" t="s">
        <v>288</v>
      </c>
      <c r="P352" s="191" t="s">
        <v>66</v>
      </c>
      <c r="Q352" s="191" t="s">
        <v>90</v>
      </c>
      <c r="R352" s="191" t="s">
        <v>60</v>
      </c>
      <c r="S352" s="191" t="s">
        <v>48</v>
      </c>
      <c r="T352" s="191" t="s">
        <v>44</v>
      </c>
      <c r="U352" s="191" t="s">
        <v>43</v>
      </c>
      <c r="V352" s="191" t="s">
        <v>339</v>
      </c>
      <c r="W352" s="191" t="s">
        <v>43</v>
      </c>
      <c r="X352" s="191" t="s">
        <v>44</v>
      </c>
      <c r="Y352" s="191" t="s">
        <v>43</v>
      </c>
      <c r="Z352" s="191" t="s">
        <v>43</v>
      </c>
      <c r="AA352" s="191" t="s">
        <v>62</v>
      </c>
      <c r="AB352" s="191" t="s">
        <v>50</v>
      </c>
      <c r="AC352" s="191" t="s">
        <v>47</v>
      </c>
      <c r="AD352" s="191" t="s">
        <v>51</v>
      </c>
      <c r="AE352" s="191" t="s">
        <v>44</v>
      </c>
      <c r="AF352" s="191" t="s">
        <v>52</v>
      </c>
      <c r="AG352" s="191" t="s">
        <v>47</v>
      </c>
      <c r="AH352" s="191" t="s">
        <v>44</v>
      </c>
      <c r="AI352" s="191" t="s">
        <v>134</v>
      </c>
      <c r="AJ352" s="191" t="s">
        <v>36</v>
      </c>
      <c r="AK352" s="191" t="s">
        <v>73</v>
      </c>
      <c r="AL352" s="191" t="s">
        <v>44</v>
      </c>
      <c r="AM352" s="191" t="s">
        <v>78</v>
      </c>
      <c r="AN352" s="191" t="s">
        <v>44</v>
      </c>
      <c r="AO352" s="191" t="s">
        <v>44</v>
      </c>
      <c r="AP352" s="191" t="s">
        <v>44</v>
      </c>
    </row>
    <row r="353" spans="1:42" ht="29">
      <c r="A353" s="191" t="s">
        <v>1639</v>
      </c>
      <c r="B353" s="190">
        <v>3</v>
      </c>
      <c r="C353" s="190">
        <v>2</v>
      </c>
      <c r="D353" s="190">
        <v>3</v>
      </c>
      <c r="E353" s="191" t="s">
        <v>315</v>
      </c>
      <c r="F353" s="190">
        <v>3</v>
      </c>
      <c r="G353" s="191" t="s">
        <v>64</v>
      </c>
      <c r="H353" s="190">
        <v>1</v>
      </c>
      <c r="I353" s="190">
        <v>100</v>
      </c>
      <c r="J353" s="191" t="s">
        <v>80</v>
      </c>
      <c r="K353" s="191" t="s">
        <v>61</v>
      </c>
      <c r="L353" s="191" t="s">
        <v>36</v>
      </c>
      <c r="M353" s="191" t="s">
        <v>37</v>
      </c>
      <c r="N353" s="191" t="s">
        <v>95</v>
      </c>
      <c r="O353" s="191" t="s">
        <v>39</v>
      </c>
      <c r="P353" s="191" t="s">
        <v>41</v>
      </c>
      <c r="Q353" s="191" t="s">
        <v>78</v>
      </c>
      <c r="R353" s="191" t="s">
        <v>87</v>
      </c>
      <c r="S353" s="191" t="s">
        <v>48</v>
      </c>
      <c r="T353" s="191" t="s">
        <v>44</v>
      </c>
      <c r="U353" s="191" t="s">
        <v>1109</v>
      </c>
      <c r="V353" s="191" t="s">
        <v>339</v>
      </c>
      <c r="W353" s="191" t="s">
        <v>43</v>
      </c>
      <c r="X353" s="191" t="s">
        <v>44</v>
      </c>
      <c r="Y353" s="191" t="s">
        <v>45</v>
      </c>
      <c r="Z353" s="191" t="s">
        <v>43</v>
      </c>
      <c r="AA353" s="191" t="s">
        <v>49</v>
      </c>
      <c r="AB353" s="191" t="s">
        <v>50</v>
      </c>
      <c r="AC353" s="191" t="s">
        <v>43</v>
      </c>
      <c r="AD353" s="191" t="s">
        <v>72</v>
      </c>
      <c r="AE353" s="191" t="s">
        <v>44</v>
      </c>
      <c r="AF353" s="191" t="s">
        <v>95</v>
      </c>
      <c r="AG353" s="191" t="s">
        <v>43</v>
      </c>
      <c r="AH353" s="191" t="s">
        <v>44</v>
      </c>
      <c r="AI353" s="191" t="s">
        <v>39</v>
      </c>
      <c r="AJ353" s="191" t="s">
        <v>36</v>
      </c>
      <c r="AK353" s="191" t="s">
        <v>40</v>
      </c>
      <c r="AL353" s="191" t="s">
        <v>44</v>
      </c>
      <c r="AM353" s="191" t="s">
        <v>45</v>
      </c>
      <c r="AN353" s="191" t="s">
        <v>44</v>
      </c>
      <c r="AO353" s="191" t="s">
        <v>44</v>
      </c>
      <c r="AP353" s="191" t="s">
        <v>44</v>
      </c>
    </row>
    <row r="354" spans="1:42" ht="43.5">
      <c r="A354" s="191" t="s">
        <v>1640</v>
      </c>
      <c r="B354" s="190">
        <v>3</v>
      </c>
      <c r="C354" s="190">
        <v>3</v>
      </c>
      <c r="D354" s="190">
        <v>3</v>
      </c>
      <c r="E354" s="191" t="s">
        <v>307</v>
      </c>
      <c r="F354" s="190">
        <v>3</v>
      </c>
      <c r="G354" s="191" t="s">
        <v>53</v>
      </c>
      <c r="H354" s="190">
        <v>1</v>
      </c>
      <c r="I354" s="190">
        <v>104</v>
      </c>
      <c r="J354" s="191" t="s">
        <v>65</v>
      </c>
      <c r="K354" s="191" t="s">
        <v>89</v>
      </c>
      <c r="L354" s="191" t="s">
        <v>70</v>
      </c>
      <c r="M354" s="191" t="s">
        <v>37</v>
      </c>
      <c r="N354" s="191" t="s">
        <v>38</v>
      </c>
      <c r="O354" s="191" t="s">
        <v>288</v>
      </c>
      <c r="P354" s="191" t="s">
        <v>56</v>
      </c>
      <c r="Q354" s="191" t="s">
        <v>61</v>
      </c>
      <c r="R354" s="191" t="s">
        <v>42</v>
      </c>
      <c r="S354" s="191" t="s">
        <v>48</v>
      </c>
      <c r="T354" s="191" t="s">
        <v>44</v>
      </c>
      <c r="U354" s="191" t="s">
        <v>44</v>
      </c>
      <c r="V354" s="191" t="s">
        <v>44</v>
      </c>
      <c r="W354" s="191" t="s">
        <v>40</v>
      </c>
      <c r="X354" s="191" t="s">
        <v>1641</v>
      </c>
      <c r="Y354" s="191" t="s">
        <v>45</v>
      </c>
      <c r="Z354" s="191" t="s">
        <v>43</v>
      </c>
      <c r="AA354" s="191" t="s">
        <v>67</v>
      </c>
      <c r="AB354" s="191" t="s">
        <v>67</v>
      </c>
      <c r="AC354" s="191" t="s">
        <v>46</v>
      </c>
      <c r="AD354" s="191" t="s">
        <v>36</v>
      </c>
      <c r="AE354" s="191" t="s">
        <v>1642</v>
      </c>
      <c r="AF354" s="191" t="s">
        <v>95</v>
      </c>
      <c r="AG354" s="191" t="s">
        <v>43</v>
      </c>
      <c r="AH354" s="191" t="s">
        <v>44</v>
      </c>
      <c r="AI354" s="191" t="s">
        <v>134</v>
      </c>
      <c r="AJ354" s="191" t="s">
        <v>36</v>
      </c>
      <c r="AK354" s="191" t="s">
        <v>73</v>
      </c>
      <c r="AL354" s="191" t="s">
        <v>44</v>
      </c>
      <c r="AM354" s="191" t="s">
        <v>119</v>
      </c>
      <c r="AN354" s="191" t="s">
        <v>44</v>
      </c>
      <c r="AO354" s="191" t="s">
        <v>1643</v>
      </c>
      <c r="AP354" s="191" t="s">
        <v>1643</v>
      </c>
    </row>
    <row r="355" spans="1:42" ht="72.5">
      <c r="A355" s="191" t="s">
        <v>1644</v>
      </c>
      <c r="B355" s="190">
        <v>3</v>
      </c>
      <c r="C355" s="190">
        <v>5</v>
      </c>
      <c r="D355" s="190">
        <v>5</v>
      </c>
      <c r="E355" s="191" t="s">
        <v>315</v>
      </c>
      <c r="F355" s="190">
        <v>2</v>
      </c>
      <c r="G355" s="191" t="s">
        <v>97</v>
      </c>
      <c r="H355" s="190">
        <v>1</v>
      </c>
      <c r="I355" s="190">
        <v>134</v>
      </c>
      <c r="J355" s="191" t="s">
        <v>80</v>
      </c>
      <c r="K355" s="191" t="s">
        <v>40</v>
      </c>
      <c r="L355" s="191" t="s">
        <v>36</v>
      </c>
      <c r="M355" s="191" t="s">
        <v>37</v>
      </c>
      <c r="N355" s="191" t="s">
        <v>95</v>
      </c>
      <c r="O355" s="191" t="s">
        <v>288</v>
      </c>
      <c r="P355" s="191" t="s">
        <v>66</v>
      </c>
      <c r="Q355" s="191" t="s">
        <v>88</v>
      </c>
      <c r="R355" s="191" t="s">
        <v>87</v>
      </c>
      <c r="S355" s="191" t="s">
        <v>48</v>
      </c>
      <c r="T355" s="191" t="s">
        <v>44</v>
      </c>
      <c r="U355" s="191" t="s">
        <v>43</v>
      </c>
      <c r="V355" s="191" t="s">
        <v>1108</v>
      </c>
      <c r="W355" s="191" t="s">
        <v>43</v>
      </c>
      <c r="X355" s="191" t="s">
        <v>44</v>
      </c>
      <c r="Y355" s="191" t="s">
        <v>47</v>
      </c>
      <c r="Z355" s="191" t="s">
        <v>43</v>
      </c>
      <c r="AA355" s="191" t="s">
        <v>49</v>
      </c>
      <c r="AB355" s="191" t="s">
        <v>50</v>
      </c>
      <c r="AC355" s="191" t="s">
        <v>43</v>
      </c>
      <c r="AD355" s="191" t="s">
        <v>72</v>
      </c>
      <c r="AE355" s="191" t="s">
        <v>44</v>
      </c>
      <c r="AF355" s="191" t="s">
        <v>95</v>
      </c>
      <c r="AG355" s="191" t="s">
        <v>47</v>
      </c>
      <c r="AH355" s="191" t="s">
        <v>44</v>
      </c>
      <c r="AI355" s="191" t="s">
        <v>134</v>
      </c>
      <c r="AJ355" s="191" t="s">
        <v>36</v>
      </c>
      <c r="AK355" s="191" t="s">
        <v>106</v>
      </c>
      <c r="AL355" s="191" t="s">
        <v>1645</v>
      </c>
      <c r="AM355" s="191" t="s">
        <v>45</v>
      </c>
      <c r="AN355" s="191" t="s">
        <v>44</v>
      </c>
      <c r="AO355" s="191" t="s">
        <v>44</v>
      </c>
      <c r="AP355" s="191" t="s">
        <v>44</v>
      </c>
    </row>
    <row r="356" spans="1:42" ht="43.5">
      <c r="A356" s="191" t="s">
        <v>1646</v>
      </c>
      <c r="B356" s="190">
        <v>3</v>
      </c>
      <c r="C356" s="190">
        <v>7</v>
      </c>
      <c r="D356" s="190">
        <v>7</v>
      </c>
      <c r="E356" s="191" t="s">
        <v>318</v>
      </c>
      <c r="F356" s="190">
        <v>2</v>
      </c>
      <c r="G356" s="191" t="s">
        <v>53</v>
      </c>
      <c r="H356" s="190">
        <v>1</v>
      </c>
      <c r="I356" s="190">
        <v>110</v>
      </c>
      <c r="J356" s="191" t="s">
        <v>80</v>
      </c>
      <c r="K356" s="191" t="s">
        <v>61</v>
      </c>
      <c r="L356" s="191" t="s">
        <v>36</v>
      </c>
      <c r="M356" s="191" t="s">
        <v>37</v>
      </c>
      <c r="N356" s="191" t="s">
        <v>58</v>
      </c>
      <c r="O356" s="191" t="s">
        <v>288</v>
      </c>
      <c r="P356" s="191" t="s">
        <v>56</v>
      </c>
      <c r="Q356" s="191" t="s">
        <v>40</v>
      </c>
      <c r="R356" s="191" t="s">
        <v>60</v>
      </c>
      <c r="S356" s="191" t="s">
        <v>48</v>
      </c>
      <c r="T356" s="191" t="s">
        <v>44</v>
      </c>
      <c r="U356" s="191" t="s">
        <v>45</v>
      </c>
      <c r="V356" s="191" t="s">
        <v>339</v>
      </c>
      <c r="W356" s="191" t="s">
        <v>43</v>
      </c>
      <c r="X356" s="191" t="s">
        <v>44</v>
      </c>
      <c r="Y356" s="191" t="s">
        <v>45</v>
      </c>
      <c r="Z356" s="191" t="s">
        <v>43</v>
      </c>
      <c r="AA356" s="191" t="s">
        <v>49</v>
      </c>
      <c r="AB356" s="191" t="s">
        <v>50</v>
      </c>
      <c r="AC356" s="191" t="s">
        <v>43</v>
      </c>
      <c r="AD356" s="191" t="s">
        <v>72</v>
      </c>
      <c r="AE356" s="191" t="s">
        <v>44</v>
      </c>
      <c r="AF356" s="191" t="s">
        <v>95</v>
      </c>
      <c r="AG356" s="191" t="s">
        <v>47</v>
      </c>
      <c r="AH356" s="191" t="s">
        <v>44</v>
      </c>
      <c r="AI356" s="191" t="s">
        <v>134</v>
      </c>
      <c r="AJ356" s="191" t="s">
        <v>36</v>
      </c>
      <c r="AK356" s="191" t="s">
        <v>71</v>
      </c>
      <c r="AL356" s="191" t="s">
        <v>44</v>
      </c>
      <c r="AM356" s="191" t="s">
        <v>1362</v>
      </c>
      <c r="AN356" s="191" t="s">
        <v>44</v>
      </c>
      <c r="AO356" s="191" t="s">
        <v>44</v>
      </c>
      <c r="AP356" s="191" t="s">
        <v>44</v>
      </c>
    </row>
    <row r="357" spans="1:42" ht="29">
      <c r="A357" s="191" t="s">
        <v>1647</v>
      </c>
      <c r="B357" s="190">
        <v>3</v>
      </c>
      <c r="C357" s="190">
        <v>7</v>
      </c>
      <c r="D357" s="190">
        <v>7</v>
      </c>
      <c r="E357" s="191" t="s">
        <v>318</v>
      </c>
      <c r="F357" s="190">
        <v>2</v>
      </c>
      <c r="G357" s="191" t="s">
        <v>69</v>
      </c>
      <c r="H357" s="190">
        <v>1</v>
      </c>
      <c r="I357" s="190">
        <v>120</v>
      </c>
      <c r="J357" s="191" t="s">
        <v>54</v>
      </c>
      <c r="K357" s="191" t="s">
        <v>47</v>
      </c>
      <c r="L357" s="191" t="s">
        <v>36</v>
      </c>
      <c r="M357" s="191" t="s">
        <v>37</v>
      </c>
      <c r="N357" s="191" t="s">
        <v>58</v>
      </c>
      <c r="O357" s="191" t="s">
        <v>288</v>
      </c>
      <c r="P357" s="191" t="s">
        <v>41</v>
      </c>
      <c r="Q357" s="191" t="s">
        <v>43</v>
      </c>
      <c r="R357" s="191" t="s">
        <v>42</v>
      </c>
      <c r="S357" s="191" t="s">
        <v>48</v>
      </c>
      <c r="T357" s="191" t="s">
        <v>44</v>
      </c>
      <c r="U357" s="191" t="s">
        <v>45</v>
      </c>
      <c r="V357" s="191" t="s">
        <v>339</v>
      </c>
      <c r="W357" s="191" t="s">
        <v>43</v>
      </c>
      <c r="X357" s="191" t="s">
        <v>44</v>
      </c>
      <c r="Y357" s="191" t="s">
        <v>43</v>
      </c>
      <c r="Z357" s="191" t="s">
        <v>46</v>
      </c>
      <c r="AA357" s="191" t="s">
        <v>49</v>
      </c>
      <c r="AB357" s="191" t="s">
        <v>50</v>
      </c>
      <c r="AC357" s="191" t="s">
        <v>43</v>
      </c>
      <c r="AD357" s="191" t="s">
        <v>72</v>
      </c>
      <c r="AE357" s="191" t="s">
        <v>44</v>
      </c>
      <c r="AF357" s="191" t="s">
        <v>95</v>
      </c>
      <c r="AG357" s="191" t="s">
        <v>43</v>
      </c>
      <c r="AH357" s="191" t="s">
        <v>44</v>
      </c>
      <c r="AI357" s="191" t="s">
        <v>39</v>
      </c>
      <c r="AJ357" s="191" t="s">
        <v>36</v>
      </c>
      <c r="AK357" s="191" t="s">
        <v>73</v>
      </c>
      <c r="AL357" s="191" t="s">
        <v>44</v>
      </c>
      <c r="AM357" s="191" t="s">
        <v>89</v>
      </c>
      <c r="AN357" s="191" t="s">
        <v>44</v>
      </c>
      <c r="AO357" s="191" t="s">
        <v>44</v>
      </c>
      <c r="AP357" s="191" t="s">
        <v>44</v>
      </c>
    </row>
    <row r="358" spans="1:42" ht="29">
      <c r="A358" s="191" t="s">
        <v>1648</v>
      </c>
      <c r="B358" s="190">
        <v>3</v>
      </c>
      <c r="C358" s="190">
        <v>5</v>
      </c>
      <c r="D358" s="190">
        <v>3</v>
      </c>
      <c r="E358" s="191" t="s">
        <v>315</v>
      </c>
      <c r="F358" s="190">
        <v>5</v>
      </c>
      <c r="G358" s="191" t="s">
        <v>69</v>
      </c>
      <c r="H358" s="190">
        <v>1</v>
      </c>
      <c r="I358" s="190">
        <v>100</v>
      </c>
      <c r="J358" s="191" t="s">
        <v>80</v>
      </c>
      <c r="K358" s="191" t="s">
        <v>61</v>
      </c>
      <c r="L358" s="191" t="s">
        <v>36</v>
      </c>
      <c r="M358" s="191" t="s">
        <v>37</v>
      </c>
      <c r="N358" s="191" t="s">
        <v>95</v>
      </c>
      <c r="O358" s="191" t="s">
        <v>288</v>
      </c>
      <c r="P358" s="191" t="s">
        <v>41</v>
      </c>
      <c r="Q358" s="191" t="s">
        <v>40</v>
      </c>
      <c r="R358" s="191" t="s">
        <v>87</v>
      </c>
      <c r="S358" s="191" t="s">
        <v>48</v>
      </c>
      <c r="T358" s="191" t="s">
        <v>44</v>
      </c>
      <c r="U358" s="191" t="s">
        <v>119</v>
      </c>
      <c r="V358" s="191" t="s">
        <v>1649</v>
      </c>
      <c r="W358" s="191" t="s">
        <v>47</v>
      </c>
      <c r="X358" s="191" t="s">
        <v>44</v>
      </c>
      <c r="Y358" s="191" t="s">
        <v>45</v>
      </c>
      <c r="Z358" s="191" t="s">
        <v>43</v>
      </c>
      <c r="AA358" s="191" t="s">
        <v>49</v>
      </c>
      <c r="AB358" s="191" t="s">
        <v>84</v>
      </c>
      <c r="AC358" s="191" t="s">
        <v>47</v>
      </c>
      <c r="AD358" s="191" t="s">
        <v>91</v>
      </c>
      <c r="AE358" s="191" t="s">
        <v>44</v>
      </c>
      <c r="AF358" s="191" t="s">
        <v>95</v>
      </c>
      <c r="AG358" s="191" t="s">
        <v>43</v>
      </c>
      <c r="AH358" s="191" t="s">
        <v>44</v>
      </c>
      <c r="AI358" s="191" t="s">
        <v>39</v>
      </c>
      <c r="AJ358" s="191" t="s">
        <v>36</v>
      </c>
      <c r="AK358" s="191" t="s">
        <v>47</v>
      </c>
      <c r="AL358" s="191" t="s">
        <v>44</v>
      </c>
      <c r="AM358" s="191" t="s">
        <v>1242</v>
      </c>
      <c r="AN358" s="191" t="s">
        <v>44</v>
      </c>
      <c r="AO358" s="191" t="s">
        <v>44</v>
      </c>
      <c r="AP358" s="191" t="s">
        <v>44</v>
      </c>
    </row>
    <row r="359" spans="1:42" ht="29">
      <c r="A359" s="191" t="s">
        <v>1650</v>
      </c>
      <c r="B359" s="190">
        <v>3</v>
      </c>
      <c r="C359" s="190">
        <v>7</v>
      </c>
      <c r="D359" s="190">
        <v>9</v>
      </c>
      <c r="E359" s="191" t="s">
        <v>318</v>
      </c>
      <c r="F359" s="190">
        <v>1</v>
      </c>
      <c r="G359" s="191" t="s">
        <v>79</v>
      </c>
      <c r="H359" s="190">
        <v>1</v>
      </c>
      <c r="I359" s="190">
        <v>80</v>
      </c>
      <c r="J359" s="191" t="s">
        <v>34</v>
      </c>
      <c r="K359" s="191" t="s">
        <v>61</v>
      </c>
      <c r="L359" s="191" t="s">
        <v>36</v>
      </c>
      <c r="M359" s="191" t="s">
        <v>37</v>
      </c>
      <c r="N359" s="191" t="s">
        <v>108</v>
      </c>
      <c r="O359" s="191" t="s">
        <v>39</v>
      </c>
      <c r="P359" s="191" t="s">
        <v>41</v>
      </c>
      <c r="Q359" s="191" t="s">
        <v>149</v>
      </c>
      <c r="R359" s="191" t="s">
        <v>42</v>
      </c>
      <c r="S359" s="191" t="s">
        <v>48</v>
      </c>
      <c r="T359" s="191" t="s">
        <v>44</v>
      </c>
      <c r="U359" s="191" t="s">
        <v>61</v>
      </c>
      <c r="V359" s="191" t="s">
        <v>339</v>
      </c>
      <c r="W359" s="191" t="s">
        <v>43</v>
      </c>
      <c r="X359" s="191" t="s">
        <v>44</v>
      </c>
      <c r="Y359" s="191" t="s">
        <v>47</v>
      </c>
      <c r="Z359" s="191" t="s">
        <v>43</v>
      </c>
      <c r="AA359" s="191" t="s">
        <v>49</v>
      </c>
      <c r="AB359" s="191" t="s">
        <v>84</v>
      </c>
      <c r="AC359" s="191" t="s">
        <v>43</v>
      </c>
      <c r="AD359" s="191" t="s">
        <v>72</v>
      </c>
      <c r="AE359" s="191" t="s">
        <v>44</v>
      </c>
      <c r="AF359" s="191" t="s">
        <v>95</v>
      </c>
      <c r="AG359" s="191" t="s">
        <v>43</v>
      </c>
      <c r="AH359" s="191" t="s">
        <v>44</v>
      </c>
      <c r="AI359" s="191" t="s">
        <v>39</v>
      </c>
      <c r="AJ359" s="191" t="s">
        <v>36</v>
      </c>
      <c r="AK359" s="191" t="s">
        <v>59</v>
      </c>
      <c r="AL359" s="191" t="s">
        <v>44</v>
      </c>
      <c r="AM359" s="191" t="s">
        <v>109</v>
      </c>
      <c r="AN359" s="191" t="s">
        <v>44</v>
      </c>
      <c r="AO359" s="191" t="s">
        <v>44</v>
      </c>
      <c r="AP359" s="191" t="s">
        <v>44</v>
      </c>
    </row>
    <row r="360" spans="1:42" ht="29">
      <c r="A360" s="191" t="s">
        <v>1651</v>
      </c>
      <c r="B360" s="190">
        <v>3</v>
      </c>
      <c r="C360" s="190">
        <v>7</v>
      </c>
      <c r="D360" s="190">
        <v>7</v>
      </c>
      <c r="E360" s="191" t="s">
        <v>318</v>
      </c>
      <c r="F360" s="190">
        <v>2</v>
      </c>
      <c r="G360" s="191" t="s">
        <v>69</v>
      </c>
      <c r="H360" s="190">
        <v>1</v>
      </c>
      <c r="I360" s="190">
        <v>120</v>
      </c>
      <c r="J360" s="191" t="s">
        <v>54</v>
      </c>
      <c r="K360" s="191" t="s">
        <v>47</v>
      </c>
      <c r="L360" s="191" t="s">
        <v>36</v>
      </c>
      <c r="M360" s="191" t="s">
        <v>37</v>
      </c>
      <c r="N360" s="191" t="s">
        <v>36</v>
      </c>
      <c r="O360" s="191" t="s">
        <v>39</v>
      </c>
      <c r="P360" s="191" t="s">
        <v>41</v>
      </c>
      <c r="Q360" s="191" t="s">
        <v>77</v>
      </c>
      <c r="R360" s="191" t="s">
        <v>42</v>
      </c>
      <c r="S360" s="191" t="s">
        <v>48</v>
      </c>
      <c r="T360" s="191" t="s">
        <v>44</v>
      </c>
      <c r="U360" s="191" t="s">
        <v>117</v>
      </c>
      <c r="V360" s="191" t="s">
        <v>1652</v>
      </c>
      <c r="W360" s="191" t="s">
        <v>47</v>
      </c>
      <c r="X360" s="191" t="s">
        <v>44</v>
      </c>
      <c r="Y360" s="191" t="s">
        <v>61</v>
      </c>
      <c r="Z360" s="191" t="s">
        <v>43</v>
      </c>
      <c r="AA360" s="191" t="s">
        <v>49</v>
      </c>
      <c r="AB360" s="191" t="s">
        <v>50</v>
      </c>
      <c r="AC360" s="191" t="s">
        <v>43</v>
      </c>
      <c r="AD360" s="191" t="s">
        <v>72</v>
      </c>
      <c r="AE360" s="191" t="s">
        <v>44</v>
      </c>
      <c r="AF360" s="191" t="s">
        <v>95</v>
      </c>
      <c r="AG360" s="191" t="s">
        <v>43</v>
      </c>
      <c r="AH360" s="191" t="s">
        <v>44</v>
      </c>
      <c r="AI360" s="191" t="s">
        <v>39</v>
      </c>
      <c r="AJ360" s="191" t="s">
        <v>36</v>
      </c>
      <c r="AK360" s="191" t="s">
        <v>73</v>
      </c>
      <c r="AL360" s="191" t="s">
        <v>44</v>
      </c>
      <c r="AM360" s="191" t="s">
        <v>45</v>
      </c>
      <c r="AN360" s="191" t="s">
        <v>44</v>
      </c>
      <c r="AO360" s="191" t="s">
        <v>44</v>
      </c>
      <c r="AP360" s="191" t="s">
        <v>44</v>
      </c>
    </row>
    <row r="361" spans="1:42" ht="29">
      <c r="A361" s="191" t="s">
        <v>1653</v>
      </c>
      <c r="B361" s="190">
        <v>3</v>
      </c>
      <c r="C361" s="190">
        <v>7</v>
      </c>
      <c r="D361" s="190">
        <v>7</v>
      </c>
      <c r="E361" s="191" t="s">
        <v>318</v>
      </c>
      <c r="F361" s="190">
        <v>2</v>
      </c>
      <c r="G361" s="191" t="s">
        <v>33</v>
      </c>
      <c r="H361" s="190">
        <v>1</v>
      </c>
      <c r="I361" s="190">
        <v>53</v>
      </c>
      <c r="J361" s="191" t="s">
        <v>54</v>
      </c>
      <c r="K361" s="191" t="s">
        <v>61</v>
      </c>
      <c r="L361" s="191" t="s">
        <v>36</v>
      </c>
      <c r="M361" s="191" t="s">
        <v>37</v>
      </c>
      <c r="N361" s="191" t="s">
        <v>38</v>
      </c>
      <c r="O361" s="191" t="s">
        <v>288</v>
      </c>
      <c r="P361" s="191" t="s">
        <v>41</v>
      </c>
      <c r="Q361" s="191" t="s">
        <v>40</v>
      </c>
      <c r="R361" s="191" t="s">
        <v>42</v>
      </c>
      <c r="S361" s="191" t="s">
        <v>48</v>
      </c>
      <c r="T361" s="191" t="s">
        <v>44</v>
      </c>
      <c r="U361" s="191" t="s">
        <v>1654</v>
      </c>
      <c r="V361" s="191" t="s">
        <v>1144</v>
      </c>
      <c r="W361" s="191" t="s">
        <v>47</v>
      </c>
      <c r="X361" s="191" t="s">
        <v>44</v>
      </c>
      <c r="Y361" s="191" t="s">
        <v>61</v>
      </c>
      <c r="Z361" s="191" t="s">
        <v>43</v>
      </c>
      <c r="AA361" s="191" t="s">
        <v>62</v>
      </c>
      <c r="AB361" s="191" t="s">
        <v>50</v>
      </c>
      <c r="AC361" s="191" t="s">
        <v>43</v>
      </c>
      <c r="AD361" s="191" t="s">
        <v>72</v>
      </c>
      <c r="AE361" s="191" t="s">
        <v>44</v>
      </c>
      <c r="AF361" s="191" t="s">
        <v>95</v>
      </c>
      <c r="AG361" s="191" t="s">
        <v>47</v>
      </c>
      <c r="AH361" s="191" t="s">
        <v>44</v>
      </c>
      <c r="AI361" s="191" t="s">
        <v>134</v>
      </c>
      <c r="AJ361" s="191" t="s">
        <v>36</v>
      </c>
      <c r="AK361" s="191" t="s">
        <v>77</v>
      </c>
      <c r="AL361" s="191" t="s">
        <v>44</v>
      </c>
      <c r="AM361" s="191" t="s">
        <v>45</v>
      </c>
      <c r="AN361" s="191" t="s">
        <v>44</v>
      </c>
      <c r="AO361" s="191" t="s">
        <v>44</v>
      </c>
      <c r="AP361" s="191" t="s">
        <v>44</v>
      </c>
    </row>
    <row r="362" spans="1:42" ht="29">
      <c r="A362" s="191" t="s">
        <v>1655</v>
      </c>
      <c r="B362" s="190">
        <v>3</v>
      </c>
      <c r="C362" s="190">
        <v>7</v>
      </c>
      <c r="D362" s="190">
        <v>7</v>
      </c>
      <c r="E362" s="191" t="s">
        <v>318</v>
      </c>
      <c r="F362" s="190">
        <v>2</v>
      </c>
      <c r="G362" s="191" t="s">
        <v>69</v>
      </c>
      <c r="H362" s="190">
        <v>1</v>
      </c>
      <c r="I362" s="190">
        <v>140</v>
      </c>
      <c r="J362" s="191" t="s">
        <v>54</v>
      </c>
      <c r="K362" s="191" t="s">
        <v>47</v>
      </c>
      <c r="L362" s="191" t="s">
        <v>36</v>
      </c>
      <c r="M362" s="191" t="s">
        <v>37</v>
      </c>
      <c r="N362" s="191" t="s">
        <v>58</v>
      </c>
      <c r="O362" s="191" t="s">
        <v>288</v>
      </c>
      <c r="P362" s="191" t="s">
        <v>41</v>
      </c>
      <c r="Q362" s="191" t="s">
        <v>76</v>
      </c>
      <c r="R362" s="191" t="s">
        <v>42</v>
      </c>
      <c r="S362" s="191" t="s">
        <v>48</v>
      </c>
      <c r="T362" s="191" t="s">
        <v>44</v>
      </c>
      <c r="U362" s="191" t="s">
        <v>1125</v>
      </c>
      <c r="V362" s="191" t="s">
        <v>1656</v>
      </c>
      <c r="W362" s="191" t="s">
        <v>43</v>
      </c>
      <c r="X362" s="191" t="s">
        <v>44</v>
      </c>
      <c r="Y362" s="191" t="s">
        <v>47</v>
      </c>
      <c r="Z362" s="191" t="s">
        <v>43</v>
      </c>
      <c r="AA362" s="191" t="s">
        <v>49</v>
      </c>
      <c r="AB362" s="191" t="s">
        <v>50</v>
      </c>
      <c r="AC362" s="191" t="s">
        <v>43</v>
      </c>
      <c r="AD362" s="191" t="s">
        <v>72</v>
      </c>
      <c r="AE362" s="191" t="s">
        <v>44</v>
      </c>
      <c r="AF362" s="191" t="s">
        <v>95</v>
      </c>
      <c r="AG362" s="191" t="s">
        <v>43</v>
      </c>
      <c r="AH362" s="191" t="s">
        <v>44</v>
      </c>
      <c r="AI362" s="191" t="s">
        <v>39</v>
      </c>
      <c r="AJ362" s="191" t="s">
        <v>36</v>
      </c>
      <c r="AK362" s="191" t="s">
        <v>77</v>
      </c>
      <c r="AL362" s="191" t="s">
        <v>44</v>
      </c>
      <c r="AM362" s="191" t="s">
        <v>1307</v>
      </c>
      <c r="AN362" s="191" t="s">
        <v>44</v>
      </c>
      <c r="AO362" s="191" t="s">
        <v>44</v>
      </c>
      <c r="AP362" s="191" t="s">
        <v>44</v>
      </c>
    </row>
    <row r="363" spans="1:42" ht="43.5">
      <c r="A363" s="191" t="s">
        <v>1657</v>
      </c>
      <c r="B363" s="190">
        <v>3</v>
      </c>
      <c r="C363" s="190">
        <v>7</v>
      </c>
      <c r="D363" s="190">
        <v>3</v>
      </c>
      <c r="E363" s="191" t="s">
        <v>315</v>
      </c>
      <c r="F363" s="190">
        <v>2</v>
      </c>
      <c r="G363" s="191" t="s">
        <v>53</v>
      </c>
      <c r="H363" s="190">
        <v>1</v>
      </c>
      <c r="I363" s="190">
        <v>110</v>
      </c>
      <c r="J363" s="191" t="s">
        <v>80</v>
      </c>
      <c r="K363" s="191" t="s">
        <v>46</v>
      </c>
      <c r="L363" s="191" t="s">
        <v>67</v>
      </c>
      <c r="M363" s="191" t="s">
        <v>37</v>
      </c>
      <c r="N363" s="191" t="s">
        <v>58</v>
      </c>
      <c r="O363" s="191" t="s">
        <v>288</v>
      </c>
      <c r="P363" s="191" t="s">
        <v>56</v>
      </c>
      <c r="Q363" s="191" t="s">
        <v>86</v>
      </c>
      <c r="R363" s="191" t="s">
        <v>60</v>
      </c>
      <c r="S363" s="191" t="s">
        <v>48</v>
      </c>
      <c r="T363" s="191" t="s">
        <v>44</v>
      </c>
      <c r="U363" s="191" t="s">
        <v>44</v>
      </c>
      <c r="V363" s="191" t="s">
        <v>44</v>
      </c>
      <c r="W363" s="191" t="s">
        <v>47</v>
      </c>
      <c r="X363" s="191" t="s">
        <v>44</v>
      </c>
      <c r="Y363" s="191" t="s">
        <v>61</v>
      </c>
      <c r="Z363" s="191" t="s">
        <v>78</v>
      </c>
      <c r="AA363" s="191" t="s">
        <v>49</v>
      </c>
      <c r="AB363" s="191" t="s">
        <v>50</v>
      </c>
      <c r="AC363" s="191" t="s">
        <v>47</v>
      </c>
      <c r="AD363" s="191" t="s">
        <v>51</v>
      </c>
      <c r="AE363" s="191" t="s">
        <v>44</v>
      </c>
      <c r="AF363" s="191" t="s">
        <v>95</v>
      </c>
      <c r="AG363" s="191" t="s">
        <v>43</v>
      </c>
      <c r="AH363" s="191" t="s">
        <v>44</v>
      </c>
      <c r="AI363" s="191" t="s">
        <v>39</v>
      </c>
      <c r="AJ363" s="191" t="s">
        <v>36</v>
      </c>
      <c r="AK363" s="191" t="s">
        <v>59</v>
      </c>
      <c r="AL363" s="191" t="s">
        <v>44</v>
      </c>
      <c r="AM363" s="191" t="s">
        <v>45</v>
      </c>
      <c r="AN363" s="191" t="s">
        <v>44</v>
      </c>
      <c r="AO363" s="191" t="s">
        <v>44</v>
      </c>
      <c r="AP363" s="191" t="s">
        <v>44</v>
      </c>
    </row>
    <row r="364" spans="1:42" ht="43.5">
      <c r="A364" s="191" t="s">
        <v>1658</v>
      </c>
      <c r="B364" s="190">
        <v>3</v>
      </c>
      <c r="C364" s="190">
        <v>7</v>
      </c>
      <c r="D364" s="190">
        <v>9</v>
      </c>
      <c r="E364" s="191" t="s">
        <v>318</v>
      </c>
      <c r="F364" s="190">
        <v>1</v>
      </c>
      <c r="G364" s="191" t="s">
        <v>79</v>
      </c>
      <c r="H364" s="190">
        <v>1</v>
      </c>
      <c r="I364" s="190">
        <v>80</v>
      </c>
      <c r="J364" s="191" t="s">
        <v>65</v>
      </c>
      <c r="K364" s="191" t="s">
        <v>47</v>
      </c>
      <c r="L364" s="191" t="s">
        <v>36</v>
      </c>
      <c r="M364" s="191" t="s">
        <v>37</v>
      </c>
      <c r="N364" s="191" t="s">
        <v>58</v>
      </c>
      <c r="O364" s="191" t="s">
        <v>39</v>
      </c>
      <c r="P364" s="191" t="s">
        <v>56</v>
      </c>
      <c r="Q364" s="191" t="s">
        <v>86</v>
      </c>
      <c r="R364" s="191" t="s">
        <v>87</v>
      </c>
      <c r="S364" s="191" t="s">
        <v>133</v>
      </c>
      <c r="T364" s="191" t="s">
        <v>1659</v>
      </c>
      <c r="U364" s="191" t="s">
        <v>44</v>
      </c>
      <c r="V364" s="191" t="s">
        <v>44</v>
      </c>
      <c r="W364" s="191" t="s">
        <v>47</v>
      </c>
      <c r="X364" s="191" t="s">
        <v>44</v>
      </c>
      <c r="Y364" s="191" t="s">
        <v>61</v>
      </c>
      <c r="Z364" s="191" t="s">
        <v>43</v>
      </c>
      <c r="AA364" s="191" t="s">
        <v>62</v>
      </c>
      <c r="AB364" s="191" t="s">
        <v>84</v>
      </c>
      <c r="AC364" s="191" t="s">
        <v>43</v>
      </c>
      <c r="AD364" s="191" t="s">
        <v>72</v>
      </c>
      <c r="AE364" s="191" t="s">
        <v>44</v>
      </c>
      <c r="AF364" s="191" t="s">
        <v>52</v>
      </c>
      <c r="AG364" s="191" t="s">
        <v>47</v>
      </c>
      <c r="AH364" s="191" t="s">
        <v>44</v>
      </c>
      <c r="AI364" s="191" t="s">
        <v>39</v>
      </c>
      <c r="AJ364" s="191" t="s">
        <v>36</v>
      </c>
      <c r="AK364" s="191" t="s">
        <v>88</v>
      </c>
      <c r="AL364" s="191" t="s">
        <v>1660</v>
      </c>
      <c r="AM364" s="191" t="s">
        <v>45</v>
      </c>
      <c r="AN364" s="191" t="s">
        <v>44</v>
      </c>
      <c r="AO364" s="191" t="s">
        <v>44</v>
      </c>
      <c r="AP364" s="191" t="s">
        <v>44</v>
      </c>
    </row>
    <row r="365" spans="1:42" ht="29">
      <c r="A365" s="191" t="s">
        <v>1661</v>
      </c>
      <c r="B365" s="190">
        <v>3</v>
      </c>
      <c r="C365" s="190">
        <v>5</v>
      </c>
      <c r="D365" s="190">
        <v>8</v>
      </c>
      <c r="E365" s="191" t="s">
        <v>315</v>
      </c>
      <c r="F365" s="190">
        <v>2</v>
      </c>
      <c r="G365" s="191" t="s">
        <v>94</v>
      </c>
      <c r="H365" s="190">
        <v>1</v>
      </c>
      <c r="I365" s="190">
        <v>140</v>
      </c>
      <c r="J365" s="191" t="s">
        <v>80</v>
      </c>
      <c r="K365" s="191" t="s">
        <v>47</v>
      </c>
      <c r="L365" s="191" t="s">
        <v>103</v>
      </c>
      <c r="M365" s="191" t="s">
        <v>37</v>
      </c>
      <c r="N365" s="191" t="s">
        <v>58</v>
      </c>
      <c r="O365" s="191" t="s">
        <v>288</v>
      </c>
      <c r="P365" s="191" t="s">
        <v>41</v>
      </c>
      <c r="Q365" s="191" t="s">
        <v>139</v>
      </c>
      <c r="R365" s="191" t="s">
        <v>87</v>
      </c>
      <c r="S365" s="191" t="s">
        <v>48</v>
      </c>
      <c r="T365" s="191" t="s">
        <v>44</v>
      </c>
      <c r="U365" s="191" t="s">
        <v>1662</v>
      </c>
      <c r="V365" s="191" t="s">
        <v>339</v>
      </c>
      <c r="W365" s="191" t="s">
        <v>78</v>
      </c>
      <c r="X365" s="191" t="s">
        <v>44</v>
      </c>
      <c r="Y365" s="191" t="s">
        <v>43</v>
      </c>
      <c r="Z365" s="191" t="s">
        <v>43</v>
      </c>
      <c r="AA365" s="191" t="s">
        <v>62</v>
      </c>
      <c r="AB365" s="191" t="s">
        <v>50</v>
      </c>
      <c r="AC365" s="191" t="s">
        <v>43</v>
      </c>
      <c r="AD365" s="191" t="s">
        <v>72</v>
      </c>
      <c r="AE365" s="191" t="s">
        <v>44</v>
      </c>
      <c r="AF365" s="191" t="s">
        <v>52</v>
      </c>
      <c r="AG365" s="191" t="s">
        <v>47</v>
      </c>
      <c r="AH365" s="191" t="s">
        <v>44</v>
      </c>
      <c r="AI365" s="191" t="s">
        <v>39</v>
      </c>
      <c r="AJ365" s="191" t="s">
        <v>36</v>
      </c>
      <c r="AK365" s="191" t="s">
        <v>73</v>
      </c>
      <c r="AL365" s="191" t="s">
        <v>44</v>
      </c>
      <c r="AM365" s="191" t="s">
        <v>45</v>
      </c>
      <c r="AN365" s="191" t="s">
        <v>44</v>
      </c>
      <c r="AO365" s="191" t="s">
        <v>44</v>
      </c>
      <c r="AP365" s="191" t="s">
        <v>44</v>
      </c>
    </row>
    <row r="366" spans="1:42" ht="43.5">
      <c r="A366" s="191" t="s">
        <v>1663</v>
      </c>
      <c r="B366" s="190">
        <v>3</v>
      </c>
      <c r="C366" s="190">
        <v>7</v>
      </c>
      <c r="D366" s="190">
        <v>7</v>
      </c>
      <c r="E366" s="191" t="s">
        <v>318</v>
      </c>
      <c r="F366" s="190">
        <v>2</v>
      </c>
      <c r="G366" s="191" t="s">
        <v>69</v>
      </c>
      <c r="H366" s="190">
        <v>1</v>
      </c>
      <c r="I366" s="190">
        <v>80</v>
      </c>
      <c r="J366" s="191" t="s">
        <v>34</v>
      </c>
      <c r="K366" s="191" t="s">
        <v>40</v>
      </c>
      <c r="L366" s="191" t="s">
        <v>36</v>
      </c>
      <c r="M366" s="191" t="s">
        <v>37</v>
      </c>
      <c r="N366" s="191" t="s">
        <v>58</v>
      </c>
      <c r="O366" s="191" t="s">
        <v>39</v>
      </c>
      <c r="P366" s="191" t="s">
        <v>41</v>
      </c>
      <c r="Q366" s="191" t="s">
        <v>77</v>
      </c>
      <c r="R366" s="191" t="s">
        <v>60</v>
      </c>
      <c r="S366" s="191" t="s">
        <v>48</v>
      </c>
      <c r="T366" s="191" t="s">
        <v>44</v>
      </c>
      <c r="U366" s="191" t="s">
        <v>126</v>
      </c>
      <c r="V366" s="191" t="s">
        <v>44</v>
      </c>
      <c r="W366" s="191" t="s">
        <v>47</v>
      </c>
      <c r="X366" s="191" t="s">
        <v>44</v>
      </c>
      <c r="Y366" s="191" t="s">
        <v>43</v>
      </c>
      <c r="Z366" s="191" t="s">
        <v>43</v>
      </c>
      <c r="AA366" s="191" t="s">
        <v>62</v>
      </c>
      <c r="AB366" s="191" t="s">
        <v>50</v>
      </c>
      <c r="AC366" s="191" t="s">
        <v>47</v>
      </c>
      <c r="AD366" s="191" t="s">
        <v>91</v>
      </c>
      <c r="AE366" s="191" t="s">
        <v>44</v>
      </c>
      <c r="AF366" s="191" t="s">
        <v>95</v>
      </c>
      <c r="AG366" s="191" t="s">
        <v>43</v>
      </c>
      <c r="AH366" s="191" t="s">
        <v>44</v>
      </c>
      <c r="AI366" s="191" t="s">
        <v>39</v>
      </c>
      <c r="AJ366" s="191" t="s">
        <v>41</v>
      </c>
      <c r="AK366" s="191" t="s">
        <v>61</v>
      </c>
      <c r="AL366" s="191" t="s">
        <v>1664</v>
      </c>
      <c r="AM366" s="191" t="s">
        <v>45</v>
      </c>
      <c r="AN366" s="191" t="s">
        <v>44</v>
      </c>
      <c r="AO366" s="191" t="s">
        <v>44</v>
      </c>
      <c r="AP366" s="191" t="s">
        <v>44</v>
      </c>
    </row>
    <row r="367" spans="1:42" ht="29">
      <c r="A367" s="191" t="s">
        <v>1665</v>
      </c>
      <c r="B367" s="190">
        <v>3</v>
      </c>
      <c r="C367" s="190">
        <v>3</v>
      </c>
      <c r="D367" s="190">
        <v>3</v>
      </c>
      <c r="E367" s="191" t="s">
        <v>311</v>
      </c>
      <c r="F367" s="190">
        <v>2</v>
      </c>
      <c r="G367" s="191" t="s">
        <v>64</v>
      </c>
      <c r="H367" s="190">
        <v>1</v>
      </c>
      <c r="I367" s="190">
        <v>113</v>
      </c>
      <c r="J367" s="191" t="s">
        <v>54</v>
      </c>
      <c r="K367" s="191" t="s">
        <v>61</v>
      </c>
      <c r="L367" s="191" t="s">
        <v>70</v>
      </c>
      <c r="M367" s="191" t="s">
        <v>37</v>
      </c>
      <c r="N367" s="191" t="s">
        <v>58</v>
      </c>
      <c r="O367" s="191" t="s">
        <v>39</v>
      </c>
      <c r="P367" s="191" t="s">
        <v>41</v>
      </c>
      <c r="Q367" s="191" t="s">
        <v>40</v>
      </c>
      <c r="R367" s="191" t="s">
        <v>42</v>
      </c>
      <c r="S367" s="191" t="s">
        <v>48</v>
      </c>
      <c r="T367" s="191" t="s">
        <v>44</v>
      </c>
      <c r="U367" s="191" t="s">
        <v>117</v>
      </c>
      <c r="V367" s="191" t="s">
        <v>44</v>
      </c>
      <c r="W367" s="191" t="s">
        <v>43</v>
      </c>
      <c r="X367" s="191" t="s">
        <v>44</v>
      </c>
      <c r="Y367" s="191" t="s">
        <v>46</v>
      </c>
      <c r="Z367" s="191" t="s">
        <v>47</v>
      </c>
      <c r="AA367" s="191" t="s">
        <v>49</v>
      </c>
      <c r="AB367" s="191" t="s">
        <v>84</v>
      </c>
      <c r="AC367" s="191" t="s">
        <v>43</v>
      </c>
      <c r="AD367" s="191" t="s">
        <v>72</v>
      </c>
      <c r="AE367" s="191" t="s">
        <v>44</v>
      </c>
      <c r="AF367" s="191" t="s">
        <v>95</v>
      </c>
      <c r="AG367" s="191" t="s">
        <v>43</v>
      </c>
      <c r="AH367" s="191" t="s">
        <v>44</v>
      </c>
      <c r="AI367" s="191" t="s">
        <v>39</v>
      </c>
      <c r="AJ367" s="191" t="s">
        <v>41</v>
      </c>
      <c r="AK367" s="191" t="s">
        <v>71</v>
      </c>
      <c r="AL367" s="191" t="s">
        <v>44</v>
      </c>
      <c r="AM367" s="191" t="s">
        <v>89</v>
      </c>
      <c r="AN367" s="191" t="s">
        <v>44</v>
      </c>
      <c r="AO367" s="191" t="s">
        <v>44</v>
      </c>
      <c r="AP367" s="191" t="s">
        <v>44</v>
      </c>
    </row>
    <row r="368" spans="1:42" ht="29">
      <c r="A368" s="191" t="s">
        <v>1666</v>
      </c>
      <c r="B368" s="190">
        <v>3</v>
      </c>
      <c r="C368" s="190">
        <v>7</v>
      </c>
      <c r="D368" s="190">
        <v>7</v>
      </c>
      <c r="E368" s="191" t="s">
        <v>318</v>
      </c>
      <c r="F368" s="190">
        <v>3</v>
      </c>
      <c r="G368" s="191" t="s">
        <v>64</v>
      </c>
      <c r="H368" s="190">
        <v>1</v>
      </c>
      <c r="I368" s="190">
        <v>130</v>
      </c>
      <c r="J368" s="191" t="s">
        <v>80</v>
      </c>
      <c r="K368" s="191" t="s">
        <v>61</v>
      </c>
      <c r="L368" s="191" t="s">
        <v>36</v>
      </c>
      <c r="M368" s="191" t="s">
        <v>37</v>
      </c>
      <c r="N368" s="191" t="s">
        <v>38</v>
      </c>
      <c r="O368" s="191" t="s">
        <v>288</v>
      </c>
      <c r="P368" s="191" t="s">
        <v>41</v>
      </c>
      <c r="Q368" s="191" t="s">
        <v>88</v>
      </c>
      <c r="R368" s="191" t="s">
        <v>87</v>
      </c>
      <c r="S368" s="191" t="s">
        <v>48</v>
      </c>
      <c r="T368" s="191" t="s">
        <v>44</v>
      </c>
      <c r="U368" s="191" t="s">
        <v>45</v>
      </c>
      <c r="V368" s="191" t="s">
        <v>339</v>
      </c>
      <c r="W368" s="191" t="s">
        <v>43</v>
      </c>
      <c r="X368" s="191" t="s">
        <v>44</v>
      </c>
      <c r="Y368" s="191" t="s">
        <v>43</v>
      </c>
      <c r="Z368" s="191" t="s">
        <v>43</v>
      </c>
      <c r="AA368" s="191" t="s">
        <v>49</v>
      </c>
      <c r="AB368" s="191" t="s">
        <v>50</v>
      </c>
      <c r="AC368" s="191" t="s">
        <v>43</v>
      </c>
      <c r="AD368" s="191" t="s">
        <v>72</v>
      </c>
      <c r="AE368" s="191" t="s">
        <v>44</v>
      </c>
      <c r="AF368" s="191" t="s">
        <v>95</v>
      </c>
      <c r="AG368" s="191" t="s">
        <v>47</v>
      </c>
      <c r="AH368" s="191" t="s">
        <v>44</v>
      </c>
      <c r="AI368" s="191" t="s">
        <v>134</v>
      </c>
      <c r="AJ368" s="191" t="s">
        <v>36</v>
      </c>
      <c r="AK368" s="191" t="s">
        <v>85</v>
      </c>
      <c r="AL368" s="191" t="s">
        <v>44</v>
      </c>
      <c r="AM368" s="191" t="s">
        <v>1242</v>
      </c>
      <c r="AN368" s="191" t="s">
        <v>44</v>
      </c>
      <c r="AO368" s="191" t="s">
        <v>44</v>
      </c>
      <c r="AP368" s="191" t="s">
        <v>44</v>
      </c>
    </row>
    <row r="369" spans="1:42" ht="29">
      <c r="A369" s="191" t="s">
        <v>1667</v>
      </c>
      <c r="B369" s="190">
        <v>3</v>
      </c>
      <c r="C369" s="190">
        <v>7</v>
      </c>
      <c r="D369" s="190">
        <v>7</v>
      </c>
      <c r="E369" s="191" t="s">
        <v>318</v>
      </c>
      <c r="F369" s="190">
        <v>2</v>
      </c>
      <c r="G369" s="191" t="s">
        <v>79</v>
      </c>
      <c r="H369" s="190">
        <v>1</v>
      </c>
      <c r="I369" s="190">
        <v>73.760000000000005</v>
      </c>
      <c r="J369" s="191" t="s">
        <v>54</v>
      </c>
      <c r="K369" s="191" t="s">
        <v>61</v>
      </c>
      <c r="L369" s="191" t="s">
        <v>36</v>
      </c>
      <c r="M369" s="191" t="s">
        <v>37</v>
      </c>
      <c r="N369" s="191" t="s">
        <v>95</v>
      </c>
      <c r="O369" s="191" t="s">
        <v>39</v>
      </c>
      <c r="P369" s="191" t="s">
        <v>41</v>
      </c>
      <c r="Q369" s="191" t="s">
        <v>46</v>
      </c>
      <c r="R369" s="191" t="s">
        <v>87</v>
      </c>
      <c r="S369" s="191" t="s">
        <v>48</v>
      </c>
      <c r="T369" s="191" t="s">
        <v>44</v>
      </c>
      <c r="U369" s="191" t="s">
        <v>1120</v>
      </c>
      <c r="V369" s="191" t="s">
        <v>44</v>
      </c>
      <c r="W369" s="191" t="s">
        <v>43</v>
      </c>
      <c r="X369" s="191" t="s">
        <v>44</v>
      </c>
      <c r="Y369" s="191" t="s">
        <v>45</v>
      </c>
      <c r="Z369" s="191" t="s">
        <v>43</v>
      </c>
      <c r="AA369" s="191" t="s">
        <v>62</v>
      </c>
      <c r="AB369" s="191" t="s">
        <v>50</v>
      </c>
      <c r="AC369" s="191" t="s">
        <v>43</v>
      </c>
      <c r="AD369" s="191" t="s">
        <v>72</v>
      </c>
      <c r="AE369" s="191" t="s">
        <v>44</v>
      </c>
      <c r="AF369" s="191" t="s">
        <v>95</v>
      </c>
      <c r="AG369" s="191" t="s">
        <v>47</v>
      </c>
      <c r="AH369" s="191" t="s">
        <v>44</v>
      </c>
      <c r="AI369" s="191" t="s">
        <v>39</v>
      </c>
      <c r="AJ369" s="191" t="s">
        <v>36</v>
      </c>
      <c r="AK369" s="191" t="s">
        <v>59</v>
      </c>
      <c r="AL369" s="191" t="s">
        <v>44</v>
      </c>
      <c r="AM369" s="191" t="s">
        <v>89</v>
      </c>
      <c r="AN369" s="191" t="s">
        <v>44</v>
      </c>
      <c r="AO369" s="191" t="s">
        <v>44</v>
      </c>
      <c r="AP369" s="191" t="s">
        <v>44</v>
      </c>
    </row>
    <row r="370" spans="1:42" ht="58">
      <c r="A370" s="191" t="s">
        <v>1668</v>
      </c>
      <c r="B370" s="190">
        <v>3</v>
      </c>
      <c r="C370" s="190">
        <v>7</v>
      </c>
      <c r="D370" s="190">
        <v>3</v>
      </c>
      <c r="E370" s="191" t="s">
        <v>315</v>
      </c>
      <c r="F370" s="190">
        <v>2</v>
      </c>
      <c r="G370" s="191" t="s">
        <v>33</v>
      </c>
      <c r="H370" s="190">
        <v>1</v>
      </c>
      <c r="I370" s="190">
        <v>82</v>
      </c>
      <c r="J370" s="191" t="s">
        <v>34</v>
      </c>
      <c r="K370" s="191" t="s">
        <v>61</v>
      </c>
      <c r="L370" s="191" t="s">
        <v>36</v>
      </c>
      <c r="M370" s="191" t="s">
        <v>37</v>
      </c>
      <c r="N370" s="191" t="s">
        <v>95</v>
      </c>
      <c r="O370" s="191" t="s">
        <v>39</v>
      </c>
      <c r="P370" s="191" t="s">
        <v>41</v>
      </c>
      <c r="Q370" s="191" t="s">
        <v>35</v>
      </c>
      <c r="R370" s="191" t="s">
        <v>42</v>
      </c>
      <c r="S370" s="191" t="s">
        <v>48</v>
      </c>
      <c r="T370" s="191" t="s">
        <v>1669</v>
      </c>
      <c r="U370" s="191" t="s">
        <v>1109</v>
      </c>
      <c r="V370" s="191" t="s">
        <v>1108</v>
      </c>
      <c r="W370" s="191" t="s">
        <v>43</v>
      </c>
      <c r="X370" s="191" t="s">
        <v>44</v>
      </c>
      <c r="Y370" s="191" t="s">
        <v>45</v>
      </c>
      <c r="Z370" s="191" t="s">
        <v>43</v>
      </c>
      <c r="AA370" s="191" t="s">
        <v>49</v>
      </c>
      <c r="AB370" s="191" t="s">
        <v>50</v>
      </c>
      <c r="AC370" s="191" t="s">
        <v>47</v>
      </c>
      <c r="AD370" s="191" t="s">
        <v>72</v>
      </c>
      <c r="AE370" s="191" t="s">
        <v>44</v>
      </c>
      <c r="AF370" s="191" t="s">
        <v>95</v>
      </c>
      <c r="AG370" s="191" t="s">
        <v>43</v>
      </c>
      <c r="AH370" s="191" t="s">
        <v>44</v>
      </c>
      <c r="AI370" s="191" t="s">
        <v>39</v>
      </c>
      <c r="AJ370" s="191" t="s">
        <v>36</v>
      </c>
      <c r="AK370" s="191" t="s">
        <v>59</v>
      </c>
      <c r="AL370" s="191" t="s">
        <v>44</v>
      </c>
      <c r="AM370" s="191" t="s">
        <v>126</v>
      </c>
      <c r="AN370" s="191" t="s">
        <v>44</v>
      </c>
      <c r="AO370" s="191" t="s">
        <v>44</v>
      </c>
      <c r="AP370" s="191" t="s">
        <v>44</v>
      </c>
    </row>
    <row r="371" spans="1:42" ht="43.5">
      <c r="A371" s="191" t="s">
        <v>1670</v>
      </c>
      <c r="B371" s="190">
        <v>3</v>
      </c>
      <c r="C371" s="190">
        <v>3</v>
      </c>
      <c r="D371" s="190">
        <v>8</v>
      </c>
      <c r="E371" s="191" t="s">
        <v>307</v>
      </c>
      <c r="F371" s="190">
        <v>5</v>
      </c>
      <c r="G371" s="191" t="s">
        <v>33</v>
      </c>
      <c r="H371" s="190">
        <v>1</v>
      </c>
      <c r="I371" s="190">
        <v>150</v>
      </c>
      <c r="J371" s="191" t="s">
        <v>34</v>
      </c>
      <c r="K371" s="191" t="s">
        <v>40</v>
      </c>
      <c r="L371" s="191" t="s">
        <v>36</v>
      </c>
      <c r="M371" s="191" t="s">
        <v>37</v>
      </c>
      <c r="N371" s="191" t="s">
        <v>95</v>
      </c>
      <c r="O371" s="191" t="s">
        <v>288</v>
      </c>
      <c r="P371" s="191" t="s">
        <v>56</v>
      </c>
      <c r="Q371" s="191" t="s">
        <v>88</v>
      </c>
      <c r="R371" s="191" t="s">
        <v>42</v>
      </c>
      <c r="S371" s="191" t="s">
        <v>48</v>
      </c>
      <c r="T371" s="191" t="s">
        <v>44</v>
      </c>
      <c r="U371" s="191" t="s">
        <v>1671</v>
      </c>
      <c r="V371" s="191" t="s">
        <v>1144</v>
      </c>
      <c r="W371" s="191" t="s">
        <v>43</v>
      </c>
      <c r="X371" s="191" t="s">
        <v>44</v>
      </c>
      <c r="Y371" s="191" t="s">
        <v>45</v>
      </c>
      <c r="Z371" s="191" t="s">
        <v>43</v>
      </c>
      <c r="AA371" s="191" t="s">
        <v>49</v>
      </c>
      <c r="AB371" s="191" t="s">
        <v>84</v>
      </c>
      <c r="AC371" s="191" t="s">
        <v>43</v>
      </c>
      <c r="AD371" s="191" t="s">
        <v>72</v>
      </c>
      <c r="AE371" s="191" t="s">
        <v>44</v>
      </c>
      <c r="AF371" s="191" t="s">
        <v>95</v>
      </c>
      <c r="AG371" s="191" t="s">
        <v>47</v>
      </c>
      <c r="AH371" s="191" t="s">
        <v>44</v>
      </c>
      <c r="AI371" s="191" t="s">
        <v>134</v>
      </c>
      <c r="AJ371" s="191" t="s">
        <v>36</v>
      </c>
      <c r="AK371" s="191" t="s">
        <v>85</v>
      </c>
      <c r="AL371" s="191" t="s">
        <v>44</v>
      </c>
      <c r="AM371" s="191" t="s">
        <v>45</v>
      </c>
      <c r="AN371" s="191" t="s">
        <v>44</v>
      </c>
      <c r="AO371" s="191" t="s">
        <v>44</v>
      </c>
      <c r="AP371" s="191" t="s">
        <v>44</v>
      </c>
    </row>
    <row r="372" spans="1:42" ht="29">
      <c r="A372" s="191" t="s">
        <v>1672</v>
      </c>
      <c r="B372" s="190">
        <v>3</v>
      </c>
      <c r="C372" s="190">
        <v>7</v>
      </c>
      <c r="D372" s="190">
        <v>3</v>
      </c>
      <c r="E372" s="191" t="s">
        <v>318</v>
      </c>
      <c r="F372" s="190">
        <v>2</v>
      </c>
      <c r="G372" s="191" t="s">
        <v>94</v>
      </c>
      <c r="H372" s="190">
        <v>1</v>
      </c>
      <c r="I372" s="190">
        <v>130</v>
      </c>
      <c r="J372" s="191" t="s">
        <v>65</v>
      </c>
      <c r="K372" s="191" t="s">
        <v>40</v>
      </c>
      <c r="L372" s="191" t="s">
        <v>36</v>
      </c>
      <c r="M372" s="191" t="s">
        <v>37</v>
      </c>
      <c r="N372" s="191" t="s">
        <v>58</v>
      </c>
      <c r="O372" s="191" t="s">
        <v>288</v>
      </c>
      <c r="P372" s="191" t="s">
        <v>41</v>
      </c>
      <c r="Q372" s="191" t="s">
        <v>43</v>
      </c>
      <c r="R372" s="191" t="s">
        <v>42</v>
      </c>
      <c r="S372" s="191" t="s">
        <v>48</v>
      </c>
      <c r="T372" s="191" t="s">
        <v>44</v>
      </c>
      <c r="U372" s="191" t="s">
        <v>40</v>
      </c>
      <c r="V372" s="191" t="s">
        <v>1141</v>
      </c>
      <c r="W372" s="191" t="s">
        <v>43</v>
      </c>
      <c r="X372" s="191" t="s">
        <v>44</v>
      </c>
      <c r="Y372" s="191" t="s">
        <v>45</v>
      </c>
      <c r="Z372" s="191" t="s">
        <v>43</v>
      </c>
      <c r="AA372" s="191" t="s">
        <v>62</v>
      </c>
      <c r="AB372" s="191" t="s">
        <v>50</v>
      </c>
      <c r="AC372" s="191" t="s">
        <v>43</v>
      </c>
      <c r="AD372" s="191" t="s">
        <v>72</v>
      </c>
      <c r="AE372" s="191" t="s">
        <v>44</v>
      </c>
      <c r="AF372" s="191" t="s">
        <v>36</v>
      </c>
      <c r="AG372" s="191" t="s">
        <v>43</v>
      </c>
      <c r="AH372" s="191" t="s">
        <v>44</v>
      </c>
      <c r="AI372" s="191" t="s">
        <v>39</v>
      </c>
      <c r="AJ372" s="191" t="s">
        <v>36</v>
      </c>
      <c r="AK372" s="191" t="s">
        <v>59</v>
      </c>
      <c r="AL372" s="191" t="s">
        <v>44</v>
      </c>
      <c r="AM372" s="191" t="s">
        <v>63</v>
      </c>
      <c r="AN372" s="191" t="s">
        <v>44</v>
      </c>
      <c r="AO372" s="191" t="s">
        <v>44</v>
      </c>
      <c r="AP372" s="191" t="s">
        <v>44</v>
      </c>
    </row>
    <row r="373" spans="1:42" ht="29">
      <c r="A373" s="191" t="s">
        <v>1673</v>
      </c>
      <c r="B373" s="190">
        <v>3</v>
      </c>
      <c r="C373" s="190">
        <v>7</v>
      </c>
      <c r="D373" s="190">
        <v>7</v>
      </c>
      <c r="E373" s="191" t="s">
        <v>318</v>
      </c>
      <c r="F373" s="190">
        <v>2</v>
      </c>
      <c r="G373" s="191" t="s">
        <v>33</v>
      </c>
      <c r="H373" s="190">
        <v>1</v>
      </c>
      <c r="I373" s="190">
        <v>70</v>
      </c>
      <c r="J373" s="191" t="s">
        <v>54</v>
      </c>
      <c r="K373" s="191" t="s">
        <v>61</v>
      </c>
      <c r="L373" s="191" t="s">
        <v>36</v>
      </c>
      <c r="M373" s="191" t="s">
        <v>37</v>
      </c>
      <c r="N373" s="191" t="s">
        <v>38</v>
      </c>
      <c r="O373" s="191" t="s">
        <v>99</v>
      </c>
      <c r="P373" s="191" t="s">
        <v>98</v>
      </c>
      <c r="Q373" s="191" t="s">
        <v>88</v>
      </c>
      <c r="R373" s="191" t="s">
        <v>42</v>
      </c>
      <c r="S373" s="191" t="s">
        <v>48</v>
      </c>
      <c r="T373" s="191" t="s">
        <v>44</v>
      </c>
      <c r="U373" s="191" t="s">
        <v>1674</v>
      </c>
      <c r="V373" s="191" t="s">
        <v>1144</v>
      </c>
      <c r="W373" s="191" t="s">
        <v>43</v>
      </c>
      <c r="X373" s="191" t="s">
        <v>44</v>
      </c>
      <c r="Y373" s="191" t="s">
        <v>47</v>
      </c>
      <c r="Z373" s="191" t="s">
        <v>43</v>
      </c>
      <c r="AA373" s="191" t="s">
        <v>105</v>
      </c>
      <c r="AB373" s="191" t="s">
        <v>50</v>
      </c>
      <c r="AC373" s="191" t="s">
        <v>47</v>
      </c>
      <c r="AD373" s="191" t="s">
        <v>72</v>
      </c>
      <c r="AE373" s="191" t="s">
        <v>44</v>
      </c>
      <c r="AF373" s="191" t="s">
        <v>95</v>
      </c>
      <c r="AG373" s="191" t="s">
        <v>43</v>
      </c>
      <c r="AH373" s="191" t="s">
        <v>44</v>
      </c>
      <c r="AI373" s="191" t="s">
        <v>39</v>
      </c>
      <c r="AJ373" s="191" t="s">
        <v>36</v>
      </c>
      <c r="AK373" s="191" t="s">
        <v>40</v>
      </c>
      <c r="AL373" s="191" t="s">
        <v>44</v>
      </c>
      <c r="AM373" s="191" t="s">
        <v>45</v>
      </c>
      <c r="AN373" s="191" t="s">
        <v>44</v>
      </c>
      <c r="AO373" s="191" t="s">
        <v>44</v>
      </c>
      <c r="AP373" s="191" t="s">
        <v>44</v>
      </c>
    </row>
    <row r="374" spans="1:42" ht="29">
      <c r="A374" s="191" t="s">
        <v>1675</v>
      </c>
      <c r="B374" s="190">
        <v>3</v>
      </c>
      <c r="C374" s="190">
        <v>2</v>
      </c>
      <c r="D374" s="190">
        <v>9</v>
      </c>
      <c r="E374" s="191" t="s">
        <v>315</v>
      </c>
      <c r="F374" s="190">
        <v>1</v>
      </c>
      <c r="G374" s="191" t="s">
        <v>79</v>
      </c>
      <c r="H374" s="190">
        <v>2</v>
      </c>
      <c r="I374" s="190">
        <v>80</v>
      </c>
      <c r="J374" s="191" t="s">
        <v>65</v>
      </c>
      <c r="K374" s="191" t="s">
        <v>81</v>
      </c>
      <c r="L374" s="191" t="s">
        <v>36</v>
      </c>
      <c r="M374" s="191" t="s">
        <v>37</v>
      </c>
      <c r="N374" s="191" t="s">
        <v>58</v>
      </c>
      <c r="O374" s="191" t="s">
        <v>39</v>
      </c>
      <c r="P374" s="191" t="s">
        <v>41</v>
      </c>
      <c r="Q374" s="191" t="s">
        <v>43</v>
      </c>
      <c r="R374" s="191" t="s">
        <v>87</v>
      </c>
      <c r="S374" s="191" t="s">
        <v>48</v>
      </c>
      <c r="T374" s="191" t="s">
        <v>44</v>
      </c>
      <c r="U374" s="191" t="s">
        <v>40</v>
      </c>
      <c r="V374" s="191" t="s">
        <v>1141</v>
      </c>
      <c r="W374" s="191" t="s">
        <v>43</v>
      </c>
      <c r="X374" s="191" t="s">
        <v>44</v>
      </c>
      <c r="Y374" s="191" t="s">
        <v>43</v>
      </c>
      <c r="Z374" s="191" t="s">
        <v>43</v>
      </c>
      <c r="AA374" s="191" t="s">
        <v>49</v>
      </c>
      <c r="AB374" s="191" t="s">
        <v>84</v>
      </c>
      <c r="AC374" s="191" t="s">
        <v>43</v>
      </c>
      <c r="AD374" s="191" t="s">
        <v>72</v>
      </c>
      <c r="AE374" s="191" t="s">
        <v>44</v>
      </c>
      <c r="AF374" s="191" t="s">
        <v>95</v>
      </c>
      <c r="AG374" s="191" t="s">
        <v>43</v>
      </c>
      <c r="AH374" s="191" t="s">
        <v>44</v>
      </c>
      <c r="AI374" s="191" t="s">
        <v>39</v>
      </c>
      <c r="AJ374" s="191" t="s">
        <v>36</v>
      </c>
      <c r="AK374" s="191" t="s">
        <v>43</v>
      </c>
      <c r="AL374" s="191" t="s">
        <v>44</v>
      </c>
      <c r="AM374" s="191" t="s">
        <v>47</v>
      </c>
      <c r="AN374" s="191" t="s">
        <v>44</v>
      </c>
      <c r="AO374" s="191" t="s">
        <v>44</v>
      </c>
      <c r="AP374" s="191" t="s">
        <v>44</v>
      </c>
    </row>
    <row r="375" spans="1:42" ht="43.5">
      <c r="A375" s="191" t="s">
        <v>1676</v>
      </c>
      <c r="B375" s="190">
        <v>3</v>
      </c>
      <c r="C375" s="190">
        <v>5</v>
      </c>
      <c r="D375" s="190">
        <v>5</v>
      </c>
      <c r="E375" s="191" t="s">
        <v>311</v>
      </c>
      <c r="F375" s="190">
        <v>3</v>
      </c>
      <c r="G375" s="191" t="s">
        <v>64</v>
      </c>
      <c r="H375" s="190">
        <v>1</v>
      </c>
      <c r="I375" s="190">
        <v>130</v>
      </c>
      <c r="J375" s="191" t="s">
        <v>65</v>
      </c>
      <c r="K375" s="191" t="s">
        <v>40</v>
      </c>
      <c r="L375" s="191" t="s">
        <v>36</v>
      </c>
      <c r="M375" s="191" t="s">
        <v>37</v>
      </c>
      <c r="N375" s="191" t="s">
        <v>58</v>
      </c>
      <c r="O375" s="191" t="s">
        <v>99</v>
      </c>
      <c r="P375" s="191" t="s">
        <v>66</v>
      </c>
      <c r="Q375" s="191" t="s">
        <v>88</v>
      </c>
      <c r="R375" s="191" t="s">
        <v>36</v>
      </c>
      <c r="S375" s="191" t="s">
        <v>48</v>
      </c>
      <c r="T375" s="191" t="s">
        <v>44</v>
      </c>
      <c r="U375" s="191" t="s">
        <v>40</v>
      </c>
      <c r="V375" s="191" t="s">
        <v>1141</v>
      </c>
      <c r="W375" s="191" t="s">
        <v>43</v>
      </c>
      <c r="X375" s="191" t="s">
        <v>44</v>
      </c>
      <c r="Y375" s="191" t="s">
        <v>46</v>
      </c>
      <c r="Z375" s="191" t="s">
        <v>43</v>
      </c>
      <c r="AA375" s="191" t="s">
        <v>49</v>
      </c>
      <c r="AB375" s="191" t="s">
        <v>84</v>
      </c>
      <c r="AC375" s="191" t="s">
        <v>43</v>
      </c>
      <c r="AD375" s="191" t="s">
        <v>72</v>
      </c>
      <c r="AE375" s="191" t="s">
        <v>44</v>
      </c>
      <c r="AF375" s="191" t="s">
        <v>52</v>
      </c>
      <c r="AG375" s="191" t="s">
        <v>47</v>
      </c>
      <c r="AH375" s="191" t="s">
        <v>44</v>
      </c>
      <c r="AI375" s="191" t="s">
        <v>134</v>
      </c>
      <c r="AJ375" s="191" t="s">
        <v>36</v>
      </c>
      <c r="AK375" s="191" t="s">
        <v>77</v>
      </c>
      <c r="AL375" s="191" t="s">
        <v>44</v>
      </c>
      <c r="AM375" s="191" t="s">
        <v>45</v>
      </c>
      <c r="AN375" s="191" t="s">
        <v>44</v>
      </c>
      <c r="AO375" s="191" t="s">
        <v>44</v>
      </c>
      <c r="AP375" s="191" t="s">
        <v>44</v>
      </c>
    </row>
    <row r="376" spans="1:42" ht="29">
      <c r="A376" s="191" t="s">
        <v>1677</v>
      </c>
      <c r="B376" s="190">
        <v>3</v>
      </c>
      <c r="C376" s="190">
        <v>8</v>
      </c>
      <c r="D376" s="190">
        <v>9</v>
      </c>
      <c r="E376" s="191" t="s">
        <v>311</v>
      </c>
      <c r="F376" s="190">
        <v>1</v>
      </c>
      <c r="G376" s="191" t="s">
        <v>79</v>
      </c>
      <c r="H376" s="190">
        <v>1</v>
      </c>
      <c r="I376" s="190">
        <v>140</v>
      </c>
      <c r="J376" s="191" t="s">
        <v>65</v>
      </c>
      <c r="K376" s="191" t="s">
        <v>110</v>
      </c>
      <c r="L376" s="191" t="s">
        <v>36</v>
      </c>
      <c r="M376" s="191" t="s">
        <v>37</v>
      </c>
      <c r="N376" s="191" t="s">
        <v>95</v>
      </c>
      <c r="O376" s="191" t="s">
        <v>39</v>
      </c>
      <c r="P376" s="191" t="s">
        <v>41</v>
      </c>
      <c r="Q376" s="191" t="s">
        <v>61</v>
      </c>
      <c r="R376" s="191" t="s">
        <v>42</v>
      </c>
      <c r="S376" s="191" t="s">
        <v>48</v>
      </c>
      <c r="T376" s="191" t="s">
        <v>44</v>
      </c>
      <c r="U376" s="191" t="s">
        <v>40</v>
      </c>
      <c r="V376" s="191" t="s">
        <v>1141</v>
      </c>
      <c r="W376" s="191" t="s">
        <v>46</v>
      </c>
      <c r="X376" s="191" t="s">
        <v>44</v>
      </c>
      <c r="Y376" s="191" t="s">
        <v>45</v>
      </c>
      <c r="Z376" s="191" t="s">
        <v>110</v>
      </c>
      <c r="AA376" s="191" t="s">
        <v>105</v>
      </c>
      <c r="AB376" s="191" t="s">
        <v>84</v>
      </c>
      <c r="AC376" s="191" t="s">
        <v>47</v>
      </c>
      <c r="AD376" s="191" t="s">
        <v>91</v>
      </c>
      <c r="AE376" s="191" t="s">
        <v>44</v>
      </c>
      <c r="AF376" s="191" t="s">
        <v>95</v>
      </c>
      <c r="AG376" s="191" t="s">
        <v>43</v>
      </c>
      <c r="AH376" s="191" t="s">
        <v>44</v>
      </c>
      <c r="AI376" s="191" t="s">
        <v>39</v>
      </c>
      <c r="AJ376" s="191" t="s">
        <v>36</v>
      </c>
      <c r="AK376" s="191" t="s">
        <v>73</v>
      </c>
      <c r="AL376" s="191" t="s">
        <v>44</v>
      </c>
      <c r="AM376" s="191" t="s">
        <v>45</v>
      </c>
      <c r="AN376" s="191" t="s">
        <v>44</v>
      </c>
      <c r="AO376" s="191" t="s">
        <v>44</v>
      </c>
      <c r="AP376" s="191" t="s">
        <v>44</v>
      </c>
    </row>
    <row r="377" spans="1:42" ht="29">
      <c r="A377" s="191" t="s">
        <v>1678</v>
      </c>
      <c r="B377" s="190">
        <v>3</v>
      </c>
      <c r="C377" s="190">
        <v>7</v>
      </c>
      <c r="D377" s="190">
        <v>7</v>
      </c>
      <c r="E377" s="191" t="s">
        <v>318</v>
      </c>
      <c r="F377" s="190">
        <v>2</v>
      </c>
      <c r="G377" s="191" t="s">
        <v>79</v>
      </c>
      <c r="H377" s="190">
        <v>1</v>
      </c>
      <c r="I377" s="190">
        <v>45</v>
      </c>
      <c r="J377" s="191" t="s">
        <v>65</v>
      </c>
      <c r="K377" s="191" t="s">
        <v>61</v>
      </c>
      <c r="L377" s="191" t="s">
        <v>36</v>
      </c>
      <c r="M377" s="191" t="s">
        <v>37</v>
      </c>
      <c r="N377" s="191" t="s">
        <v>58</v>
      </c>
      <c r="O377" s="191" t="s">
        <v>39</v>
      </c>
      <c r="P377" s="191" t="s">
        <v>41</v>
      </c>
      <c r="Q377" s="191" t="s">
        <v>104</v>
      </c>
      <c r="R377" s="191" t="s">
        <v>87</v>
      </c>
      <c r="S377" s="191" t="s">
        <v>48</v>
      </c>
      <c r="T377" s="191" t="s">
        <v>44</v>
      </c>
      <c r="U377" s="191" t="s">
        <v>61</v>
      </c>
      <c r="V377" s="191" t="s">
        <v>1141</v>
      </c>
      <c r="W377" s="191" t="s">
        <v>47</v>
      </c>
      <c r="X377" s="191" t="s">
        <v>44</v>
      </c>
      <c r="Y377" s="191" t="s">
        <v>47</v>
      </c>
      <c r="Z377" s="191" t="s">
        <v>43</v>
      </c>
      <c r="AA377" s="191" t="s">
        <v>49</v>
      </c>
      <c r="AB377" s="191" t="s">
        <v>84</v>
      </c>
      <c r="AC377" s="191" t="s">
        <v>47</v>
      </c>
      <c r="AD377" s="191" t="s">
        <v>72</v>
      </c>
      <c r="AE377" s="191" t="s">
        <v>44</v>
      </c>
      <c r="AF377" s="191" t="s">
        <v>95</v>
      </c>
      <c r="AG377" s="191" t="s">
        <v>47</v>
      </c>
      <c r="AH377" s="191" t="s">
        <v>44</v>
      </c>
      <c r="AI377" s="191" t="s">
        <v>39</v>
      </c>
      <c r="AJ377" s="191" t="s">
        <v>36</v>
      </c>
      <c r="AK377" s="191" t="s">
        <v>59</v>
      </c>
      <c r="AL377" s="191" t="s">
        <v>44</v>
      </c>
      <c r="AM377" s="191" t="s">
        <v>45</v>
      </c>
      <c r="AN377" s="191" t="s">
        <v>44</v>
      </c>
      <c r="AO377" s="191" t="s">
        <v>44</v>
      </c>
      <c r="AP377" s="191" t="s">
        <v>44</v>
      </c>
    </row>
    <row r="378" spans="1:42" ht="29">
      <c r="A378" s="191" t="s">
        <v>1679</v>
      </c>
      <c r="B378" s="190">
        <v>3</v>
      </c>
      <c r="C378" s="190">
        <v>7</v>
      </c>
      <c r="D378" s="190">
        <v>9</v>
      </c>
      <c r="E378" s="191" t="s">
        <v>318</v>
      </c>
      <c r="F378" s="190">
        <v>1</v>
      </c>
      <c r="G378" s="191" t="s">
        <v>79</v>
      </c>
      <c r="H378" s="190">
        <v>1</v>
      </c>
      <c r="I378" s="190">
        <v>150</v>
      </c>
      <c r="J378" s="191" t="s">
        <v>54</v>
      </c>
      <c r="K378" s="191" t="s">
        <v>40</v>
      </c>
      <c r="L378" s="191" t="s">
        <v>36</v>
      </c>
      <c r="M378" s="191" t="s">
        <v>37</v>
      </c>
      <c r="N378" s="191" t="s">
        <v>58</v>
      </c>
      <c r="O378" s="191" t="s">
        <v>39</v>
      </c>
      <c r="P378" s="191" t="s">
        <v>41</v>
      </c>
      <c r="Q378" s="191" t="s">
        <v>85</v>
      </c>
      <c r="R378" s="191" t="s">
        <v>42</v>
      </c>
      <c r="S378" s="191" t="s">
        <v>48</v>
      </c>
      <c r="T378" s="191" t="s">
        <v>44</v>
      </c>
      <c r="U378" s="191" t="s">
        <v>61</v>
      </c>
      <c r="V378" s="191" t="s">
        <v>1141</v>
      </c>
      <c r="W378" s="191" t="s">
        <v>43</v>
      </c>
      <c r="X378" s="191" t="s">
        <v>44</v>
      </c>
      <c r="Y378" s="191" t="s">
        <v>43</v>
      </c>
      <c r="Z378" s="191" t="s">
        <v>43</v>
      </c>
      <c r="AA378" s="191" t="s">
        <v>62</v>
      </c>
      <c r="AB378" s="191" t="s">
        <v>50</v>
      </c>
      <c r="AC378" s="191" t="s">
        <v>47</v>
      </c>
      <c r="AD378" s="191" t="s">
        <v>91</v>
      </c>
      <c r="AE378" s="191" t="s">
        <v>44</v>
      </c>
      <c r="AF378" s="191" t="s">
        <v>95</v>
      </c>
      <c r="AG378" s="191" t="s">
        <v>43</v>
      </c>
      <c r="AH378" s="191" t="s">
        <v>44</v>
      </c>
      <c r="AI378" s="191" t="s">
        <v>39</v>
      </c>
      <c r="AJ378" s="191" t="s">
        <v>36</v>
      </c>
      <c r="AK378" s="191" t="s">
        <v>45</v>
      </c>
      <c r="AL378" s="191" t="s">
        <v>44</v>
      </c>
      <c r="AM378" s="191" t="s">
        <v>45</v>
      </c>
      <c r="AN378" s="191" t="s">
        <v>44</v>
      </c>
      <c r="AO378" s="191" t="s">
        <v>44</v>
      </c>
      <c r="AP378" s="191" t="s">
        <v>44</v>
      </c>
    </row>
    <row r="379" spans="1:42" ht="29">
      <c r="A379" s="191" t="s">
        <v>1680</v>
      </c>
      <c r="B379" s="190">
        <v>3</v>
      </c>
      <c r="C379" s="190">
        <v>5</v>
      </c>
      <c r="D379" s="190">
        <v>3</v>
      </c>
      <c r="E379" s="191" t="s">
        <v>311</v>
      </c>
      <c r="F379" s="190">
        <v>5</v>
      </c>
      <c r="G379" s="191" t="s">
        <v>94</v>
      </c>
      <c r="H379" s="190">
        <v>1</v>
      </c>
      <c r="I379" s="190">
        <v>128</v>
      </c>
      <c r="J379" s="191" t="s">
        <v>54</v>
      </c>
      <c r="K379" s="191" t="s">
        <v>40</v>
      </c>
      <c r="L379" s="191" t="s">
        <v>36</v>
      </c>
      <c r="M379" s="191" t="s">
        <v>37</v>
      </c>
      <c r="N379" s="191" t="s">
        <v>58</v>
      </c>
      <c r="O379" s="191" t="s">
        <v>39</v>
      </c>
      <c r="P379" s="191" t="s">
        <v>41</v>
      </c>
      <c r="Q379" s="191" t="s">
        <v>40</v>
      </c>
      <c r="R379" s="191" t="s">
        <v>87</v>
      </c>
      <c r="S379" s="191" t="s">
        <v>48</v>
      </c>
      <c r="T379" s="191" t="s">
        <v>44</v>
      </c>
      <c r="U379" s="191" t="s">
        <v>1126</v>
      </c>
      <c r="V379" s="191" t="s">
        <v>1144</v>
      </c>
      <c r="W379" s="191" t="s">
        <v>43</v>
      </c>
      <c r="X379" s="191" t="s">
        <v>44</v>
      </c>
      <c r="Y379" s="191" t="s">
        <v>47</v>
      </c>
      <c r="Z379" s="191" t="s">
        <v>43</v>
      </c>
      <c r="AA379" s="191" t="s">
        <v>49</v>
      </c>
      <c r="AB379" s="191" t="s">
        <v>36</v>
      </c>
      <c r="AC379" s="191" t="s">
        <v>47</v>
      </c>
      <c r="AD379" s="191" t="s">
        <v>72</v>
      </c>
      <c r="AE379" s="191" t="s">
        <v>44</v>
      </c>
      <c r="AF379" s="191" t="s">
        <v>95</v>
      </c>
      <c r="AG379" s="191" t="s">
        <v>43</v>
      </c>
      <c r="AH379" s="191" t="s">
        <v>44</v>
      </c>
      <c r="AI379" s="191" t="s">
        <v>39</v>
      </c>
      <c r="AJ379" s="191" t="s">
        <v>36</v>
      </c>
      <c r="AK379" s="191" t="s">
        <v>73</v>
      </c>
      <c r="AL379" s="191" t="s">
        <v>44</v>
      </c>
      <c r="AM379" s="191" t="s">
        <v>1360</v>
      </c>
      <c r="AN379" s="191" t="s">
        <v>44</v>
      </c>
      <c r="AO379" s="191" t="s">
        <v>44</v>
      </c>
      <c r="AP379" s="191" t="s">
        <v>44</v>
      </c>
    </row>
    <row r="380" spans="1:42" ht="29">
      <c r="A380" s="191" t="s">
        <v>1681</v>
      </c>
      <c r="B380" s="190">
        <v>3</v>
      </c>
      <c r="C380" s="190">
        <v>7</v>
      </c>
      <c r="D380" s="190">
        <v>7</v>
      </c>
      <c r="E380" s="191" t="s">
        <v>318</v>
      </c>
      <c r="F380" s="190">
        <v>2</v>
      </c>
      <c r="G380" s="191" t="s">
        <v>53</v>
      </c>
      <c r="H380" s="190">
        <v>1</v>
      </c>
      <c r="I380" s="190">
        <v>357</v>
      </c>
      <c r="J380" s="191" t="s">
        <v>54</v>
      </c>
      <c r="K380" s="191" t="s">
        <v>61</v>
      </c>
      <c r="L380" s="191" t="s">
        <v>36</v>
      </c>
      <c r="M380" s="191" t="s">
        <v>37</v>
      </c>
      <c r="N380" s="191" t="s">
        <v>38</v>
      </c>
      <c r="O380" s="191" t="s">
        <v>39</v>
      </c>
      <c r="P380" s="191" t="s">
        <v>41</v>
      </c>
      <c r="Q380" s="191" t="s">
        <v>104</v>
      </c>
      <c r="R380" s="191" t="s">
        <v>42</v>
      </c>
      <c r="S380" s="191" t="s">
        <v>48</v>
      </c>
      <c r="T380" s="191" t="s">
        <v>44</v>
      </c>
      <c r="U380" s="191" t="s">
        <v>1109</v>
      </c>
      <c r="V380" s="191" t="s">
        <v>1108</v>
      </c>
      <c r="W380" s="191" t="s">
        <v>47</v>
      </c>
      <c r="X380" s="191" t="s">
        <v>44</v>
      </c>
      <c r="Y380" s="191" t="s">
        <v>61</v>
      </c>
      <c r="Z380" s="191" t="s">
        <v>43</v>
      </c>
      <c r="AA380" s="191" t="s">
        <v>49</v>
      </c>
      <c r="AB380" s="191" t="s">
        <v>50</v>
      </c>
      <c r="AC380" s="191" t="s">
        <v>43</v>
      </c>
      <c r="AD380" s="191" t="s">
        <v>72</v>
      </c>
      <c r="AE380" s="191" t="s">
        <v>44</v>
      </c>
      <c r="AF380" s="191" t="s">
        <v>52</v>
      </c>
      <c r="AG380" s="191" t="s">
        <v>47</v>
      </c>
      <c r="AH380" s="191" t="s">
        <v>44</v>
      </c>
      <c r="AI380" s="191" t="s">
        <v>39</v>
      </c>
      <c r="AJ380" s="191" t="s">
        <v>36</v>
      </c>
      <c r="AK380" s="191" t="s">
        <v>59</v>
      </c>
      <c r="AL380" s="191" t="s">
        <v>44</v>
      </c>
      <c r="AM380" s="191" t="s">
        <v>45</v>
      </c>
      <c r="AN380" s="191" t="s">
        <v>44</v>
      </c>
      <c r="AO380" s="191" t="s">
        <v>44</v>
      </c>
      <c r="AP380" s="191" t="s">
        <v>44</v>
      </c>
    </row>
    <row r="381" spans="1:42" ht="29">
      <c r="A381" s="191" t="s">
        <v>1682</v>
      </c>
      <c r="B381" s="190">
        <v>3</v>
      </c>
      <c r="C381" s="190">
        <v>2</v>
      </c>
      <c r="D381" s="190">
        <v>9</v>
      </c>
      <c r="E381" s="191" t="s">
        <v>315</v>
      </c>
      <c r="F381" s="190">
        <v>1</v>
      </c>
      <c r="G381" s="191" t="s">
        <v>53</v>
      </c>
      <c r="H381" s="190">
        <v>1</v>
      </c>
      <c r="I381" s="190">
        <v>140</v>
      </c>
      <c r="J381" s="191" t="s">
        <v>34</v>
      </c>
      <c r="K381" s="191" t="s">
        <v>47</v>
      </c>
      <c r="L381" s="191" t="s">
        <v>36</v>
      </c>
      <c r="M381" s="191" t="s">
        <v>37</v>
      </c>
      <c r="N381" s="191" t="s">
        <v>58</v>
      </c>
      <c r="O381" s="191" t="s">
        <v>39</v>
      </c>
      <c r="P381" s="191" t="s">
        <v>41</v>
      </c>
      <c r="Q381" s="191" t="s">
        <v>77</v>
      </c>
      <c r="R381" s="191" t="s">
        <v>87</v>
      </c>
      <c r="S381" s="191" t="s">
        <v>48</v>
      </c>
      <c r="T381" s="191" t="s">
        <v>44</v>
      </c>
      <c r="U381" s="191" t="s">
        <v>126</v>
      </c>
      <c r="V381" s="191" t="s">
        <v>1141</v>
      </c>
      <c r="W381" s="191" t="s">
        <v>47</v>
      </c>
      <c r="X381" s="191" t="s">
        <v>44</v>
      </c>
      <c r="Y381" s="191" t="s">
        <v>45</v>
      </c>
      <c r="Z381" s="191" t="s">
        <v>43</v>
      </c>
      <c r="AA381" s="191" t="s">
        <v>62</v>
      </c>
      <c r="AB381" s="191" t="s">
        <v>84</v>
      </c>
      <c r="AC381" s="191" t="s">
        <v>47</v>
      </c>
      <c r="AD381" s="191" t="s">
        <v>91</v>
      </c>
      <c r="AE381" s="191" t="s">
        <v>44</v>
      </c>
      <c r="AF381" s="191" t="s">
        <v>52</v>
      </c>
      <c r="AG381" s="191" t="s">
        <v>47</v>
      </c>
      <c r="AH381" s="191" t="s">
        <v>44</v>
      </c>
      <c r="AI381" s="191" t="s">
        <v>39</v>
      </c>
      <c r="AJ381" s="191" t="s">
        <v>36</v>
      </c>
      <c r="AK381" s="191" t="s">
        <v>59</v>
      </c>
      <c r="AL381" s="191" t="s">
        <v>44</v>
      </c>
      <c r="AM381" s="191" t="s">
        <v>45</v>
      </c>
      <c r="AN381" s="191" t="s">
        <v>44</v>
      </c>
      <c r="AO381" s="191" t="s">
        <v>44</v>
      </c>
      <c r="AP381" s="191" t="s">
        <v>44</v>
      </c>
    </row>
    <row r="382" spans="1:42" ht="29">
      <c r="A382" s="191" t="s">
        <v>1683</v>
      </c>
      <c r="B382" s="190">
        <v>3</v>
      </c>
      <c r="C382" s="190">
        <v>5</v>
      </c>
      <c r="D382" s="190">
        <v>8</v>
      </c>
      <c r="E382" s="191" t="s">
        <v>315</v>
      </c>
      <c r="F382" s="190">
        <v>2</v>
      </c>
      <c r="G382" s="191" t="s">
        <v>64</v>
      </c>
      <c r="H382" s="190">
        <v>1</v>
      </c>
      <c r="I382" s="190">
        <v>140</v>
      </c>
      <c r="J382" s="191" t="s">
        <v>80</v>
      </c>
      <c r="K382" s="191" t="s">
        <v>61</v>
      </c>
      <c r="L382" s="191" t="s">
        <v>36</v>
      </c>
      <c r="M382" s="191" t="s">
        <v>37</v>
      </c>
      <c r="N382" s="191" t="s">
        <v>95</v>
      </c>
      <c r="O382" s="191" t="s">
        <v>39</v>
      </c>
      <c r="P382" s="191" t="s">
        <v>41</v>
      </c>
      <c r="Q382" s="191" t="s">
        <v>104</v>
      </c>
      <c r="R382" s="191" t="s">
        <v>87</v>
      </c>
      <c r="S382" s="191" t="s">
        <v>48</v>
      </c>
      <c r="T382" s="191" t="s">
        <v>44</v>
      </c>
      <c r="U382" s="191" t="s">
        <v>126</v>
      </c>
      <c r="V382" s="191" t="s">
        <v>339</v>
      </c>
      <c r="W382" s="191" t="s">
        <v>43</v>
      </c>
      <c r="X382" s="191" t="s">
        <v>44</v>
      </c>
      <c r="Y382" s="191" t="s">
        <v>47</v>
      </c>
      <c r="Z382" s="191" t="s">
        <v>43</v>
      </c>
      <c r="AA382" s="191" t="s">
        <v>49</v>
      </c>
      <c r="AB382" s="191" t="s">
        <v>50</v>
      </c>
      <c r="AC382" s="191" t="s">
        <v>47</v>
      </c>
      <c r="AD382" s="191" t="s">
        <v>91</v>
      </c>
      <c r="AE382" s="191" t="s">
        <v>44</v>
      </c>
      <c r="AF382" s="191" t="s">
        <v>95</v>
      </c>
      <c r="AG382" s="191" t="s">
        <v>43</v>
      </c>
      <c r="AH382" s="191" t="s">
        <v>44</v>
      </c>
      <c r="AI382" s="191" t="s">
        <v>39</v>
      </c>
      <c r="AJ382" s="191" t="s">
        <v>36</v>
      </c>
      <c r="AK382" s="191" t="s">
        <v>59</v>
      </c>
      <c r="AL382" s="191" t="s">
        <v>44</v>
      </c>
      <c r="AM382" s="191" t="s">
        <v>45</v>
      </c>
      <c r="AN382" s="191" t="s">
        <v>44</v>
      </c>
      <c r="AO382" s="191" t="s">
        <v>44</v>
      </c>
      <c r="AP382" s="191" t="s">
        <v>44</v>
      </c>
    </row>
    <row r="383" spans="1:42" ht="29">
      <c r="A383" s="191" t="s">
        <v>1684</v>
      </c>
      <c r="B383" s="190">
        <v>3</v>
      </c>
      <c r="C383" s="190">
        <v>5</v>
      </c>
      <c r="D383" s="190">
        <v>8</v>
      </c>
      <c r="E383" s="191" t="s">
        <v>315</v>
      </c>
      <c r="F383" s="190">
        <v>2</v>
      </c>
      <c r="G383" s="191" t="s">
        <v>97</v>
      </c>
      <c r="H383" s="190">
        <v>1</v>
      </c>
      <c r="I383" s="190">
        <v>90</v>
      </c>
      <c r="J383" s="191" t="s">
        <v>80</v>
      </c>
      <c r="K383" s="191" t="s">
        <v>61</v>
      </c>
      <c r="L383" s="191" t="s">
        <v>36</v>
      </c>
      <c r="M383" s="191" t="s">
        <v>37</v>
      </c>
      <c r="N383" s="191" t="s">
        <v>38</v>
      </c>
      <c r="O383" s="191" t="s">
        <v>288</v>
      </c>
      <c r="P383" s="191" t="s">
        <v>41</v>
      </c>
      <c r="Q383" s="191" t="s">
        <v>139</v>
      </c>
      <c r="R383" s="191" t="s">
        <v>42</v>
      </c>
      <c r="S383" s="191" t="s">
        <v>48</v>
      </c>
      <c r="T383" s="191" t="s">
        <v>44</v>
      </c>
      <c r="U383" s="191" t="s">
        <v>40</v>
      </c>
      <c r="V383" s="191" t="s">
        <v>339</v>
      </c>
      <c r="W383" s="191" t="s">
        <v>43</v>
      </c>
      <c r="X383" s="191" t="s">
        <v>44</v>
      </c>
      <c r="Y383" s="191" t="s">
        <v>43</v>
      </c>
      <c r="Z383" s="191" t="s">
        <v>46</v>
      </c>
      <c r="AA383" s="191" t="s">
        <v>49</v>
      </c>
      <c r="AB383" s="191" t="s">
        <v>50</v>
      </c>
      <c r="AC383" s="191" t="s">
        <v>43</v>
      </c>
      <c r="AD383" s="191" t="s">
        <v>72</v>
      </c>
      <c r="AE383" s="191" t="s">
        <v>44</v>
      </c>
      <c r="AF383" s="191" t="s">
        <v>95</v>
      </c>
      <c r="AG383" s="191" t="s">
        <v>43</v>
      </c>
      <c r="AH383" s="191" t="s">
        <v>44</v>
      </c>
      <c r="AI383" s="191" t="s">
        <v>39</v>
      </c>
      <c r="AJ383" s="191" t="s">
        <v>36</v>
      </c>
      <c r="AK383" s="191" t="s">
        <v>71</v>
      </c>
      <c r="AL383" s="191" t="s">
        <v>44</v>
      </c>
      <c r="AM383" s="191" t="s">
        <v>89</v>
      </c>
      <c r="AN383" s="191" t="s">
        <v>44</v>
      </c>
      <c r="AO383" s="191" t="s">
        <v>44</v>
      </c>
      <c r="AP383" s="191" t="s">
        <v>44</v>
      </c>
    </row>
    <row r="384" spans="1:42" ht="29">
      <c r="A384" s="191" t="s">
        <v>1685</v>
      </c>
      <c r="B384" s="190">
        <v>3</v>
      </c>
      <c r="C384" s="190">
        <v>3</v>
      </c>
      <c r="D384" s="190">
        <v>9</v>
      </c>
      <c r="E384" s="191" t="s">
        <v>315</v>
      </c>
      <c r="F384" s="190">
        <v>1</v>
      </c>
      <c r="G384" s="191" t="s">
        <v>33</v>
      </c>
      <c r="H384" s="190">
        <v>1</v>
      </c>
      <c r="I384" s="190">
        <v>90</v>
      </c>
      <c r="J384" s="191" t="s">
        <v>54</v>
      </c>
      <c r="K384" s="191" t="s">
        <v>40</v>
      </c>
      <c r="L384" s="191" t="s">
        <v>36</v>
      </c>
      <c r="M384" s="191" t="s">
        <v>37</v>
      </c>
      <c r="N384" s="191" t="s">
        <v>38</v>
      </c>
      <c r="O384" s="191" t="s">
        <v>288</v>
      </c>
      <c r="P384" s="191" t="s">
        <v>98</v>
      </c>
      <c r="Q384" s="191" t="s">
        <v>43</v>
      </c>
      <c r="R384" s="191" t="s">
        <v>42</v>
      </c>
      <c r="S384" s="191" t="s">
        <v>48</v>
      </c>
      <c r="T384" s="191" t="s">
        <v>44</v>
      </c>
      <c r="U384" s="191" t="s">
        <v>1686</v>
      </c>
      <c r="V384" s="191" t="s">
        <v>1108</v>
      </c>
      <c r="W384" s="191" t="s">
        <v>43</v>
      </c>
      <c r="X384" s="191" t="s">
        <v>44</v>
      </c>
      <c r="Y384" s="191" t="s">
        <v>45</v>
      </c>
      <c r="Z384" s="191" t="s">
        <v>43</v>
      </c>
      <c r="AA384" s="191" t="s">
        <v>49</v>
      </c>
      <c r="AB384" s="191" t="s">
        <v>84</v>
      </c>
      <c r="AC384" s="191" t="s">
        <v>43</v>
      </c>
      <c r="AD384" s="191" t="s">
        <v>51</v>
      </c>
      <c r="AE384" s="191" t="s">
        <v>44</v>
      </c>
      <c r="AF384" s="191" t="s">
        <v>95</v>
      </c>
      <c r="AG384" s="191" t="s">
        <v>47</v>
      </c>
      <c r="AH384" s="191" t="s">
        <v>44</v>
      </c>
      <c r="AI384" s="191" t="s">
        <v>134</v>
      </c>
      <c r="AJ384" s="191" t="s">
        <v>36</v>
      </c>
      <c r="AK384" s="191" t="s">
        <v>71</v>
      </c>
      <c r="AL384" s="191" t="s">
        <v>44</v>
      </c>
      <c r="AM384" s="191" t="s">
        <v>74</v>
      </c>
      <c r="AN384" s="191" t="s">
        <v>44</v>
      </c>
      <c r="AO384" s="191" t="s">
        <v>44</v>
      </c>
      <c r="AP384" s="191" t="s">
        <v>44</v>
      </c>
    </row>
    <row r="385" spans="1:42" ht="29">
      <c r="A385" s="191" t="s">
        <v>1687</v>
      </c>
      <c r="B385" s="190">
        <v>3</v>
      </c>
      <c r="C385" s="190">
        <v>7</v>
      </c>
      <c r="D385" s="190">
        <v>7</v>
      </c>
      <c r="E385" s="191" t="s">
        <v>318</v>
      </c>
      <c r="F385" s="190">
        <v>2</v>
      </c>
      <c r="G385" s="191" t="s">
        <v>69</v>
      </c>
      <c r="H385" s="190">
        <v>1</v>
      </c>
      <c r="I385" s="190">
        <v>100</v>
      </c>
      <c r="J385" s="191" t="s">
        <v>54</v>
      </c>
      <c r="K385" s="191" t="s">
        <v>61</v>
      </c>
      <c r="L385" s="191" t="s">
        <v>36</v>
      </c>
      <c r="M385" s="191" t="s">
        <v>37</v>
      </c>
      <c r="N385" s="191" t="s">
        <v>58</v>
      </c>
      <c r="O385" s="191" t="s">
        <v>39</v>
      </c>
      <c r="P385" s="191" t="s">
        <v>41</v>
      </c>
      <c r="Q385" s="191" t="s">
        <v>137</v>
      </c>
      <c r="R385" s="191" t="s">
        <v>87</v>
      </c>
      <c r="S385" s="191" t="s">
        <v>48</v>
      </c>
      <c r="T385" s="191" t="s">
        <v>44</v>
      </c>
      <c r="U385" s="191" t="s">
        <v>61</v>
      </c>
      <c r="V385" s="191" t="s">
        <v>1141</v>
      </c>
      <c r="W385" s="191" t="s">
        <v>43</v>
      </c>
      <c r="X385" s="191" t="s">
        <v>44</v>
      </c>
      <c r="Y385" s="191" t="s">
        <v>47</v>
      </c>
      <c r="Z385" s="191" t="s">
        <v>43</v>
      </c>
      <c r="AA385" s="191" t="s">
        <v>49</v>
      </c>
      <c r="AB385" s="191" t="s">
        <v>50</v>
      </c>
      <c r="AC385" s="191" t="s">
        <v>43</v>
      </c>
      <c r="AD385" s="191" t="s">
        <v>72</v>
      </c>
      <c r="AE385" s="191" t="s">
        <v>44</v>
      </c>
      <c r="AF385" s="191" t="s">
        <v>95</v>
      </c>
      <c r="AG385" s="191" t="s">
        <v>43</v>
      </c>
      <c r="AH385" s="191" t="s">
        <v>44</v>
      </c>
      <c r="AI385" s="191" t="s">
        <v>39</v>
      </c>
      <c r="AJ385" s="191" t="s">
        <v>36</v>
      </c>
      <c r="AK385" s="191" t="s">
        <v>59</v>
      </c>
      <c r="AL385" s="191" t="s">
        <v>44</v>
      </c>
      <c r="AM385" s="191" t="s">
        <v>45</v>
      </c>
      <c r="AN385" s="191" t="s">
        <v>44</v>
      </c>
      <c r="AO385" s="191" t="s">
        <v>44</v>
      </c>
      <c r="AP385" s="191" t="s">
        <v>44</v>
      </c>
    </row>
    <row r="386" spans="1:42" ht="29">
      <c r="A386" s="191" t="s">
        <v>1688</v>
      </c>
      <c r="B386" s="190">
        <v>3</v>
      </c>
      <c r="C386" s="190">
        <v>3</v>
      </c>
      <c r="D386" s="190">
        <v>4</v>
      </c>
      <c r="E386" s="191" t="s">
        <v>307</v>
      </c>
      <c r="F386" s="190">
        <v>2</v>
      </c>
      <c r="G386" s="191" t="s">
        <v>33</v>
      </c>
      <c r="H386" s="190">
        <v>1</v>
      </c>
      <c r="I386" s="190">
        <v>80</v>
      </c>
      <c r="J386" s="191" t="s">
        <v>34</v>
      </c>
      <c r="K386" s="191" t="s">
        <v>40</v>
      </c>
      <c r="L386" s="191" t="s">
        <v>155</v>
      </c>
      <c r="M386" s="191" t="s">
        <v>37</v>
      </c>
      <c r="N386" s="191" t="s">
        <v>58</v>
      </c>
      <c r="O386" s="191" t="s">
        <v>36</v>
      </c>
      <c r="P386" s="191" t="s">
        <v>36</v>
      </c>
      <c r="Q386" s="191" t="s">
        <v>89</v>
      </c>
      <c r="R386" s="191" t="s">
        <v>42</v>
      </c>
      <c r="S386" s="191" t="s">
        <v>48</v>
      </c>
      <c r="T386" s="191" t="s">
        <v>44</v>
      </c>
      <c r="U386" s="191" t="s">
        <v>44</v>
      </c>
      <c r="V386" s="191" t="s">
        <v>44</v>
      </c>
      <c r="W386" s="191" t="s">
        <v>45</v>
      </c>
      <c r="X386" s="191" t="s">
        <v>44</v>
      </c>
      <c r="Y386" s="191" t="s">
        <v>45</v>
      </c>
      <c r="Z386" s="191" t="s">
        <v>43</v>
      </c>
      <c r="AA386" s="191" t="s">
        <v>36</v>
      </c>
      <c r="AB386" s="191" t="s">
        <v>36</v>
      </c>
      <c r="AC386" s="191" t="s">
        <v>43</v>
      </c>
      <c r="AD386" s="191" t="s">
        <v>36</v>
      </c>
      <c r="AE386" s="191" t="s">
        <v>44</v>
      </c>
      <c r="AF386" s="191" t="s">
        <v>95</v>
      </c>
      <c r="AG386" s="191" t="s">
        <v>43</v>
      </c>
      <c r="AH386" s="191" t="s">
        <v>44</v>
      </c>
      <c r="AI386" s="191" t="s">
        <v>39</v>
      </c>
      <c r="AJ386" s="191" t="s">
        <v>36</v>
      </c>
      <c r="AK386" s="191" t="s">
        <v>59</v>
      </c>
      <c r="AL386" s="191" t="s">
        <v>44</v>
      </c>
      <c r="AM386" s="191" t="s">
        <v>89</v>
      </c>
      <c r="AN386" s="191" t="s">
        <v>44</v>
      </c>
      <c r="AO386" s="191" t="s">
        <v>154</v>
      </c>
      <c r="AP386" s="191" t="s">
        <v>154</v>
      </c>
    </row>
    <row r="387" spans="1:42" ht="29">
      <c r="A387" s="191" t="s">
        <v>1689</v>
      </c>
      <c r="B387" s="190">
        <v>3</v>
      </c>
      <c r="C387" s="190">
        <v>5</v>
      </c>
      <c r="D387" s="190">
        <v>3</v>
      </c>
      <c r="E387" s="191" t="s">
        <v>311</v>
      </c>
      <c r="F387" s="190">
        <v>3</v>
      </c>
      <c r="G387" s="191" t="s">
        <v>94</v>
      </c>
      <c r="H387" s="190">
        <v>1</v>
      </c>
      <c r="I387" s="190">
        <v>130</v>
      </c>
      <c r="J387" s="191" t="s">
        <v>80</v>
      </c>
      <c r="K387" s="191" t="s">
        <v>61</v>
      </c>
      <c r="L387" s="191" t="s">
        <v>103</v>
      </c>
      <c r="M387" s="191" t="s">
        <v>37</v>
      </c>
      <c r="N387" s="191" t="s">
        <v>58</v>
      </c>
      <c r="O387" s="191" t="s">
        <v>288</v>
      </c>
      <c r="P387" s="191" t="s">
        <v>41</v>
      </c>
      <c r="Q387" s="191" t="s">
        <v>86</v>
      </c>
      <c r="R387" s="191" t="s">
        <v>87</v>
      </c>
      <c r="S387" s="191" t="s">
        <v>48</v>
      </c>
      <c r="T387" s="191" t="s">
        <v>44</v>
      </c>
      <c r="U387" s="191" t="s">
        <v>126</v>
      </c>
      <c r="V387" s="191" t="s">
        <v>1141</v>
      </c>
      <c r="W387" s="191" t="s">
        <v>124</v>
      </c>
      <c r="X387" s="191" t="s">
        <v>1690</v>
      </c>
      <c r="Y387" s="191" t="s">
        <v>45</v>
      </c>
      <c r="Z387" s="191" t="s">
        <v>43</v>
      </c>
      <c r="AA387" s="191" t="s">
        <v>62</v>
      </c>
      <c r="AB387" s="191" t="s">
        <v>50</v>
      </c>
      <c r="AC387" s="191" t="s">
        <v>43</v>
      </c>
      <c r="AD387" s="191" t="s">
        <v>72</v>
      </c>
      <c r="AE387" s="191" t="s">
        <v>44</v>
      </c>
      <c r="AF387" s="191" t="s">
        <v>95</v>
      </c>
      <c r="AG387" s="191" t="s">
        <v>47</v>
      </c>
      <c r="AH387" s="191" t="s">
        <v>44</v>
      </c>
      <c r="AI387" s="191" t="s">
        <v>39</v>
      </c>
      <c r="AJ387" s="191" t="s">
        <v>36</v>
      </c>
      <c r="AK387" s="191" t="s">
        <v>59</v>
      </c>
      <c r="AL387" s="191" t="s">
        <v>44</v>
      </c>
      <c r="AM387" s="191" t="s">
        <v>47</v>
      </c>
      <c r="AN387" s="191" t="s">
        <v>44</v>
      </c>
      <c r="AO387" s="191" t="s">
        <v>44</v>
      </c>
      <c r="AP387" s="191" t="s">
        <v>44</v>
      </c>
    </row>
    <row r="388" spans="1:42" ht="29">
      <c r="A388" s="191" t="s">
        <v>1691</v>
      </c>
      <c r="B388" s="190">
        <v>3</v>
      </c>
      <c r="C388" s="190">
        <v>7</v>
      </c>
      <c r="D388" s="190">
        <v>7</v>
      </c>
      <c r="E388" s="191" t="s">
        <v>318</v>
      </c>
      <c r="F388" s="190">
        <v>2</v>
      </c>
      <c r="G388" s="191" t="s">
        <v>97</v>
      </c>
      <c r="H388" s="190">
        <v>1</v>
      </c>
      <c r="I388" s="190">
        <v>100</v>
      </c>
      <c r="J388" s="191" t="s">
        <v>54</v>
      </c>
      <c r="K388" s="191" t="s">
        <v>61</v>
      </c>
      <c r="L388" s="191" t="s">
        <v>36</v>
      </c>
      <c r="M388" s="191" t="s">
        <v>37</v>
      </c>
      <c r="N388" s="191" t="s">
        <v>58</v>
      </c>
      <c r="O388" s="191" t="s">
        <v>288</v>
      </c>
      <c r="P388" s="191" t="s">
        <v>41</v>
      </c>
      <c r="Q388" s="191" t="s">
        <v>40</v>
      </c>
      <c r="R388" s="191" t="s">
        <v>60</v>
      </c>
      <c r="S388" s="191" t="s">
        <v>48</v>
      </c>
      <c r="T388" s="191" t="s">
        <v>44</v>
      </c>
      <c r="U388" s="191" t="s">
        <v>43</v>
      </c>
      <c r="V388" s="191" t="s">
        <v>1141</v>
      </c>
      <c r="W388" s="191" t="s">
        <v>47</v>
      </c>
      <c r="X388" s="191" t="s">
        <v>44</v>
      </c>
      <c r="Y388" s="191" t="s">
        <v>43</v>
      </c>
      <c r="Z388" s="191" t="s">
        <v>90</v>
      </c>
      <c r="AA388" s="191" t="s">
        <v>62</v>
      </c>
      <c r="AB388" s="191" t="s">
        <v>50</v>
      </c>
      <c r="AC388" s="191" t="s">
        <v>43</v>
      </c>
      <c r="AD388" s="191" t="s">
        <v>72</v>
      </c>
      <c r="AE388" s="191" t="s">
        <v>44</v>
      </c>
      <c r="AF388" s="191" t="s">
        <v>95</v>
      </c>
      <c r="AG388" s="191" t="s">
        <v>43</v>
      </c>
      <c r="AH388" s="191" t="s">
        <v>44</v>
      </c>
      <c r="AI388" s="191" t="s">
        <v>39</v>
      </c>
      <c r="AJ388" s="191" t="s">
        <v>36</v>
      </c>
      <c r="AK388" s="191" t="s">
        <v>73</v>
      </c>
      <c r="AL388" s="191" t="s">
        <v>44</v>
      </c>
      <c r="AM388" s="191" t="s">
        <v>1692</v>
      </c>
      <c r="AN388" s="191" t="s">
        <v>44</v>
      </c>
      <c r="AO388" s="191" t="s">
        <v>44</v>
      </c>
      <c r="AP388" s="191" t="s">
        <v>44</v>
      </c>
    </row>
    <row r="389" spans="1:42" ht="29">
      <c r="A389" s="191" t="s">
        <v>1693</v>
      </c>
      <c r="B389" s="190">
        <v>3</v>
      </c>
      <c r="C389" s="190">
        <v>3</v>
      </c>
      <c r="D389" s="190">
        <v>2</v>
      </c>
      <c r="E389" s="191" t="s">
        <v>307</v>
      </c>
      <c r="F389" s="190">
        <v>2</v>
      </c>
      <c r="G389" s="191" t="s">
        <v>33</v>
      </c>
      <c r="H389" s="190">
        <v>1</v>
      </c>
      <c r="I389" s="190">
        <v>90</v>
      </c>
      <c r="J389" s="191" t="s">
        <v>54</v>
      </c>
      <c r="K389" s="191" t="s">
        <v>46</v>
      </c>
      <c r="L389" s="191" t="s">
        <v>36</v>
      </c>
      <c r="M389" s="191" t="s">
        <v>37</v>
      </c>
      <c r="N389" s="191" t="s">
        <v>58</v>
      </c>
      <c r="O389" s="191" t="s">
        <v>39</v>
      </c>
      <c r="P389" s="191" t="s">
        <v>41</v>
      </c>
      <c r="Q389" s="191" t="s">
        <v>71</v>
      </c>
      <c r="R389" s="191" t="s">
        <v>42</v>
      </c>
      <c r="S389" s="191" t="s">
        <v>48</v>
      </c>
      <c r="T389" s="191" t="s">
        <v>44</v>
      </c>
      <c r="U389" s="191" t="s">
        <v>1133</v>
      </c>
      <c r="V389" s="191" t="s">
        <v>355</v>
      </c>
      <c r="W389" s="191" t="s">
        <v>47</v>
      </c>
      <c r="X389" s="191" t="s">
        <v>44</v>
      </c>
      <c r="Y389" s="191" t="s">
        <v>45</v>
      </c>
      <c r="Z389" s="191" t="s">
        <v>43</v>
      </c>
      <c r="AA389" s="191" t="s">
        <v>62</v>
      </c>
      <c r="AB389" s="191" t="s">
        <v>50</v>
      </c>
      <c r="AC389" s="191" t="s">
        <v>43</v>
      </c>
      <c r="AD389" s="191" t="s">
        <v>72</v>
      </c>
      <c r="AE389" s="191" t="s">
        <v>44</v>
      </c>
      <c r="AF389" s="191" t="s">
        <v>95</v>
      </c>
      <c r="AG389" s="191" t="s">
        <v>47</v>
      </c>
      <c r="AH389" s="191" t="s">
        <v>44</v>
      </c>
      <c r="AI389" s="191" t="s">
        <v>39</v>
      </c>
      <c r="AJ389" s="191" t="s">
        <v>36</v>
      </c>
      <c r="AK389" s="191" t="s">
        <v>73</v>
      </c>
      <c r="AL389" s="191" t="s">
        <v>44</v>
      </c>
      <c r="AM389" s="191" t="s">
        <v>89</v>
      </c>
      <c r="AN389" s="191" t="s">
        <v>44</v>
      </c>
      <c r="AO389" s="191" t="s">
        <v>44</v>
      </c>
      <c r="AP389" s="191" t="s">
        <v>44</v>
      </c>
    </row>
    <row r="390" spans="1:42" ht="29">
      <c r="A390" s="191" t="s">
        <v>1694</v>
      </c>
      <c r="B390" s="190">
        <v>3</v>
      </c>
      <c r="C390" s="190">
        <v>7</v>
      </c>
      <c r="D390" s="190">
        <v>8</v>
      </c>
      <c r="E390" s="191" t="s">
        <v>318</v>
      </c>
      <c r="F390" s="190">
        <v>2</v>
      </c>
      <c r="G390" s="191" t="s">
        <v>53</v>
      </c>
      <c r="H390" s="190">
        <v>1</v>
      </c>
      <c r="I390" s="190">
        <v>160</v>
      </c>
      <c r="J390" s="191" t="s">
        <v>34</v>
      </c>
      <c r="K390" s="191" t="s">
        <v>40</v>
      </c>
      <c r="L390" s="191" t="s">
        <v>36</v>
      </c>
      <c r="M390" s="191" t="s">
        <v>37</v>
      </c>
      <c r="N390" s="191" t="s">
        <v>58</v>
      </c>
      <c r="O390" s="191" t="s">
        <v>39</v>
      </c>
      <c r="P390" s="191" t="s">
        <v>41</v>
      </c>
      <c r="Q390" s="191" t="s">
        <v>40</v>
      </c>
      <c r="R390" s="191" t="s">
        <v>87</v>
      </c>
      <c r="S390" s="191" t="s">
        <v>48</v>
      </c>
      <c r="T390" s="191" t="s">
        <v>44</v>
      </c>
      <c r="U390" s="191" t="s">
        <v>45</v>
      </c>
      <c r="V390" s="191" t="s">
        <v>1141</v>
      </c>
      <c r="W390" s="191" t="s">
        <v>43</v>
      </c>
      <c r="X390" s="191" t="s">
        <v>44</v>
      </c>
      <c r="Y390" s="191" t="s">
        <v>47</v>
      </c>
      <c r="Z390" s="191" t="s">
        <v>43</v>
      </c>
      <c r="AA390" s="191" t="s">
        <v>62</v>
      </c>
      <c r="AB390" s="191" t="s">
        <v>50</v>
      </c>
      <c r="AC390" s="191" t="s">
        <v>43</v>
      </c>
      <c r="AD390" s="191" t="s">
        <v>72</v>
      </c>
      <c r="AE390" s="191" t="s">
        <v>44</v>
      </c>
      <c r="AF390" s="191" t="s">
        <v>52</v>
      </c>
      <c r="AG390" s="191" t="s">
        <v>47</v>
      </c>
      <c r="AH390" s="191" t="s">
        <v>44</v>
      </c>
      <c r="AI390" s="191" t="s">
        <v>99</v>
      </c>
      <c r="AJ390" s="191" t="s">
        <v>36</v>
      </c>
      <c r="AK390" s="191" t="s">
        <v>59</v>
      </c>
      <c r="AL390" s="191" t="s">
        <v>44</v>
      </c>
      <c r="AM390" s="191" t="s">
        <v>45</v>
      </c>
      <c r="AN390" s="191" t="s">
        <v>44</v>
      </c>
      <c r="AO390" s="191" t="s">
        <v>44</v>
      </c>
      <c r="AP390" s="191" t="s">
        <v>44</v>
      </c>
    </row>
    <row r="391" spans="1:42" ht="43.5">
      <c r="A391" s="191" t="s">
        <v>1695</v>
      </c>
      <c r="B391" s="190">
        <v>3</v>
      </c>
      <c r="C391" s="190">
        <v>3</v>
      </c>
      <c r="D391" s="190">
        <v>3</v>
      </c>
      <c r="E391" s="191" t="s">
        <v>311</v>
      </c>
      <c r="F391" s="190">
        <v>4</v>
      </c>
      <c r="G391" s="191" t="s">
        <v>79</v>
      </c>
      <c r="H391" s="190">
        <v>1</v>
      </c>
      <c r="I391" s="190">
        <v>90</v>
      </c>
      <c r="J391" s="191" t="s">
        <v>54</v>
      </c>
      <c r="K391" s="191" t="s">
        <v>40</v>
      </c>
      <c r="L391" s="191" t="s">
        <v>36</v>
      </c>
      <c r="M391" s="191" t="s">
        <v>37</v>
      </c>
      <c r="N391" s="191" t="s">
        <v>38</v>
      </c>
      <c r="O391" s="191" t="s">
        <v>39</v>
      </c>
      <c r="P391" s="191" t="s">
        <v>41</v>
      </c>
      <c r="Q391" s="191" t="s">
        <v>59</v>
      </c>
      <c r="R391" s="191" t="s">
        <v>42</v>
      </c>
      <c r="S391" s="191" t="s">
        <v>48</v>
      </c>
      <c r="T391" s="191" t="s">
        <v>44</v>
      </c>
      <c r="U391" s="191" t="s">
        <v>44</v>
      </c>
      <c r="V391" s="191" t="s">
        <v>44</v>
      </c>
      <c r="W391" s="191" t="s">
        <v>78</v>
      </c>
      <c r="X391" s="191" t="s">
        <v>44</v>
      </c>
      <c r="Y391" s="191" t="s">
        <v>43</v>
      </c>
      <c r="Z391" s="191" t="s">
        <v>43</v>
      </c>
      <c r="AA391" s="191" t="s">
        <v>62</v>
      </c>
      <c r="AB391" s="191" t="s">
        <v>50</v>
      </c>
      <c r="AC391" s="191" t="s">
        <v>43</v>
      </c>
      <c r="AD391" s="191" t="s">
        <v>91</v>
      </c>
      <c r="AE391" s="191" t="s">
        <v>44</v>
      </c>
      <c r="AF391" s="191" t="s">
        <v>52</v>
      </c>
      <c r="AG391" s="191" t="s">
        <v>47</v>
      </c>
      <c r="AH391" s="191" t="s">
        <v>44</v>
      </c>
      <c r="AI391" s="191" t="s">
        <v>39</v>
      </c>
      <c r="AJ391" s="191" t="s">
        <v>36</v>
      </c>
      <c r="AK391" s="191" t="s">
        <v>128</v>
      </c>
      <c r="AL391" s="191" t="s">
        <v>1696</v>
      </c>
      <c r="AM391" s="191" t="s">
        <v>89</v>
      </c>
      <c r="AN391" s="191" t="s">
        <v>44</v>
      </c>
      <c r="AO391" s="191" t="s">
        <v>44</v>
      </c>
      <c r="AP391" s="191" t="s">
        <v>44</v>
      </c>
    </row>
    <row r="392" spans="1:42" ht="29">
      <c r="A392" s="191" t="s">
        <v>1697</v>
      </c>
      <c r="B392" s="190">
        <v>3</v>
      </c>
      <c r="C392" s="190">
        <v>4</v>
      </c>
      <c r="D392" s="190">
        <v>8</v>
      </c>
      <c r="E392" s="191" t="s">
        <v>315</v>
      </c>
      <c r="F392" s="190">
        <v>2</v>
      </c>
      <c r="G392" s="191" t="s">
        <v>69</v>
      </c>
      <c r="H392" s="190">
        <v>1</v>
      </c>
      <c r="I392" s="190">
        <v>110</v>
      </c>
      <c r="J392" s="191" t="s">
        <v>54</v>
      </c>
      <c r="K392" s="191" t="s">
        <v>40</v>
      </c>
      <c r="L392" s="191" t="s">
        <v>36</v>
      </c>
      <c r="M392" s="191" t="s">
        <v>37</v>
      </c>
      <c r="N392" s="191" t="s">
        <v>38</v>
      </c>
      <c r="O392" s="191" t="s">
        <v>288</v>
      </c>
      <c r="P392" s="191" t="s">
        <v>123</v>
      </c>
      <c r="Q392" s="191" t="s">
        <v>89</v>
      </c>
      <c r="R392" s="191" t="s">
        <v>42</v>
      </c>
      <c r="S392" s="191" t="s">
        <v>48</v>
      </c>
      <c r="T392" s="191" t="s">
        <v>44</v>
      </c>
      <c r="U392" s="191" t="s">
        <v>44</v>
      </c>
      <c r="V392" s="191" t="s">
        <v>44</v>
      </c>
      <c r="W392" s="191" t="s">
        <v>45</v>
      </c>
      <c r="X392" s="191" t="s">
        <v>44</v>
      </c>
      <c r="Y392" s="191" t="s">
        <v>61</v>
      </c>
      <c r="Z392" s="191" t="s">
        <v>40</v>
      </c>
      <c r="AA392" s="191" t="s">
        <v>36</v>
      </c>
      <c r="AB392" s="191" t="s">
        <v>36</v>
      </c>
      <c r="AC392" s="191" t="s">
        <v>46</v>
      </c>
      <c r="AD392" s="191" t="s">
        <v>36</v>
      </c>
      <c r="AE392" s="191" t="s">
        <v>44</v>
      </c>
      <c r="AF392" s="191" t="s">
        <v>95</v>
      </c>
      <c r="AG392" s="191" t="s">
        <v>47</v>
      </c>
      <c r="AH392" s="191" t="s">
        <v>44</v>
      </c>
      <c r="AI392" s="191" t="s">
        <v>134</v>
      </c>
      <c r="AJ392" s="191" t="s">
        <v>36</v>
      </c>
      <c r="AK392" s="191" t="s">
        <v>43</v>
      </c>
      <c r="AL392" s="191" t="s">
        <v>44</v>
      </c>
      <c r="AM392" s="191" t="s">
        <v>89</v>
      </c>
      <c r="AN392" s="191" t="s">
        <v>44</v>
      </c>
      <c r="AO392" s="191" t="s">
        <v>44</v>
      </c>
      <c r="AP392" s="191" t="s">
        <v>44</v>
      </c>
    </row>
    <row r="393" spans="1:42" ht="29">
      <c r="A393" s="191" t="s">
        <v>1698</v>
      </c>
      <c r="B393" s="190">
        <v>3</v>
      </c>
      <c r="C393" s="190">
        <v>5</v>
      </c>
      <c r="D393" s="190">
        <v>7</v>
      </c>
      <c r="E393" s="191" t="s">
        <v>315</v>
      </c>
      <c r="F393" s="190">
        <v>3</v>
      </c>
      <c r="G393" s="191" t="s">
        <v>69</v>
      </c>
      <c r="H393" s="190">
        <v>1</v>
      </c>
      <c r="I393" s="190">
        <v>100</v>
      </c>
      <c r="J393" s="191" t="s">
        <v>54</v>
      </c>
      <c r="K393" s="191" t="s">
        <v>78</v>
      </c>
      <c r="L393" s="191" t="s">
        <v>36</v>
      </c>
      <c r="M393" s="191" t="s">
        <v>37</v>
      </c>
      <c r="N393" s="191" t="s">
        <v>58</v>
      </c>
      <c r="O393" s="191" t="s">
        <v>288</v>
      </c>
      <c r="P393" s="191" t="s">
        <v>41</v>
      </c>
      <c r="Q393" s="191" t="s">
        <v>43</v>
      </c>
      <c r="R393" s="191" t="s">
        <v>87</v>
      </c>
      <c r="S393" s="191" t="s">
        <v>48</v>
      </c>
      <c r="T393" s="191" t="s">
        <v>44</v>
      </c>
      <c r="U393" s="191" t="s">
        <v>61</v>
      </c>
      <c r="V393" s="191" t="s">
        <v>1141</v>
      </c>
      <c r="W393" s="191" t="s">
        <v>43</v>
      </c>
      <c r="X393" s="191" t="s">
        <v>44</v>
      </c>
      <c r="Y393" s="191" t="s">
        <v>47</v>
      </c>
      <c r="Z393" s="191" t="s">
        <v>43</v>
      </c>
      <c r="AA393" s="191" t="s">
        <v>49</v>
      </c>
      <c r="AB393" s="191" t="s">
        <v>50</v>
      </c>
      <c r="AC393" s="191" t="s">
        <v>47</v>
      </c>
      <c r="AD393" s="191" t="s">
        <v>91</v>
      </c>
      <c r="AE393" s="191" t="s">
        <v>44</v>
      </c>
      <c r="AF393" s="191" t="s">
        <v>95</v>
      </c>
      <c r="AG393" s="191" t="s">
        <v>47</v>
      </c>
      <c r="AH393" s="191" t="s">
        <v>44</v>
      </c>
      <c r="AI393" s="191" t="s">
        <v>134</v>
      </c>
      <c r="AJ393" s="191" t="s">
        <v>36</v>
      </c>
      <c r="AK393" s="191" t="s">
        <v>73</v>
      </c>
      <c r="AL393" s="191" t="s">
        <v>44</v>
      </c>
      <c r="AM393" s="191" t="s">
        <v>89</v>
      </c>
      <c r="AN393" s="191" t="s">
        <v>44</v>
      </c>
      <c r="AO393" s="191" t="s">
        <v>44</v>
      </c>
      <c r="AP393" s="191" t="s">
        <v>44</v>
      </c>
    </row>
    <row r="394" spans="1:42" ht="29">
      <c r="A394" s="191" t="s">
        <v>1699</v>
      </c>
      <c r="B394" s="190">
        <v>3</v>
      </c>
      <c r="C394" s="190">
        <v>4</v>
      </c>
      <c r="D394" s="190">
        <v>3</v>
      </c>
      <c r="E394" s="191" t="s">
        <v>315</v>
      </c>
      <c r="F394" s="190">
        <v>2</v>
      </c>
      <c r="G394" s="191" t="s">
        <v>53</v>
      </c>
      <c r="H394" s="190">
        <v>1</v>
      </c>
      <c r="I394" s="190">
        <v>100</v>
      </c>
      <c r="J394" s="191" t="s">
        <v>65</v>
      </c>
      <c r="K394" s="191" t="s">
        <v>40</v>
      </c>
      <c r="L394" s="191" t="s">
        <v>36</v>
      </c>
      <c r="M394" s="191" t="s">
        <v>37</v>
      </c>
      <c r="N394" s="191" t="s">
        <v>58</v>
      </c>
      <c r="O394" s="191" t="s">
        <v>39</v>
      </c>
      <c r="P394" s="191" t="s">
        <v>41</v>
      </c>
      <c r="Q394" s="191" t="s">
        <v>78</v>
      </c>
      <c r="R394" s="191" t="s">
        <v>60</v>
      </c>
      <c r="S394" s="191" t="s">
        <v>48</v>
      </c>
      <c r="T394" s="191" t="s">
        <v>44</v>
      </c>
      <c r="U394" s="191" t="s">
        <v>1112</v>
      </c>
      <c r="V394" s="191" t="s">
        <v>1144</v>
      </c>
      <c r="W394" s="191" t="s">
        <v>45</v>
      </c>
      <c r="X394" s="191" t="s">
        <v>44</v>
      </c>
      <c r="Y394" s="191" t="s">
        <v>61</v>
      </c>
      <c r="Z394" s="191" t="s">
        <v>43</v>
      </c>
      <c r="AA394" s="191" t="s">
        <v>49</v>
      </c>
      <c r="AB394" s="191" t="s">
        <v>84</v>
      </c>
      <c r="AC394" s="191" t="s">
        <v>43</v>
      </c>
      <c r="AD394" s="191" t="s">
        <v>72</v>
      </c>
      <c r="AE394" s="191" t="s">
        <v>44</v>
      </c>
      <c r="AF394" s="191" t="s">
        <v>95</v>
      </c>
      <c r="AG394" s="191" t="s">
        <v>43</v>
      </c>
      <c r="AH394" s="191" t="s">
        <v>44</v>
      </c>
      <c r="AI394" s="191" t="s">
        <v>39</v>
      </c>
      <c r="AJ394" s="191" t="s">
        <v>36</v>
      </c>
      <c r="AK394" s="191" t="s">
        <v>81</v>
      </c>
      <c r="AL394" s="191" t="s">
        <v>44</v>
      </c>
      <c r="AM394" s="191" t="s">
        <v>109</v>
      </c>
      <c r="AN394" s="191" t="s">
        <v>44</v>
      </c>
      <c r="AO394" s="191" t="s">
        <v>44</v>
      </c>
      <c r="AP394" s="191" t="s">
        <v>44</v>
      </c>
    </row>
    <row r="395" spans="1:42" ht="43.5">
      <c r="A395" s="191" t="s">
        <v>1700</v>
      </c>
      <c r="B395" s="190">
        <v>3</v>
      </c>
      <c r="C395" s="190">
        <v>2</v>
      </c>
      <c r="D395" s="190">
        <v>5</v>
      </c>
      <c r="E395" s="191" t="s">
        <v>315</v>
      </c>
      <c r="F395" s="190">
        <v>4</v>
      </c>
      <c r="G395" s="191" t="s">
        <v>97</v>
      </c>
      <c r="H395" s="190">
        <v>1</v>
      </c>
      <c r="I395" s="190">
        <v>140</v>
      </c>
      <c r="J395" s="191" t="s">
        <v>80</v>
      </c>
      <c r="K395" s="191" t="s">
        <v>61</v>
      </c>
      <c r="L395" s="191" t="s">
        <v>55</v>
      </c>
      <c r="M395" s="191" t="s">
        <v>37</v>
      </c>
      <c r="N395" s="191" t="s">
        <v>95</v>
      </c>
      <c r="O395" s="191" t="s">
        <v>288</v>
      </c>
      <c r="P395" s="191" t="s">
        <v>56</v>
      </c>
      <c r="Q395" s="191" t="s">
        <v>139</v>
      </c>
      <c r="R395" s="191" t="s">
        <v>87</v>
      </c>
      <c r="S395" s="191" t="s">
        <v>48</v>
      </c>
      <c r="T395" s="191" t="s">
        <v>1701</v>
      </c>
      <c r="U395" s="191" t="s">
        <v>1107</v>
      </c>
      <c r="V395" s="191" t="s">
        <v>1141</v>
      </c>
      <c r="W395" s="191" t="s">
        <v>43</v>
      </c>
      <c r="X395" s="191" t="s">
        <v>44</v>
      </c>
      <c r="Y395" s="191" t="s">
        <v>45</v>
      </c>
      <c r="Z395" s="191" t="s">
        <v>43</v>
      </c>
      <c r="AA395" s="191" t="s">
        <v>62</v>
      </c>
      <c r="AB395" s="191" t="s">
        <v>50</v>
      </c>
      <c r="AC395" s="191" t="s">
        <v>43</v>
      </c>
      <c r="AD395" s="191" t="s">
        <v>72</v>
      </c>
      <c r="AE395" s="191" t="s">
        <v>44</v>
      </c>
      <c r="AF395" s="191" t="s">
        <v>52</v>
      </c>
      <c r="AG395" s="191" t="s">
        <v>47</v>
      </c>
      <c r="AH395" s="191" t="s">
        <v>44</v>
      </c>
      <c r="AI395" s="191" t="s">
        <v>134</v>
      </c>
      <c r="AJ395" s="191" t="s">
        <v>36</v>
      </c>
      <c r="AK395" s="191" t="s">
        <v>40</v>
      </c>
      <c r="AL395" s="191" t="s">
        <v>44</v>
      </c>
      <c r="AM395" s="191" t="s">
        <v>45</v>
      </c>
      <c r="AN395" s="191" t="s">
        <v>44</v>
      </c>
      <c r="AO395" s="191" t="s">
        <v>44</v>
      </c>
      <c r="AP395" s="191" t="s">
        <v>44</v>
      </c>
    </row>
    <row r="396" spans="1:42" ht="29">
      <c r="A396" s="191" t="s">
        <v>1702</v>
      </c>
      <c r="B396" s="190">
        <v>3</v>
      </c>
      <c r="C396" s="190">
        <v>6</v>
      </c>
      <c r="D396" s="190">
        <v>8</v>
      </c>
      <c r="E396" s="191" t="s">
        <v>311</v>
      </c>
      <c r="F396" s="190">
        <v>3</v>
      </c>
      <c r="G396" s="191" t="s">
        <v>79</v>
      </c>
      <c r="H396" s="190">
        <v>1</v>
      </c>
      <c r="I396" s="190">
        <v>60</v>
      </c>
      <c r="J396" s="191" t="s">
        <v>54</v>
      </c>
      <c r="K396" s="191" t="s">
        <v>61</v>
      </c>
      <c r="L396" s="191" t="s">
        <v>36</v>
      </c>
      <c r="M396" s="191" t="s">
        <v>37</v>
      </c>
      <c r="N396" s="191" t="s">
        <v>38</v>
      </c>
      <c r="O396" s="191" t="s">
        <v>288</v>
      </c>
      <c r="P396" s="191" t="s">
        <v>102</v>
      </c>
      <c r="Q396" s="191" t="s">
        <v>43</v>
      </c>
      <c r="R396" s="191" t="s">
        <v>42</v>
      </c>
      <c r="S396" s="191" t="s">
        <v>48</v>
      </c>
      <c r="T396" s="191" t="s">
        <v>44</v>
      </c>
      <c r="U396" s="191" t="s">
        <v>44</v>
      </c>
      <c r="V396" s="191" t="s">
        <v>44</v>
      </c>
      <c r="W396" s="191" t="s">
        <v>47</v>
      </c>
      <c r="X396" s="191" t="s">
        <v>44</v>
      </c>
      <c r="Y396" s="191" t="s">
        <v>45</v>
      </c>
      <c r="Z396" s="191" t="s">
        <v>43</v>
      </c>
      <c r="AA396" s="191" t="s">
        <v>49</v>
      </c>
      <c r="AB396" s="191" t="s">
        <v>50</v>
      </c>
      <c r="AC396" s="191" t="s">
        <v>47</v>
      </c>
      <c r="AD396" s="191" t="s">
        <v>72</v>
      </c>
      <c r="AE396" s="191" t="s">
        <v>44</v>
      </c>
      <c r="AF396" s="191" t="s">
        <v>95</v>
      </c>
      <c r="AG396" s="191" t="s">
        <v>47</v>
      </c>
      <c r="AH396" s="191" t="s">
        <v>44</v>
      </c>
      <c r="AI396" s="191" t="s">
        <v>134</v>
      </c>
      <c r="AJ396" s="191" t="s">
        <v>36</v>
      </c>
      <c r="AK396" s="191" t="s">
        <v>71</v>
      </c>
      <c r="AL396" s="191" t="s">
        <v>44</v>
      </c>
      <c r="AM396" s="191" t="s">
        <v>45</v>
      </c>
      <c r="AN396" s="191" t="s">
        <v>44</v>
      </c>
      <c r="AO396" s="191" t="s">
        <v>44</v>
      </c>
      <c r="AP396" s="191" t="s">
        <v>44</v>
      </c>
    </row>
    <row r="397" spans="1:42" ht="43.5">
      <c r="A397" s="191" t="s">
        <v>1703</v>
      </c>
      <c r="B397" s="190">
        <v>3</v>
      </c>
      <c r="C397" s="190">
        <v>5</v>
      </c>
      <c r="D397" s="190">
        <v>5</v>
      </c>
      <c r="E397" s="191" t="s">
        <v>311</v>
      </c>
      <c r="F397" s="190">
        <v>4</v>
      </c>
      <c r="G397" s="191" t="s">
        <v>64</v>
      </c>
      <c r="H397" s="190">
        <v>1</v>
      </c>
      <c r="I397" s="190">
        <v>100</v>
      </c>
      <c r="J397" s="191" t="s">
        <v>34</v>
      </c>
      <c r="K397" s="191" t="s">
        <v>40</v>
      </c>
      <c r="L397" s="191" t="s">
        <v>36</v>
      </c>
      <c r="M397" s="191" t="s">
        <v>37</v>
      </c>
      <c r="N397" s="191" t="s">
        <v>58</v>
      </c>
      <c r="O397" s="191" t="s">
        <v>288</v>
      </c>
      <c r="P397" s="191" t="s">
        <v>56</v>
      </c>
      <c r="Q397" s="191" t="s">
        <v>146</v>
      </c>
      <c r="R397" s="191" t="s">
        <v>42</v>
      </c>
      <c r="S397" s="191" t="s">
        <v>48</v>
      </c>
      <c r="T397" s="191" t="s">
        <v>44</v>
      </c>
      <c r="U397" s="191" t="s">
        <v>40</v>
      </c>
      <c r="V397" s="191" t="s">
        <v>1144</v>
      </c>
      <c r="W397" s="191" t="s">
        <v>43</v>
      </c>
      <c r="X397" s="191" t="s">
        <v>44</v>
      </c>
      <c r="Y397" s="191" t="s">
        <v>45</v>
      </c>
      <c r="Z397" s="191" t="s">
        <v>43</v>
      </c>
      <c r="AA397" s="191" t="s">
        <v>105</v>
      </c>
      <c r="AB397" s="191" t="s">
        <v>50</v>
      </c>
      <c r="AC397" s="191" t="s">
        <v>43</v>
      </c>
      <c r="AD397" s="191" t="s">
        <v>51</v>
      </c>
      <c r="AE397" s="191" t="s">
        <v>44</v>
      </c>
      <c r="AF397" s="191" t="s">
        <v>95</v>
      </c>
      <c r="AG397" s="191" t="s">
        <v>43</v>
      </c>
      <c r="AH397" s="191" t="s">
        <v>44</v>
      </c>
      <c r="AI397" s="191" t="s">
        <v>134</v>
      </c>
      <c r="AJ397" s="191" t="s">
        <v>36</v>
      </c>
      <c r="AK397" s="191" t="s">
        <v>59</v>
      </c>
      <c r="AL397" s="191" t="s">
        <v>44</v>
      </c>
      <c r="AM397" s="191" t="s">
        <v>63</v>
      </c>
      <c r="AN397" s="191" t="s">
        <v>44</v>
      </c>
      <c r="AO397" s="191" t="s">
        <v>44</v>
      </c>
      <c r="AP397" s="191" t="s">
        <v>44</v>
      </c>
    </row>
    <row r="398" spans="1:42" ht="29">
      <c r="A398" s="191" t="s">
        <v>1704</v>
      </c>
      <c r="B398" s="190">
        <v>3</v>
      </c>
      <c r="C398" s="190">
        <v>7</v>
      </c>
      <c r="D398" s="190">
        <v>9</v>
      </c>
      <c r="E398" s="191" t="s">
        <v>318</v>
      </c>
      <c r="F398" s="190">
        <v>1</v>
      </c>
      <c r="G398" s="191" t="s">
        <v>79</v>
      </c>
      <c r="H398" s="190">
        <v>1</v>
      </c>
      <c r="I398" s="190">
        <v>60</v>
      </c>
      <c r="J398" s="191" t="s">
        <v>65</v>
      </c>
      <c r="K398" s="191" t="s">
        <v>61</v>
      </c>
      <c r="L398" s="191" t="s">
        <v>36</v>
      </c>
      <c r="M398" s="191" t="s">
        <v>37</v>
      </c>
      <c r="N398" s="191" t="s">
        <v>108</v>
      </c>
      <c r="O398" s="191" t="s">
        <v>288</v>
      </c>
      <c r="P398" s="191" t="s">
        <v>41</v>
      </c>
      <c r="Q398" s="191" t="s">
        <v>40</v>
      </c>
      <c r="R398" s="191" t="s">
        <v>42</v>
      </c>
      <c r="S398" s="191" t="s">
        <v>48</v>
      </c>
      <c r="T398" s="191" t="s">
        <v>44</v>
      </c>
      <c r="U398" s="191" t="s">
        <v>126</v>
      </c>
      <c r="V398" s="191" t="s">
        <v>1141</v>
      </c>
      <c r="W398" s="191" t="s">
        <v>43</v>
      </c>
      <c r="X398" s="191" t="s">
        <v>44</v>
      </c>
      <c r="Y398" s="191" t="s">
        <v>45</v>
      </c>
      <c r="Z398" s="191" t="s">
        <v>43</v>
      </c>
      <c r="AA398" s="191" t="s">
        <v>49</v>
      </c>
      <c r="AB398" s="191" t="s">
        <v>84</v>
      </c>
      <c r="AC398" s="191" t="s">
        <v>43</v>
      </c>
      <c r="AD398" s="191" t="s">
        <v>91</v>
      </c>
      <c r="AE398" s="191" t="s">
        <v>44</v>
      </c>
      <c r="AF398" s="191" t="s">
        <v>95</v>
      </c>
      <c r="AG398" s="191" t="s">
        <v>43</v>
      </c>
      <c r="AH398" s="191" t="s">
        <v>44</v>
      </c>
      <c r="AI398" s="191" t="s">
        <v>134</v>
      </c>
      <c r="AJ398" s="191" t="s">
        <v>36</v>
      </c>
      <c r="AK398" s="191" t="s">
        <v>59</v>
      </c>
      <c r="AL398" s="191" t="s">
        <v>44</v>
      </c>
      <c r="AM398" s="191" t="s">
        <v>45</v>
      </c>
      <c r="AN398" s="191" t="s">
        <v>44</v>
      </c>
      <c r="AO398" s="191" t="s">
        <v>44</v>
      </c>
      <c r="AP398" s="191" t="s">
        <v>44</v>
      </c>
    </row>
    <row r="399" spans="1:42" ht="29">
      <c r="A399" s="191" t="s">
        <v>1705</v>
      </c>
      <c r="B399" s="190">
        <v>3</v>
      </c>
      <c r="C399" s="190">
        <v>7</v>
      </c>
      <c r="D399" s="190">
        <v>6</v>
      </c>
      <c r="E399" s="191" t="s">
        <v>315</v>
      </c>
      <c r="F399" s="190">
        <v>2</v>
      </c>
      <c r="G399" s="191" t="s">
        <v>94</v>
      </c>
      <c r="H399" s="190">
        <v>3</v>
      </c>
      <c r="I399" s="190">
        <v>100</v>
      </c>
      <c r="J399" s="191" t="s">
        <v>65</v>
      </c>
      <c r="K399" s="191" t="s">
        <v>47</v>
      </c>
      <c r="L399" s="191" t="s">
        <v>67</v>
      </c>
      <c r="M399" s="191" t="s">
        <v>37</v>
      </c>
      <c r="N399" s="191" t="s">
        <v>58</v>
      </c>
      <c r="O399" s="191" t="s">
        <v>39</v>
      </c>
      <c r="P399" s="191" t="s">
        <v>41</v>
      </c>
      <c r="Q399" s="191" t="s">
        <v>57</v>
      </c>
      <c r="R399" s="191" t="s">
        <v>87</v>
      </c>
      <c r="S399" s="191" t="s">
        <v>48</v>
      </c>
      <c r="T399" s="191" t="s">
        <v>44</v>
      </c>
      <c r="U399" s="191" t="s">
        <v>1706</v>
      </c>
      <c r="V399" s="191" t="s">
        <v>1108</v>
      </c>
      <c r="W399" s="191" t="s">
        <v>43</v>
      </c>
      <c r="X399" s="191" t="s">
        <v>44</v>
      </c>
      <c r="Y399" s="191" t="s">
        <v>47</v>
      </c>
      <c r="Z399" s="191" t="s">
        <v>43</v>
      </c>
      <c r="AA399" s="191" t="s">
        <v>62</v>
      </c>
      <c r="AB399" s="191" t="s">
        <v>50</v>
      </c>
      <c r="AC399" s="191" t="s">
        <v>47</v>
      </c>
      <c r="AD399" s="191" t="s">
        <v>91</v>
      </c>
      <c r="AE399" s="191" t="s">
        <v>44</v>
      </c>
      <c r="AF399" s="191" t="s">
        <v>95</v>
      </c>
      <c r="AG399" s="191" t="s">
        <v>43</v>
      </c>
      <c r="AH399" s="191" t="s">
        <v>44</v>
      </c>
      <c r="AI399" s="191" t="s">
        <v>39</v>
      </c>
      <c r="AJ399" s="191" t="s">
        <v>36</v>
      </c>
      <c r="AK399" s="191" t="s">
        <v>78</v>
      </c>
      <c r="AL399" s="191" t="s">
        <v>44</v>
      </c>
      <c r="AM399" s="191" t="s">
        <v>89</v>
      </c>
      <c r="AN399" s="191" t="s">
        <v>44</v>
      </c>
      <c r="AO399" s="191" t="s">
        <v>44</v>
      </c>
      <c r="AP399" s="191" t="s">
        <v>44</v>
      </c>
    </row>
    <row r="400" spans="1:42" ht="29">
      <c r="A400" s="191" t="s">
        <v>1707</v>
      </c>
      <c r="B400" s="190">
        <v>3</v>
      </c>
      <c r="C400" s="190">
        <v>3</v>
      </c>
      <c r="D400" s="190">
        <v>3</v>
      </c>
      <c r="E400" s="191" t="s">
        <v>307</v>
      </c>
      <c r="F400" s="190">
        <v>2</v>
      </c>
      <c r="G400" s="191" t="s">
        <v>79</v>
      </c>
      <c r="H400" s="190">
        <v>1</v>
      </c>
      <c r="I400" s="190">
        <v>130</v>
      </c>
      <c r="J400" s="191" t="s">
        <v>65</v>
      </c>
      <c r="K400" s="191" t="s">
        <v>61</v>
      </c>
      <c r="L400" s="191" t="s">
        <v>36</v>
      </c>
      <c r="M400" s="191" t="s">
        <v>37</v>
      </c>
      <c r="N400" s="191" t="s">
        <v>108</v>
      </c>
      <c r="O400" s="191" t="s">
        <v>39</v>
      </c>
      <c r="P400" s="191" t="s">
        <v>41</v>
      </c>
      <c r="Q400" s="191" t="s">
        <v>83</v>
      </c>
      <c r="R400" s="191" t="s">
        <v>42</v>
      </c>
      <c r="S400" s="191" t="s">
        <v>48</v>
      </c>
      <c r="T400" s="191" t="s">
        <v>44</v>
      </c>
      <c r="U400" s="191" t="s">
        <v>117</v>
      </c>
      <c r="V400" s="191" t="s">
        <v>1141</v>
      </c>
      <c r="W400" s="191" t="s">
        <v>47</v>
      </c>
      <c r="X400" s="191" t="s">
        <v>44</v>
      </c>
      <c r="Y400" s="191" t="s">
        <v>46</v>
      </c>
      <c r="Z400" s="191" t="s">
        <v>43</v>
      </c>
      <c r="AA400" s="191" t="s">
        <v>49</v>
      </c>
      <c r="AB400" s="191" t="s">
        <v>84</v>
      </c>
      <c r="AC400" s="191" t="s">
        <v>43</v>
      </c>
      <c r="AD400" s="191" t="s">
        <v>72</v>
      </c>
      <c r="AE400" s="191" t="s">
        <v>44</v>
      </c>
      <c r="AF400" s="191" t="s">
        <v>95</v>
      </c>
      <c r="AG400" s="191" t="s">
        <v>47</v>
      </c>
      <c r="AH400" s="191" t="s">
        <v>44</v>
      </c>
      <c r="AI400" s="191" t="s">
        <v>39</v>
      </c>
      <c r="AJ400" s="191" t="s">
        <v>36</v>
      </c>
      <c r="AK400" s="191" t="s">
        <v>71</v>
      </c>
      <c r="AL400" s="191" t="s">
        <v>44</v>
      </c>
      <c r="AM400" s="191" t="s">
        <v>45</v>
      </c>
      <c r="AN400" s="191" t="s">
        <v>44</v>
      </c>
      <c r="AO400" s="191" t="s">
        <v>44</v>
      </c>
      <c r="AP400" s="191" t="s">
        <v>44</v>
      </c>
    </row>
    <row r="401" spans="1:42" ht="43.5">
      <c r="A401" s="191" t="s">
        <v>1708</v>
      </c>
      <c r="B401" s="190">
        <v>3</v>
      </c>
      <c r="C401" s="190">
        <v>3</v>
      </c>
      <c r="D401" s="190">
        <v>9</v>
      </c>
      <c r="E401" s="191" t="s">
        <v>311</v>
      </c>
      <c r="F401" s="190">
        <v>1</v>
      </c>
      <c r="G401" s="191" t="s">
        <v>79</v>
      </c>
      <c r="H401" s="190">
        <v>1</v>
      </c>
      <c r="I401" s="190">
        <v>100</v>
      </c>
      <c r="J401" s="191" t="s">
        <v>80</v>
      </c>
      <c r="K401" s="191" t="s">
        <v>40</v>
      </c>
      <c r="L401" s="191" t="s">
        <v>36</v>
      </c>
      <c r="M401" s="191" t="s">
        <v>37</v>
      </c>
      <c r="N401" s="191" t="s">
        <v>58</v>
      </c>
      <c r="O401" s="191" t="s">
        <v>288</v>
      </c>
      <c r="P401" s="191" t="s">
        <v>66</v>
      </c>
      <c r="Q401" s="191" t="s">
        <v>124</v>
      </c>
      <c r="R401" s="191" t="s">
        <v>87</v>
      </c>
      <c r="S401" s="191" t="s">
        <v>48</v>
      </c>
      <c r="T401" s="191" t="s">
        <v>44</v>
      </c>
      <c r="U401" s="191" t="s">
        <v>1130</v>
      </c>
      <c r="V401" s="191" t="s">
        <v>1144</v>
      </c>
      <c r="W401" s="191" t="s">
        <v>47</v>
      </c>
      <c r="X401" s="191" t="s">
        <v>44</v>
      </c>
      <c r="Y401" s="191" t="s">
        <v>45</v>
      </c>
      <c r="Z401" s="191" t="s">
        <v>43</v>
      </c>
      <c r="AA401" s="191" t="s">
        <v>62</v>
      </c>
      <c r="AB401" s="191" t="s">
        <v>50</v>
      </c>
      <c r="AC401" s="191" t="s">
        <v>43</v>
      </c>
      <c r="AD401" s="191" t="s">
        <v>72</v>
      </c>
      <c r="AE401" s="191" t="s">
        <v>44</v>
      </c>
      <c r="AF401" s="191" t="s">
        <v>95</v>
      </c>
      <c r="AG401" s="191" t="s">
        <v>47</v>
      </c>
      <c r="AH401" s="191" t="s">
        <v>44</v>
      </c>
      <c r="AI401" s="191" t="s">
        <v>134</v>
      </c>
      <c r="AJ401" s="191" t="s">
        <v>36</v>
      </c>
      <c r="AK401" s="191" t="s">
        <v>43</v>
      </c>
      <c r="AL401" s="191" t="s">
        <v>44</v>
      </c>
      <c r="AM401" s="191" t="s">
        <v>45</v>
      </c>
      <c r="AN401" s="191" t="s">
        <v>44</v>
      </c>
      <c r="AO401" s="191" t="s">
        <v>44</v>
      </c>
      <c r="AP401" s="191" t="s">
        <v>44</v>
      </c>
    </row>
    <row r="402" spans="1:42" ht="29">
      <c r="A402" s="191" t="s">
        <v>1709</v>
      </c>
      <c r="B402" s="190">
        <v>3</v>
      </c>
      <c r="C402" s="190">
        <v>7</v>
      </c>
      <c r="D402" s="190">
        <v>7</v>
      </c>
      <c r="E402" s="191" t="s">
        <v>318</v>
      </c>
      <c r="F402" s="190">
        <v>2</v>
      </c>
      <c r="G402" s="191" t="s">
        <v>33</v>
      </c>
      <c r="H402" s="190">
        <v>1</v>
      </c>
      <c r="I402" s="190">
        <v>64</v>
      </c>
      <c r="J402" s="191" t="s">
        <v>54</v>
      </c>
      <c r="K402" s="191" t="s">
        <v>61</v>
      </c>
      <c r="L402" s="191" t="s">
        <v>36</v>
      </c>
      <c r="M402" s="191" t="s">
        <v>37</v>
      </c>
      <c r="N402" s="191" t="s">
        <v>58</v>
      </c>
      <c r="O402" s="191" t="s">
        <v>39</v>
      </c>
      <c r="P402" s="191" t="s">
        <v>41</v>
      </c>
      <c r="Q402" s="191" t="s">
        <v>40</v>
      </c>
      <c r="R402" s="191" t="s">
        <v>42</v>
      </c>
      <c r="S402" s="191" t="s">
        <v>48</v>
      </c>
      <c r="T402" s="191" t="s">
        <v>44</v>
      </c>
      <c r="U402" s="191" t="s">
        <v>45</v>
      </c>
      <c r="V402" s="191" t="s">
        <v>1108</v>
      </c>
      <c r="W402" s="191" t="s">
        <v>43</v>
      </c>
      <c r="X402" s="191" t="s">
        <v>44</v>
      </c>
      <c r="Y402" s="191" t="s">
        <v>47</v>
      </c>
      <c r="Z402" s="191" t="s">
        <v>43</v>
      </c>
      <c r="AA402" s="191" t="s">
        <v>105</v>
      </c>
      <c r="AB402" s="191" t="s">
        <v>84</v>
      </c>
      <c r="AC402" s="191" t="s">
        <v>43</v>
      </c>
      <c r="AD402" s="191" t="s">
        <v>72</v>
      </c>
      <c r="AE402" s="191" t="s">
        <v>44</v>
      </c>
      <c r="AF402" s="191" t="s">
        <v>95</v>
      </c>
      <c r="AG402" s="191" t="s">
        <v>47</v>
      </c>
      <c r="AH402" s="191" t="s">
        <v>44</v>
      </c>
      <c r="AI402" s="191" t="s">
        <v>39</v>
      </c>
      <c r="AJ402" s="191" t="s">
        <v>36</v>
      </c>
      <c r="AK402" s="191" t="s">
        <v>61</v>
      </c>
      <c r="AL402" s="191" t="s">
        <v>44</v>
      </c>
      <c r="AM402" s="191" t="s">
        <v>45</v>
      </c>
      <c r="AN402" s="191" t="s">
        <v>44</v>
      </c>
      <c r="AO402" s="191" t="s">
        <v>44</v>
      </c>
      <c r="AP402" s="191" t="s">
        <v>44</v>
      </c>
    </row>
    <row r="403" spans="1:42" ht="29">
      <c r="A403" s="191" t="s">
        <v>1710</v>
      </c>
      <c r="B403" s="190">
        <v>3</v>
      </c>
      <c r="C403" s="190">
        <v>7</v>
      </c>
      <c r="D403" s="190">
        <v>9</v>
      </c>
      <c r="E403" s="191" t="s">
        <v>318</v>
      </c>
      <c r="F403" s="190">
        <v>1</v>
      </c>
      <c r="G403" s="191" t="s">
        <v>33</v>
      </c>
      <c r="H403" s="190">
        <v>1</v>
      </c>
      <c r="I403" s="190">
        <v>113</v>
      </c>
      <c r="J403" s="191" t="s">
        <v>54</v>
      </c>
      <c r="K403" s="191" t="s">
        <v>61</v>
      </c>
      <c r="L403" s="191" t="s">
        <v>103</v>
      </c>
      <c r="M403" s="191" t="s">
        <v>37</v>
      </c>
      <c r="N403" s="191" t="s">
        <v>58</v>
      </c>
      <c r="O403" s="191" t="s">
        <v>288</v>
      </c>
      <c r="P403" s="191" t="s">
        <v>123</v>
      </c>
      <c r="Q403" s="191" t="s">
        <v>89</v>
      </c>
      <c r="R403" s="191" t="s">
        <v>42</v>
      </c>
      <c r="S403" s="191" t="s">
        <v>48</v>
      </c>
      <c r="T403" s="191" t="s">
        <v>44</v>
      </c>
      <c r="U403" s="191" t="s">
        <v>1120</v>
      </c>
      <c r="V403" s="191" t="s">
        <v>44</v>
      </c>
      <c r="W403" s="191" t="s">
        <v>45</v>
      </c>
      <c r="X403" s="191" t="s">
        <v>44</v>
      </c>
      <c r="Y403" s="191" t="s">
        <v>61</v>
      </c>
      <c r="Z403" s="191" t="s">
        <v>40</v>
      </c>
      <c r="AA403" s="191" t="s">
        <v>36</v>
      </c>
      <c r="AB403" s="191" t="s">
        <v>36</v>
      </c>
      <c r="AC403" s="191" t="s">
        <v>46</v>
      </c>
      <c r="AD403" s="191" t="s">
        <v>36</v>
      </c>
      <c r="AE403" s="191" t="s">
        <v>1711</v>
      </c>
      <c r="AF403" s="191" t="s">
        <v>95</v>
      </c>
      <c r="AG403" s="191" t="s">
        <v>43</v>
      </c>
      <c r="AH403" s="191" t="s">
        <v>44</v>
      </c>
      <c r="AI403" s="191" t="s">
        <v>134</v>
      </c>
      <c r="AJ403" s="191" t="s">
        <v>36</v>
      </c>
      <c r="AK403" s="191" t="s">
        <v>61</v>
      </c>
      <c r="AL403" s="191" t="s">
        <v>1143</v>
      </c>
      <c r="AM403" s="191" t="s">
        <v>45</v>
      </c>
      <c r="AN403" s="191" t="s">
        <v>44</v>
      </c>
      <c r="AO403" s="191" t="s">
        <v>44</v>
      </c>
      <c r="AP403" s="191" t="s">
        <v>44</v>
      </c>
    </row>
    <row r="404" spans="1:42" ht="29">
      <c r="A404" s="191" t="s">
        <v>1712</v>
      </c>
      <c r="B404" s="190">
        <v>3</v>
      </c>
      <c r="C404" s="190">
        <v>3</v>
      </c>
      <c r="D404" s="190">
        <v>3</v>
      </c>
      <c r="E404" s="191" t="s">
        <v>307</v>
      </c>
      <c r="F404" s="190">
        <v>3</v>
      </c>
      <c r="G404" s="191" t="s">
        <v>69</v>
      </c>
      <c r="H404" s="190">
        <v>1</v>
      </c>
      <c r="I404" s="190">
        <v>120</v>
      </c>
      <c r="J404" s="191" t="s">
        <v>80</v>
      </c>
      <c r="K404" s="191" t="s">
        <v>47</v>
      </c>
      <c r="L404" s="191" t="s">
        <v>103</v>
      </c>
      <c r="M404" s="191" t="s">
        <v>37</v>
      </c>
      <c r="N404" s="191" t="s">
        <v>58</v>
      </c>
      <c r="O404" s="191" t="s">
        <v>39</v>
      </c>
      <c r="P404" s="191" t="s">
        <v>41</v>
      </c>
      <c r="Q404" s="191" t="s">
        <v>43</v>
      </c>
      <c r="R404" s="191" t="s">
        <v>87</v>
      </c>
      <c r="S404" s="191" t="s">
        <v>48</v>
      </c>
      <c r="T404" s="191" t="s">
        <v>44</v>
      </c>
      <c r="U404" s="191" t="s">
        <v>117</v>
      </c>
      <c r="V404" s="191" t="s">
        <v>1108</v>
      </c>
      <c r="W404" s="191" t="s">
        <v>43</v>
      </c>
      <c r="X404" s="191" t="s">
        <v>44</v>
      </c>
      <c r="Y404" s="191" t="s">
        <v>43</v>
      </c>
      <c r="Z404" s="191" t="s">
        <v>43</v>
      </c>
      <c r="AA404" s="191" t="s">
        <v>62</v>
      </c>
      <c r="AB404" s="191" t="s">
        <v>50</v>
      </c>
      <c r="AC404" s="191" t="s">
        <v>43</v>
      </c>
      <c r="AD404" s="191" t="s">
        <v>91</v>
      </c>
      <c r="AE404" s="191" t="s">
        <v>44</v>
      </c>
      <c r="AF404" s="191" t="s">
        <v>95</v>
      </c>
      <c r="AG404" s="191" t="s">
        <v>47</v>
      </c>
      <c r="AH404" s="191" t="s">
        <v>44</v>
      </c>
      <c r="AI404" s="191" t="s">
        <v>39</v>
      </c>
      <c r="AJ404" s="191" t="s">
        <v>36</v>
      </c>
      <c r="AK404" s="191" t="s">
        <v>59</v>
      </c>
      <c r="AL404" s="191" t="s">
        <v>44</v>
      </c>
      <c r="AM404" s="191" t="s">
        <v>47</v>
      </c>
      <c r="AN404" s="191" t="s">
        <v>44</v>
      </c>
      <c r="AO404" s="191" t="s">
        <v>44</v>
      </c>
      <c r="AP404" s="191" t="s">
        <v>44</v>
      </c>
    </row>
    <row r="405" spans="1:42" ht="29">
      <c r="A405" s="191" t="s">
        <v>1713</v>
      </c>
      <c r="B405" s="190">
        <v>3</v>
      </c>
      <c r="C405" s="190">
        <v>7</v>
      </c>
      <c r="D405" s="190">
        <v>7</v>
      </c>
      <c r="E405" s="191" t="s">
        <v>318</v>
      </c>
      <c r="F405" s="190">
        <v>3</v>
      </c>
      <c r="G405" s="191" t="s">
        <v>69</v>
      </c>
      <c r="H405" s="190">
        <v>1</v>
      </c>
      <c r="I405" s="190">
        <v>140</v>
      </c>
      <c r="J405" s="191" t="s">
        <v>65</v>
      </c>
      <c r="K405" s="191" t="s">
        <v>71</v>
      </c>
      <c r="L405" s="191" t="s">
        <v>67</v>
      </c>
      <c r="M405" s="191" t="s">
        <v>37</v>
      </c>
      <c r="N405" s="191" t="s">
        <v>132</v>
      </c>
      <c r="O405" s="191" t="s">
        <v>39</v>
      </c>
      <c r="P405" s="191" t="s">
        <v>41</v>
      </c>
      <c r="Q405" s="191" t="s">
        <v>40</v>
      </c>
      <c r="R405" s="191" t="s">
        <v>60</v>
      </c>
      <c r="S405" s="191" t="s">
        <v>48</v>
      </c>
      <c r="T405" s="191" t="s">
        <v>44</v>
      </c>
      <c r="U405" s="191" t="s">
        <v>1714</v>
      </c>
      <c r="V405" s="191" t="s">
        <v>1108</v>
      </c>
      <c r="W405" s="191" t="s">
        <v>47</v>
      </c>
      <c r="X405" s="191" t="s">
        <v>44</v>
      </c>
      <c r="Y405" s="191" t="s">
        <v>43</v>
      </c>
      <c r="Z405" s="191" t="s">
        <v>47</v>
      </c>
      <c r="AA405" s="191" t="s">
        <v>62</v>
      </c>
      <c r="AB405" s="191" t="s">
        <v>50</v>
      </c>
      <c r="AC405" s="191" t="s">
        <v>47</v>
      </c>
      <c r="AD405" s="191" t="s">
        <v>72</v>
      </c>
      <c r="AE405" s="191" t="s">
        <v>44</v>
      </c>
      <c r="AF405" s="191" t="s">
        <v>132</v>
      </c>
      <c r="AG405" s="191" t="s">
        <v>43</v>
      </c>
      <c r="AH405" s="191" t="s">
        <v>44</v>
      </c>
      <c r="AI405" s="191" t="s">
        <v>39</v>
      </c>
      <c r="AJ405" s="191" t="s">
        <v>36</v>
      </c>
      <c r="AK405" s="191" t="s">
        <v>59</v>
      </c>
      <c r="AL405" s="191" t="s">
        <v>44</v>
      </c>
      <c r="AM405" s="191" t="s">
        <v>45</v>
      </c>
      <c r="AN405" s="191" t="s">
        <v>44</v>
      </c>
      <c r="AO405" s="191" t="s">
        <v>44</v>
      </c>
      <c r="AP405" s="191" t="s">
        <v>44</v>
      </c>
    </row>
    <row r="406" spans="1:42" ht="43.5">
      <c r="A406" s="191" t="s">
        <v>1715</v>
      </c>
      <c r="B406" s="190">
        <v>3</v>
      </c>
      <c r="C406" s="190">
        <v>3</v>
      </c>
      <c r="D406" s="190">
        <v>3</v>
      </c>
      <c r="E406" s="191" t="s">
        <v>311</v>
      </c>
      <c r="F406" s="190">
        <v>4</v>
      </c>
      <c r="G406" s="191" t="s">
        <v>64</v>
      </c>
      <c r="H406" s="190">
        <v>1</v>
      </c>
      <c r="I406" s="190">
        <v>150</v>
      </c>
      <c r="J406" s="191" t="s">
        <v>54</v>
      </c>
      <c r="K406" s="191" t="s">
        <v>61</v>
      </c>
      <c r="L406" s="191" t="s">
        <v>107</v>
      </c>
      <c r="M406" s="191" t="s">
        <v>37</v>
      </c>
      <c r="N406" s="191" t="s">
        <v>58</v>
      </c>
      <c r="O406" s="191" t="s">
        <v>288</v>
      </c>
      <c r="P406" s="191" t="s">
        <v>56</v>
      </c>
      <c r="Q406" s="191" t="s">
        <v>106</v>
      </c>
      <c r="R406" s="191" t="s">
        <v>42</v>
      </c>
      <c r="S406" s="191" t="s">
        <v>48</v>
      </c>
      <c r="T406" s="191" t="s">
        <v>44</v>
      </c>
      <c r="U406" s="191" t="s">
        <v>61</v>
      </c>
      <c r="V406" s="191" t="s">
        <v>1108</v>
      </c>
      <c r="W406" s="191" t="s">
        <v>43</v>
      </c>
      <c r="X406" s="191" t="s">
        <v>44</v>
      </c>
      <c r="Y406" s="191" t="s">
        <v>45</v>
      </c>
      <c r="Z406" s="191" t="s">
        <v>43</v>
      </c>
      <c r="AA406" s="191" t="s">
        <v>105</v>
      </c>
      <c r="AB406" s="191" t="s">
        <v>138</v>
      </c>
      <c r="AC406" s="191" t="s">
        <v>43</v>
      </c>
      <c r="AD406" s="191" t="s">
        <v>91</v>
      </c>
      <c r="AE406" s="191" t="s">
        <v>44</v>
      </c>
      <c r="AF406" s="191" t="s">
        <v>95</v>
      </c>
      <c r="AG406" s="191" t="s">
        <v>43</v>
      </c>
      <c r="AH406" s="191" t="s">
        <v>44</v>
      </c>
      <c r="AI406" s="191" t="s">
        <v>39</v>
      </c>
      <c r="AJ406" s="191" t="s">
        <v>36</v>
      </c>
      <c r="AK406" s="191" t="s">
        <v>45</v>
      </c>
      <c r="AL406" s="191" t="s">
        <v>44</v>
      </c>
      <c r="AM406" s="191" t="s">
        <v>45</v>
      </c>
      <c r="AN406" s="191" t="s">
        <v>44</v>
      </c>
      <c r="AO406" s="191" t="s">
        <v>44</v>
      </c>
      <c r="AP406" s="191" t="s">
        <v>44</v>
      </c>
    </row>
    <row r="407" spans="1:42" ht="43.5">
      <c r="A407" s="191" t="s">
        <v>1716</v>
      </c>
      <c r="B407" s="190">
        <v>3</v>
      </c>
      <c r="C407" s="190">
        <v>3</v>
      </c>
      <c r="D407" s="190">
        <v>3</v>
      </c>
      <c r="E407" s="191" t="s">
        <v>315</v>
      </c>
      <c r="F407" s="190">
        <v>4</v>
      </c>
      <c r="G407" s="191" t="s">
        <v>53</v>
      </c>
      <c r="H407" s="190">
        <v>1</v>
      </c>
      <c r="I407" s="190">
        <v>140</v>
      </c>
      <c r="J407" s="191" t="s">
        <v>65</v>
      </c>
      <c r="K407" s="191" t="s">
        <v>40</v>
      </c>
      <c r="L407" s="191" t="s">
        <v>36</v>
      </c>
      <c r="M407" s="191" t="s">
        <v>37</v>
      </c>
      <c r="N407" s="191" t="s">
        <v>95</v>
      </c>
      <c r="O407" s="191" t="s">
        <v>288</v>
      </c>
      <c r="P407" s="191" t="s">
        <v>66</v>
      </c>
      <c r="Q407" s="191" t="s">
        <v>115</v>
      </c>
      <c r="R407" s="191" t="s">
        <v>36</v>
      </c>
      <c r="S407" s="191" t="s">
        <v>48</v>
      </c>
      <c r="T407" s="191" t="s">
        <v>44</v>
      </c>
      <c r="U407" s="191" t="s">
        <v>40</v>
      </c>
      <c r="V407" s="191" t="s">
        <v>1108</v>
      </c>
      <c r="W407" s="191" t="s">
        <v>43</v>
      </c>
      <c r="X407" s="191" t="s">
        <v>44</v>
      </c>
      <c r="Y407" s="191" t="s">
        <v>45</v>
      </c>
      <c r="Z407" s="191" t="s">
        <v>43</v>
      </c>
      <c r="AA407" s="191" t="s">
        <v>62</v>
      </c>
      <c r="AB407" s="191" t="s">
        <v>84</v>
      </c>
      <c r="AC407" s="191" t="s">
        <v>47</v>
      </c>
      <c r="AD407" s="191" t="s">
        <v>72</v>
      </c>
      <c r="AE407" s="191" t="s">
        <v>44</v>
      </c>
      <c r="AF407" s="191" t="s">
        <v>95</v>
      </c>
      <c r="AG407" s="191" t="s">
        <v>43</v>
      </c>
      <c r="AH407" s="191" t="s">
        <v>44</v>
      </c>
      <c r="AI407" s="191" t="s">
        <v>134</v>
      </c>
      <c r="AJ407" s="191" t="s">
        <v>36</v>
      </c>
      <c r="AK407" s="191" t="s">
        <v>73</v>
      </c>
      <c r="AL407" s="191" t="s">
        <v>44</v>
      </c>
      <c r="AM407" s="191" t="s">
        <v>1307</v>
      </c>
      <c r="AN407" s="191" t="s">
        <v>44</v>
      </c>
      <c r="AO407" s="191" t="s">
        <v>44</v>
      </c>
      <c r="AP407" s="191" t="s">
        <v>44</v>
      </c>
    </row>
    <row r="408" spans="1:42" ht="29">
      <c r="A408" s="191" t="s">
        <v>1717</v>
      </c>
      <c r="B408" s="190">
        <v>3</v>
      </c>
      <c r="C408" s="190">
        <v>7</v>
      </c>
      <c r="D408" s="190">
        <v>9</v>
      </c>
      <c r="E408" s="191" t="s">
        <v>318</v>
      </c>
      <c r="F408" s="190">
        <v>1</v>
      </c>
      <c r="G408" s="191" t="s">
        <v>33</v>
      </c>
      <c r="H408" s="190">
        <v>1</v>
      </c>
      <c r="I408" s="190">
        <v>84</v>
      </c>
      <c r="J408" s="191" t="s">
        <v>54</v>
      </c>
      <c r="K408" s="191" t="s">
        <v>61</v>
      </c>
      <c r="L408" s="191" t="s">
        <v>36</v>
      </c>
      <c r="M408" s="191" t="s">
        <v>37</v>
      </c>
      <c r="N408" s="191" t="s">
        <v>58</v>
      </c>
      <c r="O408" s="191" t="s">
        <v>39</v>
      </c>
      <c r="P408" s="191" t="s">
        <v>41</v>
      </c>
      <c r="Q408" s="191" t="s">
        <v>59</v>
      </c>
      <c r="R408" s="191" t="s">
        <v>42</v>
      </c>
      <c r="S408" s="191" t="s">
        <v>48</v>
      </c>
      <c r="T408" s="191" t="s">
        <v>44</v>
      </c>
      <c r="U408" s="191" t="s">
        <v>1718</v>
      </c>
      <c r="V408" s="191" t="s">
        <v>1108</v>
      </c>
      <c r="W408" s="191" t="s">
        <v>43</v>
      </c>
      <c r="X408" s="191" t="s">
        <v>44</v>
      </c>
      <c r="Y408" s="191" t="s">
        <v>46</v>
      </c>
      <c r="Z408" s="191" t="s">
        <v>43</v>
      </c>
      <c r="AA408" s="191" t="s">
        <v>62</v>
      </c>
      <c r="AB408" s="191" t="s">
        <v>50</v>
      </c>
      <c r="AC408" s="191" t="s">
        <v>43</v>
      </c>
      <c r="AD408" s="191" t="s">
        <v>72</v>
      </c>
      <c r="AE408" s="191" t="s">
        <v>44</v>
      </c>
      <c r="AF408" s="191" t="s">
        <v>95</v>
      </c>
      <c r="AG408" s="191" t="s">
        <v>47</v>
      </c>
      <c r="AH408" s="191" t="s">
        <v>44</v>
      </c>
      <c r="AI408" s="191" t="s">
        <v>39</v>
      </c>
      <c r="AJ408" s="191" t="s">
        <v>36</v>
      </c>
      <c r="AK408" s="191" t="s">
        <v>71</v>
      </c>
      <c r="AL408" s="191" t="s">
        <v>44</v>
      </c>
      <c r="AM408" s="191" t="s">
        <v>89</v>
      </c>
      <c r="AN408" s="191" t="s">
        <v>44</v>
      </c>
      <c r="AO408" s="191" t="s">
        <v>44</v>
      </c>
      <c r="AP408" s="191" t="s">
        <v>44</v>
      </c>
    </row>
    <row r="409" spans="1:42" ht="29">
      <c r="A409" s="191" t="s">
        <v>1719</v>
      </c>
      <c r="B409" s="190">
        <v>3</v>
      </c>
      <c r="C409" s="190">
        <v>3</v>
      </c>
      <c r="D409" s="190">
        <v>3</v>
      </c>
      <c r="E409" s="191" t="s">
        <v>311</v>
      </c>
      <c r="F409" s="190">
        <v>4</v>
      </c>
      <c r="G409" s="191" t="s">
        <v>69</v>
      </c>
      <c r="H409" s="190">
        <v>2</v>
      </c>
      <c r="I409" s="190">
        <v>120</v>
      </c>
      <c r="J409" s="191" t="s">
        <v>65</v>
      </c>
      <c r="K409" s="191" t="s">
        <v>43</v>
      </c>
      <c r="L409" s="191" t="s">
        <v>107</v>
      </c>
      <c r="M409" s="191" t="s">
        <v>37</v>
      </c>
      <c r="N409" s="191" t="s">
        <v>95</v>
      </c>
      <c r="O409" s="191" t="s">
        <v>39</v>
      </c>
      <c r="P409" s="191" t="s">
        <v>102</v>
      </c>
      <c r="Q409" s="191" t="s">
        <v>78</v>
      </c>
      <c r="R409" s="191" t="s">
        <v>87</v>
      </c>
      <c r="S409" s="191" t="s">
        <v>48</v>
      </c>
      <c r="T409" s="191" t="s">
        <v>44</v>
      </c>
      <c r="U409" s="191" t="s">
        <v>44</v>
      </c>
      <c r="V409" s="191" t="s">
        <v>44</v>
      </c>
      <c r="W409" s="191" t="s">
        <v>43</v>
      </c>
      <c r="X409" s="191" t="s">
        <v>44</v>
      </c>
      <c r="Y409" s="191" t="s">
        <v>45</v>
      </c>
      <c r="Z409" s="191" t="s">
        <v>47</v>
      </c>
      <c r="AA409" s="191" t="s">
        <v>105</v>
      </c>
      <c r="AB409" s="191" t="s">
        <v>84</v>
      </c>
      <c r="AC409" s="191" t="s">
        <v>43</v>
      </c>
      <c r="AD409" s="191" t="s">
        <v>91</v>
      </c>
      <c r="AE409" s="191" t="s">
        <v>44</v>
      </c>
      <c r="AF409" s="191" t="s">
        <v>95</v>
      </c>
      <c r="AG409" s="191" t="s">
        <v>47</v>
      </c>
      <c r="AH409" s="191" t="s">
        <v>44</v>
      </c>
      <c r="AI409" s="191" t="s">
        <v>39</v>
      </c>
      <c r="AJ409" s="191" t="s">
        <v>36</v>
      </c>
      <c r="AK409" s="191" t="s">
        <v>71</v>
      </c>
      <c r="AL409" s="191" t="s">
        <v>44</v>
      </c>
      <c r="AM409" s="191" t="s">
        <v>89</v>
      </c>
      <c r="AN409" s="191" t="s">
        <v>44</v>
      </c>
      <c r="AO409" s="191" t="s">
        <v>44</v>
      </c>
      <c r="AP409" s="191" t="s">
        <v>44</v>
      </c>
    </row>
    <row r="410" spans="1:42" ht="29">
      <c r="A410" s="191" t="s">
        <v>1720</v>
      </c>
      <c r="B410" s="190">
        <v>3</v>
      </c>
      <c r="C410" s="190">
        <v>7</v>
      </c>
      <c r="D410" s="190">
        <v>9</v>
      </c>
      <c r="E410" s="191" t="s">
        <v>318</v>
      </c>
      <c r="F410" s="190">
        <v>1</v>
      </c>
      <c r="G410" s="191" t="s">
        <v>79</v>
      </c>
      <c r="H410" s="190">
        <v>1</v>
      </c>
      <c r="I410" s="190">
        <v>100</v>
      </c>
      <c r="J410" s="191" t="s">
        <v>65</v>
      </c>
      <c r="K410" s="191" t="s">
        <v>61</v>
      </c>
      <c r="L410" s="191" t="s">
        <v>36</v>
      </c>
      <c r="M410" s="191" t="s">
        <v>37</v>
      </c>
      <c r="N410" s="191" t="s">
        <v>95</v>
      </c>
      <c r="O410" s="191" t="s">
        <v>39</v>
      </c>
      <c r="P410" s="191" t="s">
        <v>41</v>
      </c>
      <c r="Q410" s="191" t="s">
        <v>40</v>
      </c>
      <c r="R410" s="191" t="s">
        <v>42</v>
      </c>
      <c r="S410" s="191" t="s">
        <v>48</v>
      </c>
      <c r="T410" s="191" t="s">
        <v>44</v>
      </c>
      <c r="U410" s="191" t="s">
        <v>46</v>
      </c>
      <c r="V410" s="191" t="s">
        <v>1106</v>
      </c>
      <c r="W410" s="191" t="s">
        <v>46</v>
      </c>
      <c r="X410" s="191" t="s">
        <v>44</v>
      </c>
      <c r="Y410" s="191" t="s">
        <v>45</v>
      </c>
      <c r="Z410" s="191" t="s">
        <v>43</v>
      </c>
      <c r="AA410" s="191" t="s">
        <v>105</v>
      </c>
      <c r="AB410" s="191" t="s">
        <v>50</v>
      </c>
      <c r="AC410" s="191" t="s">
        <v>43</v>
      </c>
      <c r="AD410" s="191" t="s">
        <v>72</v>
      </c>
      <c r="AE410" s="191" t="s">
        <v>44</v>
      </c>
      <c r="AF410" s="191" t="s">
        <v>95</v>
      </c>
      <c r="AG410" s="191" t="s">
        <v>43</v>
      </c>
      <c r="AH410" s="191" t="s">
        <v>44</v>
      </c>
      <c r="AI410" s="191" t="s">
        <v>39</v>
      </c>
      <c r="AJ410" s="191" t="s">
        <v>36</v>
      </c>
      <c r="AK410" s="191" t="s">
        <v>59</v>
      </c>
      <c r="AL410" s="191" t="s">
        <v>44</v>
      </c>
      <c r="AM410" s="191" t="s">
        <v>1242</v>
      </c>
      <c r="AN410" s="191" t="s">
        <v>44</v>
      </c>
      <c r="AO410" s="191" t="s">
        <v>44</v>
      </c>
      <c r="AP410" s="191" t="s">
        <v>44</v>
      </c>
    </row>
    <row r="411" spans="1:42" ht="43.5">
      <c r="A411" s="191" t="s">
        <v>1721</v>
      </c>
      <c r="B411" s="190">
        <v>3</v>
      </c>
      <c r="C411" s="190">
        <v>6</v>
      </c>
      <c r="D411" s="190">
        <v>9</v>
      </c>
      <c r="E411" s="191" t="s">
        <v>315</v>
      </c>
      <c r="F411" s="190">
        <v>2</v>
      </c>
      <c r="G411" s="191" t="s">
        <v>53</v>
      </c>
      <c r="H411" s="190">
        <v>1</v>
      </c>
      <c r="I411" s="190">
        <v>100</v>
      </c>
      <c r="J411" s="191" t="s">
        <v>80</v>
      </c>
      <c r="K411" s="191" t="s">
        <v>40</v>
      </c>
      <c r="L411" s="191" t="s">
        <v>36</v>
      </c>
      <c r="M411" s="191" t="s">
        <v>37</v>
      </c>
      <c r="N411" s="191" t="s">
        <v>58</v>
      </c>
      <c r="O411" s="191" t="s">
        <v>39</v>
      </c>
      <c r="P411" s="191" t="s">
        <v>41</v>
      </c>
      <c r="Q411" s="191" t="s">
        <v>40</v>
      </c>
      <c r="R411" s="191" t="s">
        <v>60</v>
      </c>
      <c r="S411" s="191" t="s">
        <v>48</v>
      </c>
      <c r="T411" s="191" t="s">
        <v>44</v>
      </c>
      <c r="U411" s="191" t="s">
        <v>117</v>
      </c>
      <c r="V411" s="191" t="s">
        <v>1108</v>
      </c>
      <c r="W411" s="191" t="s">
        <v>43</v>
      </c>
      <c r="X411" s="191" t="s">
        <v>44</v>
      </c>
      <c r="Y411" s="191" t="s">
        <v>78</v>
      </c>
      <c r="Z411" s="191" t="s">
        <v>43</v>
      </c>
      <c r="AA411" s="191" t="s">
        <v>62</v>
      </c>
      <c r="AB411" s="191" t="s">
        <v>50</v>
      </c>
      <c r="AC411" s="191" t="s">
        <v>43</v>
      </c>
      <c r="AD411" s="191" t="s">
        <v>36</v>
      </c>
      <c r="AE411" s="191" t="s">
        <v>44</v>
      </c>
      <c r="AF411" s="191" t="s">
        <v>95</v>
      </c>
      <c r="AG411" s="191" t="s">
        <v>47</v>
      </c>
      <c r="AH411" s="191" t="s">
        <v>44</v>
      </c>
      <c r="AI411" s="191" t="s">
        <v>134</v>
      </c>
      <c r="AJ411" s="191" t="s">
        <v>36</v>
      </c>
      <c r="AK411" s="191" t="s">
        <v>125</v>
      </c>
      <c r="AL411" s="191" t="s">
        <v>1722</v>
      </c>
      <c r="AM411" s="191" t="s">
        <v>74</v>
      </c>
      <c r="AN411" s="191" t="s">
        <v>44</v>
      </c>
      <c r="AO411" s="191" t="s">
        <v>44</v>
      </c>
      <c r="AP411" s="191" t="s">
        <v>44</v>
      </c>
    </row>
    <row r="412" spans="1:42" ht="29">
      <c r="A412" s="191" t="s">
        <v>1723</v>
      </c>
      <c r="B412" s="190">
        <v>3</v>
      </c>
      <c r="C412" s="190">
        <v>5</v>
      </c>
      <c r="D412" s="190">
        <v>9</v>
      </c>
      <c r="E412" s="191" t="s">
        <v>315</v>
      </c>
      <c r="F412" s="190">
        <v>2</v>
      </c>
      <c r="G412" s="191" t="s">
        <v>94</v>
      </c>
      <c r="H412" s="190">
        <v>1</v>
      </c>
      <c r="I412" s="190">
        <v>160</v>
      </c>
      <c r="J412" s="191" t="s">
        <v>54</v>
      </c>
      <c r="K412" s="191" t="s">
        <v>61</v>
      </c>
      <c r="L412" s="191" t="s">
        <v>36</v>
      </c>
      <c r="M412" s="191" t="s">
        <v>37</v>
      </c>
      <c r="N412" s="191" t="s">
        <v>58</v>
      </c>
      <c r="O412" s="191" t="s">
        <v>288</v>
      </c>
      <c r="P412" s="191" t="s">
        <v>41</v>
      </c>
      <c r="Q412" s="191" t="s">
        <v>63</v>
      </c>
      <c r="R412" s="191" t="s">
        <v>87</v>
      </c>
      <c r="S412" s="191" t="s">
        <v>48</v>
      </c>
      <c r="T412" s="191" t="s">
        <v>44</v>
      </c>
      <c r="U412" s="191" t="s">
        <v>61</v>
      </c>
      <c r="V412" s="191" t="s">
        <v>1106</v>
      </c>
      <c r="W412" s="191" t="s">
        <v>43</v>
      </c>
      <c r="X412" s="191" t="s">
        <v>44</v>
      </c>
      <c r="Y412" s="191" t="s">
        <v>43</v>
      </c>
      <c r="Z412" s="191" t="s">
        <v>43</v>
      </c>
      <c r="AA412" s="191" t="s">
        <v>62</v>
      </c>
      <c r="AB412" s="191" t="s">
        <v>50</v>
      </c>
      <c r="AC412" s="191" t="s">
        <v>47</v>
      </c>
      <c r="AD412" s="191" t="s">
        <v>91</v>
      </c>
      <c r="AE412" s="191" t="s">
        <v>1724</v>
      </c>
      <c r="AF412" s="191" t="s">
        <v>52</v>
      </c>
      <c r="AG412" s="191" t="s">
        <v>47</v>
      </c>
      <c r="AH412" s="191" t="s">
        <v>44</v>
      </c>
      <c r="AI412" s="191" t="s">
        <v>134</v>
      </c>
      <c r="AJ412" s="191" t="s">
        <v>36</v>
      </c>
      <c r="AK412" s="191" t="s">
        <v>35</v>
      </c>
      <c r="AL412" s="191" t="s">
        <v>44</v>
      </c>
      <c r="AM412" s="191" t="s">
        <v>45</v>
      </c>
      <c r="AN412" s="191" t="s">
        <v>44</v>
      </c>
      <c r="AO412" s="191" t="s">
        <v>44</v>
      </c>
      <c r="AP412" s="191" t="s">
        <v>44</v>
      </c>
    </row>
    <row r="413" spans="1:42" ht="29">
      <c r="A413" s="191" t="s">
        <v>1725</v>
      </c>
      <c r="B413" s="190">
        <v>3</v>
      </c>
      <c r="C413" s="190">
        <v>7</v>
      </c>
      <c r="D413" s="190">
        <v>7</v>
      </c>
      <c r="E413" s="191" t="s">
        <v>318</v>
      </c>
      <c r="F413" s="190">
        <v>2</v>
      </c>
      <c r="G413" s="191" t="s">
        <v>94</v>
      </c>
      <c r="H413" s="190">
        <v>1</v>
      </c>
      <c r="I413" s="190">
        <v>140</v>
      </c>
      <c r="J413" s="191" t="s">
        <v>54</v>
      </c>
      <c r="K413" s="191" t="s">
        <v>71</v>
      </c>
      <c r="L413" s="191" t="s">
        <v>36</v>
      </c>
      <c r="M413" s="191" t="s">
        <v>37</v>
      </c>
      <c r="N413" s="191" t="s">
        <v>38</v>
      </c>
      <c r="O413" s="191" t="s">
        <v>288</v>
      </c>
      <c r="P413" s="191" t="s">
        <v>36</v>
      </c>
      <c r="Q413" s="191" t="s">
        <v>90</v>
      </c>
      <c r="R413" s="191" t="s">
        <v>42</v>
      </c>
      <c r="S413" s="191" t="s">
        <v>48</v>
      </c>
      <c r="T413" s="191" t="s">
        <v>44</v>
      </c>
      <c r="U413" s="191" t="s">
        <v>43</v>
      </c>
      <c r="V413" s="191" t="s">
        <v>1141</v>
      </c>
      <c r="W413" s="191" t="s">
        <v>43</v>
      </c>
      <c r="X413" s="191" t="s">
        <v>44</v>
      </c>
      <c r="Y413" s="191" t="s">
        <v>45</v>
      </c>
      <c r="Z413" s="191" t="s">
        <v>43</v>
      </c>
      <c r="AA413" s="191" t="s">
        <v>62</v>
      </c>
      <c r="AB413" s="191" t="s">
        <v>50</v>
      </c>
      <c r="AC413" s="191" t="s">
        <v>47</v>
      </c>
      <c r="AD413" s="191" t="s">
        <v>72</v>
      </c>
      <c r="AE413" s="191" t="s">
        <v>44</v>
      </c>
      <c r="AF413" s="191" t="s">
        <v>95</v>
      </c>
      <c r="AG413" s="191" t="s">
        <v>47</v>
      </c>
      <c r="AH413" s="191" t="s">
        <v>44</v>
      </c>
      <c r="AI413" s="191" t="s">
        <v>134</v>
      </c>
      <c r="AJ413" s="191" t="s">
        <v>36</v>
      </c>
      <c r="AK413" s="191" t="s">
        <v>73</v>
      </c>
      <c r="AL413" s="191" t="s">
        <v>44</v>
      </c>
      <c r="AM413" s="191" t="s">
        <v>45</v>
      </c>
      <c r="AN413" s="191" t="s">
        <v>44</v>
      </c>
      <c r="AO413" s="191" t="s">
        <v>44</v>
      </c>
      <c r="AP413" s="191" t="s">
        <v>44</v>
      </c>
    </row>
    <row r="414" spans="1:42" ht="29">
      <c r="A414" s="191" t="s">
        <v>1726</v>
      </c>
      <c r="B414" s="190">
        <v>3</v>
      </c>
      <c r="C414" s="190">
        <v>7</v>
      </c>
      <c r="D414" s="190">
        <v>9</v>
      </c>
      <c r="E414" s="191" t="s">
        <v>318</v>
      </c>
      <c r="F414" s="190">
        <v>1</v>
      </c>
      <c r="G414" s="191" t="s">
        <v>33</v>
      </c>
      <c r="H414" s="190">
        <v>1</v>
      </c>
      <c r="I414" s="190">
        <v>100</v>
      </c>
      <c r="J414" s="191" t="s">
        <v>54</v>
      </c>
      <c r="K414" s="191" t="s">
        <v>47</v>
      </c>
      <c r="L414" s="191" t="s">
        <v>36</v>
      </c>
      <c r="M414" s="191" t="s">
        <v>118</v>
      </c>
      <c r="N414" s="191" t="s">
        <v>58</v>
      </c>
      <c r="O414" s="191" t="s">
        <v>39</v>
      </c>
      <c r="P414" s="191" t="s">
        <v>41</v>
      </c>
      <c r="Q414" s="191" t="s">
        <v>35</v>
      </c>
      <c r="R414" s="191" t="s">
        <v>60</v>
      </c>
      <c r="S414" s="191" t="s">
        <v>48</v>
      </c>
      <c r="T414" s="191" t="s">
        <v>44</v>
      </c>
      <c r="U414" s="191" t="s">
        <v>89</v>
      </c>
      <c r="V414" s="191" t="s">
        <v>1106</v>
      </c>
      <c r="W414" s="191" t="s">
        <v>47</v>
      </c>
      <c r="X414" s="191" t="s">
        <v>44</v>
      </c>
      <c r="Y414" s="191" t="s">
        <v>47</v>
      </c>
      <c r="Z414" s="191" t="s">
        <v>78</v>
      </c>
      <c r="AA414" s="191" t="s">
        <v>49</v>
      </c>
      <c r="AB414" s="191" t="s">
        <v>84</v>
      </c>
      <c r="AC414" s="191" t="s">
        <v>43</v>
      </c>
      <c r="AD414" s="191" t="s">
        <v>72</v>
      </c>
      <c r="AE414" s="191" t="s">
        <v>44</v>
      </c>
      <c r="AF414" s="191" t="s">
        <v>95</v>
      </c>
      <c r="AG414" s="191" t="s">
        <v>43</v>
      </c>
      <c r="AH414" s="191" t="s">
        <v>44</v>
      </c>
      <c r="AI414" s="191" t="s">
        <v>39</v>
      </c>
      <c r="AJ414" s="191" t="s">
        <v>36</v>
      </c>
      <c r="AK414" s="191" t="s">
        <v>77</v>
      </c>
      <c r="AL414" s="191" t="s">
        <v>44</v>
      </c>
      <c r="AM414" s="191" t="s">
        <v>89</v>
      </c>
      <c r="AN414" s="191" t="s">
        <v>44</v>
      </c>
      <c r="AO414" s="191" t="s">
        <v>44</v>
      </c>
      <c r="AP414" s="191" t="s">
        <v>44</v>
      </c>
    </row>
    <row r="415" spans="1:42" ht="29">
      <c r="A415" s="191" t="s">
        <v>1727</v>
      </c>
      <c r="B415" s="190">
        <v>3</v>
      </c>
      <c r="C415" s="190">
        <v>7</v>
      </c>
      <c r="D415" s="190">
        <v>9</v>
      </c>
      <c r="E415" s="191" t="s">
        <v>318</v>
      </c>
      <c r="F415" s="190">
        <v>1</v>
      </c>
      <c r="G415" s="191" t="s">
        <v>79</v>
      </c>
      <c r="H415" s="190">
        <v>1</v>
      </c>
      <c r="I415" s="190">
        <v>112</v>
      </c>
      <c r="J415" s="191" t="s">
        <v>34</v>
      </c>
      <c r="K415" s="191" t="s">
        <v>35</v>
      </c>
      <c r="L415" s="191" t="s">
        <v>36</v>
      </c>
      <c r="M415" s="191" t="s">
        <v>37</v>
      </c>
      <c r="N415" s="191" t="s">
        <v>58</v>
      </c>
      <c r="O415" s="191" t="s">
        <v>288</v>
      </c>
      <c r="P415" s="191" t="s">
        <v>98</v>
      </c>
      <c r="Q415" s="191" t="s">
        <v>115</v>
      </c>
      <c r="R415" s="191" t="s">
        <v>42</v>
      </c>
      <c r="S415" s="191" t="s">
        <v>48</v>
      </c>
      <c r="T415" s="191" t="s">
        <v>44</v>
      </c>
      <c r="U415" s="191" t="s">
        <v>47</v>
      </c>
      <c r="V415" s="191" t="s">
        <v>1144</v>
      </c>
      <c r="W415" s="191" t="s">
        <v>47</v>
      </c>
      <c r="X415" s="191" t="s">
        <v>44</v>
      </c>
      <c r="Y415" s="191" t="s">
        <v>61</v>
      </c>
      <c r="Z415" s="191" t="s">
        <v>43</v>
      </c>
      <c r="AA415" s="191" t="s">
        <v>62</v>
      </c>
      <c r="AB415" s="191" t="s">
        <v>50</v>
      </c>
      <c r="AC415" s="191" t="s">
        <v>47</v>
      </c>
      <c r="AD415" s="191" t="s">
        <v>72</v>
      </c>
      <c r="AE415" s="191" t="s">
        <v>44</v>
      </c>
      <c r="AF415" s="191" t="s">
        <v>95</v>
      </c>
      <c r="AG415" s="191" t="s">
        <v>47</v>
      </c>
      <c r="AH415" s="191" t="s">
        <v>44</v>
      </c>
      <c r="AI415" s="191" t="s">
        <v>134</v>
      </c>
      <c r="AJ415" s="191" t="s">
        <v>36</v>
      </c>
      <c r="AK415" s="191" t="s">
        <v>73</v>
      </c>
      <c r="AL415" s="191" t="s">
        <v>44</v>
      </c>
      <c r="AM415" s="191" t="s">
        <v>89</v>
      </c>
      <c r="AN415" s="191" t="s">
        <v>44</v>
      </c>
      <c r="AO415" s="191" t="s">
        <v>44</v>
      </c>
      <c r="AP415" s="191" t="s">
        <v>44</v>
      </c>
    </row>
    <row r="416" spans="1:42" ht="29">
      <c r="A416" s="191" t="s">
        <v>1728</v>
      </c>
      <c r="B416" s="190">
        <v>3</v>
      </c>
      <c r="C416" s="190">
        <v>3</v>
      </c>
      <c r="D416" s="190">
        <v>3</v>
      </c>
      <c r="E416" s="191" t="s">
        <v>307</v>
      </c>
      <c r="F416" s="190">
        <v>3</v>
      </c>
      <c r="G416" s="191" t="s">
        <v>53</v>
      </c>
      <c r="H416" s="190">
        <v>1</v>
      </c>
      <c r="I416" s="190">
        <v>96</v>
      </c>
      <c r="J416" s="191" t="s">
        <v>54</v>
      </c>
      <c r="K416" s="191" t="s">
        <v>61</v>
      </c>
      <c r="L416" s="191" t="s">
        <v>70</v>
      </c>
      <c r="M416" s="191" t="s">
        <v>37</v>
      </c>
      <c r="N416" s="191" t="s">
        <v>95</v>
      </c>
      <c r="O416" s="191" t="s">
        <v>39</v>
      </c>
      <c r="P416" s="191" t="s">
        <v>41</v>
      </c>
      <c r="Q416" s="191" t="s">
        <v>77</v>
      </c>
      <c r="R416" s="191" t="s">
        <v>42</v>
      </c>
      <c r="S416" s="191" t="s">
        <v>48</v>
      </c>
      <c r="T416" s="191" t="s">
        <v>44</v>
      </c>
      <c r="U416" s="191" t="s">
        <v>40</v>
      </c>
      <c r="V416" s="191" t="s">
        <v>1106</v>
      </c>
      <c r="W416" s="191" t="s">
        <v>43</v>
      </c>
      <c r="X416" s="191" t="s">
        <v>44</v>
      </c>
      <c r="Y416" s="191" t="s">
        <v>47</v>
      </c>
      <c r="Z416" s="191" t="s">
        <v>43</v>
      </c>
      <c r="AA416" s="191" t="s">
        <v>105</v>
      </c>
      <c r="AB416" s="191" t="s">
        <v>84</v>
      </c>
      <c r="AC416" s="191" t="s">
        <v>43</v>
      </c>
      <c r="AD416" s="191" t="s">
        <v>72</v>
      </c>
      <c r="AE416" s="191" t="s">
        <v>44</v>
      </c>
      <c r="AF416" s="191" t="s">
        <v>95</v>
      </c>
      <c r="AG416" s="191" t="s">
        <v>47</v>
      </c>
      <c r="AH416" s="191" t="s">
        <v>44</v>
      </c>
      <c r="AI416" s="191" t="s">
        <v>39</v>
      </c>
      <c r="AJ416" s="191" t="s">
        <v>36</v>
      </c>
      <c r="AK416" s="191" t="s">
        <v>71</v>
      </c>
      <c r="AL416" s="191" t="s">
        <v>44</v>
      </c>
      <c r="AM416" s="191" t="s">
        <v>89</v>
      </c>
      <c r="AN416" s="191" t="s">
        <v>44</v>
      </c>
      <c r="AO416" s="191" t="s">
        <v>44</v>
      </c>
      <c r="AP416" s="191" t="s">
        <v>44</v>
      </c>
    </row>
    <row r="417" spans="1:42" ht="29">
      <c r="A417" s="191" t="s">
        <v>1729</v>
      </c>
      <c r="B417" s="190">
        <v>3</v>
      </c>
      <c r="C417" s="190">
        <v>3</v>
      </c>
      <c r="D417" s="190">
        <v>5</v>
      </c>
      <c r="E417" s="191" t="s">
        <v>311</v>
      </c>
      <c r="F417" s="190">
        <v>3</v>
      </c>
      <c r="G417" s="191" t="s">
        <v>69</v>
      </c>
      <c r="H417" s="190">
        <v>1</v>
      </c>
      <c r="I417" s="190">
        <v>120</v>
      </c>
      <c r="J417" s="191" t="s">
        <v>65</v>
      </c>
      <c r="K417" s="191" t="s">
        <v>61</v>
      </c>
      <c r="L417" s="191" t="s">
        <v>36</v>
      </c>
      <c r="M417" s="191" t="s">
        <v>37</v>
      </c>
      <c r="N417" s="191" t="s">
        <v>38</v>
      </c>
      <c r="O417" s="191" t="s">
        <v>39</v>
      </c>
      <c r="P417" s="191" t="s">
        <v>41</v>
      </c>
      <c r="Q417" s="191" t="s">
        <v>77</v>
      </c>
      <c r="R417" s="191" t="s">
        <v>60</v>
      </c>
      <c r="S417" s="191" t="s">
        <v>48</v>
      </c>
      <c r="T417" s="191" t="s">
        <v>44</v>
      </c>
      <c r="U417" s="191" t="s">
        <v>126</v>
      </c>
      <c r="V417" s="191" t="s">
        <v>1106</v>
      </c>
      <c r="W417" s="191" t="s">
        <v>78</v>
      </c>
      <c r="X417" s="191" t="s">
        <v>44</v>
      </c>
      <c r="Y417" s="191" t="s">
        <v>43</v>
      </c>
      <c r="Z417" s="191" t="s">
        <v>43</v>
      </c>
      <c r="AA417" s="191" t="s">
        <v>49</v>
      </c>
      <c r="AB417" s="191" t="s">
        <v>50</v>
      </c>
      <c r="AC417" s="191" t="s">
        <v>43</v>
      </c>
      <c r="AD417" s="191" t="s">
        <v>72</v>
      </c>
      <c r="AE417" s="191" t="s">
        <v>44</v>
      </c>
      <c r="AF417" s="191" t="s">
        <v>95</v>
      </c>
      <c r="AG417" s="191" t="s">
        <v>43</v>
      </c>
      <c r="AH417" s="191" t="s">
        <v>44</v>
      </c>
      <c r="AI417" s="191" t="s">
        <v>39</v>
      </c>
      <c r="AJ417" s="191" t="s">
        <v>36</v>
      </c>
      <c r="AK417" s="191" t="s">
        <v>73</v>
      </c>
      <c r="AL417" s="191" t="s">
        <v>44</v>
      </c>
      <c r="AM417" s="191" t="s">
        <v>152</v>
      </c>
      <c r="AN417" s="191" t="s">
        <v>44</v>
      </c>
      <c r="AO417" s="191" t="s">
        <v>44</v>
      </c>
      <c r="AP417" s="191" t="s">
        <v>44</v>
      </c>
    </row>
    <row r="418" spans="1:42" ht="43.5">
      <c r="A418" s="191" t="s">
        <v>1730</v>
      </c>
      <c r="B418" s="190">
        <v>3</v>
      </c>
      <c r="C418" s="190">
        <v>5</v>
      </c>
      <c r="D418" s="190">
        <v>5</v>
      </c>
      <c r="E418" s="191" t="s">
        <v>311</v>
      </c>
      <c r="F418" s="190">
        <v>4</v>
      </c>
      <c r="G418" s="191" t="s">
        <v>97</v>
      </c>
      <c r="H418" s="190">
        <v>1</v>
      </c>
      <c r="I418" s="190">
        <v>1</v>
      </c>
      <c r="J418" s="191" t="s">
        <v>54</v>
      </c>
      <c r="K418" s="191" t="s">
        <v>61</v>
      </c>
      <c r="L418" s="191" t="s">
        <v>36</v>
      </c>
      <c r="M418" s="191" t="s">
        <v>37</v>
      </c>
      <c r="N418" s="191" t="s">
        <v>58</v>
      </c>
      <c r="O418" s="191" t="s">
        <v>288</v>
      </c>
      <c r="P418" s="191" t="s">
        <v>66</v>
      </c>
      <c r="Q418" s="191" t="s">
        <v>40</v>
      </c>
      <c r="R418" s="191" t="s">
        <v>60</v>
      </c>
      <c r="S418" s="191" t="s">
        <v>48</v>
      </c>
      <c r="T418" s="191" t="s">
        <v>44</v>
      </c>
      <c r="U418" s="191" t="s">
        <v>44</v>
      </c>
      <c r="V418" s="191" t="s">
        <v>44</v>
      </c>
      <c r="W418" s="191" t="s">
        <v>43</v>
      </c>
      <c r="X418" s="191" t="s">
        <v>44</v>
      </c>
      <c r="Y418" s="191" t="s">
        <v>45</v>
      </c>
      <c r="Z418" s="191" t="s">
        <v>43</v>
      </c>
      <c r="AA418" s="191" t="s">
        <v>62</v>
      </c>
      <c r="AB418" s="191" t="s">
        <v>50</v>
      </c>
      <c r="AC418" s="191" t="s">
        <v>43</v>
      </c>
      <c r="AD418" s="191" t="s">
        <v>72</v>
      </c>
      <c r="AE418" s="191" t="s">
        <v>44</v>
      </c>
      <c r="AF418" s="191" t="s">
        <v>95</v>
      </c>
      <c r="AG418" s="191" t="s">
        <v>47</v>
      </c>
      <c r="AH418" s="191" t="s">
        <v>44</v>
      </c>
      <c r="AI418" s="191" t="s">
        <v>134</v>
      </c>
      <c r="AJ418" s="191" t="s">
        <v>36</v>
      </c>
      <c r="AK418" s="191" t="s">
        <v>73</v>
      </c>
      <c r="AL418" s="191" t="s">
        <v>44</v>
      </c>
      <c r="AM418" s="191" t="s">
        <v>47</v>
      </c>
      <c r="AN418" s="191" t="s">
        <v>44</v>
      </c>
      <c r="AO418" s="191" t="s">
        <v>44</v>
      </c>
      <c r="AP418" s="191" t="s">
        <v>44</v>
      </c>
    </row>
    <row r="419" spans="1:42" ht="29">
      <c r="A419" s="191" t="s">
        <v>1731</v>
      </c>
      <c r="B419" s="190">
        <v>3</v>
      </c>
      <c r="C419" s="190">
        <v>3</v>
      </c>
      <c r="D419" s="190">
        <v>2</v>
      </c>
      <c r="E419" s="191" t="s">
        <v>311</v>
      </c>
      <c r="F419" s="190">
        <v>4</v>
      </c>
      <c r="G419" s="191" t="s">
        <v>64</v>
      </c>
      <c r="H419" s="190">
        <v>1</v>
      </c>
      <c r="I419" s="190">
        <v>130</v>
      </c>
      <c r="J419" s="191" t="s">
        <v>54</v>
      </c>
      <c r="K419" s="191" t="s">
        <v>61</v>
      </c>
      <c r="L419" s="191" t="s">
        <v>36</v>
      </c>
      <c r="M419" s="191" t="s">
        <v>37</v>
      </c>
      <c r="N419" s="191" t="s">
        <v>58</v>
      </c>
      <c r="O419" s="191" t="s">
        <v>288</v>
      </c>
      <c r="P419" s="191" t="s">
        <v>98</v>
      </c>
      <c r="Q419" s="191" t="s">
        <v>88</v>
      </c>
      <c r="R419" s="191" t="s">
        <v>42</v>
      </c>
      <c r="S419" s="191" t="s">
        <v>48</v>
      </c>
      <c r="T419" s="191" t="s">
        <v>44</v>
      </c>
      <c r="U419" s="191" t="s">
        <v>43</v>
      </c>
      <c r="V419" s="191" t="s">
        <v>1106</v>
      </c>
      <c r="W419" s="191" t="s">
        <v>43</v>
      </c>
      <c r="X419" s="191" t="s">
        <v>44</v>
      </c>
      <c r="Y419" s="191" t="s">
        <v>45</v>
      </c>
      <c r="Z419" s="191" t="s">
        <v>43</v>
      </c>
      <c r="AA419" s="191" t="s">
        <v>105</v>
      </c>
      <c r="AB419" s="191" t="s">
        <v>84</v>
      </c>
      <c r="AC419" s="191" t="s">
        <v>43</v>
      </c>
      <c r="AD419" s="191" t="s">
        <v>51</v>
      </c>
      <c r="AE419" s="191" t="s">
        <v>44</v>
      </c>
      <c r="AF419" s="191" t="s">
        <v>95</v>
      </c>
      <c r="AG419" s="191" t="s">
        <v>43</v>
      </c>
      <c r="AH419" s="191" t="s">
        <v>44</v>
      </c>
      <c r="AI419" s="191" t="s">
        <v>39</v>
      </c>
      <c r="AJ419" s="191" t="s">
        <v>36</v>
      </c>
      <c r="AK419" s="191" t="s">
        <v>59</v>
      </c>
      <c r="AL419" s="191" t="s">
        <v>44</v>
      </c>
      <c r="AM419" s="191" t="s">
        <v>45</v>
      </c>
      <c r="AN419" s="191" t="s">
        <v>44</v>
      </c>
      <c r="AO419" s="191" t="s">
        <v>44</v>
      </c>
      <c r="AP419" s="191" t="s">
        <v>44</v>
      </c>
    </row>
    <row r="420" spans="1:42" ht="29">
      <c r="A420" s="191" t="s">
        <v>1732</v>
      </c>
      <c r="B420" s="190">
        <v>3</v>
      </c>
      <c r="C420" s="190">
        <v>7</v>
      </c>
      <c r="D420" s="190">
        <v>7</v>
      </c>
      <c r="E420" s="191" t="s">
        <v>318</v>
      </c>
      <c r="F420" s="190">
        <v>2</v>
      </c>
      <c r="G420" s="191" t="s">
        <v>64</v>
      </c>
      <c r="H420" s="190">
        <v>1</v>
      </c>
      <c r="I420" s="190">
        <v>120</v>
      </c>
      <c r="J420" s="191" t="s">
        <v>34</v>
      </c>
      <c r="K420" s="191" t="s">
        <v>40</v>
      </c>
      <c r="L420" s="191" t="s">
        <v>36</v>
      </c>
      <c r="M420" s="191" t="s">
        <v>37</v>
      </c>
      <c r="N420" s="191" t="s">
        <v>38</v>
      </c>
      <c r="O420" s="191" t="s">
        <v>288</v>
      </c>
      <c r="P420" s="191" t="s">
        <v>41</v>
      </c>
      <c r="Q420" s="191" t="s">
        <v>92</v>
      </c>
      <c r="R420" s="191" t="s">
        <v>36</v>
      </c>
      <c r="S420" s="191" t="s">
        <v>48</v>
      </c>
      <c r="T420" s="191" t="s">
        <v>44</v>
      </c>
      <c r="U420" s="191" t="s">
        <v>61</v>
      </c>
      <c r="V420" s="191" t="s">
        <v>1106</v>
      </c>
      <c r="W420" s="191" t="s">
        <v>43</v>
      </c>
      <c r="X420" s="191" t="s">
        <v>44</v>
      </c>
      <c r="Y420" s="191" t="s">
        <v>43</v>
      </c>
      <c r="Z420" s="191" t="s">
        <v>43</v>
      </c>
      <c r="AA420" s="191" t="s">
        <v>62</v>
      </c>
      <c r="AB420" s="191" t="s">
        <v>50</v>
      </c>
      <c r="AC420" s="191" t="s">
        <v>43</v>
      </c>
      <c r="AD420" s="191" t="s">
        <v>72</v>
      </c>
      <c r="AE420" s="191" t="s">
        <v>44</v>
      </c>
      <c r="AF420" s="191" t="s">
        <v>95</v>
      </c>
      <c r="AG420" s="191" t="s">
        <v>47</v>
      </c>
      <c r="AH420" s="191" t="s">
        <v>44</v>
      </c>
      <c r="AI420" s="191" t="s">
        <v>39</v>
      </c>
      <c r="AJ420" s="191" t="s">
        <v>36</v>
      </c>
      <c r="AK420" s="191" t="s">
        <v>77</v>
      </c>
      <c r="AL420" s="191" t="s">
        <v>44</v>
      </c>
      <c r="AM420" s="191" t="s">
        <v>89</v>
      </c>
      <c r="AN420" s="191" t="s">
        <v>44</v>
      </c>
      <c r="AO420" s="191" t="s">
        <v>44</v>
      </c>
      <c r="AP420" s="191" t="s">
        <v>44</v>
      </c>
    </row>
    <row r="421" spans="1:42" ht="29">
      <c r="A421" s="191" t="s">
        <v>1733</v>
      </c>
      <c r="B421" s="190">
        <v>3</v>
      </c>
      <c r="C421" s="190">
        <v>2</v>
      </c>
      <c r="D421" s="190">
        <v>9</v>
      </c>
      <c r="E421" s="191" t="s">
        <v>311</v>
      </c>
      <c r="F421" s="190">
        <v>4</v>
      </c>
      <c r="G421" s="191" t="s">
        <v>79</v>
      </c>
      <c r="H421" s="190">
        <v>1</v>
      </c>
      <c r="I421" s="190">
        <v>200</v>
      </c>
      <c r="J421" s="191" t="s">
        <v>80</v>
      </c>
      <c r="K421" s="191" t="s">
        <v>71</v>
      </c>
      <c r="L421" s="191" t="s">
        <v>36</v>
      </c>
      <c r="M421" s="191" t="s">
        <v>37</v>
      </c>
      <c r="N421" s="191" t="s">
        <v>95</v>
      </c>
      <c r="O421" s="191" t="s">
        <v>39</v>
      </c>
      <c r="P421" s="191" t="s">
        <v>41</v>
      </c>
      <c r="Q421" s="191" t="s">
        <v>47</v>
      </c>
      <c r="R421" s="191" t="s">
        <v>87</v>
      </c>
      <c r="S421" s="191" t="s">
        <v>48</v>
      </c>
      <c r="T421" s="191" t="s">
        <v>44</v>
      </c>
      <c r="U421" s="191" t="s">
        <v>119</v>
      </c>
      <c r="V421" s="191" t="s">
        <v>1141</v>
      </c>
      <c r="W421" s="191" t="s">
        <v>43</v>
      </c>
      <c r="X421" s="191" t="s">
        <v>44</v>
      </c>
      <c r="Y421" s="191" t="s">
        <v>47</v>
      </c>
      <c r="Z421" s="191" t="s">
        <v>43</v>
      </c>
      <c r="AA421" s="191" t="s">
        <v>62</v>
      </c>
      <c r="AB421" s="191" t="s">
        <v>50</v>
      </c>
      <c r="AC421" s="191" t="s">
        <v>43</v>
      </c>
      <c r="AD421" s="191" t="s">
        <v>72</v>
      </c>
      <c r="AE421" s="191" t="s">
        <v>44</v>
      </c>
      <c r="AF421" s="191" t="s">
        <v>95</v>
      </c>
      <c r="AG421" s="191" t="s">
        <v>47</v>
      </c>
      <c r="AH421" s="191" t="s">
        <v>44</v>
      </c>
      <c r="AI421" s="191" t="s">
        <v>39</v>
      </c>
      <c r="AJ421" s="191" t="s">
        <v>36</v>
      </c>
      <c r="AK421" s="191" t="s">
        <v>43</v>
      </c>
      <c r="AL421" s="191" t="s">
        <v>44</v>
      </c>
      <c r="AM421" s="191" t="s">
        <v>47</v>
      </c>
      <c r="AN421" s="191" t="s">
        <v>44</v>
      </c>
      <c r="AO421" s="191" t="s">
        <v>44</v>
      </c>
      <c r="AP421" s="191" t="s">
        <v>44</v>
      </c>
    </row>
    <row r="422" spans="1:42" ht="29">
      <c r="A422" s="191" t="s">
        <v>1734</v>
      </c>
      <c r="B422" s="190">
        <v>3</v>
      </c>
      <c r="C422" s="190">
        <v>2</v>
      </c>
      <c r="D422" s="190">
        <v>3</v>
      </c>
      <c r="E422" s="191" t="s">
        <v>307</v>
      </c>
      <c r="F422" s="190">
        <v>2</v>
      </c>
      <c r="G422" s="191" t="s">
        <v>69</v>
      </c>
      <c r="H422" s="190">
        <v>1</v>
      </c>
      <c r="I422" s="190">
        <v>125</v>
      </c>
      <c r="J422" s="191" t="s">
        <v>36</v>
      </c>
      <c r="K422" s="191" t="s">
        <v>61</v>
      </c>
      <c r="L422" s="191" t="s">
        <v>107</v>
      </c>
      <c r="M422" s="191" t="s">
        <v>37</v>
      </c>
      <c r="N422" s="191" t="s">
        <v>38</v>
      </c>
      <c r="O422" s="191" t="s">
        <v>39</v>
      </c>
      <c r="P422" s="191" t="s">
        <v>41</v>
      </c>
      <c r="Q422" s="191" t="s">
        <v>127</v>
      </c>
      <c r="R422" s="191" t="s">
        <v>42</v>
      </c>
      <c r="S422" s="191" t="s">
        <v>48</v>
      </c>
      <c r="T422" s="191" t="s">
        <v>44</v>
      </c>
      <c r="U422" s="191" t="s">
        <v>44</v>
      </c>
      <c r="V422" s="191" t="s">
        <v>44</v>
      </c>
      <c r="W422" s="191" t="s">
        <v>78</v>
      </c>
      <c r="X422" s="191" t="s">
        <v>44</v>
      </c>
      <c r="Y422" s="191" t="s">
        <v>47</v>
      </c>
      <c r="Z422" s="191" t="s">
        <v>43</v>
      </c>
      <c r="AA422" s="191" t="s">
        <v>49</v>
      </c>
      <c r="AB422" s="191" t="s">
        <v>50</v>
      </c>
      <c r="AC422" s="191" t="s">
        <v>46</v>
      </c>
      <c r="AD422" s="191" t="s">
        <v>36</v>
      </c>
      <c r="AE422" s="191" t="s">
        <v>44</v>
      </c>
      <c r="AF422" s="191" t="s">
        <v>95</v>
      </c>
      <c r="AG422" s="191" t="s">
        <v>47</v>
      </c>
      <c r="AH422" s="191" t="s">
        <v>44</v>
      </c>
      <c r="AI422" s="191" t="s">
        <v>134</v>
      </c>
      <c r="AJ422" s="191" t="s">
        <v>36</v>
      </c>
      <c r="AK422" s="191" t="s">
        <v>77</v>
      </c>
      <c r="AL422" s="191" t="s">
        <v>44</v>
      </c>
      <c r="AM422" s="191" t="s">
        <v>89</v>
      </c>
      <c r="AN422" s="191" t="s">
        <v>44</v>
      </c>
      <c r="AO422" s="191" t="s">
        <v>44</v>
      </c>
      <c r="AP422" s="191" t="s">
        <v>44</v>
      </c>
    </row>
    <row r="423" spans="1:42" ht="43.5">
      <c r="A423" s="191" t="s">
        <v>1735</v>
      </c>
      <c r="B423" s="190">
        <v>3</v>
      </c>
      <c r="C423" s="190">
        <v>5</v>
      </c>
      <c r="D423" s="190">
        <v>5</v>
      </c>
      <c r="E423" s="191" t="s">
        <v>315</v>
      </c>
      <c r="F423" s="190">
        <v>5</v>
      </c>
      <c r="G423" s="191" t="s">
        <v>100</v>
      </c>
      <c r="H423" s="190">
        <v>1</v>
      </c>
      <c r="I423" s="190">
        <v>240</v>
      </c>
      <c r="J423" s="191" t="s">
        <v>54</v>
      </c>
      <c r="K423" s="191" t="s">
        <v>47</v>
      </c>
      <c r="L423" s="191" t="s">
        <v>70</v>
      </c>
      <c r="M423" s="191" t="s">
        <v>37</v>
      </c>
      <c r="N423" s="191" t="s">
        <v>38</v>
      </c>
      <c r="O423" s="191" t="s">
        <v>288</v>
      </c>
      <c r="P423" s="191" t="s">
        <v>41</v>
      </c>
      <c r="Q423" s="191" t="s">
        <v>90</v>
      </c>
      <c r="R423" s="191" t="s">
        <v>42</v>
      </c>
      <c r="S423" s="191" t="s">
        <v>48</v>
      </c>
      <c r="T423" s="191" t="s">
        <v>44</v>
      </c>
      <c r="U423" s="191" t="s">
        <v>126</v>
      </c>
      <c r="V423" s="191" t="s">
        <v>1141</v>
      </c>
      <c r="W423" s="191" t="s">
        <v>43</v>
      </c>
      <c r="X423" s="191" t="s">
        <v>44</v>
      </c>
      <c r="Y423" s="191" t="s">
        <v>45</v>
      </c>
      <c r="Z423" s="191" t="s">
        <v>43</v>
      </c>
      <c r="AA423" s="191" t="s">
        <v>49</v>
      </c>
      <c r="AB423" s="191" t="s">
        <v>50</v>
      </c>
      <c r="AC423" s="191" t="s">
        <v>43</v>
      </c>
      <c r="AD423" s="191" t="s">
        <v>72</v>
      </c>
      <c r="AE423" s="191" t="s">
        <v>1736</v>
      </c>
      <c r="AF423" s="191" t="s">
        <v>95</v>
      </c>
      <c r="AG423" s="191" t="s">
        <v>47</v>
      </c>
      <c r="AH423" s="191" t="s">
        <v>44</v>
      </c>
      <c r="AI423" s="191" t="s">
        <v>39</v>
      </c>
      <c r="AJ423" s="191" t="s">
        <v>36</v>
      </c>
      <c r="AK423" s="191" t="s">
        <v>71</v>
      </c>
      <c r="AL423" s="191" t="s">
        <v>44</v>
      </c>
      <c r="AM423" s="191" t="s">
        <v>144</v>
      </c>
      <c r="AN423" s="191" t="s">
        <v>44</v>
      </c>
      <c r="AO423" s="191" t="s">
        <v>1737</v>
      </c>
      <c r="AP423" s="191" t="s">
        <v>1737</v>
      </c>
    </row>
    <row r="424" spans="1:42" ht="29">
      <c r="A424" s="191" t="s">
        <v>1738</v>
      </c>
      <c r="B424" s="190">
        <v>3</v>
      </c>
      <c r="C424" s="190">
        <v>7</v>
      </c>
      <c r="D424" s="190">
        <v>7</v>
      </c>
      <c r="E424" s="191" t="s">
        <v>318</v>
      </c>
      <c r="F424" s="190">
        <v>2</v>
      </c>
      <c r="G424" s="191" t="s">
        <v>53</v>
      </c>
      <c r="H424" s="190">
        <v>1</v>
      </c>
      <c r="I424" s="190">
        <v>100</v>
      </c>
      <c r="J424" s="191" t="s">
        <v>54</v>
      </c>
      <c r="K424" s="191" t="s">
        <v>61</v>
      </c>
      <c r="L424" s="191" t="s">
        <v>36</v>
      </c>
      <c r="M424" s="191" t="s">
        <v>37</v>
      </c>
      <c r="N424" s="191" t="s">
        <v>38</v>
      </c>
      <c r="O424" s="191" t="s">
        <v>288</v>
      </c>
      <c r="P424" s="191" t="s">
        <v>98</v>
      </c>
      <c r="Q424" s="191" t="s">
        <v>43</v>
      </c>
      <c r="R424" s="191" t="s">
        <v>42</v>
      </c>
      <c r="S424" s="191" t="s">
        <v>48</v>
      </c>
      <c r="T424" s="191" t="s">
        <v>44</v>
      </c>
      <c r="U424" s="191" t="s">
        <v>43</v>
      </c>
      <c r="V424" s="191" t="s">
        <v>1108</v>
      </c>
      <c r="W424" s="191" t="s">
        <v>47</v>
      </c>
      <c r="X424" s="191" t="s">
        <v>44</v>
      </c>
      <c r="Y424" s="191" t="s">
        <v>47</v>
      </c>
      <c r="Z424" s="191" t="s">
        <v>43</v>
      </c>
      <c r="AA424" s="191" t="s">
        <v>62</v>
      </c>
      <c r="AB424" s="191" t="s">
        <v>84</v>
      </c>
      <c r="AC424" s="191" t="s">
        <v>47</v>
      </c>
      <c r="AD424" s="191" t="s">
        <v>72</v>
      </c>
      <c r="AE424" s="191" t="s">
        <v>44</v>
      </c>
      <c r="AF424" s="191" t="s">
        <v>52</v>
      </c>
      <c r="AG424" s="191" t="s">
        <v>47</v>
      </c>
      <c r="AH424" s="191" t="s">
        <v>44</v>
      </c>
      <c r="AI424" s="191" t="s">
        <v>134</v>
      </c>
      <c r="AJ424" s="191" t="s">
        <v>36</v>
      </c>
      <c r="AK424" s="191" t="s">
        <v>63</v>
      </c>
      <c r="AL424" s="191" t="s">
        <v>44</v>
      </c>
      <c r="AM424" s="191" t="s">
        <v>1242</v>
      </c>
      <c r="AN424" s="191" t="s">
        <v>44</v>
      </c>
      <c r="AO424" s="191" t="s">
        <v>44</v>
      </c>
      <c r="AP424" s="191" t="s">
        <v>44</v>
      </c>
    </row>
    <row r="425" spans="1:42" ht="58">
      <c r="A425" s="191" t="s">
        <v>1739</v>
      </c>
      <c r="B425" s="190">
        <v>3</v>
      </c>
      <c r="C425" s="190">
        <v>3</v>
      </c>
      <c r="D425" s="190">
        <v>3</v>
      </c>
      <c r="E425" s="191" t="s">
        <v>315</v>
      </c>
      <c r="F425" s="190">
        <v>3</v>
      </c>
      <c r="G425" s="191" t="s">
        <v>64</v>
      </c>
      <c r="H425" s="190">
        <v>1</v>
      </c>
      <c r="I425" s="190">
        <v>90</v>
      </c>
      <c r="J425" s="191" t="s">
        <v>80</v>
      </c>
      <c r="K425" s="191" t="s">
        <v>81</v>
      </c>
      <c r="L425" s="191" t="s">
        <v>36</v>
      </c>
      <c r="M425" s="191" t="s">
        <v>37</v>
      </c>
      <c r="N425" s="191" t="s">
        <v>95</v>
      </c>
      <c r="O425" s="191" t="s">
        <v>39</v>
      </c>
      <c r="P425" s="191" t="s">
        <v>41</v>
      </c>
      <c r="Q425" s="191" t="s">
        <v>86</v>
      </c>
      <c r="R425" s="191" t="s">
        <v>87</v>
      </c>
      <c r="S425" s="191" t="s">
        <v>157</v>
      </c>
      <c r="T425" s="191" t="s">
        <v>44</v>
      </c>
      <c r="U425" s="191" t="s">
        <v>44</v>
      </c>
      <c r="V425" s="191" t="s">
        <v>44</v>
      </c>
      <c r="W425" s="191" t="s">
        <v>45</v>
      </c>
      <c r="X425" s="191" t="s">
        <v>44</v>
      </c>
      <c r="Y425" s="191" t="s">
        <v>61</v>
      </c>
      <c r="Z425" s="191" t="s">
        <v>47</v>
      </c>
      <c r="AA425" s="191" t="s">
        <v>36</v>
      </c>
      <c r="AB425" s="191" t="s">
        <v>36</v>
      </c>
      <c r="AC425" s="191" t="s">
        <v>43</v>
      </c>
      <c r="AD425" s="191" t="s">
        <v>72</v>
      </c>
      <c r="AE425" s="191" t="s">
        <v>44</v>
      </c>
      <c r="AF425" s="191" t="s">
        <v>95</v>
      </c>
      <c r="AG425" s="191" t="s">
        <v>43</v>
      </c>
      <c r="AH425" s="191" t="s">
        <v>44</v>
      </c>
      <c r="AI425" s="191" t="s">
        <v>39</v>
      </c>
      <c r="AJ425" s="191" t="s">
        <v>36</v>
      </c>
      <c r="AK425" s="191" t="s">
        <v>136</v>
      </c>
      <c r="AL425" s="191" t="s">
        <v>1740</v>
      </c>
      <c r="AM425" s="191" t="s">
        <v>89</v>
      </c>
      <c r="AN425" s="191" t="s">
        <v>44</v>
      </c>
      <c r="AO425" s="191" t="s">
        <v>44</v>
      </c>
      <c r="AP425" s="191" t="s">
        <v>44</v>
      </c>
    </row>
    <row r="426" spans="1:42" ht="29">
      <c r="A426" s="191" t="s">
        <v>1741</v>
      </c>
      <c r="B426" s="190">
        <v>3</v>
      </c>
      <c r="C426" s="190">
        <v>7</v>
      </c>
      <c r="D426" s="190">
        <v>9</v>
      </c>
      <c r="E426" s="191" t="s">
        <v>318</v>
      </c>
      <c r="F426" s="190">
        <v>1</v>
      </c>
      <c r="G426" s="191" t="s">
        <v>33</v>
      </c>
      <c r="H426" s="190">
        <v>1</v>
      </c>
      <c r="I426" s="190">
        <v>120</v>
      </c>
      <c r="J426" s="191" t="s">
        <v>34</v>
      </c>
      <c r="K426" s="191" t="s">
        <v>40</v>
      </c>
      <c r="L426" s="191" t="s">
        <v>36</v>
      </c>
      <c r="M426" s="191" t="s">
        <v>37</v>
      </c>
      <c r="N426" s="191" t="s">
        <v>58</v>
      </c>
      <c r="O426" s="191" t="s">
        <v>39</v>
      </c>
      <c r="P426" s="191" t="s">
        <v>41</v>
      </c>
      <c r="Q426" s="191" t="s">
        <v>40</v>
      </c>
      <c r="R426" s="191" t="s">
        <v>42</v>
      </c>
      <c r="S426" s="191" t="s">
        <v>48</v>
      </c>
      <c r="T426" s="191" t="s">
        <v>44</v>
      </c>
      <c r="U426" s="191" t="s">
        <v>89</v>
      </c>
      <c r="V426" s="191" t="s">
        <v>1108</v>
      </c>
      <c r="W426" s="191" t="s">
        <v>43</v>
      </c>
      <c r="X426" s="191" t="s">
        <v>44</v>
      </c>
      <c r="Y426" s="191" t="s">
        <v>43</v>
      </c>
      <c r="Z426" s="191" t="s">
        <v>43</v>
      </c>
      <c r="AA426" s="191" t="s">
        <v>49</v>
      </c>
      <c r="AB426" s="191" t="s">
        <v>50</v>
      </c>
      <c r="AC426" s="191" t="s">
        <v>43</v>
      </c>
      <c r="AD426" s="191" t="s">
        <v>72</v>
      </c>
      <c r="AE426" s="191" t="s">
        <v>44</v>
      </c>
      <c r="AF426" s="191" t="s">
        <v>95</v>
      </c>
      <c r="AG426" s="191" t="s">
        <v>43</v>
      </c>
      <c r="AH426" s="191" t="s">
        <v>44</v>
      </c>
      <c r="AI426" s="191" t="s">
        <v>39</v>
      </c>
      <c r="AJ426" s="191" t="s">
        <v>36</v>
      </c>
      <c r="AK426" s="191" t="s">
        <v>63</v>
      </c>
      <c r="AL426" s="191" t="s">
        <v>44</v>
      </c>
      <c r="AM426" s="191" t="s">
        <v>47</v>
      </c>
      <c r="AN426" s="191" t="s">
        <v>44</v>
      </c>
      <c r="AO426" s="191" t="s">
        <v>44</v>
      </c>
      <c r="AP426" s="191" t="s">
        <v>44</v>
      </c>
    </row>
    <row r="427" spans="1:42" ht="43.5">
      <c r="A427" s="191" t="s">
        <v>1742</v>
      </c>
      <c r="B427" s="190">
        <v>3</v>
      </c>
      <c r="C427" s="190">
        <v>5</v>
      </c>
      <c r="D427" s="190">
        <v>2</v>
      </c>
      <c r="E427" s="191" t="s">
        <v>311</v>
      </c>
      <c r="F427" s="190">
        <v>4</v>
      </c>
      <c r="G427" s="191" t="s">
        <v>94</v>
      </c>
      <c r="H427" s="190">
        <v>1</v>
      </c>
      <c r="I427" s="190">
        <v>161</v>
      </c>
      <c r="J427" s="191" t="s">
        <v>54</v>
      </c>
      <c r="K427" s="191" t="s">
        <v>81</v>
      </c>
      <c r="L427" s="191" t="s">
        <v>36</v>
      </c>
      <c r="M427" s="191" t="s">
        <v>37</v>
      </c>
      <c r="N427" s="191" t="s">
        <v>58</v>
      </c>
      <c r="O427" s="191" t="s">
        <v>288</v>
      </c>
      <c r="P427" s="191" t="s">
        <v>66</v>
      </c>
      <c r="Q427" s="191" t="s">
        <v>88</v>
      </c>
      <c r="R427" s="191" t="s">
        <v>42</v>
      </c>
      <c r="S427" s="191" t="s">
        <v>48</v>
      </c>
      <c r="T427" s="191" t="s">
        <v>44</v>
      </c>
      <c r="U427" s="191" t="s">
        <v>47</v>
      </c>
      <c r="V427" s="191" t="s">
        <v>1108</v>
      </c>
      <c r="W427" s="191" t="s">
        <v>47</v>
      </c>
      <c r="X427" s="191" t="s">
        <v>44</v>
      </c>
      <c r="Y427" s="191" t="s">
        <v>61</v>
      </c>
      <c r="Z427" s="191" t="s">
        <v>43</v>
      </c>
      <c r="AA427" s="191" t="s">
        <v>49</v>
      </c>
      <c r="AB427" s="191" t="s">
        <v>50</v>
      </c>
      <c r="AC427" s="191" t="s">
        <v>47</v>
      </c>
      <c r="AD427" s="191" t="s">
        <v>72</v>
      </c>
      <c r="AE427" s="191" t="s">
        <v>44</v>
      </c>
      <c r="AF427" s="191" t="s">
        <v>95</v>
      </c>
      <c r="AG427" s="191" t="s">
        <v>47</v>
      </c>
      <c r="AH427" s="191" t="s">
        <v>44</v>
      </c>
      <c r="AI427" s="191" t="s">
        <v>39</v>
      </c>
      <c r="AJ427" s="191" t="s">
        <v>36</v>
      </c>
      <c r="AK427" s="191" t="s">
        <v>73</v>
      </c>
      <c r="AL427" s="191" t="s">
        <v>44</v>
      </c>
      <c r="AM427" s="191" t="s">
        <v>1242</v>
      </c>
      <c r="AN427" s="191" t="s">
        <v>44</v>
      </c>
      <c r="AO427" s="191" t="s">
        <v>44</v>
      </c>
      <c r="AP427" s="191" t="s">
        <v>44</v>
      </c>
    </row>
    <row r="428" spans="1:42" ht="43.5">
      <c r="A428" s="191" t="s">
        <v>1743</v>
      </c>
      <c r="B428" s="190">
        <v>3</v>
      </c>
      <c r="C428" s="190">
        <v>3</v>
      </c>
      <c r="D428" s="190">
        <v>3</v>
      </c>
      <c r="E428" s="191" t="s">
        <v>315</v>
      </c>
      <c r="F428" s="190">
        <v>3</v>
      </c>
      <c r="G428" s="191" t="s">
        <v>64</v>
      </c>
      <c r="H428" s="190">
        <v>1</v>
      </c>
      <c r="I428" s="190">
        <v>97</v>
      </c>
      <c r="J428" s="191" t="s">
        <v>54</v>
      </c>
      <c r="K428" s="191" t="s">
        <v>47</v>
      </c>
      <c r="L428" s="191" t="s">
        <v>36</v>
      </c>
      <c r="M428" s="191" t="s">
        <v>37</v>
      </c>
      <c r="N428" s="191" t="s">
        <v>58</v>
      </c>
      <c r="O428" s="191" t="s">
        <v>288</v>
      </c>
      <c r="P428" s="191" t="s">
        <v>66</v>
      </c>
      <c r="Q428" s="191" t="s">
        <v>88</v>
      </c>
      <c r="R428" s="191" t="s">
        <v>60</v>
      </c>
      <c r="S428" s="191" t="s">
        <v>48</v>
      </c>
      <c r="T428" s="191" t="s">
        <v>44</v>
      </c>
      <c r="U428" s="191" t="s">
        <v>44</v>
      </c>
      <c r="V428" s="191" t="s">
        <v>44</v>
      </c>
      <c r="W428" s="191" t="s">
        <v>47</v>
      </c>
      <c r="X428" s="191" t="s">
        <v>44</v>
      </c>
      <c r="Y428" s="191" t="s">
        <v>61</v>
      </c>
      <c r="Z428" s="191" t="s">
        <v>43</v>
      </c>
      <c r="AA428" s="191" t="s">
        <v>49</v>
      </c>
      <c r="AB428" s="191" t="s">
        <v>50</v>
      </c>
      <c r="AC428" s="191" t="s">
        <v>43</v>
      </c>
      <c r="AD428" s="191" t="s">
        <v>72</v>
      </c>
      <c r="AE428" s="191" t="s">
        <v>44</v>
      </c>
      <c r="AF428" s="191" t="s">
        <v>95</v>
      </c>
      <c r="AG428" s="191" t="s">
        <v>47</v>
      </c>
      <c r="AH428" s="191" t="s">
        <v>44</v>
      </c>
      <c r="AI428" s="191" t="s">
        <v>134</v>
      </c>
      <c r="AJ428" s="191" t="s">
        <v>36</v>
      </c>
      <c r="AK428" s="191" t="s">
        <v>59</v>
      </c>
      <c r="AL428" s="191" t="s">
        <v>44</v>
      </c>
      <c r="AM428" s="191" t="s">
        <v>1242</v>
      </c>
      <c r="AN428" s="191" t="s">
        <v>44</v>
      </c>
      <c r="AO428" s="191" t="s">
        <v>44</v>
      </c>
      <c r="AP428" s="191" t="s">
        <v>44</v>
      </c>
    </row>
    <row r="429" spans="1:42" ht="29">
      <c r="A429" s="191" t="s">
        <v>1744</v>
      </c>
      <c r="B429" s="190">
        <v>3</v>
      </c>
      <c r="C429" s="190">
        <v>5</v>
      </c>
      <c r="D429" s="190">
        <v>5</v>
      </c>
      <c r="E429" s="191" t="s">
        <v>311</v>
      </c>
      <c r="F429" s="190">
        <v>4</v>
      </c>
      <c r="G429" s="191" t="s">
        <v>75</v>
      </c>
      <c r="H429" s="190">
        <v>1</v>
      </c>
      <c r="I429" s="190">
        <v>170</v>
      </c>
      <c r="J429" s="191" t="s">
        <v>54</v>
      </c>
      <c r="K429" s="191" t="s">
        <v>61</v>
      </c>
      <c r="L429" s="191" t="s">
        <v>55</v>
      </c>
      <c r="M429" s="191" t="s">
        <v>37</v>
      </c>
      <c r="N429" s="191" t="s">
        <v>58</v>
      </c>
      <c r="O429" s="191" t="s">
        <v>39</v>
      </c>
      <c r="P429" s="191" t="s">
        <v>36</v>
      </c>
      <c r="Q429" s="191" t="s">
        <v>89</v>
      </c>
      <c r="R429" s="191" t="s">
        <v>42</v>
      </c>
      <c r="S429" s="191" t="s">
        <v>48</v>
      </c>
      <c r="T429" s="191" t="s">
        <v>44</v>
      </c>
      <c r="U429" s="191" t="s">
        <v>44</v>
      </c>
      <c r="V429" s="191" t="s">
        <v>44</v>
      </c>
      <c r="W429" s="191" t="s">
        <v>45</v>
      </c>
      <c r="X429" s="191" t="s">
        <v>44</v>
      </c>
      <c r="Y429" s="191" t="s">
        <v>61</v>
      </c>
      <c r="Z429" s="191" t="s">
        <v>43</v>
      </c>
      <c r="AA429" s="191" t="s">
        <v>36</v>
      </c>
      <c r="AB429" s="191" t="s">
        <v>36</v>
      </c>
      <c r="AC429" s="191" t="s">
        <v>46</v>
      </c>
      <c r="AD429" s="191" t="s">
        <v>36</v>
      </c>
      <c r="AE429" s="191" t="s">
        <v>44</v>
      </c>
      <c r="AF429" s="191" t="s">
        <v>52</v>
      </c>
      <c r="AG429" s="191" t="s">
        <v>78</v>
      </c>
      <c r="AH429" s="191" t="s">
        <v>44</v>
      </c>
      <c r="AI429" s="191" t="s">
        <v>39</v>
      </c>
      <c r="AJ429" s="191" t="s">
        <v>36</v>
      </c>
      <c r="AK429" s="191" t="s">
        <v>59</v>
      </c>
      <c r="AL429" s="191" t="s">
        <v>44</v>
      </c>
      <c r="AM429" s="191" t="s">
        <v>89</v>
      </c>
      <c r="AN429" s="191" t="s">
        <v>44</v>
      </c>
      <c r="AO429" s="191" t="s">
        <v>44</v>
      </c>
      <c r="AP429" s="191" t="s">
        <v>44</v>
      </c>
    </row>
    <row r="430" spans="1:42" ht="29">
      <c r="A430" s="191" t="s">
        <v>1745</v>
      </c>
      <c r="B430" s="190">
        <v>3</v>
      </c>
      <c r="C430" s="190">
        <v>7</v>
      </c>
      <c r="D430" s="190">
        <v>6</v>
      </c>
      <c r="E430" s="191" t="s">
        <v>315</v>
      </c>
      <c r="F430" s="190">
        <v>2</v>
      </c>
      <c r="G430" s="191" t="s">
        <v>64</v>
      </c>
      <c r="H430" s="190">
        <v>1</v>
      </c>
      <c r="I430" s="190">
        <v>105</v>
      </c>
      <c r="J430" s="191" t="s">
        <v>116</v>
      </c>
      <c r="K430" s="191" t="s">
        <v>61</v>
      </c>
      <c r="L430" s="191" t="s">
        <v>36</v>
      </c>
      <c r="M430" s="191" t="s">
        <v>37</v>
      </c>
      <c r="N430" s="191" t="s">
        <v>95</v>
      </c>
      <c r="O430" s="191" t="s">
        <v>39</v>
      </c>
      <c r="P430" s="191" t="s">
        <v>41</v>
      </c>
      <c r="Q430" s="191" t="s">
        <v>61</v>
      </c>
      <c r="R430" s="191" t="s">
        <v>60</v>
      </c>
      <c r="S430" s="191" t="s">
        <v>48</v>
      </c>
      <c r="T430" s="191" t="s">
        <v>44</v>
      </c>
      <c r="U430" s="191" t="s">
        <v>61</v>
      </c>
      <c r="V430" s="191" t="s">
        <v>339</v>
      </c>
      <c r="W430" s="191" t="s">
        <v>43</v>
      </c>
      <c r="X430" s="191" t="s">
        <v>44</v>
      </c>
      <c r="Y430" s="191" t="s">
        <v>45</v>
      </c>
      <c r="Z430" s="191" t="s">
        <v>43</v>
      </c>
      <c r="AA430" s="191" t="s">
        <v>62</v>
      </c>
      <c r="AB430" s="191" t="s">
        <v>50</v>
      </c>
      <c r="AC430" s="191" t="s">
        <v>43</v>
      </c>
      <c r="AD430" s="191" t="s">
        <v>72</v>
      </c>
      <c r="AE430" s="191" t="s">
        <v>44</v>
      </c>
      <c r="AF430" s="191" t="s">
        <v>95</v>
      </c>
      <c r="AG430" s="191" t="s">
        <v>47</v>
      </c>
      <c r="AH430" s="191" t="s">
        <v>44</v>
      </c>
      <c r="AI430" s="191" t="s">
        <v>39</v>
      </c>
      <c r="AJ430" s="191" t="s">
        <v>36</v>
      </c>
      <c r="AK430" s="191" t="s">
        <v>59</v>
      </c>
      <c r="AL430" s="191" t="s">
        <v>44</v>
      </c>
      <c r="AM430" s="191" t="s">
        <v>45</v>
      </c>
      <c r="AN430" s="191" t="s">
        <v>44</v>
      </c>
      <c r="AO430" s="191" t="s">
        <v>44</v>
      </c>
      <c r="AP430" s="191" t="s">
        <v>44</v>
      </c>
    </row>
    <row r="431" spans="1:42" ht="43.5">
      <c r="A431" s="191" t="s">
        <v>1746</v>
      </c>
      <c r="B431" s="190">
        <v>3</v>
      </c>
      <c r="C431" s="190">
        <v>5</v>
      </c>
      <c r="D431" s="190">
        <v>5</v>
      </c>
      <c r="E431" s="191" t="s">
        <v>307</v>
      </c>
      <c r="F431" s="190">
        <v>4</v>
      </c>
      <c r="G431" s="191" t="s">
        <v>64</v>
      </c>
      <c r="H431" s="190">
        <v>1</v>
      </c>
      <c r="I431" s="190">
        <v>100</v>
      </c>
      <c r="J431" s="191" t="s">
        <v>54</v>
      </c>
      <c r="K431" s="191" t="s">
        <v>61</v>
      </c>
      <c r="L431" s="191" t="s">
        <v>103</v>
      </c>
      <c r="M431" s="191" t="s">
        <v>37</v>
      </c>
      <c r="N431" s="191" t="s">
        <v>58</v>
      </c>
      <c r="O431" s="191" t="s">
        <v>39</v>
      </c>
      <c r="P431" s="191" t="s">
        <v>41</v>
      </c>
      <c r="Q431" s="191" t="s">
        <v>83</v>
      </c>
      <c r="R431" s="191" t="s">
        <v>42</v>
      </c>
      <c r="S431" s="191" t="s">
        <v>133</v>
      </c>
      <c r="T431" s="191" t="s">
        <v>1747</v>
      </c>
      <c r="U431" s="191" t="s">
        <v>666</v>
      </c>
      <c r="V431" s="191" t="s">
        <v>1108</v>
      </c>
      <c r="W431" s="191" t="s">
        <v>78</v>
      </c>
      <c r="X431" s="191" t="s">
        <v>44</v>
      </c>
      <c r="Y431" s="191" t="s">
        <v>43</v>
      </c>
      <c r="Z431" s="191" t="s">
        <v>43</v>
      </c>
      <c r="AA431" s="191" t="s">
        <v>49</v>
      </c>
      <c r="AB431" s="191" t="s">
        <v>84</v>
      </c>
      <c r="AC431" s="191" t="s">
        <v>43</v>
      </c>
      <c r="AD431" s="191" t="s">
        <v>72</v>
      </c>
      <c r="AE431" s="191" t="s">
        <v>44</v>
      </c>
      <c r="AF431" s="191" t="s">
        <v>95</v>
      </c>
      <c r="AG431" s="191" t="s">
        <v>43</v>
      </c>
      <c r="AH431" s="191" t="s">
        <v>44</v>
      </c>
      <c r="AI431" s="191" t="s">
        <v>39</v>
      </c>
      <c r="AJ431" s="191" t="s">
        <v>36</v>
      </c>
      <c r="AK431" s="191" t="s">
        <v>85</v>
      </c>
      <c r="AL431" s="191" t="s">
        <v>44</v>
      </c>
      <c r="AM431" s="191" t="s">
        <v>43</v>
      </c>
      <c r="AN431" s="191" t="s">
        <v>44</v>
      </c>
      <c r="AO431" s="191" t="s">
        <v>44</v>
      </c>
      <c r="AP431" s="191" t="s">
        <v>44</v>
      </c>
    </row>
    <row r="432" spans="1:42" ht="29">
      <c r="A432" s="191" t="s">
        <v>1748</v>
      </c>
      <c r="B432" s="190">
        <v>3</v>
      </c>
      <c r="C432" s="190">
        <v>7</v>
      </c>
      <c r="D432" s="190">
        <v>9</v>
      </c>
      <c r="E432" s="191" t="s">
        <v>318</v>
      </c>
      <c r="F432" s="190">
        <v>1</v>
      </c>
      <c r="G432" s="191" t="s">
        <v>79</v>
      </c>
      <c r="H432" s="190">
        <v>1</v>
      </c>
      <c r="I432" s="190">
        <v>100</v>
      </c>
      <c r="J432" s="191" t="s">
        <v>80</v>
      </c>
      <c r="K432" s="191" t="s">
        <v>81</v>
      </c>
      <c r="L432" s="191" t="s">
        <v>36</v>
      </c>
      <c r="M432" s="191" t="s">
        <v>37</v>
      </c>
      <c r="N432" s="191" t="s">
        <v>58</v>
      </c>
      <c r="O432" s="191" t="s">
        <v>39</v>
      </c>
      <c r="P432" s="191" t="s">
        <v>41</v>
      </c>
      <c r="Q432" s="191" t="s">
        <v>104</v>
      </c>
      <c r="R432" s="191" t="s">
        <v>42</v>
      </c>
      <c r="S432" s="191" t="s">
        <v>48</v>
      </c>
      <c r="T432" s="191" t="s">
        <v>44</v>
      </c>
      <c r="U432" s="191" t="s">
        <v>45</v>
      </c>
      <c r="V432" s="191" t="s">
        <v>1144</v>
      </c>
      <c r="W432" s="191" t="s">
        <v>43</v>
      </c>
      <c r="X432" s="191" t="s">
        <v>44</v>
      </c>
      <c r="Y432" s="191" t="s">
        <v>47</v>
      </c>
      <c r="Z432" s="191" t="s">
        <v>43</v>
      </c>
      <c r="AA432" s="191" t="s">
        <v>49</v>
      </c>
      <c r="AB432" s="191" t="s">
        <v>50</v>
      </c>
      <c r="AC432" s="191" t="s">
        <v>47</v>
      </c>
      <c r="AD432" s="191" t="s">
        <v>91</v>
      </c>
      <c r="AE432" s="191" t="s">
        <v>44</v>
      </c>
      <c r="AF432" s="191" t="s">
        <v>95</v>
      </c>
      <c r="AG432" s="191" t="s">
        <v>43</v>
      </c>
      <c r="AH432" s="191" t="s">
        <v>44</v>
      </c>
      <c r="AI432" s="191" t="s">
        <v>39</v>
      </c>
      <c r="AJ432" s="191" t="s">
        <v>36</v>
      </c>
      <c r="AK432" s="191" t="s">
        <v>43</v>
      </c>
      <c r="AL432" s="191" t="s">
        <v>44</v>
      </c>
      <c r="AM432" s="191" t="s">
        <v>89</v>
      </c>
      <c r="AN432" s="191" t="s">
        <v>44</v>
      </c>
      <c r="AO432" s="191" t="s">
        <v>44</v>
      </c>
      <c r="AP432" s="191" t="s">
        <v>44</v>
      </c>
    </row>
    <row r="433" spans="1:42" ht="29">
      <c r="A433" s="191" t="s">
        <v>1749</v>
      </c>
      <c r="B433" s="190">
        <v>3</v>
      </c>
      <c r="C433" s="190">
        <v>7</v>
      </c>
      <c r="D433" s="190">
        <v>9</v>
      </c>
      <c r="E433" s="191" t="s">
        <v>318</v>
      </c>
      <c r="F433" s="190">
        <v>1</v>
      </c>
      <c r="G433" s="191" t="s">
        <v>33</v>
      </c>
      <c r="H433" s="190">
        <v>1</v>
      </c>
      <c r="I433" s="190">
        <v>65</v>
      </c>
      <c r="J433" s="191" t="s">
        <v>34</v>
      </c>
      <c r="K433" s="191" t="s">
        <v>40</v>
      </c>
      <c r="L433" s="191" t="s">
        <v>36</v>
      </c>
      <c r="M433" s="191" t="s">
        <v>37</v>
      </c>
      <c r="N433" s="191" t="s">
        <v>38</v>
      </c>
      <c r="O433" s="191" t="s">
        <v>288</v>
      </c>
      <c r="P433" s="191" t="s">
        <v>36</v>
      </c>
      <c r="Q433" s="191" t="s">
        <v>46</v>
      </c>
      <c r="R433" s="191" t="s">
        <v>42</v>
      </c>
      <c r="S433" s="191" t="s">
        <v>48</v>
      </c>
      <c r="T433" s="191" t="s">
        <v>44</v>
      </c>
      <c r="U433" s="191" t="s">
        <v>44</v>
      </c>
      <c r="V433" s="191" t="s">
        <v>44</v>
      </c>
      <c r="W433" s="191" t="s">
        <v>40</v>
      </c>
      <c r="X433" s="191" t="s">
        <v>44</v>
      </c>
      <c r="Y433" s="191" t="s">
        <v>45</v>
      </c>
      <c r="Z433" s="191" t="s">
        <v>43</v>
      </c>
      <c r="AA433" s="191" t="s">
        <v>49</v>
      </c>
      <c r="AB433" s="191" t="s">
        <v>50</v>
      </c>
      <c r="AC433" s="191" t="s">
        <v>43</v>
      </c>
      <c r="AD433" s="191" t="s">
        <v>72</v>
      </c>
      <c r="AE433" s="191" t="s">
        <v>44</v>
      </c>
      <c r="AF433" s="191" t="s">
        <v>52</v>
      </c>
      <c r="AG433" s="191" t="s">
        <v>47</v>
      </c>
      <c r="AH433" s="191" t="s">
        <v>44</v>
      </c>
      <c r="AI433" s="191" t="s">
        <v>39</v>
      </c>
      <c r="AJ433" s="191" t="s">
        <v>36</v>
      </c>
      <c r="AK433" s="191" t="s">
        <v>57</v>
      </c>
      <c r="AL433" s="191" t="s">
        <v>44</v>
      </c>
      <c r="AM433" s="191" t="s">
        <v>45</v>
      </c>
      <c r="AN433" s="191" t="s">
        <v>44</v>
      </c>
      <c r="AO433" s="191" t="s">
        <v>44</v>
      </c>
      <c r="AP433" s="191" t="s">
        <v>44</v>
      </c>
    </row>
    <row r="434" spans="1:42" ht="43.5">
      <c r="A434" s="191" t="s">
        <v>1750</v>
      </c>
      <c r="B434" s="190">
        <v>3</v>
      </c>
      <c r="C434" s="190">
        <v>7</v>
      </c>
      <c r="D434" s="190">
        <v>9</v>
      </c>
      <c r="E434" s="191" t="s">
        <v>318</v>
      </c>
      <c r="F434" s="190">
        <v>1</v>
      </c>
      <c r="G434" s="191" t="s">
        <v>79</v>
      </c>
      <c r="H434" s="190">
        <v>1</v>
      </c>
      <c r="I434" s="190">
        <v>85</v>
      </c>
      <c r="J434" s="191" t="s">
        <v>54</v>
      </c>
      <c r="K434" s="191" t="s">
        <v>90</v>
      </c>
      <c r="L434" s="191" t="s">
        <v>36</v>
      </c>
      <c r="M434" s="191" t="s">
        <v>37</v>
      </c>
      <c r="N434" s="191" t="s">
        <v>95</v>
      </c>
      <c r="O434" s="191" t="s">
        <v>288</v>
      </c>
      <c r="P434" s="191" t="s">
        <v>56</v>
      </c>
      <c r="Q434" s="191" t="s">
        <v>115</v>
      </c>
      <c r="R434" s="191" t="s">
        <v>60</v>
      </c>
      <c r="S434" s="191" t="s">
        <v>48</v>
      </c>
      <c r="T434" s="191" t="s">
        <v>44</v>
      </c>
      <c r="U434" s="191" t="s">
        <v>1751</v>
      </c>
      <c r="V434" s="191" t="s">
        <v>1141</v>
      </c>
      <c r="W434" s="191" t="s">
        <v>43</v>
      </c>
      <c r="X434" s="191" t="s">
        <v>44</v>
      </c>
      <c r="Y434" s="191" t="s">
        <v>45</v>
      </c>
      <c r="Z434" s="191" t="s">
        <v>43</v>
      </c>
      <c r="AA434" s="191" t="s">
        <v>49</v>
      </c>
      <c r="AB434" s="191" t="s">
        <v>50</v>
      </c>
      <c r="AC434" s="191" t="s">
        <v>43</v>
      </c>
      <c r="AD434" s="191" t="s">
        <v>72</v>
      </c>
      <c r="AE434" s="191" t="s">
        <v>44</v>
      </c>
      <c r="AF434" s="191" t="s">
        <v>95</v>
      </c>
      <c r="AG434" s="191" t="s">
        <v>43</v>
      </c>
      <c r="AH434" s="191" t="s">
        <v>44</v>
      </c>
      <c r="AI434" s="191" t="s">
        <v>39</v>
      </c>
      <c r="AJ434" s="191" t="s">
        <v>36</v>
      </c>
      <c r="AK434" s="191" t="s">
        <v>40</v>
      </c>
      <c r="AL434" s="191" t="s">
        <v>44</v>
      </c>
      <c r="AM434" s="191" t="s">
        <v>45</v>
      </c>
      <c r="AN434" s="191" t="s">
        <v>44</v>
      </c>
      <c r="AO434" s="191" t="s">
        <v>44</v>
      </c>
      <c r="AP434" s="191" t="s">
        <v>44</v>
      </c>
    </row>
    <row r="435" spans="1:42" ht="29">
      <c r="A435" s="191" t="s">
        <v>1752</v>
      </c>
      <c r="B435" s="190">
        <v>3</v>
      </c>
      <c r="C435" s="190">
        <v>4</v>
      </c>
      <c r="D435" s="190">
        <v>3</v>
      </c>
      <c r="E435" s="191" t="s">
        <v>311</v>
      </c>
      <c r="F435" s="190">
        <v>5</v>
      </c>
      <c r="G435" s="191" t="s">
        <v>53</v>
      </c>
      <c r="H435" s="190">
        <v>1</v>
      </c>
      <c r="I435" s="190">
        <v>1</v>
      </c>
      <c r="J435" s="191" t="s">
        <v>54</v>
      </c>
      <c r="K435" s="191" t="s">
        <v>61</v>
      </c>
      <c r="L435" s="191" t="s">
        <v>36</v>
      </c>
      <c r="M435" s="191" t="s">
        <v>37</v>
      </c>
      <c r="N435" s="191" t="s">
        <v>95</v>
      </c>
      <c r="O435" s="191" t="s">
        <v>39</v>
      </c>
      <c r="P435" s="191" t="s">
        <v>41</v>
      </c>
      <c r="Q435" s="191" t="s">
        <v>35</v>
      </c>
      <c r="R435" s="191" t="s">
        <v>82</v>
      </c>
      <c r="S435" s="191" t="s">
        <v>48</v>
      </c>
      <c r="T435" s="191" t="s">
        <v>44</v>
      </c>
      <c r="U435" s="191" t="s">
        <v>44</v>
      </c>
      <c r="V435" s="191" t="s">
        <v>44</v>
      </c>
      <c r="W435" s="191" t="s">
        <v>43</v>
      </c>
      <c r="X435" s="191" t="s">
        <v>44</v>
      </c>
      <c r="Y435" s="191" t="s">
        <v>45</v>
      </c>
      <c r="Z435" s="191" t="s">
        <v>43</v>
      </c>
      <c r="AA435" s="191" t="s">
        <v>49</v>
      </c>
      <c r="AB435" s="191" t="s">
        <v>84</v>
      </c>
      <c r="AC435" s="191" t="s">
        <v>46</v>
      </c>
      <c r="AD435" s="191" t="s">
        <v>72</v>
      </c>
      <c r="AE435" s="191" t="s">
        <v>44</v>
      </c>
      <c r="AF435" s="191" t="s">
        <v>95</v>
      </c>
      <c r="AG435" s="191" t="s">
        <v>43</v>
      </c>
      <c r="AH435" s="191" t="s">
        <v>44</v>
      </c>
      <c r="AI435" s="191" t="s">
        <v>39</v>
      </c>
      <c r="AJ435" s="191" t="s">
        <v>36</v>
      </c>
      <c r="AK435" s="191" t="s">
        <v>57</v>
      </c>
      <c r="AL435" s="191" t="s">
        <v>44</v>
      </c>
      <c r="AM435" s="191" t="s">
        <v>119</v>
      </c>
      <c r="AN435" s="191" t="s">
        <v>44</v>
      </c>
      <c r="AO435" s="191" t="s">
        <v>1753</v>
      </c>
      <c r="AP435" s="191" t="s">
        <v>1753</v>
      </c>
    </row>
    <row r="436" spans="1:42" ht="29">
      <c r="A436" s="191" t="s">
        <v>1754</v>
      </c>
      <c r="B436" s="190">
        <v>3</v>
      </c>
      <c r="C436" s="190">
        <v>5</v>
      </c>
      <c r="D436" s="190">
        <v>5</v>
      </c>
      <c r="E436" s="191" t="s">
        <v>311</v>
      </c>
      <c r="F436" s="190">
        <v>5</v>
      </c>
      <c r="G436" s="191" t="s">
        <v>100</v>
      </c>
      <c r="H436" s="190">
        <v>1</v>
      </c>
      <c r="I436" s="190">
        <v>280</v>
      </c>
      <c r="J436" s="191" t="s">
        <v>34</v>
      </c>
      <c r="K436" s="191" t="s">
        <v>61</v>
      </c>
      <c r="L436" s="191" t="s">
        <v>36</v>
      </c>
      <c r="M436" s="191" t="s">
        <v>37</v>
      </c>
      <c r="N436" s="191" t="s">
        <v>38</v>
      </c>
      <c r="O436" s="191" t="s">
        <v>99</v>
      </c>
      <c r="P436" s="191" t="s">
        <v>123</v>
      </c>
      <c r="Q436" s="191" t="s">
        <v>89</v>
      </c>
      <c r="R436" s="191" t="s">
        <v>42</v>
      </c>
      <c r="S436" s="191" t="s">
        <v>151</v>
      </c>
      <c r="T436" s="191" t="s">
        <v>1755</v>
      </c>
      <c r="U436" s="191" t="s">
        <v>44</v>
      </c>
      <c r="V436" s="191" t="s">
        <v>44</v>
      </c>
      <c r="W436" s="191" t="s">
        <v>45</v>
      </c>
      <c r="X436" s="191" t="s">
        <v>44</v>
      </c>
      <c r="Y436" s="191" t="s">
        <v>61</v>
      </c>
      <c r="Z436" s="191" t="s">
        <v>40</v>
      </c>
      <c r="AA436" s="191" t="s">
        <v>36</v>
      </c>
      <c r="AB436" s="191" t="s">
        <v>36</v>
      </c>
      <c r="AC436" s="191" t="s">
        <v>43</v>
      </c>
      <c r="AD436" s="191" t="s">
        <v>72</v>
      </c>
      <c r="AE436" s="191" t="s">
        <v>44</v>
      </c>
      <c r="AF436" s="191" t="s">
        <v>95</v>
      </c>
      <c r="AG436" s="191" t="s">
        <v>47</v>
      </c>
      <c r="AH436" s="191" t="s">
        <v>44</v>
      </c>
      <c r="AI436" s="191" t="s">
        <v>134</v>
      </c>
      <c r="AJ436" s="191" t="s">
        <v>36</v>
      </c>
      <c r="AK436" s="191" t="s">
        <v>73</v>
      </c>
      <c r="AL436" s="191" t="s">
        <v>44</v>
      </c>
      <c r="AM436" s="191" t="s">
        <v>1756</v>
      </c>
      <c r="AN436" s="191" t="s">
        <v>44</v>
      </c>
      <c r="AO436" s="191" t="s">
        <v>44</v>
      </c>
      <c r="AP436" s="191" t="s">
        <v>44</v>
      </c>
    </row>
    <row r="437" spans="1:42" ht="29">
      <c r="A437" s="191" t="s">
        <v>1757</v>
      </c>
      <c r="B437" s="190">
        <v>3</v>
      </c>
      <c r="C437" s="190">
        <v>7</v>
      </c>
      <c r="D437" s="190">
        <v>9</v>
      </c>
      <c r="E437" s="191" t="s">
        <v>318</v>
      </c>
      <c r="F437" s="190">
        <v>1</v>
      </c>
      <c r="G437" s="191" t="s">
        <v>79</v>
      </c>
      <c r="H437" s="190">
        <v>1</v>
      </c>
      <c r="I437" s="190">
        <v>100</v>
      </c>
      <c r="J437" s="191" t="s">
        <v>80</v>
      </c>
      <c r="K437" s="191" t="s">
        <v>47</v>
      </c>
      <c r="L437" s="191" t="s">
        <v>36</v>
      </c>
      <c r="M437" s="191" t="s">
        <v>37</v>
      </c>
      <c r="N437" s="191" t="s">
        <v>58</v>
      </c>
      <c r="O437" s="191" t="s">
        <v>39</v>
      </c>
      <c r="P437" s="191" t="s">
        <v>36</v>
      </c>
      <c r="Q437" s="191" t="s">
        <v>143</v>
      </c>
      <c r="R437" s="191" t="s">
        <v>60</v>
      </c>
      <c r="S437" s="191" t="s">
        <v>48</v>
      </c>
      <c r="T437" s="191" t="s">
        <v>44</v>
      </c>
      <c r="U437" s="191" t="s">
        <v>1758</v>
      </c>
      <c r="V437" s="191" t="s">
        <v>1108</v>
      </c>
      <c r="W437" s="191" t="s">
        <v>46</v>
      </c>
      <c r="X437" s="191" t="s">
        <v>44</v>
      </c>
      <c r="Y437" s="191" t="s">
        <v>47</v>
      </c>
      <c r="Z437" s="191" t="s">
        <v>47</v>
      </c>
      <c r="AA437" s="191" t="s">
        <v>62</v>
      </c>
      <c r="AB437" s="191" t="s">
        <v>84</v>
      </c>
      <c r="AC437" s="191" t="s">
        <v>43</v>
      </c>
      <c r="AD437" s="191" t="s">
        <v>72</v>
      </c>
      <c r="AE437" s="191" t="s">
        <v>44</v>
      </c>
      <c r="AF437" s="191" t="s">
        <v>95</v>
      </c>
      <c r="AG437" s="191" t="s">
        <v>43</v>
      </c>
      <c r="AH437" s="191" t="s">
        <v>44</v>
      </c>
      <c r="AI437" s="191" t="s">
        <v>39</v>
      </c>
      <c r="AJ437" s="191" t="s">
        <v>36</v>
      </c>
      <c r="AK437" s="191" t="s">
        <v>78</v>
      </c>
      <c r="AL437" s="191" t="s">
        <v>44</v>
      </c>
      <c r="AM437" s="191" t="s">
        <v>45</v>
      </c>
      <c r="AN437" s="191" t="s">
        <v>44</v>
      </c>
      <c r="AO437" s="191" t="s">
        <v>44</v>
      </c>
      <c r="AP437" s="191" t="s">
        <v>44</v>
      </c>
    </row>
    <row r="438" spans="1:42" ht="29">
      <c r="A438" s="191" t="s">
        <v>1759</v>
      </c>
      <c r="B438" s="190">
        <v>3</v>
      </c>
      <c r="C438" s="190">
        <v>3</v>
      </c>
      <c r="D438" s="190">
        <v>9</v>
      </c>
      <c r="E438" s="191" t="s">
        <v>315</v>
      </c>
      <c r="F438" s="190">
        <v>1</v>
      </c>
      <c r="G438" s="191" t="s">
        <v>79</v>
      </c>
      <c r="H438" s="190">
        <v>1</v>
      </c>
      <c r="I438" s="190">
        <v>100</v>
      </c>
      <c r="J438" s="191" t="s">
        <v>65</v>
      </c>
      <c r="K438" s="191" t="s">
        <v>61</v>
      </c>
      <c r="L438" s="191" t="s">
        <v>36</v>
      </c>
      <c r="M438" s="191" t="s">
        <v>37</v>
      </c>
      <c r="N438" s="191" t="s">
        <v>38</v>
      </c>
      <c r="O438" s="191" t="s">
        <v>39</v>
      </c>
      <c r="P438" s="191" t="s">
        <v>41</v>
      </c>
      <c r="Q438" s="191" t="s">
        <v>135</v>
      </c>
      <c r="R438" s="191" t="s">
        <v>42</v>
      </c>
      <c r="S438" s="191" t="s">
        <v>48</v>
      </c>
      <c r="T438" s="191" t="s">
        <v>44</v>
      </c>
      <c r="U438" s="191" t="s">
        <v>45</v>
      </c>
      <c r="V438" s="191" t="s">
        <v>339</v>
      </c>
      <c r="W438" s="191" t="s">
        <v>46</v>
      </c>
      <c r="X438" s="191" t="s">
        <v>44</v>
      </c>
      <c r="Y438" s="191" t="s">
        <v>43</v>
      </c>
      <c r="Z438" s="191" t="s">
        <v>43</v>
      </c>
      <c r="AA438" s="191" t="s">
        <v>49</v>
      </c>
      <c r="AB438" s="191" t="s">
        <v>84</v>
      </c>
      <c r="AC438" s="191" t="s">
        <v>47</v>
      </c>
      <c r="AD438" s="191" t="s">
        <v>72</v>
      </c>
      <c r="AE438" s="191" t="s">
        <v>44</v>
      </c>
      <c r="AF438" s="191" t="s">
        <v>95</v>
      </c>
      <c r="AG438" s="191" t="s">
        <v>43</v>
      </c>
      <c r="AH438" s="191" t="s">
        <v>44</v>
      </c>
      <c r="AI438" s="191" t="s">
        <v>39</v>
      </c>
      <c r="AJ438" s="191" t="s">
        <v>36</v>
      </c>
      <c r="AK438" s="191" t="s">
        <v>59</v>
      </c>
      <c r="AL438" s="191" t="s">
        <v>44</v>
      </c>
      <c r="AM438" s="191" t="s">
        <v>109</v>
      </c>
      <c r="AN438" s="191" t="s">
        <v>44</v>
      </c>
      <c r="AO438" s="191" t="s">
        <v>44</v>
      </c>
      <c r="AP438" s="191" t="s">
        <v>44</v>
      </c>
    </row>
    <row r="439" spans="1:42" ht="43.5">
      <c r="A439" s="191" t="s">
        <v>1760</v>
      </c>
      <c r="B439" s="190">
        <v>3</v>
      </c>
      <c r="C439" s="190">
        <v>7</v>
      </c>
      <c r="D439" s="190">
        <v>7</v>
      </c>
      <c r="E439" s="191" t="s">
        <v>318</v>
      </c>
      <c r="F439" s="190">
        <v>2</v>
      </c>
      <c r="G439" s="191" t="s">
        <v>53</v>
      </c>
      <c r="H439" s="190">
        <v>1</v>
      </c>
      <c r="I439" s="190">
        <v>100</v>
      </c>
      <c r="J439" s="191" t="s">
        <v>65</v>
      </c>
      <c r="K439" s="191" t="s">
        <v>61</v>
      </c>
      <c r="L439" s="191" t="s">
        <v>36</v>
      </c>
      <c r="M439" s="191" t="s">
        <v>37</v>
      </c>
      <c r="N439" s="191" t="s">
        <v>95</v>
      </c>
      <c r="O439" s="191" t="s">
        <v>288</v>
      </c>
      <c r="P439" s="191" t="s">
        <v>56</v>
      </c>
      <c r="Q439" s="191" t="s">
        <v>104</v>
      </c>
      <c r="R439" s="191" t="s">
        <v>42</v>
      </c>
      <c r="S439" s="191" t="s">
        <v>48</v>
      </c>
      <c r="T439" s="191" t="s">
        <v>44</v>
      </c>
      <c r="U439" s="191" t="s">
        <v>44</v>
      </c>
      <c r="V439" s="191" t="s">
        <v>339</v>
      </c>
      <c r="W439" s="191" t="s">
        <v>43</v>
      </c>
      <c r="X439" s="191" t="s">
        <v>44</v>
      </c>
      <c r="Y439" s="191" t="s">
        <v>45</v>
      </c>
      <c r="Z439" s="191" t="s">
        <v>47</v>
      </c>
      <c r="AA439" s="191" t="s">
        <v>49</v>
      </c>
      <c r="AB439" s="191" t="s">
        <v>50</v>
      </c>
      <c r="AC439" s="191" t="s">
        <v>47</v>
      </c>
      <c r="AD439" s="191" t="s">
        <v>91</v>
      </c>
      <c r="AE439" s="191" t="s">
        <v>44</v>
      </c>
      <c r="AF439" s="191" t="s">
        <v>95</v>
      </c>
      <c r="AG439" s="191" t="s">
        <v>43</v>
      </c>
      <c r="AH439" s="191" t="s">
        <v>44</v>
      </c>
      <c r="AI439" s="191" t="s">
        <v>39</v>
      </c>
      <c r="AJ439" s="191" t="s">
        <v>36</v>
      </c>
      <c r="AK439" s="191" t="s">
        <v>63</v>
      </c>
      <c r="AL439" s="191" t="s">
        <v>44</v>
      </c>
      <c r="AM439" s="191" t="s">
        <v>45</v>
      </c>
      <c r="AN439" s="191" t="s">
        <v>44</v>
      </c>
      <c r="AO439" s="191" t="s">
        <v>44</v>
      </c>
      <c r="AP439" s="191" t="s">
        <v>44</v>
      </c>
    </row>
    <row r="440" spans="1:42" ht="29">
      <c r="A440" s="191" t="s">
        <v>1761</v>
      </c>
      <c r="B440" s="190">
        <v>3</v>
      </c>
      <c r="C440" s="190">
        <v>7</v>
      </c>
      <c r="D440" s="190">
        <v>9</v>
      </c>
      <c r="E440" s="191" t="s">
        <v>318</v>
      </c>
      <c r="F440" s="190">
        <v>1</v>
      </c>
      <c r="G440" s="191" t="s">
        <v>79</v>
      </c>
      <c r="H440" s="190">
        <v>1</v>
      </c>
      <c r="I440" s="190">
        <v>1</v>
      </c>
      <c r="J440" s="191" t="s">
        <v>34</v>
      </c>
      <c r="K440" s="191" t="s">
        <v>40</v>
      </c>
      <c r="L440" s="191" t="s">
        <v>36</v>
      </c>
      <c r="M440" s="191" t="s">
        <v>37</v>
      </c>
      <c r="N440" s="191" t="s">
        <v>95</v>
      </c>
      <c r="O440" s="191" t="s">
        <v>288</v>
      </c>
      <c r="P440" s="191" t="s">
        <v>41</v>
      </c>
      <c r="Q440" s="191" t="s">
        <v>43</v>
      </c>
      <c r="R440" s="191" t="s">
        <v>42</v>
      </c>
      <c r="S440" s="191" t="s">
        <v>48</v>
      </c>
      <c r="T440" s="191" t="s">
        <v>44</v>
      </c>
      <c r="U440" s="191" t="s">
        <v>46</v>
      </c>
      <c r="V440" s="191" t="s">
        <v>339</v>
      </c>
      <c r="W440" s="191" t="s">
        <v>47</v>
      </c>
      <c r="X440" s="191" t="s">
        <v>44</v>
      </c>
      <c r="Y440" s="191" t="s">
        <v>45</v>
      </c>
      <c r="Z440" s="191" t="s">
        <v>43</v>
      </c>
      <c r="AA440" s="191" t="s">
        <v>62</v>
      </c>
      <c r="AB440" s="191" t="s">
        <v>36</v>
      </c>
      <c r="AC440" s="191" t="s">
        <v>43</v>
      </c>
      <c r="AD440" s="191" t="s">
        <v>72</v>
      </c>
      <c r="AE440" s="191" t="s">
        <v>44</v>
      </c>
      <c r="AF440" s="191" t="s">
        <v>95</v>
      </c>
      <c r="AG440" s="191" t="s">
        <v>43</v>
      </c>
      <c r="AH440" s="191" t="s">
        <v>44</v>
      </c>
      <c r="AI440" s="191" t="s">
        <v>39</v>
      </c>
      <c r="AJ440" s="191" t="s">
        <v>36</v>
      </c>
      <c r="AK440" s="191" t="s">
        <v>40</v>
      </c>
      <c r="AL440" s="191" t="s">
        <v>44</v>
      </c>
      <c r="AM440" s="191" t="s">
        <v>47</v>
      </c>
      <c r="AN440" s="191" t="s">
        <v>44</v>
      </c>
      <c r="AO440" s="191" t="s">
        <v>44</v>
      </c>
      <c r="AP440" s="191" t="s">
        <v>44</v>
      </c>
    </row>
    <row r="441" spans="1:42" ht="29">
      <c r="A441" s="191" t="s">
        <v>1762</v>
      </c>
      <c r="B441" s="190">
        <v>3</v>
      </c>
      <c r="C441" s="190">
        <v>7</v>
      </c>
      <c r="D441" s="190">
        <v>9</v>
      </c>
      <c r="E441" s="191" t="s">
        <v>318</v>
      </c>
      <c r="F441" s="190">
        <v>1</v>
      </c>
      <c r="G441" s="191" t="s">
        <v>79</v>
      </c>
      <c r="H441" s="190">
        <v>1</v>
      </c>
      <c r="I441" s="190">
        <v>110</v>
      </c>
      <c r="J441" s="191" t="s">
        <v>65</v>
      </c>
      <c r="K441" s="191" t="s">
        <v>40</v>
      </c>
      <c r="L441" s="191" t="s">
        <v>155</v>
      </c>
      <c r="M441" s="191" t="s">
        <v>37</v>
      </c>
      <c r="N441" s="191" t="s">
        <v>108</v>
      </c>
      <c r="O441" s="191" t="s">
        <v>288</v>
      </c>
      <c r="P441" s="191" t="s">
        <v>41</v>
      </c>
      <c r="Q441" s="191" t="s">
        <v>46</v>
      </c>
      <c r="R441" s="191" t="s">
        <v>87</v>
      </c>
      <c r="S441" s="191" t="s">
        <v>48</v>
      </c>
      <c r="T441" s="191" t="s">
        <v>44</v>
      </c>
      <c r="U441" s="191" t="s">
        <v>1758</v>
      </c>
      <c r="V441" s="191" t="s">
        <v>1141</v>
      </c>
      <c r="W441" s="191" t="s">
        <v>78</v>
      </c>
      <c r="X441" s="191" t="s">
        <v>44</v>
      </c>
      <c r="Y441" s="191" t="s">
        <v>43</v>
      </c>
      <c r="Z441" s="191" t="s">
        <v>47</v>
      </c>
      <c r="AA441" s="191" t="s">
        <v>49</v>
      </c>
      <c r="AB441" s="191" t="s">
        <v>50</v>
      </c>
      <c r="AC441" s="191" t="s">
        <v>43</v>
      </c>
      <c r="AD441" s="191" t="s">
        <v>72</v>
      </c>
      <c r="AE441" s="191" t="s">
        <v>44</v>
      </c>
      <c r="AF441" s="191" t="s">
        <v>108</v>
      </c>
      <c r="AG441" s="191" t="s">
        <v>47</v>
      </c>
      <c r="AH441" s="191" t="s">
        <v>44</v>
      </c>
      <c r="AI441" s="191" t="s">
        <v>134</v>
      </c>
      <c r="AJ441" s="191" t="s">
        <v>36</v>
      </c>
      <c r="AK441" s="191" t="s">
        <v>59</v>
      </c>
      <c r="AL441" s="191" t="s">
        <v>44</v>
      </c>
      <c r="AM441" s="191" t="s">
        <v>43</v>
      </c>
      <c r="AN441" s="191" t="s">
        <v>44</v>
      </c>
      <c r="AO441" s="191" t="s">
        <v>44</v>
      </c>
      <c r="AP441" s="191" t="s">
        <v>44</v>
      </c>
    </row>
    <row r="442" spans="1:42" ht="29">
      <c r="A442" s="191" t="s">
        <v>1763</v>
      </c>
      <c r="B442" s="190">
        <v>3</v>
      </c>
      <c r="C442" s="190">
        <v>1</v>
      </c>
      <c r="D442" s="190">
        <v>3</v>
      </c>
      <c r="E442" s="191" t="s">
        <v>311</v>
      </c>
      <c r="F442" s="190">
        <v>4</v>
      </c>
      <c r="G442" s="191" t="s">
        <v>53</v>
      </c>
      <c r="H442" s="190">
        <v>1</v>
      </c>
      <c r="I442" s="190">
        <v>105</v>
      </c>
      <c r="J442" s="191" t="s">
        <v>54</v>
      </c>
      <c r="K442" s="191" t="s">
        <v>47</v>
      </c>
      <c r="L442" s="191" t="s">
        <v>155</v>
      </c>
      <c r="M442" s="191" t="s">
        <v>37</v>
      </c>
      <c r="N442" s="191" t="s">
        <v>58</v>
      </c>
      <c r="O442" s="191" t="s">
        <v>288</v>
      </c>
      <c r="P442" s="191" t="s">
        <v>41</v>
      </c>
      <c r="Q442" s="191" t="s">
        <v>40</v>
      </c>
      <c r="R442" s="191" t="s">
        <v>42</v>
      </c>
      <c r="S442" s="191" t="s">
        <v>48</v>
      </c>
      <c r="T442" s="191" t="s">
        <v>44</v>
      </c>
      <c r="U442" s="191" t="s">
        <v>1136</v>
      </c>
      <c r="V442" s="191" t="s">
        <v>339</v>
      </c>
      <c r="W442" s="191" t="s">
        <v>47</v>
      </c>
      <c r="X442" s="191" t="s">
        <v>44</v>
      </c>
      <c r="Y442" s="191" t="s">
        <v>61</v>
      </c>
      <c r="Z442" s="191" t="s">
        <v>47</v>
      </c>
      <c r="AA442" s="191" t="s">
        <v>62</v>
      </c>
      <c r="AB442" s="191" t="s">
        <v>50</v>
      </c>
      <c r="AC442" s="191" t="s">
        <v>47</v>
      </c>
      <c r="AD442" s="191" t="s">
        <v>91</v>
      </c>
      <c r="AE442" s="191" t="s">
        <v>44</v>
      </c>
      <c r="AF442" s="191" t="s">
        <v>95</v>
      </c>
      <c r="AG442" s="191" t="s">
        <v>47</v>
      </c>
      <c r="AH442" s="191" t="s">
        <v>44</v>
      </c>
      <c r="AI442" s="191" t="s">
        <v>39</v>
      </c>
      <c r="AJ442" s="191" t="s">
        <v>36</v>
      </c>
      <c r="AK442" s="191" t="s">
        <v>73</v>
      </c>
      <c r="AL442" s="191" t="s">
        <v>44</v>
      </c>
      <c r="AM442" s="191" t="s">
        <v>89</v>
      </c>
      <c r="AN442" s="191" t="s">
        <v>44</v>
      </c>
      <c r="AO442" s="191" t="s">
        <v>44</v>
      </c>
      <c r="AP442" s="191" t="s">
        <v>44</v>
      </c>
    </row>
    <row r="443" spans="1:42" ht="29">
      <c r="A443" s="191" t="s">
        <v>1764</v>
      </c>
      <c r="B443" s="190">
        <v>3</v>
      </c>
      <c r="C443" s="190">
        <v>2</v>
      </c>
      <c r="D443" s="190">
        <v>3</v>
      </c>
      <c r="E443" s="191" t="s">
        <v>315</v>
      </c>
      <c r="F443" s="190">
        <v>1</v>
      </c>
      <c r="G443" s="191" t="s">
        <v>100</v>
      </c>
      <c r="H443" s="190">
        <v>1</v>
      </c>
      <c r="I443" s="190">
        <v>123</v>
      </c>
      <c r="J443" s="191" t="s">
        <v>116</v>
      </c>
      <c r="K443" s="191" t="s">
        <v>47</v>
      </c>
      <c r="L443" s="191" t="s">
        <v>122</v>
      </c>
      <c r="M443" s="191" t="s">
        <v>37</v>
      </c>
      <c r="N443" s="191" t="s">
        <v>38</v>
      </c>
      <c r="O443" s="191" t="s">
        <v>36</v>
      </c>
      <c r="P443" s="191" t="s">
        <v>41</v>
      </c>
      <c r="Q443" s="191" t="s">
        <v>40</v>
      </c>
      <c r="R443" s="191" t="s">
        <v>87</v>
      </c>
      <c r="S443" s="191" t="s">
        <v>48</v>
      </c>
      <c r="T443" s="191" t="s">
        <v>44</v>
      </c>
      <c r="U443" s="191" t="s">
        <v>1765</v>
      </c>
      <c r="V443" s="191" t="s">
        <v>1144</v>
      </c>
      <c r="W443" s="191" t="s">
        <v>43</v>
      </c>
      <c r="X443" s="191" t="s">
        <v>44</v>
      </c>
      <c r="Y443" s="191" t="s">
        <v>43</v>
      </c>
      <c r="Z443" s="191" t="s">
        <v>43</v>
      </c>
      <c r="AA443" s="191" t="s">
        <v>62</v>
      </c>
      <c r="AB443" s="191" t="s">
        <v>50</v>
      </c>
      <c r="AC443" s="191" t="s">
        <v>43</v>
      </c>
      <c r="AD443" s="191" t="s">
        <v>72</v>
      </c>
      <c r="AE443" s="191" t="s">
        <v>44</v>
      </c>
      <c r="AF443" s="191" t="s">
        <v>95</v>
      </c>
      <c r="AG443" s="191" t="s">
        <v>47</v>
      </c>
      <c r="AH443" s="191" t="s">
        <v>44</v>
      </c>
      <c r="AI443" s="191" t="s">
        <v>39</v>
      </c>
      <c r="AJ443" s="191" t="s">
        <v>36</v>
      </c>
      <c r="AK443" s="191" t="s">
        <v>109</v>
      </c>
      <c r="AL443" s="191" t="s">
        <v>44</v>
      </c>
      <c r="AM443" s="191" t="s">
        <v>1550</v>
      </c>
      <c r="AN443" s="191" t="s">
        <v>44</v>
      </c>
      <c r="AO443" s="191" t="s">
        <v>44</v>
      </c>
      <c r="AP443" s="191" t="s">
        <v>44</v>
      </c>
    </row>
    <row r="444" spans="1:42" ht="116">
      <c r="A444" s="191" t="s">
        <v>1766</v>
      </c>
      <c r="B444" s="190">
        <v>3</v>
      </c>
      <c r="C444" s="190">
        <v>3</v>
      </c>
      <c r="D444" s="190">
        <v>5</v>
      </c>
      <c r="E444" s="191" t="s">
        <v>311</v>
      </c>
      <c r="F444" s="190">
        <v>5</v>
      </c>
      <c r="G444" s="191" t="s">
        <v>69</v>
      </c>
      <c r="H444" s="190">
        <v>1</v>
      </c>
      <c r="I444" s="190">
        <v>157</v>
      </c>
      <c r="J444" s="191" t="s">
        <v>54</v>
      </c>
      <c r="K444" s="191" t="s">
        <v>47</v>
      </c>
      <c r="L444" s="191" t="s">
        <v>70</v>
      </c>
      <c r="M444" s="191" t="s">
        <v>37</v>
      </c>
      <c r="N444" s="191" t="s">
        <v>38</v>
      </c>
      <c r="O444" s="191" t="s">
        <v>288</v>
      </c>
      <c r="P444" s="191" t="s">
        <v>41</v>
      </c>
      <c r="Q444" s="191" t="s">
        <v>115</v>
      </c>
      <c r="R444" s="191" t="s">
        <v>42</v>
      </c>
      <c r="S444" s="191" t="s">
        <v>48</v>
      </c>
      <c r="T444" s="191" t="s">
        <v>44</v>
      </c>
      <c r="U444" s="191" t="s">
        <v>45</v>
      </c>
      <c r="V444" s="191" t="s">
        <v>339</v>
      </c>
      <c r="W444" s="191" t="s">
        <v>43</v>
      </c>
      <c r="X444" s="191" t="s">
        <v>44</v>
      </c>
      <c r="Y444" s="191" t="s">
        <v>43</v>
      </c>
      <c r="Z444" s="191" t="s">
        <v>43</v>
      </c>
      <c r="AA444" s="191" t="s">
        <v>49</v>
      </c>
      <c r="AB444" s="191" t="s">
        <v>84</v>
      </c>
      <c r="AC444" s="191" t="s">
        <v>43</v>
      </c>
      <c r="AD444" s="191" t="s">
        <v>72</v>
      </c>
      <c r="AE444" s="191" t="s">
        <v>44</v>
      </c>
      <c r="AF444" s="191" t="s">
        <v>95</v>
      </c>
      <c r="AG444" s="191" t="s">
        <v>43</v>
      </c>
      <c r="AH444" s="191" t="s">
        <v>44</v>
      </c>
      <c r="AI444" s="191" t="s">
        <v>39</v>
      </c>
      <c r="AJ444" s="191" t="s">
        <v>36</v>
      </c>
      <c r="AK444" s="191" t="s">
        <v>120</v>
      </c>
      <c r="AL444" s="191" t="s">
        <v>1767</v>
      </c>
      <c r="AM444" s="191" t="s">
        <v>1362</v>
      </c>
      <c r="AN444" s="191" t="s">
        <v>44</v>
      </c>
      <c r="AO444" s="191" t="s">
        <v>44</v>
      </c>
      <c r="AP444" s="191" t="s">
        <v>44</v>
      </c>
    </row>
    <row r="445" spans="1:42" ht="29">
      <c r="A445" s="191" t="s">
        <v>1768</v>
      </c>
      <c r="B445" s="190">
        <v>3</v>
      </c>
      <c r="C445" s="190">
        <v>7</v>
      </c>
      <c r="D445" s="190">
        <v>7</v>
      </c>
      <c r="E445" s="191" t="s">
        <v>318</v>
      </c>
      <c r="F445" s="190">
        <v>2</v>
      </c>
      <c r="G445" s="191" t="s">
        <v>33</v>
      </c>
      <c r="H445" s="190">
        <v>1</v>
      </c>
      <c r="I445" s="190">
        <v>111</v>
      </c>
      <c r="J445" s="191" t="s">
        <v>80</v>
      </c>
      <c r="K445" s="191" t="s">
        <v>40</v>
      </c>
      <c r="L445" s="191" t="s">
        <v>36</v>
      </c>
      <c r="M445" s="191" t="s">
        <v>37</v>
      </c>
      <c r="N445" s="191" t="s">
        <v>58</v>
      </c>
      <c r="O445" s="191" t="s">
        <v>39</v>
      </c>
      <c r="P445" s="191" t="s">
        <v>41</v>
      </c>
      <c r="Q445" s="191" t="s">
        <v>135</v>
      </c>
      <c r="R445" s="191" t="s">
        <v>87</v>
      </c>
      <c r="S445" s="191" t="s">
        <v>48</v>
      </c>
      <c r="T445" s="191" t="s">
        <v>44</v>
      </c>
      <c r="U445" s="191" t="s">
        <v>126</v>
      </c>
      <c r="V445" s="191" t="s">
        <v>44</v>
      </c>
      <c r="W445" s="191" t="s">
        <v>47</v>
      </c>
      <c r="X445" s="191" t="s">
        <v>44</v>
      </c>
      <c r="Y445" s="191" t="s">
        <v>45</v>
      </c>
      <c r="Z445" s="191" t="s">
        <v>43</v>
      </c>
      <c r="AA445" s="191" t="s">
        <v>49</v>
      </c>
      <c r="AB445" s="191" t="s">
        <v>50</v>
      </c>
      <c r="AC445" s="191" t="s">
        <v>43</v>
      </c>
      <c r="AD445" s="191" t="s">
        <v>72</v>
      </c>
      <c r="AE445" s="191" t="s">
        <v>44</v>
      </c>
      <c r="AF445" s="191" t="s">
        <v>52</v>
      </c>
      <c r="AG445" s="191" t="s">
        <v>47</v>
      </c>
      <c r="AH445" s="191" t="s">
        <v>44</v>
      </c>
      <c r="AI445" s="191" t="s">
        <v>39</v>
      </c>
      <c r="AJ445" s="191" t="s">
        <v>36</v>
      </c>
      <c r="AK445" s="191" t="s">
        <v>59</v>
      </c>
      <c r="AL445" s="191" t="s">
        <v>44</v>
      </c>
      <c r="AM445" s="191" t="s">
        <v>45</v>
      </c>
      <c r="AN445" s="191" t="s">
        <v>44</v>
      </c>
      <c r="AO445" s="191" t="s">
        <v>44</v>
      </c>
      <c r="AP445" s="191" t="s">
        <v>44</v>
      </c>
    </row>
    <row r="446" spans="1:42" ht="29">
      <c r="A446" s="191" t="s">
        <v>1769</v>
      </c>
      <c r="B446" s="190">
        <v>3</v>
      </c>
      <c r="C446" s="190">
        <v>5</v>
      </c>
      <c r="D446" s="190">
        <v>5</v>
      </c>
      <c r="E446" s="191" t="s">
        <v>315</v>
      </c>
      <c r="F446" s="190">
        <v>2</v>
      </c>
      <c r="G446" s="191" t="s">
        <v>79</v>
      </c>
      <c r="H446" s="190">
        <v>1</v>
      </c>
      <c r="I446" s="190">
        <v>110</v>
      </c>
      <c r="J446" s="191" t="s">
        <v>80</v>
      </c>
      <c r="K446" s="191" t="s">
        <v>61</v>
      </c>
      <c r="L446" s="191" t="s">
        <v>36</v>
      </c>
      <c r="M446" s="191" t="s">
        <v>37</v>
      </c>
      <c r="N446" s="191" t="s">
        <v>38</v>
      </c>
      <c r="O446" s="191" t="s">
        <v>288</v>
      </c>
      <c r="P446" s="191" t="s">
        <v>98</v>
      </c>
      <c r="Q446" s="191" t="s">
        <v>88</v>
      </c>
      <c r="R446" s="191" t="s">
        <v>60</v>
      </c>
      <c r="S446" s="191" t="s">
        <v>48</v>
      </c>
      <c r="T446" s="191" t="s">
        <v>44</v>
      </c>
      <c r="U446" s="191" t="s">
        <v>46</v>
      </c>
      <c r="V446" s="191" t="s">
        <v>1141</v>
      </c>
      <c r="W446" s="191" t="s">
        <v>78</v>
      </c>
      <c r="X446" s="191" t="s">
        <v>44</v>
      </c>
      <c r="Y446" s="191" t="s">
        <v>45</v>
      </c>
      <c r="Z446" s="191" t="s">
        <v>46</v>
      </c>
      <c r="AA446" s="191" t="s">
        <v>105</v>
      </c>
      <c r="AB446" s="191" t="s">
        <v>84</v>
      </c>
      <c r="AC446" s="191" t="s">
        <v>43</v>
      </c>
      <c r="AD446" s="191" t="s">
        <v>72</v>
      </c>
      <c r="AE446" s="191" t="s">
        <v>1770</v>
      </c>
      <c r="AF446" s="191" t="s">
        <v>95</v>
      </c>
      <c r="AG446" s="191" t="s">
        <v>43</v>
      </c>
      <c r="AH446" s="191" t="s">
        <v>44</v>
      </c>
      <c r="AI446" s="191" t="s">
        <v>39</v>
      </c>
      <c r="AJ446" s="191" t="s">
        <v>36</v>
      </c>
      <c r="AK446" s="191" t="s">
        <v>63</v>
      </c>
      <c r="AL446" s="191" t="s">
        <v>44</v>
      </c>
      <c r="AM446" s="191" t="s">
        <v>45</v>
      </c>
      <c r="AN446" s="191" t="s">
        <v>44</v>
      </c>
      <c r="AO446" s="191" t="s">
        <v>44</v>
      </c>
      <c r="AP446" s="191" t="s">
        <v>44</v>
      </c>
    </row>
    <row r="447" spans="1:42" ht="29">
      <c r="A447" s="191" t="s">
        <v>1771</v>
      </c>
      <c r="B447" s="190">
        <v>3</v>
      </c>
      <c r="C447" s="190">
        <v>3</v>
      </c>
      <c r="D447" s="190">
        <v>9</v>
      </c>
      <c r="E447" s="191" t="s">
        <v>315</v>
      </c>
      <c r="F447" s="190">
        <v>1</v>
      </c>
      <c r="G447" s="191" t="s">
        <v>33</v>
      </c>
      <c r="H447" s="190">
        <v>1</v>
      </c>
      <c r="I447" s="190">
        <v>114</v>
      </c>
      <c r="J447" s="191" t="s">
        <v>54</v>
      </c>
      <c r="K447" s="191" t="s">
        <v>40</v>
      </c>
      <c r="L447" s="191" t="s">
        <v>36</v>
      </c>
      <c r="M447" s="191" t="s">
        <v>37</v>
      </c>
      <c r="N447" s="191" t="s">
        <v>58</v>
      </c>
      <c r="O447" s="191" t="s">
        <v>288</v>
      </c>
      <c r="P447" s="191" t="s">
        <v>123</v>
      </c>
      <c r="Q447" s="191" t="s">
        <v>89</v>
      </c>
      <c r="R447" s="191" t="s">
        <v>42</v>
      </c>
      <c r="S447" s="191" t="s">
        <v>48</v>
      </c>
      <c r="T447" s="191" t="s">
        <v>44</v>
      </c>
      <c r="U447" s="191" t="s">
        <v>44</v>
      </c>
      <c r="V447" s="191" t="s">
        <v>44</v>
      </c>
      <c r="W447" s="191" t="s">
        <v>40</v>
      </c>
      <c r="X447" s="191" t="s">
        <v>1772</v>
      </c>
      <c r="Y447" s="191" t="s">
        <v>61</v>
      </c>
      <c r="Z447" s="191" t="s">
        <v>43</v>
      </c>
      <c r="AA447" s="191" t="s">
        <v>36</v>
      </c>
      <c r="AB447" s="191" t="s">
        <v>36</v>
      </c>
      <c r="AC447" s="191" t="s">
        <v>47</v>
      </c>
      <c r="AD447" s="191" t="s">
        <v>51</v>
      </c>
      <c r="AE447" s="191" t="s">
        <v>44</v>
      </c>
      <c r="AF447" s="191" t="s">
        <v>95</v>
      </c>
      <c r="AG447" s="191" t="s">
        <v>47</v>
      </c>
      <c r="AH447" s="191" t="s">
        <v>44</v>
      </c>
      <c r="AI447" s="191" t="s">
        <v>39</v>
      </c>
      <c r="AJ447" s="191" t="s">
        <v>36</v>
      </c>
      <c r="AK447" s="191" t="s">
        <v>71</v>
      </c>
      <c r="AL447" s="191" t="s">
        <v>44</v>
      </c>
      <c r="AM447" s="191" t="s">
        <v>89</v>
      </c>
      <c r="AN447" s="191" t="s">
        <v>44</v>
      </c>
      <c r="AO447" s="191" t="s">
        <v>44</v>
      </c>
      <c r="AP447" s="191" t="s">
        <v>44</v>
      </c>
    </row>
    <row r="448" spans="1:42" ht="43.5">
      <c r="A448" s="191" t="s">
        <v>1773</v>
      </c>
      <c r="B448" s="190">
        <v>3</v>
      </c>
      <c r="C448" s="190">
        <v>3</v>
      </c>
      <c r="D448" s="190">
        <v>8</v>
      </c>
      <c r="E448" s="191" t="s">
        <v>311</v>
      </c>
      <c r="F448" s="190">
        <v>5</v>
      </c>
      <c r="G448" s="191" t="s">
        <v>64</v>
      </c>
      <c r="H448" s="190">
        <v>1</v>
      </c>
      <c r="I448" s="190">
        <v>187</v>
      </c>
      <c r="J448" s="191" t="s">
        <v>65</v>
      </c>
      <c r="K448" s="191" t="s">
        <v>40</v>
      </c>
      <c r="L448" s="191" t="s">
        <v>103</v>
      </c>
      <c r="M448" s="191" t="s">
        <v>37</v>
      </c>
      <c r="N448" s="191" t="s">
        <v>58</v>
      </c>
      <c r="O448" s="191" t="s">
        <v>288</v>
      </c>
      <c r="P448" s="191" t="s">
        <v>56</v>
      </c>
      <c r="Q448" s="191" t="s">
        <v>113</v>
      </c>
      <c r="R448" s="191" t="s">
        <v>42</v>
      </c>
      <c r="S448" s="191" t="s">
        <v>48</v>
      </c>
      <c r="T448" s="191" t="s">
        <v>44</v>
      </c>
      <c r="U448" s="191" t="s">
        <v>1758</v>
      </c>
      <c r="V448" s="191" t="s">
        <v>1106</v>
      </c>
      <c r="W448" s="191" t="s">
        <v>43</v>
      </c>
      <c r="X448" s="191" t="s">
        <v>44</v>
      </c>
      <c r="Y448" s="191" t="s">
        <v>47</v>
      </c>
      <c r="Z448" s="191" t="s">
        <v>43</v>
      </c>
      <c r="AA448" s="191" t="s">
        <v>49</v>
      </c>
      <c r="AB448" s="191" t="s">
        <v>84</v>
      </c>
      <c r="AC448" s="191" t="s">
        <v>43</v>
      </c>
      <c r="AD448" s="191" t="s">
        <v>72</v>
      </c>
      <c r="AE448" s="191" t="s">
        <v>44</v>
      </c>
      <c r="AF448" s="191" t="s">
        <v>52</v>
      </c>
      <c r="AG448" s="191" t="s">
        <v>47</v>
      </c>
      <c r="AH448" s="191" t="s">
        <v>44</v>
      </c>
      <c r="AI448" s="191" t="s">
        <v>134</v>
      </c>
      <c r="AJ448" s="191" t="s">
        <v>36</v>
      </c>
      <c r="AK448" s="191" t="s">
        <v>57</v>
      </c>
      <c r="AL448" s="191" t="s">
        <v>44</v>
      </c>
      <c r="AM448" s="191" t="s">
        <v>45</v>
      </c>
      <c r="AN448" s="191" t="s">
        <v>44</v>
      </c>
      <c r="AO448" s="191" t="s">
        <v>44</v>
      </c>
      <c r="AP448" s="191" t="s">
        <v>44</v>
      </c>
    </row>
    <row r="449" spans="1:42" ht="29">
      <c r="A449" s="191" t="s">
        <v>1774</v>
      </c>
      <c r="B449" s="190">
        <v>3</v>
      </c>
      <c r="C449" s="190">
        <v>7</v>
      </c>
      <c r="D449" s="190">
        <v>9</v>
      </c>
      <c r="E449" s="191" t="s">
        <v>318</v>
      </c>
      <c r="F449" s="190">
        <v>1</v>
      </c>
      <c r="G449" s="191" t="s">
        <v>33</v>
      </c>
      <c r="H449" s="190">
        <v>1</v>
      </c>
      <c r="I449" s="190">
        <v>100</v>
      </c>
      <c r="J449" s="191" t="s">
        <v>65</v>
      </c>
      <c r="K449" s="191" t="s">
        <v>61</v>
      </c>
      <c r="L449" s="191" t="s">
        <v>36</v>
      </c>
      <c r="M449" s="191" t="s">
        <v>37</v>
      </c>
      <c r="N449" s="191" t="s">
        <v>58</v>
      </c>
      <c r="O449" s="191" t="s">
        <v>39</v>
      </c>
      <c r="P449" s="191" t="s">
        <v>41</v>
      </c>
      <c r="Q449" s="191" t="s">
        <v>135</v>
      </c>
      <c r="R449" s="191" t="s">
        <v>42</v>
      </c>
      <c r="S449" s="191" t="s">
        <v>48</v>
      </c>
      <c r="T449" s="191" t="s">
        <v>44</v>
      </c>
      <c r="U449" s="191" t="s">
        <v>61</v>
      </c>
      <c r="V449" s="191" t="s">
        <v>1108</v>
      </c>
      <c r="W449" s="191" t="s">
        <v>43</v>
      </c>
      <c r="X449" s="191" t="s">
        <v>44</v>
      </c>
      <c r="Y449" s="191" t="s">
        <v>43</v>
      </c>
      <c r="Z449" s="191" t="s">
        <v>47</v>
      </c>
      <c r="AA449" s="191" t="s">
        <v>62</v>
      </c>
      <c r="AB449" s="191" t="s">
        <v>50</v>
      </c>
      <c r="AC449" s="191" t="s">
        <v>43</v>
      </c>
      <c r="AD449" s="191" t="s">
        <v>72</v>
      </c>
      <c r="AE449" s="191" t="s">
        <v>44</v>
      </c>
      <c r="AF449" s="191" t="s">
        <v>108</v>
      </c>
      <c r="AG449" s="191" t="s">
        <v>47</v>
      </c>
      <c r="AH449" s="191" t="s">
        <v>44</v>
      </c>
      <c r="AI449" s="191" t="s">
        <v>39</v>
      </c>
      <c r="AJ449" s="191" t="s">
        <v>36</v>
      </c>
      <c r="AK449" s="191" t="s">
        <v>85</v>
      </c>
      <c r="AL449" s="191" t="s">
        <v>44</v>
      </c>
      <c r="AM449" s="191" t="s">
        <v>45</v>
      </c>
      <c r="AN449" s="191" t="s">
        <v>1149</v>
      </c>
      <c r="AO449" s="191" t="s">
        <v>44</v>
      </c>
      <c r="AP449" s="191" t="s">
        <v>44</v>
      </c>
    </row>
    <row r="450" spans="1:42" ht="29">
      <c r="A450" s="191" t="s">
        <v>1775</v>
      </c>
      <c r="B450" s="190">
        <v>3</v>
      </c>
      <c r="C450" s="190">
        <v>3</v>
      </c>
      <c r="D450" s="190">
        <v>3</v>
      </c>
      <c r="E450" s="191" t="s">
        <v>311</v>
      </c>
      <c r="F450" s="190">
        <v>3</v>
      </c>
      <c r="G450" s="191" t="s">
        <v>79</v>
      </c>
      <c r="H450" s="190">
        <v>2</v>
      </c>
      <c r="I450" s="190">
        <v>180</v>
      </c>
      <c r="J450" s="191" t="s">
        <v>65</v>
      </c>
      <c r="K450" s="191" t="s">
        <v>61</v>
      </c>
      <c r="L450" s="191" t="s">
        <v>103</v>
      </c>
      <c r="M450" s="191" t="s">
        <v>37</v>
      </c>
      <c r="N450" s="191" t="s">
        <v>95</v>
      </c>
      <c r="O450" s="191" t="s">
        <v>39</v>
      </c>
      <c r="P450" s="191" t="s">
        <v>41</v>
      </c>
      <c r="Q450" s="191" t="s">
        <v>128</v>
      </c>
      <c r="R450" s="191" t="s">
        <v>87</v>
      </c>
      <c r="S450" s="191" t="s">
        <v>48</v>
      </c>
      <c r="T450" s="191" t="s">
        <v>44</v>
      </c>
      <c r="U450" s="191" t="s">
        <v>1119</v>
      </c>
      <c r="V450" s="191" t="s">
        <v>339</v>
      </c>
      <c r="W450" s="191" t="s">
        <v>43</v>
      </c>
      <c r="X450" s="191" t="s">
        <v>44</v>
      </c>
      <c r="Y450" s="191" t="s">
        <v>45</v>
      </c>
      <c r="Z450" s="191" t="s">
        <v>43</v>
      </c>
      <c r="AA450" s="191" t="s">
        <v>49</v>
      </c>
      <c r="AB450" s="191" t="s">
        <v>50</v>
      </c>
      <c r="AC450" s="191" t="s">
        <v>43</v>
      </c>
      <c r="AD450" s="191" t="s">
        <v>72</v>
      </c>
      <c r="AE450" s="191" t="s">
        <v>44</v>
      </c>
      <c r="AF450" s="191" t="s">
        <v>95</v>
      </c>
      <c r="AG450" s="191" t="s">
        <v>43</v>
      </c>
      <c r="AH450" s="191" t="s">
        <v>44</v>
      </c>
      <c r="AI450" s="191" t="s">
        <v>39</v>
      </c>
      <c r="AJ450" s="191" t="s">
        <v>36</v>
      </c>
      <c r="AK450" s="191" t="s">
        <v>73</v>
      </c>
      <c r="AL450" s="191" t="s">
        <v>44</v>
      </c>
      <c r="AM450" s="191" t="s">
        <v>45</v>
      </c>
      <c r="AN450" s="191" t="s">
        <v>44</v>
      </c>
      <c r="AO450" s="191" t="s">
        <v>44</v>
      </c>
      <c r="AP450" s="191" t="s">
        <v>44</v>
      </c>
    </row>
    <row r="451" spans="1:42" ht="29">
      <c r="A451" s="191" t="s">
        <v>1776</v>
      </c>
      <c r="B451" s="190">
        <v>3</v>
      </c>
      <c r="C451" s="190">
        <v>5</v>
      </c>
      <c r="D451" s="190">
        <v>5</v>
      </c>
      <c r="E451" s="191" t="s">
        <v>311</v>
      </c>
      <c r="F451" s="190">
        <v>4</v>
      </c>
      <c r="G451" s="191" t="s">
        <v>97</v>
      </c>
      <c r="H451" s="190">
        <v>1</v>
      </c>
      <c r="I451" s="190">
        <v>158</v>
      </c>
      <c r="J451" s="191" t="s">
        <v>65</v>
      </c>
      <c r="K451" s="191" t="s">
        <v>137</v>
      </c>
      <c r="L451" s="191" t="s">
        <v>55</v>
      </c>
      <c r="M451" s="191" t="s">
        <v>37</v>
      </c>
      <c r="N451" s="191" t="s">
        <v>58</v>
      </c>
      <c r="O451" s="191" t="s">
        <v>288</v>
      </c>
      <c r="P451" s="191" t="s">
        <v>41</v>
      </c>
      <c r="Q451" s="191" t="s">
        <v>90</v>
      </c>
      <c r="R451" s="191" t="s">
        <v>87</v>
      </c>
      <c r="S451" s="191" t="s">
        <v>48</v>
      </c>
      <c r="T451" s="191" t="s">
        <v>44</v>
      </c>
      <c r="U451" s="191" t="s">
        <v>44</v>
      </c>
      <c r="V451" s="191" t="s">
        <v>44</v>
      </c>
      <c r="W451" s="191" t="s">
        <v>110</v>
      </c>
      <c r="X451" s="191" t="s">
        <v>44</v>
      </c>
      <c r="Y451" s="191" t="s">
        <v>45</v>
      </c>
      <c r="Z451" s="191" t="s">
        <v>43</v>
      </c>
      <c r="AA451" s="191" t="s">
        <v>49</v>
      </c>
      <c r="AB451" s="191" t="s">
        <v>50</v>
      </c>
      <c r="AC451" s="191" t="s">
        <v>43</v>
      </c>
      <c r="AD451" s="191" t="s">
        <v>72</v>
      </c>
      <c r="AE451" s="191" t="s">
        <v>44</v>
      </c>
      <c r="AF451" s="191" t="s">
        <v>95</v>
      </c>
      <c r="AG451" s="191" t="s">
        <v>47</v>
      </c>
      <c r="AH451" s="191" t="s">
        <v>44</v>
      </c>
      <c r="AI451" s="191" t="s">
        <v>134</v>
      </c>
      <c r="AJ451" s="191" t="s">
        <v>36</v>
      </c>
      <c r="AK451" s="191" t="s">
        <v>73</v>
      </c>
      <c r="AL451" s="191" t="s">
        <v>44</v>
      </c>
      <c r="AM451" s="191" t="s">
        <v>63</v>
      </c>
      <c r="AN451" s="191" t="s">
        <v>44</v>
      </c>
      <c r="AO451" s="191" t="s">
        <v>44</v>
      </c>
      <c r="AP451" s="191" t="s">
        <v>44</v>
      </c>
    </row>
    <row r="452" spans="1:42" ht="43.5">
      <c r="A452" s="191" t="s">
        <v>1777</v>
      </c>
      <c r="B452" s="190">
        <v>3</v>
      </c>
      <c r="C452" s="190">
        <v>7</v>
      </c>
      <c r="D452" s="190">
        <v>7</v>
      </c>
      <c r="E452" s="191" t="s">
        <v>318</v>
      </c>
      <c r="F452" s="190">
        <v>2</v>
      </c>
      <c r="G452" s="191" t="s">
        <v>69</v>
      </c>
      <c r="H452" s="190">
        <v>1</v>
      </c>
      <c r="I452" s="190">
        <v>150</v>
      </c>
      <c r="J452" s="191" t="s">
        <v>54</v>
      </c>
      <c r="K452" s="191" t="s">
        <v>61</v>
      </c>
      <c r="L452" s="191" t="s">
        <v>36</v>
      </c>
      <c r="M452" s="191" t="s">
        <v>37</v>
      </c>
      <c r="N452" s="191" t="s">
        <v>38</v>
      </c>
      <c r="O452" s="191" t="s">
        <v>288</v>
      </c>
      <c r="P452" s="191" t="s">
        <v>66</v>
      </c>
      <c r="Q452" s="191" t="s">
        <v>43</v>
      </c>
      <c r="R452" s="191" t="s">
        <v>42</v>
      </c>
      <c r="S452" s="191" t="s">
        <v>48</v>
      </c>
      <c r="T452" s="191" t="s">
        <v>44</v>
      </c>
      <c r="U452" s="191" t="s">
        <v>1148</v>
      </c>
      <c r="V452" s="191" t="s">
        <v>339</v>
      </c>
      <c r="W452" s="191" t="s">
        <v>47</v>
      </c>
      <c r="X452" s="191" t="s">
        <v>44</v>
      </c>
      <c r="Y452" s="191" t="s">
        <v>45</v>
      </c>
      <c r="Z452" s="191" t="s">
        <v>43</v>
      </c>
      <c r="AA452" s="191" t="s">
        <v>62</v>
      </c>
      <c r="AB452" s="191" t="s">
        <v>84</v>
      </c>
      <c r="AC452" s="191" t="s">
        <v>47</v>
      </c>
      <c r="AD452" s="191" t="s">
        <v>72</v>
      </c>
      <c r="AE452" s="191" t="s">
        <v>44</v>
      </c>
      <c r="AF452" s="191" t="s">
        <v>52</v>
      </c>
      <c r="AG452" s="191" t="s">
        <v>47</v>
      </c>
      <c r="AH452" s="191" t="s">
        <v>44</v>
      </c>
      <c r="AI452" s="191" t="s">
        <v>134</v>
      </c>
      <c r="AJ452" s="191" t="s">
        <v>36</v>
      </c>
      <c r="AK452" s="191" t="s">
        <v>43</v>
      </c>
      <c r="AL452" s="191" t="s">
        <v>44</v>
      </c>
      <c r="AM452" s="191" t="s">
        <v>1268</v>
      </c>
      <c r="AN452" s="191" t="s">
        <v>44</v>
      </c>
      <c r="AO452" s="191" t="s">
        <v>44</v>
      </c>
      <c r="AP452" s="191" t="s">
        <v>44</v>
      </c>
    </row>
    <row r="453" spans="1:42" ht="29">
      <c r="A453" s="191" t="s">
        <v>1778</v>
      </c>
      <c r="B453" s="190">
        <v>3</v>
      </c>
      <c r="C453" s="190">
        <v>7</v>
      </c>
      <c r="D453" s="190">
        <v>9</v>
      </c>
      <c r="E453" s="191" t="s">
        <v>318</v>
      </c>
      <c r="F453" s="190">
        <v>1</v>
      </c>
      <c r="G453" s="191" t="s">
        <v>79</v>
      </c>
      <c r="H453" s="190">
        <v>1</v>
      </c>
      <c r="I453" s="190">
        <v>50</v>
      </c>
      <c r="J453" s="191" t="s">
        <v>65</v>
      </c>
      <c r="K453" s="191" t="s">
        <v>61</v>
      </c>
      <c r="L453" s="191" t="s">
        <v>36</v>
      </c>
      <c r="M453" s="191" t="s">
        <v>37</v>
      </c>
      <c r="N453" s="191" t="s">
        <v>95</v>
      </c>
      <c r="O453" s="191" t="s">
        <v>39</v>
      </c>
      <c r="P453" s="191" t="s">
        <v>41</v>
      </c>
      <c r="Q453" s="191" t="s">
        <v>40</v>
      </c>
      <c r="R453" s="191" t="s">
        <v>42</v>
      </c>
      <c r="S453" s="191" t="s">
        <v>48</v>
      </c>
      <c r="T453" s="191" t="s">
        <v>44</v>
      </c>
      <c r="U453" s="191" t="s">
        <v>40</v>
      </c>
      <c r="V453" s="191" t="s">
        <v>1141</v>
      </c>
      <c r="W453" s="191" t="s">
        <v>45</v>
      </c>
      <c r="X453" s="191" t="s">
        <v>44</v>
      </c>
      <c r="Y453" s="191" t="s">
        <v>47</v>
      </c>
      <c r="Z453" s="191" t="s">
        <v>43</v>
      </c>
      <c r="AA453" s="191" t="s">
        <v>36</v>
      </c>
      <c r="AB453" s="191" t="s">
        <v>50</v>
      </c>
      <c r="AC453" s="191" t="s">
        <v>43</v>
      </c>
      <c r="AD453" s="191" t="s">
        <v>72</v>
      </c>
      <c r="AE453" s="191" t="s">
        <v>44</v>
      </c>
      <c r="AF453" s="191" t="s">
        <v>95</v>
      </c>
      <c r="AG453" s="191" t="s">
        <v>47</v>
      </c>
      <c r="AH453" s="191" t="s">
        <v>44</v>
      </c>
      <c r="AI453" s="191" t="s">
        <v>39</v>
      </c>
      <c r="AJ453" s="191" t="s">
        <v>36</v>
      </c>
      <c r="AK453" s="191" t="s">
        <v>71</v>
      </c>
      <c r="AL453" s="191" t="s">
        <v>44</v>
      </c>
      <c r="AM453" s="191" t="s">
        <v>126</v>
      </c>
      <c r="AN453" s="191" t="s">
        <v>44</v>
      </c>
      <c r="AO453" s="191" t="s">
        <v>44</v>
      </c>
      <c r="AP453" s="191" t="s">
        <v>44</v>
      </c>
    </row>
    <row r="454" spans="1:42" ht="29">
      <c r="A454" s="191" t="s">
        <v>1779</v>
      </c>
      <c r="B454" s="190">
        <v>3</v>
      </c>
      <c r="C454" s="190">
        <v>3</v>
      </c>
      <c r="D454" s="190">
        <v>3</v>
      </c>
      <c r="E454" s="191" t="s">
        <v>311</v>
      </c>
      <c r="F454" s="190">
        <v>5</v>
      </c>
      <c r="G454" s="191" t="s">
        <v>69</v>
      </c>
      <c r="H454" s="190">
        <v>1</v>
      </c>
      <c r="I454" s="190">
        <v>95</v>
      </c>
      <c r="J454" s="191" t="s">
        <v>54</v>
      </c>
      <c r="K454" s="191" t="s">
        <v>40</v>
      </c>
      <c r="L454" s="191" t="s">
        <v>107</v>
      </c>
      <c r="M454" s="191" t="s">
        <v>37</v>
      </c>
      <c r="N454" s="191" t="s">
        <v>38</v>
      </c>
      <c r="O454" s="191" t="s">
        <v>288</v>
      </c>
      <c r="P454" s="191" t="s">
        <v>98</v>
      </c>
      <c r="Q454" s="191" t="s">
        <v>43</v>
      </c>
      <c r="R454" s="191" t="s">
        <v>42</v>
      </c>
      <c r="S454" s="191" t="s">
        <v>48</v>
      </c>
      <c r="T454" s="191" t="s">
        <v>44</v>
      </c>
      <c r="U454" s="191" t="s">
        <v>40</v>
      </c>
      <c r="V454" s="191" t="s">
        <v>339</v>
      </c>
      <c r="W454" s="191" t="s">
        <v>43</v>
      </c>
      <c r="X454" s="191" t="s">
        <v>44</v>
      </c>
      <c r="Y454" s="191" t="s">
        <v>45</v>
      </c>
      <c r="Z454" s="191" t="s">
        <v>43</v>
      </c>
      <c r="AA454" s="191" t="s">
        <v>62</v>
      </c>
      <c r="AB454" s="191" t="s">
        <v>50</v>
      </c>
      <c r="AC454" s="191" t="s">
        <v>43</v>
      </c>
      <c r="AD454" s="191" t="s">
        <v>72</v>
      </c>
      <c r="AE454" s="191" t="s">
        <v>44</v>
      </c>
      <c r="AF454" s="191" t="s">
        <v>95</v>
      </c>
      <c r="AG454" s="191" t="s">
        <v>47</v>
      </c>
      <c r="AH454" s="191" t="s">
        <v>44</v>
      </c>
      <c r="AI454" s="191" t="s">
        <v>39</v>
      </c>
      <c r="AJ454" s="191" t="s">
        <v>36</v>
      </c>
      <c r="AK454" s="191" t="s">
        <v>145</v>
      </c>
      <c r="AL454" s="191" t="s">
        <v>44</v>
      </c>
      <c r="AM454" s="191" t="s">
        <v>89</v>
      </c>
      <c r="AN454" s="191" t="s">
        <v>44</v>
      </c>
      <c r="AO454" s="191" t="s">
        <v>44</v>
      </c>
      <c r="AP454" s="191" t="s">
        <v>44</v>
      </c>
    </row>
    <row r="455" spans="1:42" ht="29">
      <c r="A455" s="191" t="s">
        <v>1780</v>
      </c>
      <c r="B455" s="190">
        <v>3</v>
      </c>
      <c r="C455" s="190">
        <v>3</v>
      </c>
      <c r="D455" s="190">
        <v>2</v>
      </c>
      <c r="E455" s="191" t="s">
        <v>311</v>
      </c>
      <c r="F455" s="190">
        <v>5</v>
      </c>
      <c r="G455" s="191" t="s">
        <v>100</v>
      </c>
      <c r="H455" s="190">
        <v>1</v>
      </c>
      <c r="I455" s="190">
        <v>240</v>
      </c>
      <c r="J455" s="191" t="s">
        <v>65</v>
      </c>
      <c r="K455" s="191" t="s">
        <v>61</v>
      </c>
      <c r="L455" s="191" t="s">
        <v>55</v>
      </c>
      <c r="M455" s="191" t="s">
        <v>37</v>
      </c>
      <c r="N455" s="191" t="s">
        <v>38</v>
      </c>
      <c r="O455" s="191" t="s">
        <v>288</v>
      </c>
      <c r="P455" s="191" t="s">
        <v>98</v>
      </c>
      <c r="Q455" s="191" t="s">
        <v>61</v>
      </c>
      <c r="R455" s="191" t="s">
        <v>42</v>
      </c>
      <c r="S455" s="191" t="s">
        <v>48</v>
      </c>
      <c r="T455" s="191" t="s">
        <v>44</v>
      </c>
      <c r="U455" s="191" t="s">
        <v>47</v>
      </c>
      <c r="V455" s="191" t="s">
        <v>339</v>
      </c>
      <c r="W455" s="191" t="s">
        <v>47</v>
      </c>
      <c r="X455" s="191" t="s">
        <v>44</v>
      </c>
      <c r="Y455" s="191" t="s">
        <v>45</v>
      </c>
      <c r="Z455" s="191" t="s">
        <v>43</v>
      </c>
      <c r="AA455" s="191" t="s">
        <v>62</v>
      </c>
      <c r="AB455" s="191" t="s">
        <v>50</v>
      </c>
      <c r="AC455" s="191" t="s">
        <v>43</v>
      </c>
      <c r="AD455" s="191" t="s">
        <v>72</v>
      </c>
      <c r="AE455" s="191" t="s">
        <v>44</v>
      </c>
      <c r="AF455" s="191" t="s">
        <v>130</v>
      </c>
      <c r="AG455" s="191" t="s">
        <v>47</v>
      </c>
      <c r="AH455" s="191" t="s">
        <v>44</v>
      </c>
      <c r="AI455" s="191" t="s">
        <v>39</v>
      </c>
      <c r="AJ455" s="191" t="s">
        <v>41</v>
      </c>
      <c r="AK455" s="191" t="s">
        <v>77</v>
      </c>
      <c r="AL455" s="191" t="s">
        <v>44</v>
      </c>
      <c r="AM455" s="191" t="s">
        <v>47</v>
      </c>
      <c r="AN455" s="191" t="s">
        <v>44</v>
      </c>
      <c r="AO455" s="191" t="s">
        <v>44</v>
      </c>
      <c r="AP455" s="191" t="s">
        <v>44</v>
      </c>
    </row>
    <row r="456" spans="1:42" ht="43.5">
      <c r="A456" s="191" t="s">
        <v>1781</v>
      </c>
      <c r="B456" s="190">
        <v>3</v>
      </c>
      <c r="C456" s="190">
        <v>5</v>
      </c>
      <c r="D456" s="190">
        <v>4</v>
      </c>
      <c r="E456" s="191" t="s">
        <v>311</v>
      </c>
      <c r="F456" s="190">
        <v>2</v>
      </c>
      <c r="G456" s="191" t="s">
        <v>69</v>
      </c>
      <c r="H456" s="190">
        <v>1</v>
      </c>
      <c r="I456" s="190">
        <v>100</v>
      </c>
      <c r="J456" s="191" t="s">
        <v>54</v>
      </c>
      <c r="K456" s="191" t="s">
        <v>81</v>
      </c>
      <c r="L456" s="191" t="s">
        <v>70</v>
      </c>
      <c r="M456" s="191" t="s">
        <v>37</v>
      </c>
      <c r="N456" s="191" t="s">
        <v>58</v>
      </c>
      <c r="O456" s="191" t="s">
        <v>288</v>
      </c>
      <c r="P456" s="191" t="s">
        <v>56</v>
      </c>
      <c r="Q456" s="191" t="s">
        <v>89</v>
      </c>
      <c r="R456" s="191" t="s">
        <v>60</v>
      </c>
      <c r="S456" s="191" t="s">
        <v>48</v>
      </c>
      <c r="T456" s="191" t="s">
        <v>44</v>
      </c>
      <c r="U456" s="191" t="s">
        <v>44</v>
      </c>
      <c r="V456" s="191" t="s">
        <v>44</v>
      </c>
      <c r="W456" s="191" t="s">
        <v>47</v>
      </c>
      <c r="X456" s="191" t="s">
        <v>44</v>
      </c>
      <c r="Y456" s="191" t="s">
        <v>61</v>
      </c>
      <c r="Z456" s="191" t="s">
        <v>43</v>
      </c>
      <c r="AA456" s="191" t="s">
        <v>36</v>
      </c>
      <c r="AB456" s="191" t="s">
        <v>36</v>
      </c>
      <c r="AC456" s="191" t="s">
        <v>46</v>
      </c>
      <c r="AD456" s="191" t="s">
        <v>36</v>
      </c>
      <c r="AE456" s="191" t="s">
        <v>44</v>
      </c>
      <c r="AF456" s="191" t="s">
        <v>95</v>
      </c>
      <c r="AG456" s="191" t="s">
        <v>47</v>
      </c>
      <c r="AH456" s="191" t="s">
        <v>44</v>
      </c>
      <c r="AI456" s="191" t="s">
        <v>39</v>
      </c>
      <c r="AJ456" s="191" t="s">
        <v>36</v>
      </c>
      <c r="AK456" s="191" t="s">
        <v>77</v>
      </c>
      <c r="AL456" s="191" t="s">
        <v>44</v>
      </c>
      <c r="AM456" s="191" t="s">
        <v>89</v>
      </c>
      <c r="AN456" s="191" t="s">
        <v>44</v>
      </c>
      <c r="AO456" s="191" t="s">
        <v>44</v>
      </c>
      <c r="AP456" s="191" t="s">
        <v>44</v>
      </c>
    </row>
    <row r="457" spans="1:42" ht="29">
      <c r="A457" s="191" t="s">
        <v>1782</v>
      </c>
      <c r="B457" s="190">
        <v>3</v>
      </c>
      <c r="C457" s="190">
        <v>2</v>
      </c>
      <c r="D457" s="190">
        <v>5</v>
      </c>
      <c r="E457" s="191" t="s">
        <v>315</v>
      </c>
      <c r="F457" s="190">
        <v>3</v>
      </c>
      <c r="G457" s="191" t="s">
        <v>79</v>
      </c>
      <c r="H457" s="190">
        <v>1</v>
      </c>
      <c r="I457" s="190">
        <v>120</v>
      </c>
      <c r="J457" s="191" t="s">
        <v>80</v>
      </c>
      <c r="K457" s="191" t="s">
        <v>47</v>
      </c>
      <c r="L457" s="191" t="s">
        <v>36</v>
      </c>
      <c r="M457" s="191" t="s">
        <v>37</v>
      </c>
      <c r="N457" s="191" t="s">
        <v>58</v>
      </c>
      <c r="O457" s="191" t="s">
        <v>288</v>
      </c>
      <c r="P457" s="191" t="s">
        <v>41</v>
      </c>
      <c r="Q457" s="191" t="s">
        <v>143</v>
      </c>
      <c r="R457" s="191" t="s">
        <v>60</v>
      </c>
      <c r="S457" s="191" t="s">
        <v>48</v>
      </c>
      <c r="T457" s="191" t="s">
        <v>44</v>
      </c>
      <c r="U457" s="191" t="s">
        <v>89</v>
      </c>
      <c r="V457" s="191" t="s">
        <v>1141</v>
      </c>
      <c r="W457" s="191" t="s">
        <v>43</v>
      </c>
      <c r="X457" s="191" t="s">
        <v>44</v>
      </c>
      <c r="Y457" s="191" t="s">
        <v>47</v>
      </c>
      <c r="Z457" s="191" t="s">
        <v>43</v>
      </c>
      <c r="AA457" s="191" t="s">
        <v>62</v>
      </c>
      <c r="AB457" s="191" t="s">
        <v>50</v>
      </c>
      <c r="AC457" s="191" t="s">
        <v>43</v>
      </c>
      <c r="AD457" s="191" t="s">
        <v>72</v>
      </c>
      <c r="AE457" s="191" t="s">
        <v>44</v>
      </c>
      <c r="AF457" s="191" t="s">
        <v>95</v>
      </c>
      <c r="AG457" s="191" t="s">
        <v>47</v>
      </c>
      <c r="AH457" s="191" t="s">
        <v>44</v>
      </c>
      <c r="AI457" s="191" t="s">
        <v>134</v>
      </c>
      <c r="AJ457" s="191" t="s">
        <v>36</v>
      </c>
      <c r="AK457" s="191" t="s">
        <v>59</v>
      </c>
      <c r="AL457" s="191" t="s">
        <v>44</v>
      </c>
      <c r="AM457" s="191" t="s">
        <v>45</v>
      </c>
      <c r="AN457" s="191" t="s">
        <v>44</v>
      </c>
      <c r="AO457" s="191" t="s">
        <v>44</v>
      </c>
      <c r="AP457" s="191" t="s">
        <v>44</v>
      </c>
    </row>
    <row r="458" spans="1:42" ht="43.5">
      <c r="A458" s="191" t="s">
        <v>1783</v>
      </c>
      <c r="B458" s="190">
        <v>3</v>
      </c>
      <c r="C458" s="190">
        <v>5</v>
      </c>
      <c r="D458" s="190">
        <v>5</v>
      </c>
      <c r="E458" s="191" t="s">
        <v>311</v>
      </c>
      <c r="F458" s="190">
        <v>3</v>
      </c>
      <c r="G458" s="191" t="s">
        <v>75</v>
      </c>
      <c r="H458" s="190">
        <v>1</v>
      </c>
      <c r="I458" s="190">
        <v>95</v>
      </c>
      <c r="J458" s="191" t="s">
        <v>65</v>
      </c>
      <c r="K458" s="191" t="s">
        <v>47</v>
      </c>
      <c r="L458" s="191" t="s">
        <v>36</v>
      </c>
      <c r="M458" s="191" t="s">
        <v>37</v>
      </c>
      <c r="N458" s="191" t="s">
        <v>38</v>
      </c>
      <c r="O458" s="191" t="s">
        <v>288</v>
      </c>
      <c r="P458" s="191" t="s">
        <v>66</v>
      </c>
      <c r="Q458" s="191" t="s">
        <v>90</v>
      </c>
      <c r="R458" s="191" t="s">
        <v>42</v>
      </c>
      <c r="S458" s="191" t="s">
        <v>48</v>
      </c>
      <c r="T458" s="191" t="s">
        <v>44</v>
      </c>
      <c r="U458" s="191" t="s">
        <v>40</v>
      </c>
      <c r="V458" s="191" t="s">
        <v>44</v>
      </c>
      <c r="W458" s="191" t="s">
        <v>43</v>
      </c>
      <c r="X458" s="191" t="s">
        <v>44</v>
      </c>
      <c r="Y458" s="191" t="s">
        <v>43</v>
      </c>
      <c r="Z458" s="191" t="s">
        <v>43</v>
      </c>
      <c r="AA458" s="191" t="s">
        <v>62</v>
      </c>
      <c r="AB458" s="191" t="s">
        <v>50</v>
      </c>
      <c r="AC458" s="191" t="s">
        <v>47</v>
      </c>
      <c r="AD458" s="191" t="s">
        <v>91</v>
      </c>
      <c r="AE458" s="191" t="s">
        <v>44</v>
      </c>
      <c r="AF458" s="191" t="s">
        <v>95</v>
      </c>
      <c r="AG458" s="191" t="s">
        <v>47</v>
      </c>
      <c r="AH458" s="191" t="s">
        <v>44</v>
      </c>
      <c r="AI458" s="191" t="s">
        <v>134</v>
      </c>
      <c r="AJ458" s="191" t="s">
        <v>36</v>
      </c>
      <c r="AK458" s="191" t="s">
        <v>59</v>
      </c>
      <c r="AL458" s="191" t="s">
        <v>1784</v>
      </c>
      <c r="AM458" s="191" t="s">
        <v>45</v>
      </c>
      <c r="AN458" s="191" t="s">
        <v>44</v>
      </c>
      <c r="AO458" s="191" t="s">
        <v>44</v>
      </c>
      <c r="AP458" s="191" t="s">
        <v>44</v>
      </c>
    </row>
    <row r="459" spans="1:42" ht="43.5">
      <c r="A459" s="191" t="s">
        <v>1785</v>
      </c>
      <c r="B459" s="190">
        <v>3</v>
      </c>
      <c r="C459" s="190">
        <v>5</v>
      </c>
      <c r="D459" s="190">
        <v>7</v>
      </c>
      <c r="E459" s="191" t="s">
        <v>315</v>
      </c>
      <c r="F459" s="190">
        <v>2</v>
      </c>
      <c r="G459" s="191" t="s">
        <v>97</v>
      </c>
      <c r="H459" s="190">
        <v>1</v>
      </c>
      <c r="I459" s="190">
        <v>160</v>
      </c>
      <c r="J459" s="191" t="s">
        <v>65</v>
      </c>
      <c r="K459" s="191" t="s">
        <v>40</v>
      </c>
      <c r="L459" s="191" t="s">
        <v>36</v>
      </c>
      <c r="M459" s="191" t="s">
        <v>37</v>
      </c>
      <c r="N459" s="191" t="s">
        <v>95</v>
      </c>
      <c r="O459" s="191" t="s">
        <v>288</v>
      </c>
      <c r="P459" s="191" t="s">
        <v>66</v>
      </c>
      <c r="Q459" s="191" t="s">
        <v>35</v>
      </c>
      <c r="R459" s="191" t="s">
        <v>42</v>
      </c>
      <c r="S459" s="191" t="s">
        <v>48</v>
      </c>
      <c r="T459" s="191" t="s">
        <v>44</v>
      </c>
      <c r="U459" s="191" t="s">
        <v>89</v>
      </c>
      <c r="V459" s="191" t="s">
        <v>1141</v>
      </c>
      <c r="W459" s="191" t="s">
        <v>43</v>
      </c>
      <c r="X459" s="191" t="s">
        <v>44</v>
      </c>
      <c r="Y459" s="191" t="s">
        <v>110</v>
      </c>
      <c r="Z459" s="191" t="s">
        <v>47</v>
      </c>
      <c r="AA459" s="191" t="s">
        <v>49</v>
      </c>
      <c r="AB459" s="191" t="s">
        <v>50</v>
      </c>
      <c r="AC459" s="191" t="s">
        <v>43</v>
      </c>
      <c r="AD459" s="191" t="s">
        <v>72</v>
      </c>
      <c r="AE459" s="191" t="s">
        <v>44</v>
      </c>
      <c r="AF459" s="191" t="s">
        <v>95</v>
      </c>
      <c r="AG459" s="191" t="s">
        <v>47</v>
      </c>
      <c r="AH459" s="191" t="s">
        <v>44</v>
      </c>
      <c r="AI459" s="191" t="s">
        <v>134</v>
      </c>
      <c r="AJ459" s="191" t="s">
        <v>36</v>
      </c>
      <c r="AK459" s="191" t="s">
        <v>73</v>
      </c>
      <c r="AL459" s="191" t="s">
        <v>44</v>
      </c>
      <c r="AM459" s="191" t="s">
        <v>1786</v>
      </c>
      <c r="AN459" s="191" t="s">
        <v>44</v>
      </c>
      <c r="AO459" s="191" t="s">
        <v>44</v>
      </c>
      <c r="AP459" s="191" t="s">
        <v>44</v>
      </c>
    </row>
    <row r="460" spans="1:42" ht="29">
      <c r="A460" s="191" t="s">
        <v>1787</v>
      </c>
      <c r="B460" s="190">
        <v>3</v>
      </c>
      <c r="C460" s="190">
        <v>6</v>
      </c>
      <c r="D460" s="190">
        <v>6</v>
      </c>
      <c r="E460" s="191" t="s">
        <v>311</v>
      </c>
      <c r="F460" s="190">
        <v>4</v>
      </c>
      <c r="G460" s="191" t="s">
        <v>53</v>
      </c>
      <c r="H460" s="190">
        <v>1</v>
      </c>
      <c r="I460" s="190">
        <v>90</v>
      </c>
      <c r="J460" s="191" t="s">
        <v>54</v>
      </c>
      <c r="K460" s="191" t="s">
        <v>101</v>
      </c>
      <c r="L460" s="191" t="s">
        <v>107</v>
      </c>
      <c r="M460" s="191" t="s">
        <v>37</v>
      </c>
      <c r="N460" s="191" t="s">
        <v>95</v>
      </c>
      <c r="O460" s="191" t="s">
        <v>39</v>
      </c>
      <c r="P460" s="191" t="s">
        <v>41</v>
      </c>
      <c r="Q460" s="191" t="s">
        <v>106</v>
      </c>
      <c r="R460" s="191" t="s">
        <v>36</v>
      </c>
      <c r="S460" s="191" t="s">
        <v>48</v>
      </c>
      <c r="T460" s="191" t="s">
        <v>44</v>
      </c>
      <c r="U460" s="191" t="s">
        <v>40</v>
      </c>
      <c r="V460" s="191" t="s">
        <v>1141</v>
      </c>
      <c r="W460" s="191" t="s">
        <v>43</v>
      </c>
      <c r="X460" s="191" t="s">
        <v>44</v>
      </c>
      <c r="Y460" s="191" t="s">
        <v>45</v>
      </c>
      <c r="Z460" s="191" t="s">
        <v>47</v>
      </c>
      <c r="AA460" s="191" t="s">
        <v>62</v>
      </c>
      <c r="AB460" s="191" t="s">
        <v>84</v>
      </c>
      <c r="AC460" s="191" t="s">
        <v>43</v>
      </c>
      <c r="AD460" s="191" t="s">
        <v>72</v>
      </c>
      <c r="AE460" s="191" t="s">
        <v>44</v>
      </c>
      <c r="AF460" s="191" t="s">
        <v>95</v>
      </c>
      <c r="AG460" s="191" t="s">
        <v>43</v>
      </c>
      <c r="AH460" s="191" t="s">
        <v>44</v>
      </c>
      <c r="AI460" s="191" t="s">
        <v>39</v>
      </c>
      <c r="AJ460" s="191" t="s">
        <v>36</v>
      </c>
      <c r="AK460" s="191" t="s">
        <v>73</v>
      </c>
      <c r="AL460" s="191" t="s">
        <v>44</v>
      </c>
      <c r="AM460" s="191" t="s">
        <v>43</v>
      </c>
      <c r="AN460" s="191" t="s">
        <v>44</v>
      </c>
      <c r="AO460" s="191" t="s">
        <v>44</v>
      </c>
      <c r="AP460" s="191" t="s">
        <v>44</v>
      </c>
    </row>
    <row r="461" spans="1:42" ht="29">
      <c r="A461" s="191" t="s">
        <v>1788</v>
      </c>
      <c r="B461" s="190">
        <v>2</v>
      </c>
      <c r="C461" s="190">
        <v>7</v>
      </c>
      <c r="D461" s="190">
        <v>7</v>
      </c>
      <c r="E461" s="191" t="s">
        <v>318</v>
      </c>
      <c r="F461" s="190">
        <v>2</v>
      </c>
      <c r="G461" s="191" t="s">
        <v>53</v>
      </c>
      <c r="H461" s="190">
        <v>1</v>
      </c>
      <c r="I461" s="190">
        <v>100</v>
      </c>
      <c r="J461" s="191" t="s">
        <v>34</v>
      </c>
      <c r="K461" s="191" t="s">
        <v>92</v>
      </c>
      <c r="L461" s="191" t="s">
        <v>36</v>
      </c>
      <c r="M461" s="191" t="s">
        <v>37</v>
      </c>
      <c r="N461" s="191" t="s">
        <v>38</v>
      </c>
      <c r="O461" s="191" t="s">
        <v>288</v>
      </c>
      <c r="P461" s="191" t="s">
        <v>41</v>
      </c>
      <c r="Q461" s="191" t="s">
        <v>145</v>
      </c>
      <c r="R461" s="191" t="s">
        <v>42</v>
      </c>
      <c r="S461" s="191" t="s">
        <v>48</v>
      </c>
      <c r="T461" s="191" t="s">
        <v>44</v>
      </c>
      <c r="U461" s="191" t="s">
        <v>44</v>
      </c>
      <c r="V461" s="191" t="s">
        <v>44</v>
      </c>
      <c r="W461" s="191" t="s">
        <v>47</v>
      </c>
      <c r="X461" s="191" t="s">
        <v>44</v>
      </c>
      <c r="Y461" s="191" t="s">
        <v>61</v>
      </c>
      <c r="Z461" s="191" t="s">
        <v>43</v>
      </c>
      <c r="AA461" s="191" t="s">
        <v>62</v>
      </c>
      <c r="AB461" s="191" t="s">
        <v>84</v>
      </c>
      <c r="AC461" s="191" t="s">
        <v>43</v>
      </c>
      <c r="AD461" s="191" t="s">
        <v>51</v>
      </c>
      <c r="AE461" s="191" t="s">
        <v>44</v>
      </c>
      <c r="AF461" s="191" t="s">
        <v>95</v>
      </c>
      <c r="AG461" s="191" t="s">
        <v>43</v>
      </c>
      <c r="AH461" s="191" t="s">
        <v>44</v>
      </c>
      <c r="AI461" s="191" t="s">
        <v>39</v>
      </c>
      <c r="AJ461" s="191" t="s">
        <v>36</v>
      </c>
      <c r="AK461" s="191" t="s">
        <v>81</v>
      </c>
      <c r="AL461" s="191" t="s">
        <v>44</v>
      </c>
      <c r="AM461" s="191" t="s">
        <v>126</v>
      </c>
      <c r="AN461" s="191" t="s">
        <v>44</v>
      </c>
      <c r="AO461" s="191" t="s">
        <v>44</v>
      </c>
      <c r="AP461" s="191" t="s">
        <v>44</v>
      </c>
    </row>
    <row r="462" spans="1:42" ht="29">
      <c r="A462" s="191" t="s">
        <v>1789</v>
      </c>
      <c r="B462" s="190">
        <v>3</v>
      </c>
      <c r="C462" s="190">
        <v>7</v>
      </c>
      <c r="D462" s="190">
        <v>7</v>
      </c>
      <c r="E462" s="191" t="s">
        <v>315</v>
      </c>
      <c r="F462" s="190">
        <v>3</v>
      </c>
      <c r="G462" s="191" t="s">
        <v>64</v>
      </c>
      <c r="H462" s="190">
        <v>1</v>
      </c>
      <c r="I462" s="190">
        <v>140</v>
      </c>
      <c r="J462" s="191" t="s">
        <v>34</v>
      </c>
      <c r="K462" s="191" t="s">
        <v>45</v>
      </c>
      <c r="L462" s="191" t="s">
        <v>36</v>
      </c>
      <c r="M462" s="191" t="s">
        <v>37</v>
      </c>
      <c r="N462" s="191" t="s">
        <v>38</v>
      </c>
      <c r="O462" s="191" t="s">
        <v>288</v>
      </c>
      <c r="P462" s="191" t="s">
        <v>98</v>
      </c>
      <c r="Q462" s="191" t="s">
        <v>139</v>
      </c>
      <c r="R462" s="191" t="s">
        <v>82</v>
      </c>
      <c r="S462" s="191" t="s">
        <v>48</v>
      </c>
      <c r="T462" s="191" t="s">
        <v>44</v>
      </c>
      <c r="U462" s="191" t="s">
        <v>1790</v>
      </c>
      <c r="V462" s="191" t="s">
        <v>1141</v>
      </c>
      <c r="W462" s="191" t="s">
        <v>78</v>
      </c>
      <c r="X462" s="191" t="s">
        <v>44</v>
      </c>
      <c r="Y462" s="191" t="s">
        <v>43</v>
      </c>
      <c r="Z462" s="191" t="s">
        <v>43</v>
      </c>
      <c r="AA462" s="191" t="s">
        <v>62</v>
      </c>
      <c r="AB462" s="191" t="s">
        <v>50</v>
      </c>
      <c r="AC462" s="191" t="s">
        <v>43</v>
      </c>
      <c r="AD462" s="191" t="s">
        <v>72</v>
      </c>
      <c r="AE462" s="191" t="s">
        <v>44</v>
      </c>
      <c r="AF462" s="191" t="s">
        <v>95</v>
      </c>
      <c r="AG462" s="191" t="s">
        <v>47</v>
      </c>
      <c r="AH462" s="191" t="s">
        <v>44</v>
      </c>
      <c r="AI462" s="191" t="s">
        <v>134</v>
      </c>
      <c r="AJ462" s="191" t="s">
        <v>36</v>
      </c>
      <c r="AK462" s="191" t="s">
        <v>77</v>
      </c>
      <c r="AL462" s="191" t="s">
        <v>44</v>
      </c>
      <c r="AM462" s="191" t="s">
        <v>45</v>
      </c>
      <c r="AN462" s="191" t="s">
        <v>44</v>
      </c>
      <c r="AO462" s="191" t="s">
        <v>44</v>
      </c>
      <c r="AP462" s="191" t="s">
        <v>44</v>
      </c>
    </row>
    <row r="463" spans="1:42" ht="29">
      <c r="A463" s="191" t="s">
        <v>1791</v>
      </c>
      <c r="B463" s="190">
        <v>3</v>
      </c>
      <c r="C463" s="190">
        <v>5</v>
      </c>
      <c r="D463" s="190">
        <v>3</v>
      </c>
      <c r="E463" s="191" t="s">
        <v>311</v>
      </c>
      <c r="F463" s="190">
        <v>4</v>
      </c>
      <c r="G463" s="191" t="s">
        <v>53</v>
      </c>
      <c r="H463" s="190">
        <v>1</v>
      </c>
      <c r="I463" s="190">
        <v>90</v>
      </c>
      <c r="J463" s="191" t="s">
        <v>34</v>
      </c>
      <c r="K463" s="191" t="s">
        <v>40</v>
      </c>
      <c r="L463" s="191" t="s">
        <v>103</v>
      </c>
      <c r="M463" s="191" t="s">
        <v>37</v>
      </c>
      <c r="N463" s="191" t="s">
        <v>58</v>
      </c>
      <c r="O463" s="191" t="s">
        <v>288</v>
      </c>
      <c r="P463" s="191" t="s">
        <v>41</v>
      </c>
      <c r="Q463" s="191" t="s">
        <v>88</v>
      </c>
      <c r="R463" s="191" t="s">
        <v>42</v>
      </c>
      <c r="S463" s="191" t="s">
        <v>48</v>
      </c>
      <c r="T463" s="191" t="s">
        <v>44</v>
      </c>
      <c r="U463" s="191" t="s">
        <v>40</v>
      </c>
      <c r="V463" s="191" t="s">
        <v>1141</v>
      </c>
      <c r="W463" s="191" t="s">
        <v>43</v>
      </c>
      <c r="X463" s="191" t="s">
        <v>44</v>
      </c>
      <c r="Y463" s="191" t="s">
        <v>45</v>
      </c>
      <c r="Z463" s="191" t="s">
        <v>43</v>
      </c>
      <c r="AA463" s="191" t="s">
        <v>62</v>
      </c>
      <c r="AB463" s="191" t="s">
        <v>84</v>
      </c>
      <c r="AC463" s="191" t="s">
        <v>43</v>
      </c>
      <c r="AD463" s="191" t="s">
        <v>72</v>
      </c>
      <c r="AE463" s="191" t="s">
        <v>44</v>
      </c>
      <c r="AF463" s="191" t="s">
        <v>95</v>
      </c>
      <c r="AG463" s="191" t="s">
        <v>43</v>
      </c>
      <c r="AH463" s="191" t="s">
        <v>44</v>
      </c>
      <c r="AI463" s="191" t="s">
        <v>39</v>
      </c>
      <c r="AJ463" s="191" t="s">
        <v>36</v>
      </c>
      <c r="AK463" s="191" t="s">
        <v>73</v>
      </c>
      <c r="AL463" s="191" t="s">
        <v>44</v>
      </c>
      <c r="AM463" s="191" t="s">
        <v>89</v>
      </c>
      <c r="AN463" s="191" t="s">
        <v>44</v>
      </c>
      <c r="AO463" s="191" t="s">
        <v>44</v>
      </c>
      <c r="AP463" s="191" t="s">
        <v>44</v>
      </c>
    </row>
    <row r="464" spans="1:42" ht="29">
      <c r="A464" s="191" t="s">
        <v>1792</v>
      </c>
      <c r="B464" s="190">
        <v>3</v>
      </c>
      <c r="C464" s="190">
        <v>3</v>
      </c>
      <c r="D464" s="190">
        <v>3</v>
      </c>
      <c r="E464" s="191" t="s">
        <v>311</v>
      </c>
      <c r="F464" s="190">
        <v>4</v>
      </c>
      <c r="G464" s="191" t="s">
        <v>53</v>
      </c>
      <c r="H464" s="190">
        <v>1</v>
      </c>
      <c r="I464" s="190">
        <v>96</v>
      </c>
      <c r="J464" s="191" t="s">
        <v>34</v>
      </c>
      <c r="K464" s="191" t="s">
        <v>61</v>
      </c>
      <c r="L464" s="191" t="s">
        <v>155</v>
      </c>
      <c r="M464" s="191" t="s">
        <v>37</v>
      </c>
      <c r="N464" s="191" t="s">
        <v>58</v>
      </c>
      <c r="O464" s="191" t="s">
        <v>39</v>
      </c>
      <c r="P464" s="191" t="s">
        <v>36</v>
      </c>
      <c r="Q464" s="191" t="s">
        <v>89</v>
      </c>
      <c r="R464" s="191" t="s">
        <v>42</v>
      </c>
      <c r="S464" s="191" t="s">
        <v>48</v>
      </c>
      <c r="T464" s="191" t="s">
        <v>44</v>
      </c>
      <c r="U464" s="191" t="s">
        <v>44</v>
      </c>
      <c r="V464" s="191" t="s">
        <v>44</v>
      </c>
      <c r="W464" s="191" t="s">
        <v>45</v>
      </c>
      <c r="X464" s="191" t="s">
        <v>44</v>
      </c>
      <c r="Y464" s="191" t="s">
        <v>61</v>
      </c>
      <c r="Z464" s="191" t="s">
        <v>40</v>
      </c>
      <c r="AA464" s="191" t="s">
        <v>36</v>
      </c>
      <c r="AB464" s="191" t="s">
        <v>36</v>
      </c>
      <c r="AC464" s="191" t="s">
        <v>46</v>
      </c>
      <c r="AD464" s="191" t="s">
        <v>36</v>
      </c>
      <c r="AE464" s="191" t="s">
        <v>44</v>
      </c>
      <c r="AF464" s="191" t="s">
        <v>95</v>
      </c>
      <c r="AG464" s="191" t="s">
        <v>47</v>
      </c>
      <c r="AH464" s="191" t="s">
        <v>44</v>
      </c>
      <c r="AI464" s="191" t="s">
        <v>39</v>
      </c>
      <c r="AJ464" s="191" t="s">
        <v>36</v>
      </c>
      <c r="AK464" s="191" t="s">
        <v>59</v>
      </c>
      <c r="AL464" s="191" t="s">
        <v>44</v>
      </c>
      <c r="AM464" s="191" t="s">
        <v>45</v>
      </c>
      <c r="AN464" s="191" t="s">
        <v>44</v>
      </c>
      <c r="AO464" s="191" t="s">
        <v>44</v>
      </c>
      <c r="AP464" s="191" t="s">
        <v>44</v>
      </c>
    </row>
    <row r="465" spans="1:42" ht="29">
      <c r="A465" s="191" t="s">
        <v>1793</v>
      </c>
      <c r="B465" s="190">
        <v>1</v>
      </c>
      <c r="C465" s="190">
        <v>6</v>
      </c>
      <c r="D465" s="190">
        <v>8</v>
      </c>
      <c r="E465" s="191" t="s">
        <v>307</v>
      </c>
      <c r="F465" s="190">
        <v>5</v>
      </c>
      <c r="G465" s="191" t="s">
        <v>69</v>
      </c>
      <c r="H465" s="190">
        <v>1</v>
      </c>
      <c r="I465" s="190">
        <v>160</v>
      </c>
      <c r="J465" s="191" t="s">
        <v>34</v>
      </c>
      <c r="K465" s="191" t="s">
        <v>47</v>
      </c>
      <c r="L465" s="191" t="s">
        <v>36</v>
      </c>
      <c r="M465" s="191" t="s">
        <v>37</v>
      </c>
      <c r="N465" s="191" t="s">
        <v>58</v>
      </c>
      <c r="O465" s="191" t="s">
        <v>288</v>
      </c>
      <c r="P465" s="191" t="s">
        <v>41</v>
      </c>
      <c r="Q465" s="191" t="s">
        <v>90</v>
      </c>
      <c r="R465" s="191" t="s">
        <v>42</v>
      </c>
      <c r="S465" s="191" t="s">
        <v>48</v>
      </c>
      <c r="T465" s="191" t="s">
        <v>1794</v>
      </c>
      <c r="U465" s="191" t="s">
        <v>43</v>
      </c>
      <c r="V465" s="191" t="s">
        <v>1108</v>
      </c>
      <c r="W465" s="191" t="s">
        <v>78</v>
      </c>
      <c r="X465" s="191" t="s">
        <v>44</v>
      </c>
      <c r="Y465" s="191" t="s">
        <v>43</v>
      </c>
      <c r="Z465" s="191" t="s">
        <v>43</v>
      </c>
      <c r="AA465" s="191" t="s">
        <v>62</v>
      </c>
      <c r="AB465" s="191" t="s">
        <v>50</v>
      </c>
      <c r="AC465" s="191" t="s">
        <v>43</v>
      </c>
      <c r="AD465" s="191" t="s">
        <v>72</v>
      </c>
      <c r="AE465" s="191" t="s">
        <v>44</v>
      </c>
      <c r="AF465" s="191" t="s">
        <v>95</v>
      </c>
      <c r="AG465" s="191" t="s">
        <v>47</v>
      </c>
      <c r="AH465" s="191" t="s">
        <v>44</v>
      </c>
      <c r="AI465" s="191" t="s">
        <v>39</v>
      </c>
      <c r="AJ465" s="191" t="s">
        <v>36</v>
      </c>
      <c r="AK465" s="191" t="s">
        <v>59</v>
      </c>
      <c r="AL465" s="191" t="s">
        <v>44</v>
      </c>
      <c r="AM465" s="191" t="s">
        <v>1360</v>
      </c>
      <c r="AN465" s="191" t="s">
        <v>44</v>
      </c>
      <c r="AO465" s="191" t="s">
        <v>44</v>
      </c>
      <c r="AP465" s="191" t="s">
        <v>44</v>
      </c>
    </row>
    <row r="466" spans="1:42" ht="29">
      <c r="A466" s="191" t="s">
        <v>1795</v>
      </c>
      <c r="B466" s="190">
        <v>3</v>
      </c>
      <c r="C466" s="190">
        <v>7</v>
      </c>
      <c r="D466" s="190">
        <v>9</v>
      </c>
      <c r="E466" s="191" t="s">
        <v>318</v>
      </c>
      <c r="F466" s="190">
        <v>1</v>
      </c>
      <c r="G466" s="191" t="s">
        <v>79</v>
      </c>
      <c r="H466" s="190">
        <v>1</v>
      </c>
      <c r="I466" s="190">
        <v>100</v>
      </c>
      <c r="J466" s="191" t="s">
        <v>54</v>
      </c>
      <c r="K466" s="191" t="s">
        <v>61</v>
      </c>
      <c r="L466" s="191" t="s">
        <v>36</v>
      </c>
      <c r="M466" s="191" t="s">
        <v>37</v>
      </c>
      <c r="N466" s="191" t="s">
        <v>58</v>
      </c>
      <c r="O466" s="191" t="s">
        <v>39</v>
      </c>
      <c r="P466" s="191" t="s">
        <v>41</v>
      </c>
      <c r="Q466" s="191" t="s">
        <v>153</v>
      </c>
      <c r="R466" s="191" t="s">
        <v>42</v>
      </c>
      <c r="S466" s="191" t="s">
        <v>48</v>
      </c>
      <c r="T466" s="191" t="s">
        <v>44</v>
      </c>
      <c r="U466" s="191" t="s">
        <v>1109</v>
      </c>
      <c r="V466" s="191" t="s">
        <v>44</v>
      </c>
      <c r="W466" s="191" t="s">
        <v>43</v>
      </c>
      <c r="X466" s="191" t="s">
        <v>44</v>
      </c>
      <c r="Y466" s="191" t="s">
        <v>45</v>
      </c>
      <c r="Z466" s="191" t="s">
        <v>43</v>
      </c>
      <c r="AA466" s="191" t="s">
        <v>49</v>
      </c>
      <c r="AB466" s="191" t="s">
        <v>50</v>
      </c>
      <c r="AC466" s="191" t="s">
        <v>43</v>
      </c>
      <c r="AD466" s="191" t="s">
        <v>72</v>
      </c>
      <c r="AE466" s="191" t="s">
        <v>44</v>
      </c>
      <c r="AF466" s="191" t="s">
        <v>95</v>
      </c>
      <c r="AG466" s="191" t="s">
        <v>47</v>
      </c>
      <c r="AH466" s="191" t="s">
        <v>44</v>
      </c>
      <c r="AI466" s="191" t="s">
        <v>39</v>
      </c>
      <c r="AJ466" s="191" t="s">
        <v>36</v>
      </c>
      <c r="AK466" s="191" t="s">
        <v>43</v>
      </c>
      <c r="AL466" s="191" t="s">
        <v>44</v>
      </c>
      <c r="AM466" s="191" t="s">
        <v>45</v>
      </c>
      <c r="AN466" s="191" t="s">
        <v>44</v>
      </c>
      <c r="AO466" s="191" t="s">
        <v>44</v>
      </c>
      <c r="AP466" s="191" t="s">
        <v>44</v>
      </c>
    </row>
    <row r="467" spans="1:42" ht="29">
      <c r="A467" s="191" t="s">
        <v>1796</v>
      </c>
      <c r="B467" s="190">
        <v>3</v>
      </c>
      <c r="C467" s="190">
        <v>7</v>
      </c>
      <c r="D467" s="190">
        <v>9</v>
      </c>
      <c r="E467" s="191" t="s">
        <v>318</v>
      </c>
      <c r="F467" s="190">
        <v>1</v>
      </c>
      <c r="G467" s="191" t="s">
        <v>33</v>
      </c>
      <c r="H467" s="190">
        <v>1</v>
      </c>
      <c r="I467" s="190">
        <v>130</v>
      </c>
      <c r="J467" s="191" t="s">
        <v>65</v>
      </c>
      <c r="K467" s="191" t="s">
        <v>61</v>
      </c>
      <c r="L467" s="191" t="s">
        <v>67</v>
      </c>
      <c r="M467" s="191" t="s">
        <v>118</v>
      </c>
      <c r="N467" s="191" t="s">
        <v>95</v>
      </c>
      <c r="O467" s="191" t="s">
        <v>39</v>
      </c>
      <c r="P467" s="191" t="s">
        <v>41</v>
      </c>
      <c r="Q467" s="191" t="s">
        <v>78</v>
      </c>
      <c r="R467" s="191" t="s">
        <v>87</v>
      </c>
      <c r="S467" s="191" t="s">
        <v>48</v>
      </c>
      <c r="T467" s="191" t="s">
        <v>44</v>
      </c>
      <c r="U467" s="191" t="s">
        <v>119</v>
      </c>
      <c r="V467" s="191" t="s">
        <v>1141</v>
      </c>
      <c r="W467" s="191" t="s">
        <v>47</v>
      </c>
      <c r="X467" s="191" t="s">
        <v>44</v>
      </c>
      <c r="Y467" s="191" t="s">
        <v>43</v>
      </c>
      <c r="Z467" s="191" t="s">
        <v>43</v>
      </c>
      <c r="AA467" s="191" t="s">
        <v>49</v>
      </c>
      <c r="AB467" s="191" t="s">
        <v>50</v>
      </c>
      <c r="AC467" s="191" t="s">
        <v>47</v>
      </c>
      <c r="AD467" s="191" t="s">
        <v>72</v>
      </c>
      <c r="AE467" s="191" t="s">
        <v>44</v>
      </c>
      <c r="AF467" s="191" t="s">
        <v>159</v>
      </c>
      <c r="AG467" s="191" t="s">
        <v>43</v>
      </c>
      <c r="AH467" s="191" t="s">
        <v>44</v>
      </c>
      <c r="AI467" s="191" t="s">
        <v>39</v>
      </c>
      <c r="AJ467" s="191" t="s">
        <v>36</v>
      </c>
      <c r="AK467" s="191" t="s">
        <v>71</v>
      </c>
      <c r="AL467" s="191" t="s">
        <v>44</v>
      </c>
      <c r="AM467" s="191" t="s">
        <v>45</v>
      </c>
      <c r="AN467" s="191" t="s">
        <v>44</v>
      </c>
      <c r="AO467" s="191" t="s">
        <v>44</v>
      </c>
      <c r="AP467" s="191" t="s">
        <v>44</v>
      </c>
    </row>
    <row r="468" spans="1:42" ht="29">
      <c r="A468" s="191" t="s">
        <v>1797</v>
      </c>
      <c r="B468" s="190">
        <v>3</v>
      </c>
      <c r="C468" s="190">
        <v>5</v>
      </c>
      <c r="D468" s="190">
        <v>6</v>
      </c>
      <c r="E468" s="191" t="s">
        <v>311</v>
      </c>
      <c r="F468" s="190">
        <v>5</v>
      </c>
      <c r="G468" s="191" t="s">
        <v>53</v>
      </c>
      <c r="H468" s="190">
        <v>1</v>
      </c>
      <c r="I468" s="190">
        <v>190</v>
      </c>
      <c r="J468" s="191" t="s">
        <v>65</v>
      </c>
      <c r="K468" s="191" t="s">
        <v>61</v>
      </c>
      <c r="L468" s="191" t="s">
        <v>103</v>
      </c>
      <c r="M468" s="191" t="s">
        <v>37</v>
      </c>
      <c r="N468" s="191" t="s">
        <v>58</v>
      </c>
      <c r="O468" s="191" t="s">
        <v>39</v>
      </c>
      <c r="P468" s="191" t="s">
        <v>98</v>
      </c>
      <c r="Q468" s="191" t="s">
        <v>135</v>
      </c>
      <c r="R468" s="191" t="s">
        <v>36</v>
      </c>
      <c r="S468" s="191" t="s">
        <v>48</v>
      </c>
      <c r="T468" s="191" t="s">
        <v>44</v>
      </c>
      <c r="U468" s="191" t="s">
        <v>47</v>
      </c>
      <c r="V468" s="191" t="s">
        <v>1141</v>
      </c>
      <c r="W468" s="191" t="s">
        <v>47</v>
      </c>
      <c r="X468" s="191" t="s">
        <v>44</v>
      </c>
      <c r="Y468" s="191" t="s">
        <v>61</v>
      </c>
      <c r="Z468" s="191" t="s">
        <v>47</v>
      </c>
      <c r="AA468" s="191" t="s">
        <v>49</v>
      </c>
      <c r="AB468" s="191" t="s">
        <v>84</v>
      </c>
      <c r="AC468" s="191" t="s">
        <v>43</v>
      </c>
      <c r="AD468" s="191" t="s">
        <v>51</v>
      </c>
      <c r="AE468" s="191" t="s">
        <v>44</v>
      </c>
      <c r="AF468" s="191" t="s">
        <v>52</v>
      </c>
      <c r="AG468" s="191" t="s">
        <v>47</v>
      </c>
      <c r="AH468" s="191" t="s">
        <v>44</v>
      </c>
      <c r="AI468" s="191" t="s">
        <v>134</v>
      </c>
      <c r="AJ468" s="191" t="s">
        <v>36</v>
      </c>
      <c r="AK468" s="191" t="s">
        <v>40</v>
      </c>
      <c r="AL468" s="191" t="s">
        <v>44</v>
      </c>
      <c r="AM468" s="191" t="s">
        <v>45</v>
      </c>
      <c r="AN468" s="191" t="s">
        <v>44</v>
      </c>
      <c r="AO468" s="191" t="s">
        <v>44</v>
      </c>
      <c r="AP468" s="191" t="s">
        <v>44</v>
      </c>
    </row>
    <row r="469" spans="1:42" ht="29">
      <c r="A469" s="191" t="s">
        <v>1798</v>
      </c>
      <c r="B469" s="190">
        <v>3</v>
      </c>
      <c r="C469" s="190">
        <v>5</v>
      </c>
      <c r="D469" s="190">
        <v>3</v>
      </c>
      <c r="E469" s="191" t="s">
        <v>307</v>
      </c>
      <c r="F469" s="190">
        <v>3</v>
      </c>
      <c r="G469" s="191" t="s">
        <v>53</v>
      </c>
      <c r="H469" s="190">
        <v>1</v>
      </c>
      <c r="I469" s="190">
        <v>115</v>
      </c>
      <c r="J469" s="191" t="s">
        <v>65</v>
      </c>
      <c r="K469" s="191" t="s">
        <v>124</v>
      </c>
      <c r="L469" s="191" t="s">
        <v>36</v>
      </c>
      <c r="M469" s="191" t="s">
        <v>37</v>
      </c>
      <c r="N469" s="191" t="s">
        <v>95</v>
      </c>
      <c r="O469" s="191" t="s">
        <v>39</v>
      </c>
      <c r="P469" s="191" t="s">
        <v>41</v>
      </c>
      <c r="Q469" s="191" t="s">
        <v>35</v>
      </c>
      <c r="R469" s="191" t="s">
        <v>42</v>
      </c>
      <c r="S469" s="191" t="s">
        <v>48</v>
      </c>
      <c r="T469" s="191" t="s">
        <v>44</v>
      </c>
      <c r="U469" s="191" t="s">
        <v>61</v>
      </c>
      <c r="V469" s="191" t="s">
        <v>1141</v>
      </c>
      <c r="W469" s="191" t="s">
        <v>43</v>
      </c>
      <c r="X469" s="191" t="s">
        <v>44</v>
      </c>
      <c r="Y469" s="191" t="s">
        <v>45</v>
      </c>
      <c r="Z469" s="191" t="s">
        <v>47</v>
      </c>
      <c r="AA469" s="191" t="s">
        <v>105</v>
      </c>
      <c r="AB469" s="191" t="s">
        <v>50</v>
      </c>
      <c r="AC469" s="191" t="s">
        <v>43</v>
      </c>
      <c r="AD469" s="191" t="s">
        <v>72</v>
      </c>
      <c r="AE469" s="191" t="s">
        <v>44</v>
      </c>
      <c r="AF469" s="191" t="s">
        <v>95</v>
      </c>
      <c r="AG469" s="191" t="s">
        <v>43</v>
      </c>
      <c r="AH469" s="191" t="s">
        <v>44</v>
      </c>
      <c r="AI469" s="191" t="s">
        <v>39</v>
      </c>
      <c r="AJ469" s="191" t="s">
        <v>36</v>
      </c>
      <c r="AK469" s="191" t="s">
        <v>106</v>
      </c>
      <c r="AL469" s="191" t="s">
        <v>1799</v>
      </c>
      <c r="AM469" s="191" t="s">
        <v>45</v>
      </c>
      <c r="AN469" s="191" t="s">
        <v>44</v>
      </c>
      <c r="AO469" s="191" t="s">
        <v>44</v>
      </c>
      <c r="AP469" s="191" t="s">
        <v>44</v>
      </c>
    </row>
    <row r="470" spans="1:42" ht="29">
      <c r="A470" s="191" t="s">
        <v>1800</v>
      </c>
      <c r="B470" s="190">
        <v>1</v>
      </c>
      <c r="C470" s="190">
        <v>5</v>
      </c>
      <c r="D470" s="190">
        <v>6</v>
      </c>
      <c r="E470" s="191" t="s">
        <v>311</v>
      </c>
      <c r="F470" s="190">
        <v>3</v>
      </c>
      <c r="G470" s="191" t="s">
        <v>94</v>
      </c>
      <c r="H470" s="190">
        <v>1</v>
      </c>
      <c r="I470" s="190">
        <v>180</v>
      </c>
      <c r="J470" s="191" t="s">
        <v>54</v>
      </c>
      <c r="K470" s="191" t="s">
        <v>124</v>
      </c>
      <c r="L470" s="191" t="s">
        <v>55</v>
      </c>
      <c r="M470" s="191" t="s">
        <v>37</v>
      </c>
      <c r="N470" s="191" t="s">
        <v>58</v>
      </c>
      <c r="O470" s="191" t="s">
        <v>288</v>
      </c>
      <c r="P470" s="191" t="s">
        <v>98</v>
      </c>
      <c r="Q470" s="191" t="s">
        <v>61</v>
      </c>
      <c r="R470" s="191" t="s">
        <v>42</v>
      </c>
      <c r="S470" s="191" t="s">
        <v>48</v>
      </c>
      <c r="T470" s="191" t="s">
        <v>44</v>
      </c>
      <c r="U470" s="191" t="s">
        <v>43</v>
      </c>
      <c r="V470" s="191" t="s">
        <v>1141</v>
      </c>
      <c r="W470" s="191" t="s">
        <v>47</v>
      </c>
      <c r="X470" s="191" t="s">
        <v>44</v>
      </c>
      <c r="Y470" s="191" t="s">
        <v>45</v>
      </c>
      <c r="Z470" s="191" t="s">
        <v>43</v>
      </c>
      <c r="AA470" s="191" t="s">
        <v>62</v>
      </c>
      <c r="AB470" s="191" t="s">
        <v>84</v>
      </c>
      <c r="AC470" s="191" t="s">
        <v>47</v>
      </c>
      <c r="AD470" s="191" t="s">
        <v>91</v>
      </c>
      <c r="AE470" s="191" t="s">
        <v>44</v>
      </c>
      <c r="AF470" s="191" t="s">
        <v>95</v>
      </c>
      <c r="AG470" s="191" t="s">
        <v>47</v>
      </c>
      <c r="AH470" s="191" t="s">
        <v>44</v>
      </c>
      <c r="AI470" s="191" t="s">
        <v>134</v>
      </c>
      <c r="AJ470" s="191" t="s">
        <v>36</v>
      </c>
      <c r="AK470" s="191" t="s">
        <v>59</v>
      </c>
      <c r="AL470" s="191" t="s">
        <v>44</v>
      </c>
      <c r="AM470" s="191" t="s">
        <v>111</v>
      </c>
      <c r="AN470" s="191" t="s">
        <v>44</v>
      </c>
      <c r="AO470" s="191" t="s">
        <v>44</v>
      </c>
      <c r="AP470" s="191" t="s">
        <v>44</v>
      </c>
    </row>
    <row r="471" spans="1:42" ht="29">
      <c r="A471" s="191" t="s">
        <v>1801</v>
      </c>
      <c r="B471" s="190">
        <v>3</v>
      </c>
      <c r="C471" s="190">
        <v>7</v>
      </c>
      <c r="D471" s="190">
        <v>9</v>
      </c>
      <c r="E471" s="191" t="s">
        <v>318</v>
      </c>
      <c r="F471" s="190">
        <v>1</v>
      </c>
      <c r="G471" s="191" t="s">
        <v>53</v>
      </c>
      <c r="H471" s="190">
        <v>1</v>
      </c>
      <c r="I471" s="190">
        <v>130</v>
      </c>
      <c r="J471" s="191" t="s">
        <v>34</v>
      </c>
      <c r="K471" s="191" t="s">
        <v>124</v>
      </c>
      <c r="L471" s="191" t="s">
        <v>36</v>
      </c>
      <c r="M471" s="191" t="s">
        <v>37</v>
      </c>
      <c r="N471" s="191" t="s">
        <v>58</v>
      </c>
      <c r="O471" s="191" t="s">
        <v>288</v>
      </c>
      <c r="P471" s="191" t="s">
        <v>41</v>
      </c>
      <c r="Q471" s="191" t="s">
        <v>40</v>
      </c>
      <c r="R471" s="191" t="s">
        <v>60</v>
      </c>
      <c r="S471" s="191" t="s">
        <v>48</v>
      </c>
      <c r="T471" s="191" t="s">
        <v>44</v>
      </c>
      <c r="U471" s="191" t="s">
        <v>1125</v>
      </c>
      <c r="V471" s="191" t="s">
        <v>1141</v>
      </c>
      <c r="W471" s="191" t="s">
        <v>43</v>
      </c>
      <c r="X471" s="191" t="s">
        <v>44</v>
      </c>
      <c r="Y471" s="191" t="s">
        <v>43</v>
      </c>
      <c r="Z471" s="191" t="s">
        <v>47</v>
      </c>
      <c r="AA471" s="191" t="s">
        <v>105</v>
      </c>
      <c r="AB471" s="191" t="s">
        <v>50</v>
      </c>
      <c r="AC471" s="191" t="s">
        <v>43</v>
      </c>
      <c r="AD471" s="191" t="s">
        <v>91</v>
      </c>
      <c r="AE471" s="191" t="s">
        <v>44</v>
      </c>
      <c r="AF471" s="191" t="s">
        <v>52</v>
      </c>
      <c r="AG471" s="191" t="s">
        <v>47</v>
      </c>
      <c r="AH471" s="191" t="s">
        <v>44</v>
      </c>
      <c r="AI471" s="191" t="s">
        <v>39</v>
      </c>
      <c r="AJ471" s="191" t="s">
        <v>36</v>
      </c>
      <c r="AK471" s="191" t="s">
        <v>73</v>
      </c>
      <c r="AL471" s="191" t="s">
        <v>44</v>
      </c>
      <c r="AM471" s="191" t="s">
        <v>45</v>
      </c>
      <c r="AN471" s="191" t="s">
        <v>44</v>
      </c>
      <c r="AO471" s="191" t="s">
        <v>44</v>
      </c>
      <c r="AP471" s="191" t="s">
        <v>44</v>
      </c>
    </row>
    <row r="472" spans="1:42" ht="29">
      <c r="A472" s="191" t="s">
        <v>1802</v>
      </c>
      <c r="B472" s="190">
        <v>3</v>
      </c>
      <c r="C472" s="190">
        <v>7</v>
      </c>
      <c r="D472" s="190">
        <v>9</v>
      </c>
      <c r="E472" s="191" t="s">
        <v>318</v>
      </c>
      <c r="F472" s="190">
        <v>1</v>
      </c>
      <c r="G472" s="191" t="s">
        <v>53</v>
      </c>
      <c r="H472" s="190">
        <v>1</v>
      </c>
      <c r="I472" s="190">
        <v>120</v>
      </c>
      <c r="J472" s="191" t="s">
        <v>65</v>
      </c>
      <c r="K472" s="191" t="s">
        <v>47</v>
      </c>
      <c r="L472" s="191" t="s">
        <v>67</v>
      </c>
      <c r="M472" s="191" t="s">
        <v>93</v>
      </c>
      <c r="N472" s="191" t="s">
        <v>58</v>
      </c>
      <c r="O472" s="191" t="s">
        <v>39</v>
      </c>
      <c r="P472" s="191" t="s">
        <v>41</v>
      </c>
      <c r="Q472" s="191" t="s">
        <v>40</v>
      </c>
      <c r="R472" s="191" t="s">
        <v>82</v>
      </c>
      <c r="S472" s="191" t="s">
        <v>48</v>
      </c>
      <c r="T472" s="191" t="s">
        <v>44</v>
      </c>
      <c r="U472" s="191" t="s">
        <v>117</v>
      </c>
      <c r="V472" s="191" t="s">
        <v>1141</v>
      </c>
      <c r="W472" s="191" t="s">
        <v>43</v>
      </c>
      <c r="X472" s="191" t="s">
        <v>44</v>
      </c>
      <c r="Y472" s="191" t="s">
        <v>45</v>
      </c>
      <c r="Z472" s="191" t="s">
        <v>47</v>
      </c>
      <c r="AA472" s="191" t="s">
        <v>62</v>
      </c>
      <c r="AB472" s="191" t="s">
        <v>50</v>
      </c>
      <c r="AC472" s="191" t="s">
        <v>43</v>
      </c>
      <c r="AD472" s="191" t="s">
        <v>72</v>
      </c>
      <c r="AE472" s="191" t="s">
        <v>44</v>
      </c>
      <c r="AF472" s="191" t="s">
        <v>95</v>
      </c>
      <c r="AG472" s="191" t="s">
        <v>47</v>
      </c>
      <c r="AH472" s="191" t="s">
        <v>44</v>
      </c>
      <c r="AI472" s="191" t="s">
        <v>39</v>
      </c>
      <c r="AJ472" s="191" t="s">
        <v>36</v>
      </c>
      <c r="AK472" s="191" t="s">
        <v>147</v>
      </c>
      <c r="AL472" s="191" t="s">
        <v>44</v>
      </c>
      <c r="AM472" s="191" t="s">
        <v>1268</v>
      </c>
      <c r="AN472" s="191" t="s">
        <v>44</v>
      </c>
      <c r="AO472" s="191" t="s">
        <v>44</v>
      </c>
      <c r="AP472" s="191" t="s">
        <v>44</v>
      </c>
    </row>
    <row r="473" spans="1:42" ht="29">
      <c r="A473" s="191" t="s">
        <v>1803</v>
      </c>
      <c r="B473" s="190">
        <v>3</v>
      </c>
      <c r="C473" s="190">
        <v>5</v>
      </c>
      <c r="D473" s="190">
        <v>6</v>
      </c>
      <c r="E473" s="191" t="s">
        <v>315</v>
      </c>
      <c r="F473" s="190">
        <v>3</v>
      </c>
      <c r="G473" s="191" t="s">
        <v>75</v>
      </c>
      <c r="H473" s="190">
        <v>1</v>
      </c>
      <c r="I473" s="190">
        <v>135</v>
      </c>
      <c r="J473" s="191" t="s">
        <v>54</v>
      </c>
      <c r="K473" s="191" t="s">
        <v>40</v>
      </c>
      <c r="L473" s="191" t="s">
        <v>36</v>
      </c>
      <c r="M473" s="191" t="s">
        <v>37</v>
      </c>
      <c r="N473" s="191" t="s">
        <v>95</v>
      </c>
      <c r="O473" s="191" t="s">
        <v>39</v>
      </c>
      <c r="P473" s="191" t="s">
        <v>41</v>
      </c>
      <c r="Q473" s="191" t="s">
        <v>106</v>
      </c>
      <c r="R473" s="191" t="s">
        <v>87</v>
      </c>
      <c r="S473" s="191" t="s">
        <v>48</v>
      </c>
      <c r="T473" s="191" t="s">
        <v>44</v>
      </c>
      <c r="U473" s="191" t="s">
        <v>89</v>
      </c>
      <c r="V473" s="191" t="s">
        <v>1141</v>
      </c>
      <c r="W473" s="191" t="s">
        <v>43</v>
      </c>
      <c r="X473" s="191" t="s">
        <v>44</v>
      </c>
      <c r="Y473" s="191" t="s">
        <v>43</v>
      </c>
      <c r="Z473" s="191" t="s">
        <v>43</v>
      </c>
      <c r="AA473" s="191" t="s">
        <v>62</v>
      </c>
      <c r="AB473" s="191" t="s">
        <v>50</v>
      </c>
      <c r="AC473" s="191" t="s">
        <v>47</v>
      </c>
      <c r="AD473" s="191" t="s">
        <v>91</v>
      </c>
      <c r="AE473" s="191" t="s">
        <v>44</v>
      </c>
      <c r="AF473" s="191" t="s">
        <v>95</v>
      </c>
      <c r="AG473" s="191" t="s">
        <v>47</v>
      </c>
      <c r="AH473" s="191" t="s">
        <v>44</v>
      </c>
      <c r="AI473" s="191" t="s">
        <v>39</v>
      </c>
      <c r="AJ473" s="191" t="s">
        <v>36</v>
      </c>
      <c r="AK473" s="191" t="s">
        <v>73</v>
      </c>
      <c r="AL473" s="191" t="s">
        <v>44</v>
      </c>
      <c r="AM473" s="191" t="s">
        <v>45</v>
      </c>
      <c r="AN473" s="191" t="s">
        <v>44</v>
      </c>
      <c r="AO473" s="191" t="s">
        <v>44</v>
      </c>
      <c r="AP473" s="191" t="s">
        <v>44</v>
      </c>
    </row>
    <row r="474" spans="1:42" ht="29">
      <c r="A474" s="191" t="s">
        <v>1804</v>
      </c>
      <c r="B474" s="190">
        <v>3</v>
      </c>
      <c r="C474" s="190">
        <v>3</v>
      </c>
      <c r="D474" s="190">
        <v>2</v>
      </c>
      <c r="E474" s="191" t="s">
        <v>315</v>
      </c>
      <c r="F474" s="190">
        <v>2</v>
      </c>
      <c r="G474" s="191" t="s">
        <v>33</v>
      </c>
      <c r="H474" s="190">
        <v>1</v>
      </c>
      <c r="I474" s="190">
        <v>110</v>
      </c>
      <c r="J474" s="191" t="s">
        <v>34</v>
      </c>
      <c r="K474" s="191" t="s">
        <v>61</v>
      </c>
      <c r="L474" s="191" t="s">
        <v>36</v>
      </c>
      <c r="M474" s="191" t="s">
        <v>37</v>
      </c>
      <c r="N474" s="191" t="s">
        <v>58</v>
      </c>
      <c r="O474" s="191" t="s">
        <v>39</v>
      </c>
      <c r="P474" s="191" t="s">
        <v>41</v>
      </c>
      <c r="Q474" s="191" t="s">
        <v>40</v>
      </c>
      <c r="R474" s="191" t="s">
        <v>42</v>
      </c>
      <c r="S474" s="191" t="s">
        <v>48</v>
      </c>
      <c r="T474" s="191" t="s">
        <v>44</v>
      </c>
      <c r="U474" s="191" t="s">
        <v>43</v>
      </c>
      <c r="V474" s="191" t="s">
        <v>1108</v>
      </c>
      <c r="W474" s="191" t="s">
        <v>46</v>
      </c>
      <c r="X474" s="191" t="s">
        <v>44</v>
      </c>
      <c r="Y474" s="191" t="s">
        <v>45</v>
      </c>
      <c r="Z474" s="191" t="s">
        <v>40</v>
      </c>
      <c r="AA474" s="191" t="s">
        <v>36</v>
      </c>
      <c r="AB474" s="191" t="s">
        <v>36</v>
      </c>
      <c r="AC474" s="191" t="s">
        <v>46</v>
      </c>
      <c r="AD474" s="191" t="s">
        <v>36</v>
      </c>
      <c r="AE474" s="191" t="s">
        <v>44</v>
      </c>
      <c r="AF474" s="191" t="s">
        <v>95</v>
      </c>
      <c r="AG474" s="191" t="s">
        <v>43</v>
      </c>
      <c r="AH474" s="191" t="s">
        <v>44</v>
      </c>
      <c r="AI474" s="191" t="s">
        <v>39</v>
      </c>
      <c r="AJ474" s="191" t="s">
        <v>36</v>
      </c>
      <c r="AK474" s="191" t="s">
        <v>85</v>
      </c>
      <c r="AL474" s="191" t="s">
        <v>44</v>
      </c>
      <c r="AM474" s="191" t="s">
        <v>89</v>
      </c>
      <c r="AN474" s="191" t="s">
        <v>44</v>
      </c>
      <c r="AO474" s="191" t="s">
        <v>44</v>
      </c>
      <c r="AP474" s="191" t="s">
        <v>44</v>
      </c>
    </row>
    <row r="475" spans="1:42" ht="43.5">
      <c r="A475" s="191" t="s">
        <v>1805</v>
      </c>
      <c r="B475" s="190">
        <v>3</v>
      </c>
      <c r="C475" s="190">
        <v>8</v>
      </c>
      <c r="D475" s="190">
        <v>9</v>
      </c>
      <c r="E475" s="191" t="s">
        <v>315</v>
      </c>
      <c r="F475" s="190">
        <v>3</v>
      </c>
      <c r="G475" s="191" t="s">
        <v>53</v>
      </c>
      <c r="H475" s="190">
        <v>1</v>
      </c>
      <c r="I475" s="190">
        <v>180</v>
      </c>
      <c r="J475" s="191" t="s">
        <v>65</v>
      </c>
      <c r="K475" s="191" t="s">
        <v>61</v>
      </c>
      <c r="L475" s="191" t="s">
        <v>36</v>
      </c>
      <c r="M475" s="191" t="s">
        <v>37</v>
      </c>
      <c r="N475" s="191" t="s">
        <v>38</v>
      </c>
      <c r="O475" s="191" t="s">
        <v>288</v>
      </c>
      <c r="P475" s="191" t="s">
        <v>56</v>
      </c>
      <c r="Q475" s="191" t="s">
        <v>90</v>
      </c>
      <c r="R475" s="191" t="s">
        <v>42</v>
      </c>
      <c r="S475" s="191" t="s">
        <v>48</v>
      </c>
      <c r="T475" s="191" t="s">
        <v>44</v>
      </c>
      <c r="U475" s="191" t="s">
        <v>61</v>
      </c>
      <c r="V475" s="191" t="s">
        <v>1141</v>
      </c>
      <c r="W475" s="191" t="s">
        <v>78</v>
      </c>
      <c r="X475" s="191" t="s">
        <v>44</v>
      </c>
      <c r="Y475" s="191" t="s">
        <v>43</v>
      </c>
      <c r="Z475" s="191" t="s">
        <v>43</v>
      </c>
      <c r="AA475" s="191" t="s">
        <v>62</v>
      </c>
      <c r="AB475" s="191" t="s">
        <v>50</v>
      </c>
      <c r="AC475" s="191" t="s">
        <v>43</v>
      </c>
      <c r="AD475" s="191" t="s">
        <v>51</v>
      </c>
      <c r="AE475" s="191" t="s">
        <v>44</v>
      </c>
      <c r="AF475" s="191" t="s">
        <v>95</v>
      </c>
      <c r="AG475" s="191" t="s">
        <v>47</v>
      </c>
      <c r="AH475" s="191" t="s">
        <v>44</v>
      </c>
      <c r="AI475" s="191" t="s">
        <v>134</v>
      </c>
      <c r="AJ475" s="191" t="s">
        <v>36</v>
      </c>
      <c r="AK475" s="191" t="s">
        <v>73</v>
      </c>
      <c r="AL475" s="191" t="s">
        <v>44</v>
      </c>
      <c r="AM475" s="191" t="s">
        <v>45</v>
      </c>
      <c r="AN475" s="191" t="s">
        <v>44</v>
      </c>
      <c r="AO475" s="191" t="s">
        <v>44</v>
      </c>
      <c r="AP475" s="191" t="s">
        <v>44</v>
      </c>
    </row>
    <row r="476" spans="1:42" ht="43.5">
      <c r="A476" s="191" t="s">
        <v>1806</v>
      </c>
      <c r="B476" s="190">
        <v>3</v>
      </c>
      <c r="C476" s="190">
        <v>2</v>
      </c>
      <c r="D476" s="190">
        <v>8</v>
      </c>
      <c r="E476" s="191" t="s">
        <v>315</v>
      </c>
      <c r="F476" s="190">
        <v>2</v>
      </c>
      <c r="G476" s="191" t="s">
        <v>75</v>
      </c>
      <c r="H476" s="190">
        <v>1</v>
      </c>
      <c r="I476" s="190">
        <v>150</v>
      </c>
      <c r="J476" s="191" t="s">
        <v>65</v>
      </c>
      <c r="K476" s="191" t="s">
        <v>81</v>
      </c>
      <c r="L476" s="191" t="s">
        <v>67</v>
      </c>
      <c r="M476" s="191" t="s">
        <v>37</v>
      </c>
      <c r="N476" s="191" t="s">
        <v>38</v>
      </c>
      <c r="O476" s="191" t="s">
        <v>288</v>
      </c>
      <c r="P476" s="191" t="s">
        <v>56</v>
      </c>
      <c r="Q476" s="191" t="s">
        <v>43</v>
      </c>
      <c r="R476" s="191" t="s">
        <v>87</v>
      </c>
      <c r="S476" s="191" t="s">
        <v>48</v>
      </c>
      <c r="T476" s="191" t="s">
        <v>44</v>
      </c>
      <c r="U476" s="191" t="s">
        <v>117</v>
      </c>
      <c r="V476" s="191" t="s">
        <v>1141</v>
      </c>
      <c r="W476" s="191" t="s">
        <v>43</v>
      </c>
      <c r="X476" s="191" t="s">
        <v>44</v>
      </c>
      <c r="Y476" s="191" t="s">
        <v>45</v>
      </c>
      <c r="Z476" s="191" t="s">
        <v>43</v>
      </c>
      <c r="AA476" s="191" t="s">
        <v>62</v>
      </c>
      <c r="AB476" s="191" t="s">
        <v>50</v>
      </c>
      <c r="AC476" s="191" t="s">
        <v>43</v>
      </c>
      <c r="AD476" s="191" t="s">
        <v>72</v>
      </c>
      <c r="AE476" s="191" t="s">
        <v>44</v>
      </c>
      <c r="AF476" s="191" t="s">
        <v>95</v>
      </c>
      <c r="AG476" s="191" t="s">
        <v>47</v>
      </c>
      <c r="AH476" s="191" t="s">
        <v>44</v>
      </c>
      <c r="AI476" s="191" t="s">
        <v>39</v>
      </c>
      <c r="AJ476" s="191" t="s">
        <v>36</v>
      </c>
      <c r="AK476" s="191" t="s">
        <v>63</v>
      </c>
      <c r="AL476" s="191" t="s">
        <v>44</v>
      </c>
      <c r="AM476" s="191" t="s">
        <v>45</v>
      </c>
      <c r="AN476" s="191" t="s">
        <v>44</v>
      </c>
      <c r="AO476" s="191" t="s">
        <v>44</v>
      </c>
      <c r="AP476" s="191" t="s">
        <v>44</v>
      </c>
    </row>
    <row r="477" spans="1:42" ht="58">
      <c r="A477" s="191" t="s">
        <v>1807</v>
      </c>
      <c r="B477" s="190">
        <v>3</v>
      </c>
      <c r="C477" s="190">
        <v>3</v>
      </c>
      <c r="D477" s="190">
        <v>9</v>
      </c>
      <c r="E477" s="191" t="s">
        <v>311</v>
      </c>
      <c r="F477" s="190">
        <v>1</v>
      </c>
      <c r="G477" s="191" t="s">
        <v>79</v>
      </c>
      <c r="H477" s="190">
        <v>1</v>
      </c>
      <c r="I477" s="190">
        <v>90</v>
      </c>
      <c r="J477" s="191" t="s">
        <v>34</v>
      </c>
      <c r="K477" s="191" t="s">
        <v>101</v>
      </c>
      <c r="L477" s="191" t="s">
        <v>67</v>
      </c>
      <c r="M477" s="191" t="s">
        <v>37</v>
      </c>
      <c r="N477" s="191" t="s">
        <v>95</v>
      </c>
      <c r="O477" s="191" t="s">
        <v>99</v>
      </c>
      <c r="P477" s="191" t="s">
        <v>102</v>
      </c>
      <c r="Q477" s="191" t="s">
        <v>88</v>
      </c>
      <c r="R477" s="191" t="s">
        <v>36</v>
      </c>
      <c r="S477" s="191" t="s">
        <v>48</v>
      </c>
      <c r="T477" s="191" t="s">
        <v>44</v>
      </c>
      <c r="U477" s="191" t="s">
        <v>126</v>
      </c>
      <c r="V477" s="191" t="s">
        <v>1141</v>
      </c>
      <c r="W477" s="191" t="s">
        <v>43</v>
      </c>
      <c r="X477" s="191" t="s">
        <v>44</v>
      </c>
      <c r="Y477" s="191" t="s">
        <v>45</v>
      </c>
      <c r="Z477" s="191" t="s">
        <v>46</v>
      </c>
      <c r="AA477" s="191" t="s">
        <v>36</v>
      </c>
      <c r="AB477" s="191" t="s">
        <v>50</v>
      </c>
      <c r="AC477" s="191" t="s">
        <v>43</v>
      </c>
      <c r="AD477" s="191" t="s">
        <v>129</v>
      </c>
      <c r="AE477" s="191" t="s">
        <v>1808</v>
      </c>
      <c r="AF477" s="191" t="s">
        <v>95</v>
      </c>
      <c r="AG477" s="191" t="s">
        <v>47</v>
      </c>
      <c r="AH477" s="191" t="s">
        <v>44</v>
      </c>
      <c r="AI477" s="191" t="s">
        <v>39</v>
      </c>
      <c r="AJ477" s="191" t="s">
        <v>36</v>
      </c>
      <c r="AK477" s="191" t="s">
        <v>40</v>
      </c>
      <c r="AL477" s="191" t="s">
        <v>1809</v>
      </c>
      <c r="AM477" s="191" t="s">
        <v>45</v>
      </c>
      <c r="AN477" s="191" t="s">
        <v>44</v>
      </c>
      <c r="AO477" s="191" t="s">
        <v>44</v>
      </c>
      <c r="AP477" s="191" t="s">
        <v>44</v>
      </c>
    </row>
    <row r="478" spans="1:42" ht="29">
      <c r="A478" s="191" t="s">
        <v>1810</v>
      </c>
      <c r="B478" s="190">
        <v>3</v>
      </c>
      <c r="C478" s="190">
        <v>3</v>
      </c>
      <c r="D478" s="190">
        <v>9</v>
      </c>
      <c r="E478" s="191" t="s">
        <v>311</v>
      </c>
      <c r="F478" s="190">
        <v>1</v>
      </c>
      <c r="G478" s="191" t="s">
        <v>69</v>
      </c>
      <c r="H478" s="190">
        <v>1</v>
      </c>
      <c r="I478" s="190">
        <v>100</v>
      </c>
      <c r="J478" s="191" t="s">
        <v>65</v>
      </c>
      <c r="K478" s="191" t="s">
        <v>110</v>
      </c>
      <c r="L478" s="191" t="s">
        <v>36</v>
      </c>
      <c r="M478" s="191" t="s">
        <v>118</v>
      </c>
      <c r="N478" s="191" t="s">
        <v>38</v>
      </c>
      <c r="O478" s="191" t="s">
        <v>99</v>
      </c>
      <c r="P478" s="191" t="s">
        <v>102</v>
      </c>
      <c r="Q478" s="191" t="s">
        <v>89</v>
      </c>
      <c r="R478" s="191" t="s">
        <v>42</v>
      </c>
      <c r="S478" s="191" t="s">
        <v>48</v>
      </c>
      <c r="T478" s="191" t="s">
        <v>44</v>
      </c>
      <c r="U478" s="191" t="s">
        <v>44</v>
      </c>
      <c r="V478" s="191" t="s">
        <v>44</v>
      </c>
      <c r="W478" s="191" t="s">
        <v>47</v>
      </c>
      <c r="X478" s="191" t="s">
        <v>44</v>
      </c>
      <c r="Y478" s="191" t="s">
        <v>61</v>
      </c>
      <c r="Z478" s="191" t="s">
        <v>46</v>
      </c>
      <c r="AA478" s="191" t="s">
        <v>62</v>
      </c>
      <c r="AB478" s="191" t="s">
        <v>50</v>
      </c>
      <c r="AC478" s="191" t="s">
        <v>43</v>
      </c>
      <c r="AD478" s="191" t="s">
        <v>72</v>
      </c>
      <c r="AE478" s="191" t="s">
        <v>44</v>
      </c>
      <c r="AF478" s="191" t="s">
        <v>95</v>
      </c>
      <c r="AG478" s="191" t="s">
        <v>47</v>
      </c>
      <c r="AH478" s="191" t="s">
        <v>44</v>
      </c>
      <c r="AI478" s="191" t="s">
        <v>39</v>
      </c>
      <c r="AJ478" s="191" t="s">
        <v>36</v>
      </c>
      <c r="AK478" s="191" t="s">
        <v>81</v>
      </c>
      <c r="AL478" s="191" t="s">
        <v>44</v>
      </c>
      <c r="AM478" s="191" t="s">
        <v>111</v>
      </c>
      <c r="AN478" s="191" t="s">
        <v>44</v>
      </c>
      <c r="AO478" s="191" t="s">
        <v>44</v>
      </c>
      <c r="AP478" s="191" t="s">
        <v>44</v>
      </c>
    </row>
    <row r="479" spans="1:42" ht="43.5">
      <c r="A479" s="191" t="s">
        <v>1811</v>
      </c>
      <c r="B479" s="190">
        <v>3</v>
      </c>
      <c r="C479" s="190">
        <v>5</v>
      </c>
      <c r="D479" s="190">
        <v>5</v>
      </c>
      <c r="E479" s="191" t="s">
        <v>315</v>
      </c>
      <c r="F479" s="190">
        <v>3</v>
      </c>
      <c r="G479" s="191" t="s">
        <v>97</v>
      </c>
      <c r="H479" s="190">
        <v>1</v>
      </c>
      <c r="I479" s="190">
        <v>120</v>
      </c>
      <c r="J479" s="191" t="s">
        <v>80</v>
      </c>
      <c r="K479" s="191" t="s">
        <v>61</v>
      </c>
      <c r="L479" s="191" t="s">
        <v>36</v>
      </c>
      <c r="M479" s="191" t="s">
        <v>37</v>
      </c>
      <c r="N479" s="191" t="s">
        <v>95</v>
      </c>
      <c r="O479" s="191" t="s">
        <v>288</v>
      </c>
      <c r="P479" s="191" t="s">
        <v>56</v>
      </c>
      <c r="Q479" s="191" t="s">
        <v>106</v>
      </c>
      <c r="R479" s="191" t="s">
        <v>82</v>
      </c>
      <c r="S479" s="191" t="s">
        <v>48</v>
      </c>
      <c r="T479" s="191" t="s">
        <v>44</v>
      </c>
      <c r="U479" s="191" t="s">
        <v>40</v>
      </c>
      <c r="V479" s="191" t="s">
        <v>1141</v>
      </c>
      <c r="W479" s="191" t="s">
        <v>43</v>
      </c>
      <c r="X479" s="191" t="s">
        <v>44</v>
      </c>
      <c r="Y479" s="191" t="s">
        <v>45</v>
      </c>
      <c r="Z479" s="191" t="s">
        <v>43</v>
      </c>
      <c r="AA479" s="191" t="s">
        <v>49</v>
      </c>
      <c r="AB479" s="191" t="s">
        <v>50</v>
      </c>
      <c r="AC479" s="191" t="s">
        <v>47</v>
      </c>
      <c r="AD479" s="191" t="s">
        <v>72</v>
      </c>
      <c r="AE479" s="191" t="s">
        <v>44</v>
      </c>
      <c r="AF479" s="191" t="s">
        <v>95</v>
      </c>
      <c r="AG479" s="191" t="s">
        <v>47</v>
      </c>
      <c r="AH479" s="191" t="s">
        <v>44</v>
      </c>
      <c r="AI479" s="191" t="s">
        <v>134</v>
      </c>
      <c r="AJ479" s="191" t="s">
        <v>36</v>
      </c>
      <c r="AK479" s="191" t="s">
        <v>57</v>
      </c>
      <c r="AL479" s="191" t="s">
        <v>44</v>
      </c>
      <c r="AM479" s="191" t="s">
        <v>89</v>
      </c>
      <c r="AN479" s="191" t="s">
        <v>44</v>
      </c>
      <c r="AO479" s="191" t="s">
        <v>44</v>
      </c>
      <c r="AP479" s="191" t="s">
        <v>44</v>
      </c>
    </row>
    <row r="480" spans="1:42" ht="43.5">
      <c r="A480" s="191" t="s">
        <v>1812</v>
      </c>
      <c r="B480" s="190">
        <v>3</v>
      </c>
      <c r="C480" s="190">
        <v>7</v>
      </c>
      <c r="D480" s="190">
        <v>7</v>
      </c>
      <c r="E480" s="191" t="s">
        <v>318</v>
      </c>
      <c r="F480" s="190">
        <v>2</v>
      </c>
      <c r="G480" s="191" t="s">
        <v>53</v>
      </c>
      <c r="H480" s="190">
        <v>1</v>
      </c>
      <c r="I480" s="190">
        <v>150</v>
      </c>
      <c r="J480" s="191" t="s">
        <v>65</v>
      </c>
      <c r="K480" s="191" t="s">
        <v>40</v>
      </c>
      <c r="L480" s="191" t="s">
        <v>36</v>
      </c>
      <c r="M480" s="191" t="s">
        <v>37</v>
      </c>
      <c r="N480" s="191" t="s">
        <v>38</v>
      </c>
      <c r="O480" s="191" t="s">
        <v>288</v>
      </c>
      <c r="P480" s="191" t="s">
        <v>66</v>
      </c>
      <c r="Q480" s="191" t="s">
        <v>76</v>
      </c>
      <c r="R480" s="191" t="s">
        <v>42</v>
      </c>
      <c r="S480" s="191" t="s">
        <v>48</v>
      </c>
      <c r="T480" s="191" t="s">
        <v>44</v>
      </c>
      <c r="U480" s="191" t="s">
        <v>61</v>
      </c>
      <c r="V480" s="191" t="s">
        <v>1141</v>
      </c>
      <c r="W480" s="191" t="s">
        <v>47</v>
      </c>
      <c r="X480" s="191" t="s">
        <v>44</v>
      </c>
      <c r="Y480" s="191" t="s">
        <v>47</v>
      </c>
      <c r="Z480" s="191" t="s">
        <v>43</v>
      </c>
      <c r="AA480" s="191" t="s">
        <v>62</v>
      </c>
      <c r="AB480" s="191" t="s">
        <v>50</v>
      </c>
      <c r="AC480" s="191" t="s">
        <v>47</v>
      </c>
      <c r="AD480" s="191" t="s">
        <v>72</v>
      </c>
      <c r="AE480" s="191" t="s">
        <v>44</v>
      </c>
      <c r="AF480" s="191" t="s">
        <v>52</v>
      </c>
      <c r="AG480" s="191" t="s">
        <v>47</v>
      </c>
      <c r="AH480" s="191" t="s">
        <v>44</v>
      </c>
      <c r="AI480" s="191" t="s">
        <v>39</v>
      </c>
      <c r="AJ480" s="191" t="s">
        <v>36</v>
      </c>
      <c r="AK480" s="191" t="s">
        <v>73</v>
      </c>
      <c r="AL480" s="191" t="s">
        <v>44</v>
      </c>
      <c r="AM480" s="191" t="s">
        <v>89</v>
      </c>
      <c r="AN480" s="191" t="s">
        <v>44</v>
      </c>
      <c r="AO480" s="191" t="s">
        <v>44</v>
      </c>
      <c r="AP480" s="191" t="s">
        <v>44</v>
      </c>
    </row>
    <row r="481" spans="1:42" ht="58">
      <c r="A481" s="191" t="s">
        <v>1813</v>
      </c>
      <c r="B481" s="190">
        <v>3</v>
      </c>
      <c r="C481" s="190">
        <v>7</v>
      </c>
      <c r="D481" s="190">
        <v>7</v>
      </c>
      <c r="E481" s="191" t="s">
        <v>318</v>
      </c>
      <c r="F481" s="190">
        <v>2</v>
      </c>
      <c r="G481" s="191" t="s">
        <v>53</v>
      </c>
      <c r="H481" s="190">
        <v>1</v>
      </c>
      <c r="I481" s="190">
        <v>110</v>
      </c>
      <c r="J481" s="191" t="s">
        <v>116</v>
      </c>
      <c r="K481" s="191" t="s">
        <v>40</v>
      </c>
      <c r="L481" s="191" t="s">
        <v>36</v>
      </c>
      <c r="M481" s="191" t="s">
        <v>118</v>
      </c>
      <c r="N481" s="191" t="s">
        <v>58</v>
      </c>
      <c r="O481" s="191" t="s">
        <v>288</v>
      </c>
      <c r="P481" s="191" t="s">
        <v>41</v>
      </c>
      <c r="Q481" s="191" t="s">
        <v>115</v>
      </c>
      <c r="R481" s="191" t="s">
        <v>87</v>
      </c>
      <c r="S481" s="191" t="s">
        <v>48</v>
      </c>
      <c r="T481" s="191" t="s">
        <v>44</v>
      </c>
      <c r="U481" s="191" t="s">
        <v>1128</v>
      </c>
      <c r="V481" s="191" t="s">
        <v>1141</v>
      </c>
      <c r="W481" s="191" t="s">
        <v>47</v>
      </c>
      <c r="X481" s="191" t="s">
        <v>44</v>
      </c>
      <c r="Y481" s="191" t="s">
        <v>45</v>
      </c>
      <c r="Z481" s="191" t="s">
        <v>43</v>
      </c>
      <c r="AA481" s="191" t="s">
        <v>49</v>
      </c>
      <c r="AB481" s="191" t="s">
        <v>50</v>
      </c>
      <c r="AC481" s="191" t="s">
        <v>47</v>
      </c>
      <c r="AD481" s="191" t="s">
        <v>72</v>
      </c>
      <c r="AE481" s="191" t="s">
        <v>44</v>
      </c>
      <c r="AF481" s="191" t="s">
        <v>95</v>
      </c>
      <c r="AG481" s="191" t="s">
        <v>47</v>
      </c>
      <c r="AH481" s="191" t="s">
        <v>44</v>
      </c>
      <c r="AI481" s="191" t="s">
        <v>39</v>
      </c>
      <c r="AJ481" s="191" t="s">
        <v>36</v>
      </c>
      <c r="AK481" s="191" t="s">
        <v>83</v>
      </c>
      <c r="AL481" s="191" t="s">
        <v>1814</v>
      </c>
      <c r="AM481" s="191" t="s">
        <v>1247</v>
      </c>
      <c r="AN481" s="191" t="s">
        <v>44</v>
      </c>
      <c r="AO481" s="191" t="s">
        <v>44</v>
      </c>
      <c r="AP481" s="191" t="s">
        <v>44</v>
      </c>
    </row>
    <row r="482" spans="1:42" ht="29">
      <c r="A482" s="191" t="s">
        <v>1815</v>
      </c>
      <c r="B482" s="190">
        <v>3</v>
      </c>
      <c r="C482" s="190">
        <v>4</v>
      </c>
      <c r="D482" s="190">
        <v>5</v>
      </c>
      <c r="E482" s="191" t="s">
        <v>311</v>
      </c>
      <c r="F482" s="190">
        <v>4</v>
      </c>
      <c r="G482" s="191" t="s">
        <v>53</v>
      </c>
      <c r="H482" s="190">
        <v>1</v>
      </c>
      <c r="I482" s="190">
        <v>101</v>
      </c>
      <c r="J482" s="191" t="s">
        <v>54</v>
      </c>
      <c r="K482" s="191" t="s">
        <v>40</v>
      </c>
      <c r="L482" s="191" t="s">
        <v>67</v>
      </c>
      <c r="M482" s="191" t="s">
        <v>37</v>
      </c>
      <c r="N482" s="191" t="s">
        <v>58</v>
      </c>
      <c r="O482" s="191" t="s">
        <v>39</v>
      </c>
      <c r="P482" s="191" t="s">
        <v>41</v>
      </c>
      <c r="Q482" s="191" t="s">
        <v>104</v>
      </c>
      <c r="R482" s="191" t="s">
        <v>87</v>
      </c>
      <c r="S482" s="191" t="s">
        <v>48</v>
      </c>
      <c r="T482" s="191" t="s">
        <v>44</v>
      </c>
      <c r="U482" s="191" t="s">
        <v>1119</v>
      </c>
      <c r="V482" s="191" t="s">
        <v>1141</v>
      </c>
      <c r="W482" s="191" t="s">
        <v>43</v>
      </c>
      <c r="X482" s="191" t="s">
        <v>44</v>
      </c>
      <c r="Y482" s="191" t="s">
        <v>43</v>
      </c>
      <c r="Z482" s="191" t="s">
        <v>43</v>
      </c>
      <c r="AA482" s="191" t="s">
        <v>62</v>
      </c>
      <c r="AB482" s="191" t="s">
        <v>50</v>
      </c>
      <c r="AC482" s="191" t="s">
        <v>43</v>
      </c>
      <c r="AD482" s="191" t="s">
        <v>72</v>
      </c>
      <c r="AE482" s="191" t="s">
        <v>44</v>
      </c>
      <c r="AF482" s="191" t="s">
        <v>52</v>
      </c>
      <c r="AG482" s="191" t="s">
        <v>47</v>
      </c>
      <c r="AH482" s="191" t="s">
        <v>44</v>
      </c>
      <c r="AI482" s="191" t="s">
        <v>39</v>
      </c>
      <c r="AJ482" s="191" t="s">
        <v>36</v>
      </c>
      <c r="AK482" s="191" t="s">
        <v>73</v>
      </c>
      <c r="AL482" s="191" t="s">
        <v>44</v>
      </c>
      <c r="AM482" s="191" t="s">
        <v>45</v>
      </c>
      <c r="AN482" s="191" t="s">
        <v>44</v>
      </c>
      <c r="AO482" s="191" t="s">
        <v>44</v>
      </c>
      <c r="AP482" s="191" t="s">
        <v>44</v>
      </c>
    </row>
    <row r="483" spans="1:42" ht="29">
      <c r="A483" s="191" t="s">
        <v>1816</v>
      </c>
      <c r="B483" s="190">
        <v>3</v>
      </c>
      <c r="C483" s="190">
        <v>2</v>
      </c>
      <c r="D483" s="190">
        <v>3</v>
      </c>
      <c r="E483" s="191" t="s">
        <v>311</v>
      </c>
      <c r="F483" s="190">
        <v>5</v>
      </c>
      <c r="G483" s="191" t="s">
        <v>69</v>
      </c>
      <c r="H483" s="190">
        <v>1</v>
      </c>
      <c r="I483" s="190">
        <v>122</v>
      </c>
      <c r="J483" s="191" t="s">
        <v>34</v>
      </c>
      <c r="K483" s="191" t="s">
        <v>40</v>
      </c>
      <c r="L483" s="191" t="s">
        <v>36</v>
      </c>
      <c r="M483" s="191" t="s">
        <v>37</v>
      </c>
      <c r="N483" s="191" t="s">
        <v>58</v>
      </c>
      <c r="O483" s="191" t="s">
        <v>39</v>
      </c>
      <c r="P483" s="191" t="s">
        <v>41</v>
      </c>
      <c r="Q483" s="191" t="s">
        <v>77</v>
      </c>
      <c r="R483" s="191" t="s">
        <v>87</v>
      </c>
      <c r="S483" s="191" t="s">
        <v>48</v>
      </c>
      <c r="T483" s="191" t="s">
        <v>44</v>
      </c>
      <c r="U483" s="191" t="s">
        <v>117</v>
      </c>
      <c r="V483" s="191" t="s">
        <v>1141</v>
      </c>
      <c r="W483" s="191" t="s">
        <v>43</v>
      </c>
      <c r="X483" s="191" t="s">
        <v>44</v>
      </c>
      <c r="Y483" s="191" t="s">
        <v>61</v>
      </c>
      <c r="Z483" s="191" t="s">
        <v>43</v>
      </c>
      <c r="AA483" s="191" t="s">
        <v>62</v>
      </c>
      <c r="AB483" s="191" t="s">
        <v>50</v>
      </c>
      <c r="AC483" s="191" t="s">
        <v>47</v>
      </c>
      <c r="AD483" s="191" t="s">
        <v>91</v>
      </c>
      <c r="AE483" s="191" t="s">
        <v>44</v>
      </c>
      <c r="AF483" s="191" t="s">
        <v>95</v>
      </c>
      <c r="AG483" s="191" t="s">
        <v>43</v>
      </c>
      <c r="AH483" s="191" t="s">
        <v>44</v>
      </c>
      <c r="AI483" s="191" t="s">
        <v>39</v>
      </c>
      <c r="AJ483" s="191" t="s">
        <v>36</v>
      </c>
      <c r="AK483" s="191" t="s">
        <v>57</v>
      </c>
      <c r="AL483" s="191" t="s">
        <v>44</v>
      </c>
      <c r="AM483" s="191" t="s">
        <v>45</v>
      </c>
      <c r="AN483" s="191" t="s">
        <v>44</v>
      </c>
      <c r="AO483" s="191" t="s">
        <v>44</v>
      </c>
      <c r="AP483" s="191" t="s">
        <v>44</v>
      </c>
    </row>
    <row r="484" spans="1:42" ht="29">
      <c r="A484" s="191" t="s">
        <v>1817</v>
      </c>
      <c r="B484" s="190">
        <v>3</v>
      </c>
      <c r="C484" s="190">
        <v>3</v>
      </c>
      <c r="D484" s="190">
        <v>5</v>
      </c>
      <c r="E484" s="191" t="s">
        <v>315</v>
      </c>
      <c r="F484" s="190">
        <v>5</v>
      </c>
      <c r="G484" s="191" t="s">
        <v>64</v>
      </c>
      <c r="H484" s="190">
        <v>1</v>
      </c>
      <c r="I484" s="190">
        <v>50</v>
      </c>
      <c r="J484" s="191" t="s">
        <v>34</v>
      </c>
      <c r="K484" s="191" t="s">
        <v>61</v>
      </c>
      <c r="L484" s="191" t="s">
        <v>103</v>
      </c>
      <c r="M484" s="191" t="s">
        <v>37</v>
      </c>
      <c r="N484" s="191" t="s">
        <v>38</v>
      </c>
      <c r="O484" s="191" t="s">
        <v>99</v>
      </c>
      <c r="P484" s="191" t="s">
        <v>102</v>
      </c>
      <c r="Q484" s="191" t="s">
        <v>61</v>
      </c>
      <c r="R484" s="191" t="s">
        <v>42</v>
      </c>
      <c r="S484" s="191" t="s">
        <v>48</v>
      </c>
      <c r="T484" s="191" t="s">
        <v>44</v>
      </c>
      <c r="U484" s="191" t="s">
        <v>44</v>
      </c>
      <c r="V484" s="191" t="s">
        <v>44</v>
      </c>
      <c r="W484" s="191" t="s">
        <v>47</v>
      </c>
      <c r="X484" s="191" t="s">
        <v>44</v>
      </c>
      <c r="Y484" s="191" t="s">
        <v>43</v>
      </c>
      <c r="Z484" s="191" t="s">
        <v>43</v>
      </c>
      <c r="AA484" s="191" t="s">
        <v>62</v>
      </c>
      <c r="AB484" s="191" t="s">
        <v>84</v>
      </c>
      <c r="AC484" s="191" t="s">
        <v>47</v>
      </c>
      <c r="AD484" s="191" t="s">
        <v>51</v>
      </c>
      <c r="AE484" s="191" t="s">
        <v>44</v>
      </c>
      <c r="AF484" s="191" t="s">
        <v>95</v>
      </c>
      <c r="AG484" s="191" t="s">
        <v>47</v>
      </c>
      <c r="AH484" s="191" t="s">
        <v>44</v>
      </c>
      <c r="AI484" s="191" t="s">
        <v>39</v>
      </c>
      <c r="AJ484" s="191" t="s">
        <v>36</v>
      </c>
      <c r="AK484" s="191" t="s">
        <v>73</v>
      </c>
      <c r="AL484" s="191" t="s">
        <v>44</v>
      </c>
      <c r="AM484" s="191" t="s">
        <v>45</v>
      </c>
      <c r="AN484" s="191" t="s">
        <v>44</v>
      </c>
      <c r="AO484" s="191" t="s">
        <v>44</v>
      </c>
      <c r="AP484" s="191" t="s">
        <v>44</v>
      </c>
    </row>
    <row r="485" spans="1:42" ht="43.5">
      <c r="A485" s="191" t="s">
        <v>1818</v>
      </c>
      <c r="B485" s="190">
        <v>3</v>
      </c>
      <c r="C485" s="190">
        <v>3</v>
      </c>
      <c r="D485" s="190">
        <v>8</v>
      </c>
      <c r="E485" s="191" t="s">
        <v>307</v>
      </c>
      <c r="F485" s="190">
        <v>3</v>
      </c>
      <c r="G485" s="191" t="s">
        <v>79</v>
      </c>
      <c r="H485" s="190">
        <v>1</v>
      </c>
      <c r="I485" s="190">
        <v>80</v>
      </c>
      <c r="J485" s="191" t="s">
        <v>54</v>
      </c>
      <c r="K485" s="191" t="s">
        <v>61</v>
      </c>
      <c r="L485" s="191" t="s">
        <v>70</v>
      </c>
      <c r="M485" s="191" t="s">
        <v>37</v>
      </c>
      <c r="N485" s="191" t="s">
        <v>58</v>
      </c>
      <c r="O485" s="191" t="s">
        <v>39</v>
      </c>
      <c r="P485" s="191" t="s">
        <v>56</v>
      </c>
      <c r="Q485" s="191" t="s">
        <v>61</v>
      </c>
      <c r="R485" s="191" t="s">
        <v>42</v>
      </c>
      <c r="S485" s="191" t="s">
        <v>48</v>
      </c>
      <c r="T485" s="191" t="s">
        <v>44</v>
      </c>
      <c r="U485" s="191" t="s">
        <v>44</v>
      </c>
      <c r="V485" s="191" t="s">
        <v>44</v>
      </c>
      <c r="W485" s="191" t="s">
        <v>40</v>
      </c>
      <c r="X485" s="191" t="s">
        <v>44</v>
      </c>
      <c r="Y485" s="191" t="s">
        <v>45</v>
      </c>
      <c r="Z485" s="191" t="s">
        <v>43</v>
      </c>
      <c r="AA485" s="191" t="s">
        <v>105</v>
      </c>
      <c r="AB485" s="191" t="s">
        <v>84</v>
      </c>
      <c r="AC485" s="191" t="s">
        <v>43</v>
      </c>
      <c r="AD485" s="191" t="s">
        <v>72</v>
      </c>
      <c r="AE485" s="191" t="s">
        <v>44</v>
      </c>
      <c r="AF485" s="191" t="s">
        <v>95</v>
      </c>
      <c r="AG485" s="191" t="s">
        <v>43</v>
      </c>
      <c r="AH485" s="191" t="s">
        <v>44</v>
      </c>
      <c r="AI485" s="191" t="s">
        <v>39</v>
      </c>
      <c r="AJ485" s="191" t="s">
        <v>36</v>
      </c>
      <c r="AK485" s="191" t="s">
        <v>59</v>
      </c>
      <c r="AL485" s="191" t="s">
        <v>44</v>
      </c>
      <c r="AM485" s="191" t="s">
        <v>1242</v>
      </c>
      <c r="AN485" s="191" t="s">
        <v>44</v>
      </c>
      <c r="AO485" s="191" t="s">
        <v>44</v>
      </c>
      <c r="AP485" s="191" t="s">
        <v>44</v>
      </c>
    </row>
    <row r="486" spans="1:42" ht="29">
      <c r="A486" s="191" t="s">
        <v>1819</v>
      </c>
      <c r="B486" s="190">
        <v>3</v>
      </c>
      <c r="C486" s="190">
        <v>7</v>
      </c>
      <c r="D486" s="190">
        <v>7</v>
      </c>
      <c r="E486" s="191" t="s">
        <v>318</v>
      </c>
      <c r="F486" s="190">
        <v>2</v>
      </c>
      <c r="G486" s="191" t="s">
        <v>53</v>
      </c>
      <c r="H486" s="190">
        <v>1</v>
      </c>
      <c r="I486" s="190">
        <v>90</v>
      </c>
      <c r="J486" s="191" t="s">
        <v>54</v>
      </c>
      <c r="K486" s="191" t="s">
        <v>47</v>
      </c>
      <c r="L486" s="191" t="s">
        <v>36</v>
      </c>
      <c r="M486" s="191" t="s">
        <v>37</v>
      </c>
      <c r="N486" s="191" t="s">
        <v>58</v>
      </c>
      <c r="O486" s="191" t="s">
        <v>39</v>
      </c>
      <c r="P486" s="191" t="s">
        <v>41</v>
      </c>
      <c r="Q486" s="191" t="s">
        <v>77</v>
      </c>
      <c r="R486" s="191" t="s">
        <v>42</v>
      </c>
      <c r="S486" s="191" t="s">
        <v>48</v>
      </c>
      <c r="T486" s="191" t="s">
        <v>44</v>
      </c>
      <c r="U486" s="191" t="s">
        <v>1109</v>
      </c>
      <c r="V486" s="191" t="s">
        <v>1141</v>
      </c>
      <c r="W486" s="191" t="s">
        <v>43</v>
      </c>
      <c r="X486" s="191" t="s">
        <v>44</v>
      </c>
      <c r="Y486" s="191" t="s">
        <v>47</v>
      </c>
      <c r="Z486" s="191" t="s">
        <v>43</v>
      </c>
      <c r="AA486" s="191" t="s">
        <v>49</v>
      </c>
      <c r="AB486" s="191" t="s">
        <v>50</v>
      </c>
      <c r="AC486" s="191" t="s">
        <v>43</v>
      </c>
      <c r="AD486" s="191" t="s">
        <v>72</v>
      </c>
      <c r="AE486" s="191" t="s">
        <v>44</v>
      </c>
      <c r="AF486" s="191" t="s">
        <v>95</v>
      </c>
      <c r="AG486" s="191" t="s">
        <v>78</v>
      </c>
      <c r="AH486" s="191" t="s">
        <v>1820</v>
      </c>
      <c r="AI486" s="191" t="s">
        <v>39</v>
      </c>
      <c r="AJ486" s="191" t="s">
        <v>36</v>
      </c>
      <c r="AK486" s="191" t="s">
        <v>73</v>
      </c>
      <c r="AL486" s="191" t="s">
        <v>44</v>
      </c>
      <c r="AM486" s="191" t="s">
        <v>45</v>
      </c>
      <c r="AN486" s="191" t="s">
        <v>44</v>
      </c>
      <c r="AO486" s="191" t="s">
        <v>44</v>
      </c>
      <c r="AP486" s="191" t="s">
        <v>44</v>
      </c>
    </row>
    <row r="487" spans="1:42" ht="43.5">
      <c r="A487" s="191" t="s">
        <v>1821</v>
      </c>
      <c r="B487" s="190">
        <v>3</v>
      </c>
      <c r="C487" s="190">
        <v>4</v>
      </c>
      <c r="D487" s="190">
        <v>8</v>
      </c>
      <c r="E487" s="191" t="s">
        <v>311</v>
      </c>
      <c r="F487" s="190">
        <v>5</v>
      </c>
      <c r="G487" s="191" t="s">
        <v>69</v>
      </c>
      <c r="H487" s="190">
        <v>1</v>
      </c>
      <c r="I487" s="190">
        <v>100</v>
      </c>
      <c r="J487" s="191" t="s">
        <v>65</v>
      </c>
      <c r="K487" s="191" t="s">
        <v>110</v>
      </c>
      <c r="L487" s="191" t="s">
        <v>36</v>
      </c>
      <c r="M487" s="191" t="s">
        <v>37</v>
      </c>
      <c r="N487" s="191" t="s">
        <v>38</v>
      </c>
      <c r="O487" s="191" t="s">
        <v>288</v>
      </c>
      <c r="P487" s="191" t="s">
        <v>66</v>
      </c>
      <c r="Q487" s="191" t="s">
        <v>46</v>
      </c>
      <c r="R487" s="191" t="s">
        <v>87</v>
      </c>
      <c r="S487" s="191" t="s">
        <v>48</v>
      </c>
      <c r="T487" s="191" t="s">
        <v>44</v>
      </c>
      <c r="U487" s="191" t="s">
        <v>46</v>
      </c>
      <c r="V487" s="191" t="s">
        <v>1141</v>
      </c>
      <c r="W487" s="191" t="s">
        <v>43</v>
      </c>
      <c r="X487" s="191" t="s">
        <v>44</v>
      </c>
      <c r="Y487" s="191" t="s">
        <v>45</v>
      </c>
      <c r="Z487" s="191" t="s">
        <v>43</v>
      </c>
      <c r="AA487" s="191" t="s">
        <v>49</v>
      </c>
      <c r="AB487" s="191" t="s">
        <v>84</v>
      </c>
      <c r="AC487" s="191" t="s">
        <v>43</v>
      </c>
      <c r="AD487" s="191" t="s">
        <v>72</v>
      </c>
      <c r="AE487" s="191" t="s">
        <v>44</v>
      </c>
      <c r="AF487" s="191" t="s">
        <v>52</v>
      </c>
      <c r="AG487" s="191" t="s">
        <v>47</v>
      </c>
      <c r="AH487" s="191" t="s">
        <v>44</v>
      </c>
      <c r="AI487" s="191" t="s">
        <v>39</v>
      </c>
      <c r="AJ487" s="191" t="s">
        <v>36</v>
      </c>
      <c r="AK487" s="191" t="s">
        <v>59</v>
      </c>
      <c r="AL487" s="191" t="s">
        <v>44</v>
      </c>
      <c r="AM487" s="191" t="s">
        <v>45</v>
      </c>
      <c r="AN487" s="191" t="s">
        <v>44</v>
      </c>
      <c r="AO487" s="191" t="s">
        <v>44</v>
      </c>
      <c r="AP487" s="191" t="s">
        <v>44</v>
      </c>
    </row>
    <row r="488" spans="1:42" ht="29">
      <c r="A488" s="191" t="s">
        <v>1822</v>
      </c>
      <c r="B488" s="190">
        <v>3</v>
      </c>
      <c r="C488" s="190">
        <v>7</v>
      </c>
      <c r="D488" s="190">
        <v>3</v>
      </c>
      <c r="E488" s="191" t="s">
        <v>315</v>
      </c>
      <c r="F488" s="190">
        <v>2</v>
      </c>
      <c r="G488" s="191" t="s">
        <v>69</v>
      </c>
      <c r="H488" s="190">
        <v>1</v>
      </c>
      <c r="I488" s="190">
        <v>109</v>
      </c>
      <c r="J488" s="191" t="s">
        <v>80</v>
      </c>
      <c r="K488" s="191" t="s">
        <v>45</v>
      </c>
      <c r="L488" s="191" t="s">
        <v>67</v>
      </c>
      <c r="M488" s="191" t="s">
        <v>37</v>
      </c>
      <c r="N488" s="191" t="s">
        <v>38</v>
      </c>
      <c r="O488" s="191" t="s">
        <v>39</v>
      </c>
      <c r="P488" s="191" t="s">
        <v>41</v>
      </c>
      <c r="Q488" s="191" t="s">
        <v>86</v>
      </c>
      <c r="R488" s="191" t="s">
        <v>87</v>
      </c>
      <c r="S488" s="191" t="s">
        <v>48</v>
      </c>
      <c r="T488" s="191" t="s">
        <v>44</v>
      </c>
      <c r="U488" s="191" t="s">
        <v>119</v>
      </c>
      <c r="V488" s="191" t="s">
        <v>1141</v>
      </c>
      <c r="W488" s="191" t="s">
        <v>47</v>
      </c>
      <c r="X488" s="191" t="s">
        <v>44</v>
      </c>
      <c r="Y488" s="191" t="s">
        <v>47</v>
      </c>
      <c r="Z488" s="191" t="s">
        <v>43</v>
      </c>
      <c r="AA488" s="191" t="s">
        <v>49</v>
      </c>
      <c r="AB488" s="191" t="s">
        <v>50</v>
      </c>
      <c r="AC488" s="191" t="s">
        <v>43</v>
      </c>
      <c r="AD488" s="191" t="s">
        <v>72</v>
      </c>
      <c r="AE488" s="191" t="s">
        <v>44</v>
      </c>
      <c r="AF488" s="191" t="s">
        <v>95</v>
      </c>
      <c r="AG488" s="191" t="s">
        <v>47</v>
      </c>
      <c r="AH488" s="191" t="s">
        <v>44</v>
      </c>
      <c r="AI488" s="191" t="s">
        <v>39</v>
      </c>
      <c r="AJ488" s="191" t="s">
        <v>36</v>
      </c>
      <c r="AK488" s="191" t="s">
        <v>71</v>
      </c>
      <c r="AL488" s="191" t="s">
        <v>44</v>
      </c>
      <c r="AM488" s="191" t="s">
        <v>45</v>
      </c>
      <c r="AN488" s="191" t="s">
        <v>44</v>
      </c>
      <c r="AO488" s="191" t="s">
        <v>44</v>
      </c>
      <c r="AP488" s="191" t="s">
        <v>44</v>
      </c>
    </row>
    <row r="489" spans="1:42" ht="43.5">
      <c r="A489" s="191" t="s">
        <v>1823</v>
      </c>
      <c r="B489" s="190">
        <v>3</v>
      </c>
      <c r="C489" s="190">
        <v>7</v>
      </c>
      <c r="D489" s="190">
        <v>7</v>
      </c>
      <c r="E489" s="191" t="s">
        <v>318</v>
      </c>
      <c r="F489" s="190">
        <v>1</v>
      </c>
      <c r="G489" s="191" t="s">
        <v>79</v>
      </c>
      <c r="H489" s="190">
        <v>1</v>
      </c>
      <c r="I489" s="190">
        <v>90</v>
      </c>
      <c r="J489" s="191" t="s">
        <v>34</v>
      </c>
      <c r="K489" s="191" t="s">
        <v>40</v>
      </c>
      <c r="L489" s="191" t="s">
        <v>36</v>
      </c>
      <c r="M489" s="191" t="s">
        <v>37</v>
      </c>
      <c r="N489" s="191" t="s">
        <v>108</v>
      </c>
      <c r="O489" s="191" t="s">
        <v>288</v>
      </c>
      <c r="P489" s="191" t="s">
        <v>56</v>
      </c>
      <c r="Q489" s="191" t="s">
        <v>76</v>
      </c>
      <c r="R489" s="191" t="s">
        <v>42</v>
      </c>
      <c r="S489" s="191" t="s">
        <v>48</v>
      </c>
      <c r="T489" s="191" t="s">
        <v>44</v>
      </c>
      <c r="U489" s="191" t="s">
        <v>46</v>
      </c>
      <c r="V489" s="191" t="s">
        <v>1141</v>
      </c>
      <c r="W489" s="191" t="s">
        <v>78</v>
      </c>
      <c r="X489" s="191" t="s">
        <v>44</v>
      </c>
      <c r="Y489" s="191" t="s">
        <v>43</v>
      </c>
      <c r="Z489" s="191" t="s">
        <v>47</v>
      </c>
      <c r="AA489" s="191" t="s">
        <v>62</v>
      </c>
      <c r="AB489" s="191" t="s">
        <v>50</v>
      </c>
      <c r="AC489" s="191" t="s">
        <v>43</v>
      </c>
      <c r="AD489" s="191" t="s">
        <v>72</v>
      </c>
      <c r="AE489" s="191" t="s">
        <v>44</v>
      </c>
      <c r="AF489" s="191" t="s">
        <v>95</v>
      </c>
      <c r="AG489" s="191" t="s">
        <v>47</v>
      </c>
      <c r="AH489" s="191" t="s">
        <v>44</v>
      </c>
      <c r="AI489" s="191" t="s">
        <v>134</v>
      </c>
      <c r="AJ489" s="191" t="s">
        <v>36</v>
      </c>
      <c r="AK489" s="191" t="s">
        <v>73</v>
      </c>
      <c r="AL489" s="191" t="s">
        <v>44</v>
      </c>
      <c r="AM489" s="191" t="s">
        <v>45</v>
      </c>
      <c r="AN489" s="191" t="s">
        <v>44</v>
      </c>
      <c r="AO489" s="191" t="s">
        <v>44</v>
      </c>
      <c r="AP489" s="191" t="s">
        <v>44</v>
      </c>
    </row>
    <row r="490" spans="1:42" ht="43.5">
      <c r="A490" s="191" t="s">
        <v>1824</v>
      </c>
      <c r="B490" s="190">
        <v>3</v>
      </c>
      <c r="C490" s="190">
        <v>7</v>
      </c>
      <c r="D490" s="190">
        <v>9</v>
      </c>
      <c r="E490" s="191" t="s">
        <v>318</v>
      </c>
      <c r="F490" s="190">
        <v>1</v>
      </c>
      <c r="G490" s="191" t="s">
        <v>79</v>
      </c>
      <c r="H490" s="190">
        <v>1</v>
      </c>
      <c r="I490" s="190">
        <v>140</v>
      </c>
      <c r="J490" s="191" t="s">
        <v>34</v>
      </c>
      <c r="K490" s="191" t="s">
        <v>61</v>
      </c>
      <c r="L490" s="191" t="s">
        <v>67</v>
      </c>
      <c r="M490" s="191" t="s">
        <v>37</v>
      </c>
      <c r="N490" s="191" t="s">
        <v>108</v>
      </c>
      <c r="O490" s="191" t="s">
        <v>39</v>
      </c>
      <c r="P490" s="191" t="s">
        <v>56</v>
      </c>
      <c r="Q490" s="191" t="s">
        <v>115</v>
      </c>
      <c r="R490" s="191" t="s">
        <v>42</v>
      </c>
      <c r="S490" s="191" t="s">
        <v>48</v>
      </c>
      <c r="T490" s="191" t="s">
        <v>44</v>
      </c>
      <c r="U490" s="191" t="s">
        <v>89</v>
      </c>
      <c r="V490" s="191" t="s">
        <v>1141</v>
      </c>
      <c r="W490" s="191" t="s">
        <v>47</v>
      </c>
      <c r="X490" s="191" t="s">
        <v>44</v>
      </c>
      <c r="Y490" s="191" t="s">
        <v>43</v>
      </c>
      <c r="Z490" s="191" t="s">
        <v>47</v>
      </c>
      <c r="AA490" s="191" t="s">
        <v>49</v>
      </c>
      <c r="AB490" s="191" t="s">
        <v>84</v>
      </c>
      <c r="AC490" s="191" t="s">
        <v>43</v>
      </c>
      <c r="AD490" s="191" t="s">
        <v>72</v>
      </c>
      <c r="AE490" s="191" t="s">
        <v>44</v>
      </c>
      <c r="AF490" s="191" t="s">
        <v>95</v>
      </c>
      <c r="AG490" s="191" t="s">
        <v>43</v>
      </c>
      <c r="AH490" s="191" t="s">
        <v>44</v>
      </c>
      <c r="AI490" s="191" t="s">
        <v>39</v>
      </c>
      <c r="AJ490" s="191" t="s">
        <v>36</v>
      </c>
      <c r="AK490" s="191" t="s">
        <v>59</v>
      </c>
      <c r="AL490" s="191" t="s">
        <v>44</v>
      </c>
      <c r="AM490" s="191" t="s">
        <v>45</v>
      </c>
      <c r="AN490" s="191" t="s">
        <v>44</v>
      </c>
      <c r="AO490" s="191" t="s">
        <v>44</v>
      </c>
      <c r="AP490" s="191" t="s">
        <v>44</v>
      </c>
    </row>
    <row r="491" spans="1:42" ht="43.5">
      <c r="A491" s="191" t="s">
        <v>1825</v>
      </c>
      <c r="B491" s="190">
        <v>3</v>
      </c>
      <c r="C491" s="190">
        <v>7</v>
      </c>
      <c r="D491" s="190">
        <v>7</v>
      </c>
      <c r="E491" s="191" t="s">
        <v>318</v>
      </c>
      <c r="F491" s="190">
        <v>2</v>
      </c>
      <c r="G491" s="191" t="s">
        <v>33</v>
      </c>
      <c r="H491" s="190">
        <v>1</v>
      </c>
      <c r="I491" s="190">
        <v>91</v>
      </c>
      <c r="J491" s="191" t="s">
        <v>34</v>
      </c>
      <c r="K491" s="191" t="s">
        <v>81</v>
      </c>
      <c r="L491" s="191" t="s">
        <v>36</v>
      </c>
      <c r="M491" s="191" t="s">
        <v>37</v>
      </c>
      <c r="N491" s="191" t="s">
        <v>38</v>
      </c>
      <c r="O491" s="191" t="s">
        <v>288</v>
      </c>
      <c r="P491" s="191" t="s">
        <v>56</v>
      </c>
      <c r="Q491" s="191" t="s">
        <v>141</v>
      </c>
      <c r="R491" s="191" t="s">
        <v>42</v>
      </c>
      <c r="S491" s="191" t="s">
        <v>48</v>
      </c>
      <c r="T491" s="191" t="s">
        <v>44</v>
      </c>
      <c r="U491" s="191" t="s">
        <v>117</v>
      </c>
      <c r="V491" s="191" t="s">
        <v>1141</v>
      </c>
      <c r="W491" s="191" t="s">
        <v>43</v>
      </c>
      <c r="X491" s="191" t="s">
        <v>44</v>
      </c>
      <c r="Y491" s="191" t="s">
        <v>43</v>
      </c>
      <c r="Z491" s="191" t="s">
        <v>43</v>
      </c>
      <c r="AA491" s="191" t="s">
        <v>49</v>
      </c>
      <c r="AB491" s="191" t="s">
        <v>84</v>
      </c>
      <c r="AC491" s="191" t="s">
        <v>43</v>
      </c>
      <c r="AD491" s="191" t="s">
        <v>72</v>
      </c>
      <c r="AE491" s="191" t="s">
        <v>44</v>
      </c>
      <c r="AF491" s="191" t="s">
        <v>95</v>
      </c>
      <c r="AG491" s="191" t="s">
        <v>47</v>
      </c>
      <c r="AH491" s="191" t="s">
        <v>44</v>
      </c>
      <c r="AI491" s="191" t="s">
        <v>134</v>
      </c>
      <c r="AJ491" s="191" t="s">
        <v>36</v>
      </c>
      <c r="AK491" s="191" t="s">
        <v>57</v>
      </c>
      <c r="AL491" s="191" t="s">
        <v>44</v>
      </c>
      <c r="AM491" s="191" t="s">
        <v>45</v>
      </c>
      <c r="AN491" s="191" t="s">
        <v>44</v>
      </c>
      <c r="AO491" s="191" t="s">
        <v>44</v>
      </c>
      <c r="AP491" s="191" t="s">
        <v>44</v>
      </c>
    </row>
    <row r="492" spans="1:42" ht="43.5">
      <c r="A492" s="191" t="s">
        <v>1826</v>
      </c>
      <c r="B492" s="190">
        <v>3</v>
      </c>
      <c r="C492" s="190">
        <v>5</v>
      </c>
      <c r="D492" s="190">
        <v>6</v>
      </c>
      <c r="E492" s="191" t="s">
        <v>311</v>
      </c>
      <c r="F492" s="190">
        <v>4</v>
      </c>
      <c r="G492" s="191" t="s">
        <v>69</v>
      </c>
      <c r="H492" s="190">
        <v>1</v>
      </c>
      <c r="I492" s="190">
        <v>120</v>
      </c>
      <c r="J492" s="191" t="s">
        <v>54</v>
      </c>
      <c r="K492" s="191" t="s">
        <v>40</v>
      </c>
      <c r="L492" s="191" t="s">
        <v>36</v>
      </c>
      <c r="M492" s="191" t="s">
        <v>37</v>
      </c>
      <c r="N492" s="191" t="s">
        <v>38</v>
      </c>
      <c r="O492" s="191" t="s">
        <v>288</v>
      </c>
      <c r="P492" s="191" t="s">
        <v>123</v>
      </c>
      <c r="Q492" s="191" t="s">
        <v>89</v>
      </c>
      <c r="R492" s="191" t="s">
        <v>42</v>
      </c>
      <c r="S492" s="191" t="s">
        <v>48</v>
      </c>
      <c r="T492" s="191" t="s">
        <v>44</v>
      </c>
      <c r="U492" s="191" t="s">
        <v>44</v>
      </c>
      <c r="V492" s="191" t="s">
        <v>44</v>
      </c>
      <c r="W492" s="191" t="s">
        <v>47</v>
      </c>
      <c r="X492" s="191" t="s">
        <v>44</v>
      </c>
      <c r="Y492" s="191" t="s">
        <v>61</v>
      </c>
      <c r="Z492" s="191" t="s">
        <v>43</v>
      </c>
      <c r="AA492" s="191" t="s">
        <v>36</v>
      </c>
      <c r="AB492" s="191" t="s">
        <v>36</v>
      </c>
      <c r="AC492" s="191" t="s">
        <v>46</v>
      </c>
      <c r="AD492" s="191" t="s">
        <v>129</v>
      </c>
      <c r="AE492" s="191" t="s">
        <v>1827</v>
      </c>
      <c r="AF492" s="191" t="s">
        <v>95</v>
      </c>
      <c r="AG492" s="191" t="s">
        <v>47</v>
      </c>
      <c r="AH492" s="191" t="s">
        <v>44</v>
      </c>
      <c r="AI492" s="191" t="s">
        <v>39</v>
      </c>
      <c r="AJ492" s="191" t="s">
        <v>36</v>
      </c>
      <c r="AK492" s="191" t="s">
        <v>77</v>
      </c>
      <c r="AL492" s="191" t="s">
        <v>44</v>
      </c>
      <c r="AM492" s="191" t="s">
        <v>47</v>
      </c>
      <c r="AN492" s="191" t="s">
        <v>44</v>
      </c>
      <c r="AO492" s="191" t="s">
        <v>44</v>
      </c>
      <c r="AP492" s="191" t="s">
        <v>44</v>
      </c>
    </row>
    <row r="493" spans="1:42" ht="29">
      <c r="A493" s="191" t="s">
        <v>1828</v>
      </c>
      <c r="B493" s="190">
        <v>3</v>
      </c>
      <c r="C493" s="190">
        <v>5</v>
      </c>
      <c r="D493" s="190">
        <v>5</v>
      </c>
      <c r="E493" s="191" t="s">
        <v>311</v>
      </c>
      <c r="F493" s="190">
        <v>3</v>
      </c>
      <c r="G493" s="191" t="s">
        <v>64</v>
      </c>
      <c r="H493" s="190">
        <v>1</v>
      </c>
      <c r="I493" s="190">
        <v>160</v>
      </c>
      <c r="J493" s="191" t="s">
        <v>65</v>
      </c>
      <c r="K493" s="191" t="s">
        <v>61</v>
      </c>
      <c r="L493" s="191" t="s">
        <v>155</v>
      </c>
      <c r="M493" s="191" t="s">
        <v>37</v>
      </c>
      <c r="N493" s="191" t="s">
        <v>38</v>
      </c>
      <c r="O493" s="191" t="s">
        <v>39</v>
      </c>
      <c r="P493" s="191" t="s">
        <v>41</v>
      </c>
      <c r="Q493" s="191" t="s">
        <v>43</v>
      </c>
      <c r="R493" s="191" t="s">
        <v>42</v>
      </c>
      <c r="S493" s="191" t="s">
        <v>48</v>
      </c>
      <c r="T493" s="191" t="s">
        <v>44</v>
      </c>
      <c r="U493" s="191" t="s">
        <v>40</v>
      </c>
      <c r="V493" s="191" t="s">
        <v>44</v>
      </c>
      <c r="W493" s="191" t="s">
        <v>43</v>
      </c>
      <c r="X493" s="191" t="s">
        <v>44</v>
      </c>
      <c r="Y493" s="191" t="s">
        <v>45</v>
      </c>
      <c r="Z493" s="191" t="s">
        <v>43</v>
      </c>
      <c r="AA493" s="191" t="s">
        <v>105</v>
      </c>
      <c r="AB493" s="191" t="s">
        <v>84</v>
      </c>
      <c r="AC493" s="191" t="s">
        <v>43</v>
      </c>
      <c r="AD493" s="191" t="s">
        <v>51</v>
      </c>
      <c r="AE493" s="191" t="s">
        <v>44</v>
      </c>
      <c r="AF493" s="191" t="s">
        <v>95</v>
      </c>
      <c r="AG493" s="191" t="s">
        <v>47</v>
      </c>
      <c r="AH493" s="191" t="s">
        <v>44</v>
      </c>
      <c r="AI493" s="191" t="s">
        <v>39</v>
      </c>
      <c r="AJ493" s="191" t="s">
        <v>36</v>
      </c>
      <c r="AK493" s="191" t="s">
        <v>59</v>
      </c>
      <c r="AL493" s="191" t="s">
        <v>44</v>
      </c>
      <c r="AM493" s="191" t="s">
        <v>43</v>
      </c>
      <c r="AN493" s="191" t="s">
        <v>44</v>
      </c>
      <c r="AO493" s="191" t="s">
        <v>44</v>
      </c>
      <c r="AP493" s="191" t="s">
        <v>44</v>
      </c>
    </row>
    <row r="494" spans="1:42" ht="29">
      <c r="A494" s="191" t="s">
        <v>1829</v>
      </c>
      <c r="B494" s="190">
        <v>3</v>
      </c>
      <c r="C494" s="190">
        <v>5</v>
      </c>
      <c r="D494" s="190">
        <v>5</v>
      </c>
      <c r="E494" s="191" t="s">
        <v>307</v>
      </c>
      <c r="F494" s="190">
        <v>3</v>
      </c>
      <c r="G494" s="191" t="s">
        <v>64</v>
      </c>
      <c r="H494" s="190">
        <v>1</v>
      </c>
      <c r="I494" s="190">
        <v>107</v>
      </c>
      <c r="J494" s="191" t="s">
        <v>54</v>
      </c>
      <c r="K494" s="191" t="s">
        <v>40</v>
      </c>
      <c r="L494" s="191" t="s">
        <v>36</v>
      </c>
      <c r="M494" s="191" t="s">
        <v>37</v>
      </c>
      <c r="N494" s="191" t="s">
        <v>38</v>
      </c>
      <c r="O494" s="191" t="s">
        <v>99</v>
      </c>
      <c r="P494" s="191" t="s">
        <v>36</v>
      </c>
      <c r="Q494" s="191" t="s">
        <v>89</v>
      </c>
      <c r="R494" s="191" t="s">
        <v>36</v>
      </c>
      <c r="S494" s="191" t="s">
        <v>36</v>
      </c>
      <c r="T494" s="191" t="s">
        <v>44</v>
      </c>
      <c r="U494" s="191" t="s">
        <v>44</v>
      </c>
      <c r="V494" s="191" t="s">
        <v>44</v>
      </c>
      <c r="W494" s="191" t="s">
        <v>45</v>
      </c>
      <c r="X494" s="191" t="s">
        <v>44</v>
      </c>
      <c r="Y494" s="191" t="s">
        <v>61</v>
      </c>
      <c r="Z494" s="191" t="s">
        <v>40</v>
      </c>
      <c r="AA494" s="191" t="s">
        <v>36</v>
      </c>
      <c r="AB494" s="191" t="s">
        <v>36</v>
      </c>
      <c r="AC494" s="191" t="s">
        <v>46</v>
      </c>
      <c r="AD494" s="191" t="s">
        <v>36</v>
      </c>
      <c r="AE494" s="191" t="s">
        <v>44</v>
      </c>
      <c r="AF494" s="191" t="s">
        <v>95</v>
      </c>
      <c r="AG494" s="191" t="s">
        <v>43</v>
      </c>
      <c r="AH494" s="191" t="s">
        <v>44</v>
      </c>
      <c r="AI494" s="191" t="s">
        <v>39</v>
      </c>
      <c r="AJ494" s="191" t="s">
        <v>36</v>
      </c>
      <c r="AK494" s="191" t="s">
        <v>71</v>
      </c>
      <c r="AL494" s="191" t="s">
        <v>44</v>
      </c>
      <c r="AM494" s="191" t="s">
        <v>47</v>
      </c>
      <c r="AN494" s="191" t="s">
        <v>44</v>
      </c>
      <c r="AO494" s="191" t="s">
        <v>44</v>
      </c>
      <c r="AP494" s="191" t="s">
        <v>44</v>
      </c>
    </row>
    <row r="495" spans="1:42" ht="43.5">
      <c r="A495" s="191" t="s">
        <v>1830</v>
      </c>
      <c r="B495" s="190">
        <v>3</v>
      </c>
      <c r="C495" s="190">
        <v>2</v>
      </c>
      <c r="D495" s="190">
        <v>2</v>
      </c>
      <c r="E495" s="191" t="s">
        <v>311</v>
      </c>
      <c r="F495" s="190">
        <v>6</v>
      </c>
      <c r="G495" s="191" t="s">
        <v>100</v>
      </c>
      <c r="H495" s="190">
        <v>1</v>
      </c>
      <c r="I495" s="190">
        <v>140</v>
      </c>
      <c r="J495" s="191" t="s">
        <v>65</v>
      </c>
      <c r="K495" s="191" t="s">
        <v>61</v>
      </c>
      <c r="L495" s="191" t="s">
        <v>36</v>
      </c>
      <c r="M495" s="191" t="s">
        <v>37</v>
      </c>
      <c r="N495" s="191" t="s">
        <v>38</v>
      </c>
      <c r="O495" s="191" t="s">
        <v>288</v>
      </c>
      <c r="P495" s="191" t="s">
        <v>56</v>
      </c>
      <c r="Q495" s="191" t="s">
        <v>46</v>
      </c>
      <c r="R495" s="191" t="s">
        <v>87</v>
      </c>
      <c r="S495" s="191" t="s">
        <v>48</v>
      </c>
      <c r="T495" s="191" t="s">
        <v>44</v>
      </c>
      <c r="U495" s="191" t="s">
        <v>40</v>
      </c>
      <c r="V495" s="191" t="s">
        <v>44</v>
      </c>
      <c r="W495" s="191" t="s">
        <v>47</v>
      </c>
      <c r="X495" s="191" t="s">
        <v>44</v>
      </c>
      <c r="Y495" s="191" t="s">
        <v>45</v>
      </c>
      <c r="Z495" s="191" t="s">
        <v>43</v>
      </c>
      <c r="AA495" s="191" t="s">
        <v>62</v>
      </c>
      <c r="AB495" s="191" t="s">
        <v>36</v>
      </c>
      <c r="AC495" s="191" t="s">
        <v>43</v>
      </c>
      <c r="AD495" s="191" t="s">
        <v>72</v>
      </c>
      <c r="AE495" s="191" t="s">
        <v>44</v>
      </c>
      <c r="AF495" s="191" t="s">
        <v>52</v>
      </c>
      <c r="AG495" s="191" t="s">
        <v>47</v>
      </c>
      <c r="AH495" s="191" t="s">
        <v>44</v>
      </c>
      <c r="AI495" s="191" t="s">
        <v>134</v>
      </c>
      <c r="AJ495" s="191" t="s">
        <v>36</v>
      </c>
      <c r="AK495" s="191" t="s">
        <v>78</v>
      </c>
      <c r="AL495" s="191" t="s">
        <v>44</v>
      </c>
      <c r="AM495" s="191" t="s">
        <v>45</v>
      </c>
      <c r="AN495" s="191" t="s">
        <v>44</v>
      </c>
      <c r="AO495" s="191" t="s">
        <v>44</v>
      </c>
      <c r="AP495" s="191" t="s">
        <v>44</v>
      </c>
    </row>
    <row r="496" spans="1:42" ht="29">
      <c r="A496" s="191" t="s">
        <v>1831</v>
      </c>
      <c r="B496" s="190">
        <v>3</v>
      </c>
      <c r="C496" s="190">
        <v>7</v>
      </c>
      <c r="D496" s="190">
        <v>7</v>
      </c>
      <c r="E496" s="191" t="s">
        <v>318</v>
      </c>
      <c r="F496" s="190">
        <v>2</v>
      </c>
      <c r="G496" s="191" t="s">
        <v>97</v>
      </c>
      <c r="H496" s="190">
        <v>1</v>
      </c>
      <c r="I496" s="190">
        <v>150</v>
      </c>
      <c r="J496" s="191" t="s">
        <v>54</v>
      </c>
      <c r="K496" s="191" t="s">
        <v>40</v>
      </c>
      <c r="L496" s="191" t="s">
        <v>36</v>
      </c>
      <c r="M496" s="191" t="s">
        <v>37</v>
      </c>
      <c r="N496" s="191" t="s">
        <v>38</v>
      </c>
      <c r="O496" s="191" t="s">
        <v>288</v>
      </c>
      <c r="P496" s="191" t="s">
        <v>98</v>
      </c>
      <c r="Q496" s="191" t="s">
        <v>135</v>
      </c>
      <c r="R496" s="191" t="s">
        <v>42</v>
      </c>
      <c r="S496" s="191" t="s">
        <v>48</v>
      </c>
      <c r="T496" s="191" t="s">
        <v>44</v>
      </c>
      <c r="U496" s="191" t="s">
        <v>43</v>
      </c>
      <c r="V496" s="191" t="s">
        <v>1141</v>
      </c>
      <c r="W496" s="191" t="s">
        <v>43</v>
      </c>
      <c r="X496" s="191" t="s">
        <v>44</v>
      </c>
      <c r="Y496" s="191" t="s">
        <v>45</v>
      </c>
      <c r="Z496" s="191" t="s">
        <v>43</v>
      </c>
      <c r="AA496" s="191" t="s">
        <v>62</v>
      </c>
      <c r="AB496" s="191" t="s">
        <v>50</v>
      </c>
      <c r="AC496" s="191" t="s">
        <v>43</v>
      </c>
      <c r="AD496" s="191" t="s">
        <v>72</v>
      </c>
      <c r="AE496" s="191" t="s">
        <v>44</v>
      </c>
      <c r="AF496" s="191" t="s">
        <v>95</v>
      </c>
      <c r="AG496" s="191" t="s">
        <v>47</v>
      </c>
      <c r="AH496" s="191" t="s">
        <v>44</v>
      </c>
      <c r="AI496" s="191" t="s">
        <v>134</v>
      </c>
      <c r="AJ496" s="191" t="s">
        <v>36</v>
      </c>
      <c r="AK496" s="191" t="s">
        <v>73</v>
      </c>
      <c r="AL496" s="191" t="s">
        <v>44</v>
      </c>
      <c r="AM496" s="191" t="s">
        <v>45</v>
      </c>
      <c r="AN496" s="191" t="s">
        <v>44</v>
      </c>
      <c r="AO496" s="191" t="s">
        <v>44</v>
      </c>
      <c r="AP496" s="191" t="s">
        <v>44</v>
      </c>
    </row>
    <row r="497" spans="1:42" ht="43.5">
      <c r="A497" s="191" t="s">
        <v>1832</v>
      </c>
      <c r="B497" s="190">
        <v>2</v>
      </c>
      <c r="C497" s="190">
        <v>7</v>
      </c>
      <c r="D497" s="190">
        <v>7</v>
      </c>
      <c r="E497" s="191" t="s">
        <v>318</v>
      </c>
      <c r="F497" s="190">
        <v>2</v>
      </c>
      <c r="G497" s="191" t="s">
        <v>75</v>
      </c>
      <c r="H497" s="190">
        <v>1</v>
      </c>
      <c r="I497" s="190">
        <v>130</v>
      </c>
      <c r="J497" s="191" t="s">
        <v>65</v>
      </c>
      <c r="K497" s="191" t="s">
        <v>78</v>
      </c>
      <c r="L497" s="191" t="s">
        <v>36</v>
      </c>
      <c r="M497" s="191" t="s">
        <v>37</v>
      </c>
      <c r="N497" s="191" t="s">
        <v>38</v>
      </c>
      <c r="O497" s="191" t="s">
        <v>288</v>
      </c>
      <c r="P497" s="191" t="s">
        <v>66</v>
      </c>
      <c r="Q497" s="191" t="s">
        <v>135</v>
      </c>
      <c r="R497" s="191" t="s">
        <v>42</v>
      </c>
      <c r="S497" s="191" t="s">
        <v>48</v>
      </c>
      <c r="T497" s="191" t="s">
        <v>44</v>
      </c>
      <c r="U497" s="191" t="s">
        <v>61</v>
      </c>
      <c r="V497" s="191" t="s">
        <v>1141</v>
      </c>
      <c r="W497" s="191" t="s">
        <v>43</v>
      </c>
      <c r="X497" s="191" t="s">
        <v>44</v>
      </c>
      <c r="Y497" s="191" t="s">
        <v>43</v>
      </c>
      <c r="Z497" s="191" t="s">
        <v>43</v>
      </c>
      <c r="AA497" s="191" t="s">
        <v>62</v>
      </c>
      <c r="AB497" s="191" t="s">
        <v>50</v>
      </c>
      <c r="AC497" s="191" t="s">
        <v>43</v>
      </c>
      <c r="AD497" s="191" t="s">
        <v>72</v>
      </c>
      <c r="AE497" s="191" t="s">
        <v>44</v>
      </c>
      <c r="AF497" s="191" t="s">
        <v>52</v>
      </c>
      <c r="AG497" s="191" t="s">
        <v>47</v>
      </c>
      <c r="AH497" s="191" t="s">
        <v>44</v>
      </c>
      <c r="AI497" s="191" t="s">
        <v>134</v>
      </c>
      <c r="AJ497" s="191" t="s">
        <v>36</v>
      </c>
      <c r="AK497" s="191" t="s">
        <v>59</v>
      </c>
      <c r="AL497" s="191" t="s">
        <v>44</v>
      </c>
      <c r="AM497" s="191" t="s">
        <v>45</v>
      </c>
      <c r="AN497" s="191" t="s">
        <v>44</v>
      </c>
      <c r="AO497" s="191" t="s">
        <v>44</v>
      </c>
      <c r="AP497" s="191" t="s">
        <v>44</v>
      </c>
    </row>
    <row r="498" spans="1:42" ht="29">
      <c r="A498" s="191" t="s">
        <v>1833</v>
      </c>
      <c r="B498" s="190">
        <v>3</v>
      </c>
      <c r="C498" s="190">
        <v>7</v>
      </c>
      <c r="D498" s="190">
        <v>9</v>
      </c>
      <c r="E498" s="191" t="s">
        <v>318</v>
      </c>
      <c r="F498" s="190">
        <v>1</v>
      </c>
      <c r="G498" s="191" t="s">
        <v>79</v>
      </c>
      <c r="H498" s="190">
        <v>1</v>
      </c>
      <c r="I498" s="190">
        <v>150</v>
      </c>
      <c r="J498" s="191" t="s">
        <v>80</v>
      </c>
      <c r="K498" s="191" t="s">
        <v>40</v>
      </c>
      <c r="L498" s="191" t="s">
        <v>36</v>
      </c>
      <c r="M498" s="191" t="s">
        <v>37</v>
      </c>
      <c r="N498" s="191" t="s">
        <v>95</v>
      </c>
      <c r="O498" s="191" t="s">
        <v>288</v>
      </c>
      <c r="P498" s="191" t="s">
        <v>41</v>
      </c>
      <c r="Q498" s="191" t="s">
        <v>113</v>
      </c>
      <c r="R498" s="191" t="s">
        <v>60</v>
      </c>
      <c r="S498" s="191" t="s">
        <v>48</v>
      </c>
      <c r="T498" s="191" t="s">
        <v>44</v>
      </c>
      <c r="U498" s="191" t="s">
        <v>61</v>
      </c>
      <c r="V498" s="191" t="s">
        <v>1141</v>
      </c>
      <c r="W498" s="191" t="s">
        <v>43</v>
      </c>
      <c r="X498" s="191" t="s">
        <v>44</v>
      </c>
      <c r="Y498" s="191" t="s">
        <v>45</v>
      </c>
      <c r="Z498" s="191" t="s">
        <v>90</v>
      </c>
      <c r="AA498" s="191" t="s">
        <v>49</v>
      </c>
      <c r="AB498" s="191" t="s">
        <v>84</v>
      </c>
      <c r="AC498" s="191" t="s">
        <v>43</v>
      </c>
      <c r="AD498" s="191" t="s">
        <v>72</v>
      </c>
      <c r="AE498" s="191" t="s">
        <v>44</v>
      </c>
      <c r="AF498" s="191" t="s">
        <v>95</v>
      </c>
      <c r="AG498" s="191" t="s">
        <v>47</v>
      </c>
      <c r="AH498" s="191" t="s">
        <v>44</v>
      </c>
      <c r="AI498" s="191" t="s">
        <v>134</v>
      </c>
      <c r="AJ498" s="191" t="s">
        <v>36</v>
      </c>
      <c r="AK498" s="191" t="s">
        <v>59</v>
      </c>
      <c r="AL498" s="191" t="s">
        <v>44</v>
      </c>
      <c r="AM498" s="191" t="s">
        <v>1242</v>
      </c>
      <c r="AN498" s="191" t="s">
        <v>44</v>
      </c>
      <c r="AO498" s="191" t="s">
        <v>44</v>
      </c>
      <c r="AP498" s="191" t="s">
        <v>44</v>
      </c>
    </row>
    <row r="499" spans="1:42" ht="43.5">
      <c r="A499" s="191" t="s">
        <v>1834</v>
      </c>
      <c r="B499" s="190">
        <v>1</v>
      </c>
      <c r="C499" s="190">
        <v>7</v>
      </c>
      <c r="D499" s="190">
        <v>7</v>
      </c>
      <c r="E499" s="191" t="s">
        <v>318</v>
      </c>
      <c r="F499" s="190">
        <v>2</v>
      </c>
      <c r="G499" s="191" t="s">
        <v>53</v>
      </c>
      <c r="H499" s="190">
        <v>1</v>
      </c>
      <c r="I499" s="190">
        <v>125</v>
      </c>
      <c r="J499" s="191" t="s">
        <v>54</v>
      </c>
      <c r="K499" s="191" t="s">
        <v>61</v>
      </c>
      <c r="L499" s="191" t="s">
        <v>36</v>
      </c>
      <c r="M499" s="191" t="s">
        <v>37</v>
      </c>
      <c r="N499" s="191" t="s">
        <v>58</v>
      </c>
      <c r="O499" s="191" t="s">
        <v>39</v>
      </c>
      <c r="P499" s="191" t="s">
        <v>56</v>
      </c>
      <c r="Q499" s="191" t="s">
        <v>77</v>
      </c>
      <c r="R499" s="191" t="s">
        <v>87</v>
      </c>
      <c r="S499" s="191" t="s">
        <v>48</v>
      </c>
      <c r="T499" s="191" t="s">
        <v>44</v>
      </c>
      <c r="U499" s="191" t="s">
        <v>1129</v>
      </c>
      <c r="V499" s="191" t="s">
        <v>1141</v>
      </c>
      <c r="W499" s="191" t="s">
        <v>43</v>
      </c>
      <c r="X499" s="191" t="s">
        <v>44</v>
      </c>
      <c r="Y499" s="191" t="s">
        <v>43</v>
      </c>
      <c r="Z499" s="191" t="s">
        <v>43</v>
      </c>
      <c r="AA499" s="191" t="s">
        <v>62</v>
      </c>
      <c r="AB499" s="191" t="s">
        <v>50</v>
      </c>
      <c r="AC499" s="191" t="s">
        <v>43</v>
      </c>
      <c r="AD499" s="191" t="s">
        <v>72</v>
      </c>
      <c r="AE499" s="191" t="s">
        <v>44</v>
      </c>
      <c r="AF499" s="191" t="s">
        <v>95</v>
      </c>
      <c r="AG499" s="191" t="s">
        <v>47</v>
      </c>
      <c r="AH499" s="191" t="s">
        <v>44</v>
      </c>
      <c r="AI499" s="191" t="s">
        <v>39</v>
      </c>
      <c r="AJ499" s="191" t="s">
        <v>36</v>
      </c>
      <c r="AK499" s="191" t="s">
        <v>63</v>
      </c>
      <c r="AL499" s="191" t="s">
        <v>44</v>
      </c>
      <c r="AM499" s="191" t="s">
        <v>47</v>
      </c>
      <c r="AN499" s="191" t="s">
        <v>44</v>
      </c>
      <c r="AO499" s="191" t="s">
        <v>44</v>
      </c>
      <c r="AP499" s="191" t="s">
        <v>44</v>
      </c>
    </row>
    <row r="500" spans="1:42" ht="29">
      <c r="A500" s="191" t="s">
        <v>1835</v>
      </c>
      <c r="B500" s="190">
        <v>3</v>
      </c>
      <c r="C500" s="190">
        <v>7</v>
      </c>
      <c r="D500" s="190">
        <v>7</v>
      </c>
      <c r="E500" s="191" t="s">
        <v>318</v>
      </c>
      <c r="F500" s="190">
        <v>2</v>
      </c>
      <c r="G500" s="191" t="s">
        <v>33</v>
      </c>
      <c r="H500" s="190">
        <v>1</v>
      </c>
      <c r="I500" s="190">
        <v>100</v>
      </c>
      <c r="J500" s="191" t="s">
        <v>54</v>
      </c>
      <c r="K500" s="191" t="s">
        <v>47</v>
      </c>
      <c r="L500" s="191" t="s">
        <v>36</v>
      </c>
      <c r="M500" s="191" t="s">
        <v>37</v>
      </c>
      <c r="N500" s="191" t="s">
        <v>95</v>
      </c>
      <c r="O500" s="191" t="s">
        <v>39</v>
      </c>
      <c r="P500" s="191" t="s">
        <v>41</v>
      </c>
      <c r="Q500" s="191" t="s">
        <v>76</v>
      </c>
      <c r="R500" s="191" t="s">
        <v>42</v>
      </c>
      <c r="S500" s="191" t="s">
        <v>48</v>
      </c>
      <c r="T500" s="191" t="s">
        <v>44</v>
      </c>
      <c r="U500" s="191" t="s">
        <v>119</v>
      </c>
      <c r="V500" s="191" t="s">
        <v>1144</v>
      </c>
      <c r="W500" s="191" t="s">
        <v>43</v>
      </c>
      <c r="X500" s="191" t="s">
        <v>44</v>
      </c>
      <c r="Y500" s="191" t="s">
        <v>43</v>
      </c>
      <c r="Z500" s="191" t="s">
        <v>43</v>
      </c>
      <c r="AA500" s="191" t="s">
        <v>62</v>
      </c>
      <c r="AB500" s="191" t="s">
        <v>50</v>
      </c>
      <c r="AC500" s="191" t="s">
        <v>47</v>
      </c>
      <c r="AD500" s="191" t="s">
        <v>129</v>
      </c>
      <c r="AE500" s="191" t="s">
        <v>1836</v>
      </c>
      <c r="AF500" s="191" t="s">
        <v>95</v>
      </c>
      <c r="AG500" s="191" t="s">
        <v>43</v>
      </c>
      <c r="AH500" s="191" t="s">
        <v>44</v>
      </c>
      <c r="AI500" s="191" t="s">
        <v>39</v>
      </c>
      <c r="AJ500" s="191" t="s">
        <v>36</v>
      </c>
      <c r="AK500" s="191" t="s">
        <v>59</v>
      </c>
      <c r="AL500" s="191" t="s">
        <v>44</v>
      </c>
      <c r="AM500" s="191" t="s">
        <v>45</v>
      </c>
      <c r="AN500" s="191" t="s">
        <v>44</v>
      </c>
      <c r="AO500" s="191" t="s">
        <v>44</v>
      </c>
      <c r="AP500" s="191" t="s">
        <v>44</v>
      </c>
    </row>
    <row r="501" spans="1:42" ht="43.5">
      <c r="A501" s="191" t="s">
        <v>1837</v>
      </c>
      <c r="B501" s="190">
        <v>3</v>
      </c>
      <c r="C501" s="190">
        <v>7</v>
      </c>
      <c r="D501" s="190">
        <v>7</v>
      </c>
      <c r="E501" s="191" t="s">
        <v>318</v>
      </c>
      <c r="F501" s="190">
        <v>2</v>
      </c>
      <c r="G501" s="191" t="s">
        <v>33</v>
      </c>
      <c r="H501" s="190">
        <v>1</v>
      </c>
      <c r="I501" s="190">
        <v>138</v>
      </c>
      <c r="J501" s="191" t="s">
        <v>54</v>
      </c>
      <c r="K501" s="191" t="s">
        <v>61</v>
      </c>
      <c r="L501" s="191" t="s">
        <v>107</v>
      </c>
      <c r="M501" s="191" t="s">
        <v>37</v>
      </c>
      <c r="N501" s="191" t="s">
        <v>58</v>
      </c>
      <c r="O501" s="191" t="s">
        <v>39</v>
      </c>
      <c r="P501" s="191" t="s">
        <v>41</v>
      </c>
      <c r="Q501" s="191" t="s">
        <v>77</v>
      </c>
      <c r="R501" s="191" t="s">
        <v>42</v>
      </c>
      <c r="S501" s="191" t="s">
        <v>48</v>
      </c>
      <c r="T501" s="191" t="s">
        <v>44</v>
      </c>
      <c r="U501" s="191" t="s">
        <v>117</v>
      </c>
      <c r="V501" s="191" t="s">
        <v>1141</v>
      </c>
      <c r="W501" s="191" t="s">
        <v>46</v>
      </c>
      <c r="X501" s="191" t="s">
        <v>44</v>
      </c>
      <c r="Y501" s="191" t="s">
        <v>43</v>
      </c>
      <c r="Z501" s="191" t="s">
        <v>43</v>
      </c>
      <c r="AA501" s="191" t="s">
        <v>49</v>
      </c>
      <c r="AB501" s="191" t="s">
        <v>36</v>
      </c>
      <c r="AC501" s="191" t="s">
        <v>47</v>
      </c>
      <c r="AD501" s="191" t="s">
        <v>91</v>
      </c>
      <c r="AE501" s="191" t="s">
        <v>44</v>
      </c>
      <c r="AF501" s="191" t="s">
        <v>52</v>
      </c>
      <c r="AG501" s="191" t="s">
        <v>43</v>
      </c>
      <c r="AH501" s="191" t="s">
        <v>44</v>
      </c>
      <c r="AI501" s="191" t="s">
        <v>39</v>
      </c>
      <c r="AJ501" s="191" t="s">
        <v>36</v>
      </c>
      <c r="AK501" s="191" t="s">
        <v>71</v>
      </c>
      <c r="AL501" s="191" t="s">
        <v>44</v>
      </c>
      <c r="AM501" s="191" t="s">
        <v>46</v>
      </c>
      <c r="AN501" s="191" t="s">
        <v>44</v>
      </c>
      <c r="AO501" s="191" t="s">
        <v>1838</v>
      </c>
      <c r="AP501" s="191" t="s">
        <v>1838</v>
      </c>
    </row>
    <row r="502" spans="1:42" ht="29">
      <c r="A502" s="191" t="s">
        <v>1839</v>
      </c>
      <c r="B502" s="190">
        <v>3</v>
      </c>
      <c r="C502" s="190">
        <v>7</v>
      </c>
      <c r="D502" s="190">
        <v>9</v>
      </c>
      <c r="E502" s="191" t="s">
        <v>318</v>
      </c>
      <c r="F502" s="190">
        <v>1</v>
      </c>
      <c r="G502" s="191" t="s">
        <v>79</v>
      </c>
      <c r="H502" s="190">
        <v>1</v>
      </c>
      <c r="I502" s="190">
        <v>60</v>
      </c>
      <c r="J502" s="191" t="s">
        <v>54</v>
      </c>
      <c r="K502" s="191" t="s">
        <v>61</v>
      </c>
      <c r="L502" s="191" t="s">
        <v>36</v>
      </c>
      <c r="M502" s="191" t="s">
        <v>37</v>
      </c>
      <c r="N502" s="191" t="s">
        <v>38</v>
      </c>
      <c r="O502" s="191" t="s">
        <v>288</v>
      </c>
      <c r="P502" s="191" t="s">
        <v>41</v>
      </c>
      <c r="Q502" s="191" t="s">
        <v>89</v>
      </c>
      <c r="R502" s="191" t="s">
        <v>36</v>
      </c>
      <c r="S502" s="191" t="s">
        <v>48</v>
      </c>
      <c r="T502" s="191" t="s">
        <v>44</v>
      </c>
      <c r="U502" s="191" t="s">
        <v>44</v>
      </c>
      <c r="V502" s="191" t="s">
        <v>44</v>
      </c>
      <c r="W502" s="191" t="s">
        <v>47</v>
      </c>
      <c r="X502" s="191" t="s">
        <v>44</v>
      </c>
      <c r="Y502" s="191" t="s">
        <v>61</v>
      </c>
      <c r="Z502" s="191" t="s">
        <v>43</v>
      </c>
      <c r="AA502" s="191" t="s">
        <v>49</v>
      </c>
      <c r="AB502" s="191" t="s">
        <v>50</v>
      </c>
      <c r="AC502" s="191" t="s">
        <v>47</v>
      </c>
      <c r="AD502" s="191" t="s">
        <v>72</v>
      </c>
      <c r="AE502" s="191" t="s">
        <v>44</v>
      </c>
      <c r="AF502" s="191" t="s">
        <v>36</v>
      </c>
      <c r="AG502" s="191" t="s">
        <v>43</v>
      </c>
      <c r="AH502" s="191" t="s">
        <v>44</v>
      </c>
      <c r="AI502" s="191" t="s">
        <v>39</v>
      </c>
      <c r="AJ502" s="191" t="s">
        <v>36</v>
      </c>
      <c r="AK502" s="191" t="s">
        <v>71</v>
      </c>
      <c r="AL502" s="191" t="s">
        <v>44</v>
      </c>
      <c r="AM502" s="191" t="s">
        <v>45</v>
      </c>
      <c r="AN502" s="191" t="s">
        <v>44</v>
      </c>
      <c r="AO502" s="191" t="s">
        <v>44</v>
      </c>
      <c r="AP502" s="191" t="s">
        <v>44</v>
      </c>
    </row>
    <row r="503" spans="1:42" ht="43.5">
      <c r="A503" s="191" t="s">
        <v>1840</v>
      </c>
      <c r="B503" s="190">
        <v>3</v>
      </c>
      <c r="C503" s="190">
        <v>3</v>
      </c>
      <c r="D503" s="190">
        <v>3</v>
      </c>
      <c r="E503" s="191" t="s">
        <v>307</v>
      </c>
      <c r="F503" s="190">
        <v>4</v>
      </c>
      <c r="G503" s="191" t="s">
        <v>79</v>
      </c>
      <c r="H503" s="190">
        <v>1</v>
      </c>
      <c r="I503" s="190">
        <v>133</v>
      </c>
      <c r="J503" s="191" t="s">
        <v>80</v>
      </c>
      <c r="K503" s="191" t="s">
        <v>40</v>
      </c>
      <c r="L503" s="191" t="s">
        <v>103</v>
      </c>
      <c r="M503" s="191" t="s">
        <v>37</v>
      </c>
      <c r="N503" s="191" t="s">
        <v>95</v>
      </c>
      <c r="O503" s="191" t="s">
        <v>288</v>
      </c>
      <c r="P503" s="191" t="s">
        <v>56</v>
      </c>
      <c r="Q503" s="191" t="s">
        <v>78</v>
      </c>
      <c r="R503" s="191" t="s">
        <v>87</v>
      </c>
      <c r="S503" s="191" t="s">
        <v>48</v>
      </c>
      <c r="T503" s="191" t="s">
        <v>44</v>
      </c>
      <c r="U503" s="191" t="s">
        <v>43</v>
      </c>
      <c r="V503" s="191" t="s">
        <v>1141</v>
      </c>
      <c r="W503" s="191" t="s">
        <v>47</v>
      </c>
      <c r="X503" s="191" t="s">
        <v>44</v>
      </c>
      <c r="Y503" s="191" t="s">
        <v>43</v>
      </c>
      <c r="Z503" s="191" t="s">
        <v>43</v>
      </c>
      <c r="AA503" s="191" t="s">
        <v>49</v>
      </c>
      <c r="AB503" s="191" t="s">
        <v>84</v>
      </c>
      <c r="AC503" s="191" t="s">
        <v>43</v>
      </c>
      <c r="AD503" s="191" t="s">
        <v>72</v>
      </c>
      <c r="AE503" s="191" t="s">
        <v>44</v>
      </c>
      <c r="AF503" s="191" t="s">
        <v>95</v>
      </c>
      <c r="AG503" s="191" t="s">
        <v>47</v>
      </c>
      <c r="AH503" s="191" t="s">
        <v>44</v>
      </c>
      <c r="AI503" s="191" t="s">
        <v>39</v>
      </c>
      <c r="AJ503" s="191" t="s">
        <v>36</v>
      </c>
      <c r="AK503" s="191" t="s">
        <v>59</v>
      </c>
      <c r="AL503" s="191" t="s">
        <v>44</v>
      </c>
      <c r="AM503" s="191" t="s">
        <v>1242</v>
      </c>
      <c r="AN503" s="191" t="s">
        <v>44</v>
      </c>
      <c r="AO503" s="191" t="s">
        <v>44</v>
      </c>
      <c r="AP503" s="191" t="s">
        <v>44</v>
      </c>
    </row>
    <row r="504" spans="1:42" ht="43.5">
      <c r="A504" s="191" t="s">
        <v>1841</v>
      </c>
      <c r="B504" s="190">
        <v>3</v>
      </c>
      <c r="C504" s="190">
        <v>3</v>
      </c>
      <c r="D504" s="190">
        <v>2</v>
      </c>
      <c r="E504" s="191" t="s">
        <v>311</v>
      </c>
      <c r="F504" s="190">
        <v>4</v>
      </c>
      <c r="G504" s="191" t="s">
        <v>64</v>
      </c>
      <c r="H504" s="190">
        <v>1</v>
      </c>
      <c r="I504" s="190">
        <v>120</v>
      </c>
      <c r="J504" s="191" t="s">
        <v>54</v>
      </c>
      <c r="K504" s="191" t="s">
        <v>47</v>
      </c>
      <c r="L504" s="191" t="s">
        <v>67</v>
      </c>
      <c r="M504" s="191" t="s">
        <v>37</v>
      </c>
      <c r="N504" s="191" t="s">
        <v>38</v>
      </c>
      <c r="O504" s="191" t="s">
        <v>288</v>
      </c>
      <c r="P504" s="191" t="s">
        <v>66</v>
      </c>
      <c r="Q504" s="191" t="s">
        <v>139</v>
      </c>
      <c r="R504" s="191" t="s">
        <v>42</v>
      </c>
      <c r="S504" s="191" t="s">
        <v>48</v>
      </c>
      <c r="T504" s="191" t="s">
        <v>44</v>
      </c>
      <c r="U504" s="191" t="s">
        <v>43</v>
      </c>
      <c r="V504" s="191" t="s">
        <v>1141</v>
      </c>
      <c r="W504" s="191" t="s">
        <v>47</v>
      </c>
      <c r="X504" s="191" t="s">
        <v>44</v>
      </c>
      <c r="Y504" s="191" t="s">
        <v>45</v>
      </c>
      <c r="Z504" s="191" t="s">
        <v>47</v>
      </c>
      <c r="AA504" s="191" t="s">
        <v>49</v>
      </c>
      <c r="AB504" s="191" t="s">
        <v>84</v>
      </c>
      <c r="AC504" s="191" t="s">
        <v>47</v>
      </c>
      <c r="AD504" s="191" t="s">
        <v>91</v>
      </c>
      <c r="AE504" s="191" t="s">
        <v>44</v>
      </c>
      <c r="AF504" s="191" t="s">
        <v>95</v>
      </c>
      <c r="AG504" s="191" t="s">
        <v>43</v>
      </c>
      <c r="AH504" s="191" t="s">
        <v>44</v>
      </c>
      <c r="AI504" s="191" t="s">
        <v>39</v>
      </c>
      <c r="AJ504" s="191" t="s">
        <v>36</v>
      </c>
      <c r="AK504" s="191" t="s">
        <v>59</v>
      </c>
      <c r="AL504" s="191" t="s">
        <v>1842</v>
      </c>
      <c r="AM504" s="191" t="s">
        <v>45</v>
      </c>
      <c r="AN504" s="191" t="s">
        <v>44</v>
      </c>
      <c r="AO504" s="191" t="s">
        <v>44</v>
      </c>
      <c r="AP504" s="191" t="s">
        <v>44</v>
      </c>
    </row>
    <row r="505" spans="1:42" ht="29">
      <c r="A505" s="191" t="s">
        <v>1843</v>
      </c>
      <c r="B505" s="190">
        <v>3</v>
      </c>
      <c r="C505" s="190">
        <v>7</v>
      </c>
      <c r="D505" s="190">
        <v>7</v>
      </c>
      <c r="E505" s="191" t="s">
        <v>318</v>
      </c>
      <c r="F505" s="190">
        <v>2</v>
      </c>
      <c r="G505" s="191" t="s">
        <v>79</v>
      </c>
      <c r="H505" s="190">
        <v>1</v>
      </c>
      <c r="I505" s="190">
        <v>80</v>
      </c>
      <c r="J505" s="191" t="s">
        <v>34</v>
      </c>
      <c r="K505" s="191" t="s">
        <v>61</v>
      </c>
      <c r="L505" s="191" t="s">
        <v>36</v>
      </c>
      <c r="M505" s="191" t="s">
        <v>37</v>
      </c>
      <c r="N505" s="191" t="s">
        <v>108</v>
      </c>
      <c r="O505" s="191" t="s">
        <v>39</v>
      </c>
      <c r="P505" s="191" t="s">
        <v>41</v>
      </c>
      <c r="Q505" s="191" t="s">
        <v>135</v>
      </c>
      <c r="R505" s="191" t="s">
        <v>42</v>
      </c>
      <c r="S505" s="191" t="s">
        <v>48</v>
      </c>
      <c r="T505" s="191" t="s">
        <v>44</v>
      </c>
      <c r="U505" s="191" t="s">
        <v>119</v>
      </c>
      <c r="V505" s="191" t="s">
        <v>1141</v>
      </c>
      <c r="W505" s="191" t="s">
        <v>43</v>
      </c>
      <c r="X505" s="191" t="s">
        <v>44</v>
      </c>
      <c r="Y505" s="191" t="s">
        <v>43</v>
      </c>
      <c r="Z505" s="191" t="s">
        <v>43</v>
      </c>
      <c r="AA505" s="191" t="s">
        <v>49</v>
      </c>
      <c r="AB505" s="191" t="s">
        <v>84</v>
      </c>
      <c r="AC505" s="191" t="s">
        <v>43</v>
      </c>
      <c r="AD505" s="191" t="s">
        <v>72</v>
      </c>
      <c r="AE505" s="191" t="s">
        <v>44</v>
      </c>
      <c r="AF505" s="191" t="s">
        <v>108</v>
      </c>
      <c r="AG505" s="191" t="s">
        <v>47</v>
      </c>
      <c r="AH505" s="191" t="s">
        <v>44</v>
      </c>
      <c r="AI505" s="191" t="s">
        <v>39</v>
      </c>
      <c r="AJ505" s="191" t="s">
        <v>36</v>
      </c>
      <c r="AK505" s="191" t="s">
        <v>59</v>
      </c>
      <c r="AL505" s="191" t="s">
        <v>44</v>
      </c>
      <c r="AM505" s="191" t="s">
        <v>45</v>
      </c>
      <c r="AN505" s="191" t="s">
        <v>44</v>
      </c>
      <c r="AO505" s="191" t="s">
        <v>44</v>
      </c>
      <c r="AP505" s="191" t="s">
        <v>44</v>
      </c>
    </row>
    <row r="506" spans="1:42" ht="29">
      <c r="A506" s="191" t="s">
        <v>1844</v>
      </c>
      <c r="B506" s="190">
        <v>3</v>
      </c>
      <c r="C506" s="190">
        <v>8</v>
      </c>
      <c r="D506" s="190">
        <v>3</v>
      </c>
      <c r="E506" s="191" t="s">
        <v>311</v>
      </c>
      <c r="F506" s="190">
        <v>4</v>
      </c>
      <c r="G506" s="191" t="s">
        <v>69</v>
      </c>
      <c r="H506" s="190">
        <v>1</v>
      </c>
      <c r="I506" s="190">
        <v>180</v>
      </c>
      <c r="J506" s="191" t="s">
        <v>34</v>
      </c>
      <c r="K506" s="191" t="s">
        <v>45</v>
      </c>
      <c r="L506" s="191" t="s">
        <v>36</v>
      </c>
      <c r="M506" s="191" t="s">
        <v>37</v>
      </c>
      <c r="N506" s="191" t="s">
        <v>58</v>
      </c>
      <c r="O506" s="191" t="s">
        <v>39</v>
      </c>
      <c r="P506" s="191" t="s">
        <v>41</v>
      </c>
      <c r="Q506" s="191" t="s">
        <v>106</v>
      </c>
      <c r="R506" s="191" t="s">
        <v>42</v>
      </c>
      <c r="S506" s="191" t="s">
        <v>48</v>
      </c>
      <c r="T506" s="191" t="s">
        <v>44</v>
      </c>
      <c r="U506" s="191" t="s">
        <v>119</v>
      </c>
      <c r="V506" s="191" t="s">
        <v>1141</v>
      </c>
      <c r="W506" s="191" t="s">
        <v>43</v>
      </c>
      <c r="X506" s="191" t="s">
        <v>44</v>
      </c>
      <c r="Y506" s="191" t="s">
        <v>43</v>
      </c>
      <c r="Z506" s="191" t="s">
        <v>78</v>
      </c>
      <c r="AA506" s="191" t="s">
        <v>49</v>
      </c>
      <c r="AB506" s="191" t="s">
        <v>50</v>
      </c>
      <c r="AC506" s="191" t="s">
        <v>43</v>
      </c>
      <c r="AD506" s="191" t="s">
        <v>72</v>
      </c>
      <c r="AE506" s="191" t="s">
        <v>44</v>
      </c>
      <c r="AF506" s="191" t="s">
        <v>52</v>
      </c>
      <c r="AG506" s="191" t="s">
        <v>47</v>
      </c>
      <c r="AH506" s="191" t="s">
        <v>44</v>
      </c>
      <c r="AI506" s="191" t="s">
        <v>39</v>
      </c>
      <c r="AJ506" s="191" t="s">
        <v>36</v>
      </c>
      <c r="AK506" s="191" t="s">
        <v>59</v>
      </c>
      <c r="AL506" s="191" t="s">
        <v>44</v>
      </c>
      <c r="AM506" s="191" t="s">
        <v>74</v>
      </c>
      <c r="AN506" s="191" t="s">
        <v>44</v>
      </c>
      <c r="AO506" s="191" t="s">
        <v>44</v>
      </c>
      <c r="AP506" s="191" t="s">
        <v>44</v>
      </c>
    </row>
    <row r="507" spans="1:42" ht="29">
      <c r="A507" s="191" t="s">
        <v>1845</v>
      </c>
      <c r="B507" s="190">
        <v>3</v>
      </c>
      <c r="C507" s="190">
        <v>7</v>
      </c>
      <c r="D507" s="190">
        <v>9</v>
      </c>
      <c r="E507" s="191" t="s">
        <v>318</v>
      </c>
      <c r="F507" s="190">
        <v>1</v>
      </c>
      <c r="G507" s="191" t="s">
        <v>79</v>
      </c>
      <c r="H507" s="190">
        <v>1</v>
      </c>
      <c r="I507" s="190">
        <v>110</v>
      </c>
      <c r="J507" s="191" t="s">
        <v>80</v>
      </c>
      <c r="K507" s="191" t="s">
        <v>61</v>
      </c>
      <c r="L507" s="191" t="s">
        <v>36</v>
      </c>
      <c r="M507" s="191" t="s">
        <v>37</v>
      </c>
      <c r="N507" s="191" t="s">
        <v>58</v>
      </c>
      <c r="O507" s="191" t="s">
        <v>288</v>
      </c>
      <c r="P507" s="191" t="s">
        <v>41</v>
      </c>
      <c r="Q507" s="191" t="s">
        <v>135</v>
      </c>
      <c r="R507" s="191" t="s">
        <v>60</v>
      </c>
      <c r="S507" s="191" t="s">
        <v>48</v>
      </c>
      <c r="T507" s="191" t="s">
        <v>44</v>
      </c>
      <c r="U507" s="191" t="s">
        <v>117</v>
      </c>
      <c r="V507" s="191" t="s">
        <v>1141</v>
      </c>
      <c r="W507" s="191" t="s">
        <v>47</v>
      </c>
      <c r="X507" s="191" t="s">
        <v>44</v>
      </c>
      <c r="Y507" s="191" t="s">
        <v>46</v>
      </c>
      <c r="Z507" s="191" t="s">
        <v>43</v>
      </c>
      <c r="AA507" s="191" t="s">
        <v>62</v>
      </c>
      <c r="AB507" s="191" t="s">
        <v>50</v>
      </c>
      <c r="AC507" s="191" t="s">
        <v>47</v>
      </c>
      <c r="AD507" s="191" t="s">
        <v>72</v>
      </c>
      <c r="AE507" s="191" t="s">
        <v>44</v>
      </c>
      <c r="AF507" s="191" t="s">
        <v>95</v>
      </c>
      <c r="AG507" s="191" t="s">
        <v>47</v>
      </c>
      <c r="AH507" s="191" t="s">
        <v>44</v>
      </c>
      <c r="AI507" s="191" t="s">
        <v>39</v>
      </c>
      <c r="AJ507" s="191" t="s">
        <v>36</v>
      </c>
      <c r="AK507" s="191" t="s">
        <v>59</v>
      </c>
      <c r="AL507" s="191" t="s">
        <v>44</v>
      </c>
      <c r="AM507" s="191" t="s">
        <v>45</v>
      </c>
      <c r="AN507" s="191" t="s">
        <v>44</v>
      </c>
      <c r="AO507" s="191" t="s">
        <v>44</v>
      </c>
      <c r="AP507" s="191" t="s">
        <v>44</v>
      </c>
    </row>
    <row r="508" spans="1:42" ht="29">
      <c r="A508" s="191" t="s">
        <v>1846</v>
      </c>
      <c r="B508" s="190">
        <v>3</v>
      </c>
      <c r="C508" s="190">
        <v>7</v>
      </c>
      <c r="D508" s="190">
        <v>7</v>
      </c>
      <c r="E508" s="191" t="s">
        <v>318</v>
      </c>
      <c r="F508" s="190">
        <v>2</v>
      </c>
      <c r="G508" s="191" t="s">
        <v>53</v>
      </c>
      <c r="H508" s="190">
        <v>1</v>
      </c>
      <c r="I508" s="190">
        <v>150</v>
      </c>
      <c r="J508" s="191" t="s">
        <v>54</v>
      </c>
      <c r="K508" s="191" t="s">
        <v>61</v>
      </c>
      <c r="L508" s="191" t="s">
        <v>36</v>
      </c>
      <c r="M508" s="191" t="s">
        <v>37</v>
      </c>
      <c r="N508" s="191" t="s">
        <v>58</v>
      </c>
      <c r="O508" s="191" t="s">
        <v>288</v>
      </c>
      <c r="P508" s="191" t="s">
        <v>41</v>
      </c>
      <c r="Q508" s="191" t="s">
        <v>96</v>
      </c>
      <c r="R508" s="191" t="s">
        <v>42</v>
      </c>
      <c r="S508" s="191" t="s">
        <v>48</v>
      </c>
      <c r="T508" s="191" t="s">
        <v>44</v>
      </c>
      <c r="U508" s="191" t="s">
        <v>117</v>
      </c>
      <c r="V508" s="191" t="s">
        <v>1108</v>
      </c>
      <c r="W508" s="191" t="s">
        <v>47</v>
      </c>
      <c r="X508" s="191" t="s">
        <v>44</v>
      </c>
      <c r="Y508" s="191" t="s">
        <v>47</v>
      </c>
      <c r="Z508" s="191" t="s">
        <v>43</v>
      </c>
      <c r="AA508" s="191" t="s">
        <v>62</v>
      </c>
      <c r="AB508" s="191" t="s">
        <v>50</v>
      </c>
      <c r="AC508" s="191" t="s">
        <v>47</v>
      </c>
      <c r="AD508" s="191" t="s">
        <v>91</v>
      </c>
      <c r="AE508" s="191" t="s">
        <v>44</v>
      </c>
      <c r="AF508" s="191" t="s">
        <v>95</v>
      </c>
      <c r="AG508" s="191" t="s">
        <v>47</v>
      </c>
      <c r="AH508" s="191" t="s">
        <v>44</v>
      </c>
      <c r="AI508" s="191" t="s">
        <v>134</v>
      </c>
      <c r="AJ508" s="191" t="s">
        <v>36</v>
      </c>
      <c r="AK508" s="191" t="s">
        <v>81</v>
      </c>
      <c r="AL508" s="191" t="s">
        <v>44</v>
      </c>
      <c r="AM508" s="191" t="s">
        <v>45</v>
      </c>
      <c r="AN508" s="191" t="s">
        <v>44</v>
      </c>
      <c r="AO508" s="191" t="s">
        <v>44</v>
      </c>
      <c r="AP508" s="191" t="s">
        <v>44</v>
      </c>
    </row>
    <row r="509" spans="1:42" ht="43.5">
      <c r="A509" s="191" t="s">
        <v>1847</v>
      </c>
      <c r="B509" s="190">
        <v>3</v>
      </c>
      <c r="C509" s="190">
        <v>7</v>
      </c>
      <c r="D509" s="190">
        <v>7</v>
      </c>
      <c r="E509" s="191" t="s">
        <v>318</v>
      </c>
      <c r="F509" s="190">
        <v>2</v>
      </c>
      <c r="G509" s="191" t="s">
        <v>75</v>
      </c>
      <c r="H509" s="190">
        <v>1</v>
      </c>
      <c r="I509" s="190">
        <v>100</v>
      </c>
      <c r="J509" s="191" t="s">
        <v>80</v>
      </c>
      <c r="K509" s="191" t="s">
        <v>61</v>
      </c>
      <c r="L509" s="191" t="s">
        <v>36</v>
      </c>
      <c r="M509" s="191" t="s">
        <v>37</v>
      </c>
      <c r="N509" s="191" t="s">
        <v>38</v>
      </c>
      <c r="O509" s="191" t="s">
        <v>288</v>
      </c>
      <c r="P509" s="191" t="s">
        <v>56</v>
      </c>
      <c r="Q509" s="191" t="s">
        <v>43</v>
      </c>
      <c r="R509" s="191" t="s">
        <v>87</v>
      </c>
      <c r="S509" s="191" t="s">
        <v>48</v>
      </c>
      <c r="T509" s="191" t="s">
        <v>44</v>
      </c>
      <c r="U509" s="191" t="s">
        <v>1127</v>
      </c>
      <c r="V509" s="191" t="s">
        <v>1141</v>
      </c>
      <c r="W509" s="191" t="s">
        <v>43</v>
      </c>
      <c r="X509" s="191" t="s">
        <v>44</v>
      </c>
      <c r="Y509" s="191" t="s">
        <v>43</v>
      </c>
      <c r="Z509" s="191" t="s">
        <v>43</v>
      </c>
      <c r="AA509" s="191" t="s">
        <v>62</v>
      </c>
      <c r="AB509" s="191" t="s">
        <v>50</v>
      </c>
      <c r="AC509" s="191" t="s">
        <v>43</v>
      </c>
      <c r="AD509" s="191" t="s">
        <v>51</v>
      </c>
      <c r="AE509" s="191" t="s">
        <v>44</v>
      </c>
      <c r="AF509" s="191" t="s">
        <v>52</v>
      </c>
      <c r="AG509" s="191" t="s">
        <v>47</v>
      </c>
      <c r="AH509" s="191" t="s">
        <v>44</v>
      </c>
      <c r="AI509" s="191" t="s">
        <v>134</v>
      </c>
      <c r="AJ509" s="191" t="s">
        <v>36</v>
      </c>
      <c r="AK509" s="191" t="s">
        <v>59</v>
      </c>
      <c r="AL509" s="191" t="s">
        <v>44</v>
      </c>
      <c r="AM509" s="191" t="s">
        <v>45</v>
      </c>
      <c r="AN509" s="191" t="s">
        <v>44</v>
      </c>
      <c r="AO509" s="191" t="s">
        <v>44</v>
      </c>
      <c r="AP509" s="191" t="s">
        <v>44</v>
      </c>
    </row>
    <row r="510" spans="1:42" ht="43.5">
      <c r="A510" s="191" t="s">
        <v>1848</v>
      </c>
      <c r="B510" s="190">
        <v>3</v>
      </c>
      <c r="C510" s="190">
        <v>7</v>
      </c>
      <c r="D510" s="190">
        <v>7</v>
      </c>
      <c r="E510" s="191" t="s">
        <v>318</v>
      </c>
      <c r="F510" s="190">
        <v>2</v>
      </c>
      <c r="G510" s="191" t="s">
        <v>69</v>
      </c>
      <c r="H510" s="190">
        <v>1</v>
      </c>
      <c r="I510" s="190">
        <v>85</v>
      </c>
      <c r="J510" s="191" t="s">
        <v>54</v>
      </c>
      <c r="K510" s="191" t="s">
        <v>61</v>
      </c>
      <c r="L510" s="191" t="s">
        <v>36</v>
      </c>
      <c r="M510" s="191" t="s">
        <v>37</v>
      </c>
      <c r="N510" s="191" t="s">
        <v>38</v>
      </c>
      <c r="O510" s="191" t="s">
        <v>288</v>
      </c>
      <c r="P510" s="191" t="s">
        <v>56</v>
      </c>
      <c r="Q510" s="191" t="s">
        <v>135</v>
      </c>
      <c r="R510" s="191" t="s">
        <v>42</v>
      </c>
      <c r="S510" s="191" t="s">
        <v>48</v>
      </c>
      <c r="T510" s="191" t="s">
        <v>44</v>
      </c>
      <c r="U510" s="191" t="s">
        <v>43</v>
      </c>
      <c r="V510" s="191" t="s">
        <v>1141</v>
      </c>
      <c r="W510" s="191" t="s">
        <v>43</v>
      </c>
      <c r="X510" s="191" t="s">
        <v>44</v>
      </c>
      <c r="Y510" s="191" t="s">
        <v>61</v>
      </c>
      <c r="Z510" s="191" t="s">
        <v>47</v>
      </c>
      <c r="AA510" s="191" t="s">
        <v>49</v>
      </c>
      <c r="AB510" s="191" t="s">
        <v>50</v>
      </c>
      <c r="AC510" s="191" t="s">
        <v>43</v>
      </c>
      <c r="AD510" s="191" t="s">
        <v>72</v>
      </c>
      <c r="AE510" s="191" t="s">
        <v>44</v>
      </c>
      <c r="AF510" s="191" t="s">
        <v>52</v>
      </c>
      <c r="AG510" s="191" t="s">
        <v>47</v>
      </c>
      <c r="AH510" s="191" t="s">
        <v>44</v>
      </c>
      <c r="AI510" s="191" t="s">
        <v>39</v>
      </c>
      <c r="AJ510" s="191" t="s">
        <v>36</v>
      </c>
      <c r="AK510" s="191" t="s">
        <v>73</v>
      </c>
      <c r="AL510" s="191" t="s">
        <v>44</v>
      </c>
      <c r="AM510" s="191" t="s">
        <v>45</v>
      </c>
      <c r="AN510" s="191" t="s">
        <v>44</v>
      </c>
      <c r="AO510" s="191" t="s">
        <v>44</v>
      </c>
      <c r="AP510" s="191" t="s">
        <v>44</v>
      </c>
    </row>
    <row r="511" spans="1:42" ht="29">
      <c r="A511" s="191" t="s">
        <v>1849</v>
      </c>
      <c r="B511" s="190">
        <v>3</v>
      </c>
      <c r="C511" s="190">
        <v>3</v>
      </c>
      <c r="D511" s="190">
        <v>9</v>
      </c>
      <c r="E511" s="191" t="s">
        <v>315</v>
      </c>
      <c r="F511" s="190">
        <v>3</v>
      </c>
      <c r="G511" s="191" t="s">
        <v>94</v>
      </c>
      <c r="H511" s="190">
        <v>1</v>
      </c>
      <c r="I511" s="190">
        <v>90</v>
      </c>
      <c r="J511" s="191" t="s">
        <v>34</v>
      </c>
      <c r="K511" s="191" t="s">
        <v>81</v>
      </c>
      <c r="L511" s="191" t="s">
        <v>36</v>
      </c>
      <c r="M511" s="191" t="s">
        <v>37</v>
      </c>
      <c r="N511" s="191" t="s">
        <v>58</v>
      </c>
      <c r="O511" s="191" t="s">
        <v>288</v>
      </c>
      <c r="P511" s="191" t="s">
        <v>102</v>
      </c>
      <c r="Q511" s="191" t="s">
        <v>43</v>
      </c>
      <c r="R511" s="191" t="s">
        <v>42</v>
      </c>
      <c r="S511" s="191" t="s">
        <v>48</v>
      </c>
      <c r="T511" s="191" t="s">
        <v>44</v>
      </c>
      <c r="U511" s="191" t="s">
        <v>1150</v>
      </c>
      <c r="V511" s="191" t="s">
        <v>44</v>
      </c>
      <c r="W511" s="191" t="s">
        <v>43</v>
      </c>
      <c r="X511" s="191" t="s">
        <v>44</v>
      </c>
      <c r="Y511" s="191" t="s">
        <v>45</v>
      </c>
      <c r="Z511" s="191" t="s">
        <v>43</v>
      </c>
      <c r="AA511" s="191" t="s">
        <v>49</v>
      </c>
      <c r="AB511" s="191" t="s">
        <v>50</v>
      </c>
      <c r="AC511" s="191" t="s">
        <v>43</v>
      </c>
      <c r="AD511" s="191" t="s">
        <v>72</v>
      </c>
      <c r="AE511" s="191" t="s">
        <v>44</v>
      </c>
      <c r="AF511" s="191" t="s">
        <v>95</v>
      </c>
      <c r="AG511" s="191" t="s">
        <v>43</v>
      </c>
      <c r="AH511" s="191" t="s">
        <v>44</v>
      </c>
      <c r="AI511" s="191" t="s">
        <v>39</v>
      </c>
      <c r="AJ511" s="191" t="s">
        <v>36</v>
      </c>
      <c r="AK511" s="191" t="s">
        <v>59</v>
      </c>
      <c r="AL511" s="191" t="s">
        <v>44</v>
      </c>
      <c r="AM511" s="191" t="s">
        <v>111</v>
      </c>
      <c r="AN511" s="191" t="s">
        <v>44</v>
      </c>
      <c r="AO511" s="191" t="s">
        <v>44</v>
      </c>
      <c r="AP511" s="191" t="s">
        <v>44</v>
      </c>
    </row>
    <row r="512" spans="1:42" ht="29">
      <c r="A512" s="191" t="s">
        <v>1850</v>
      </c>
      <c r="B512" s="190">
        <v>3</v>
      </c>
      <c r="C512" s="190">
        <v>7</v>
      </c>
      <c r="D512" s="190">
        <v>9</v>
      </c>
      <c r="E512" s="191" t="s">
        <v>318</v>
      </c>
      <c r="F512" s="190">
        <v>1</v>
      </c>
      <c r="G512" s="191" t="s">
        <v>79</v>
      </c>
      <c r="H512" s="190">
        <v>1</v>
      </c>
      <c r="I512" s="190">
        <v>85</v>
      </c>
      <c r="J512" s="191" t="s">
        <v>54</v>
      </c>
      <c r="K512" s="191" t="s">
        <v>61</v>
      </c>
      <c r="L512" s="191" t="s">
        <v>36</v>
      </c>
      <c r="M512" s="191" t="s">
        <v>37</v>
      </c>
      <c r="N512" s="191" t="s">
        <v>58</v>
      </c>
      <c r="O512" s="191" t="s">
        <v>288</v>
      </c>
      <c r="P512" s="191" t="s">
        <v>41</v>
      </c>
      <c r="Q512" s="191" t="s">
        <v>40</v>
      </c>
      <c r="R512" s="191" t="s">
        <v>60</v>
      </c>
      <c r="S512" s="191" t="s">
        <v>48</v>
      </c>
      <c r="T512" s="191" t="s">
        <v>44</v>
      </c>
      <c r="U512" s="191" t="s">
        <v>45</v>
      </c>
      <c r="V512" s="191" t="s">
        <v>1141</v>
      </c>
      <c r="W512" s="191" t="s">
        <v>43</v>
      </c>
      <c r="X512" s="191" t="s">
        <v>44</v>
      </c>
      <c r="Y512" s="191" t="s">
        <v>45</v>
      </c>
      <c r="Z512" s="191" t="s">
        <v>43</v>
      </c>
      <c r="AA512" s="191" t="s">
        <v>62</v>
      </c>
      <c r="AB512" s="191" t="s">
        <v>50</v>
      </c>
      <c r="AC512" s="191" t="s">
        <v>43</v>
      </c>
      <c r="AD512" s="191" t="s">
        <v>72</v>
      </c>
      <c r="AE512" s="191" t="s">
        <v>44</v>
      </c>
      <c r="AF512" s="191" t="s">
        <v>95</v>
      </c>
      <c r="AG512" s="191" t="s">
        <v>47</v>
      </c>
      <c r="AH512" s="191" t="s">
        <v>44</v>
      </c>
      <c r="AI512" s="191" t="s">
        <v>134</v>
      </c>
      <c r="AJ512" s="191" t="s">
        <v>36</v>
      </c>
      <c r="AK512" s="191" t="s">
        <v>40</v>
      </c>
      <c r="AL512" s="191" t="s">
        <v>44</v>
      </c>
      <c r="AM512" s="191" t="s">
        <v>89</v>
      </c>
      <c r="AN512" s="191" t="s">
        <v>44</v>
      </c>
      <c r="AO512" s="191" t="s">
        <v>44</v>
      </c>
      <c r="AP512" s="191" t="s">
        <v>44</v>
      </c>
    </row>
    <row r="513" spans="1:42" ht="29">
      <c r="A513" s="191" t="s">
        <v>1851</v>
      </c>
      <c r="B513" s="190">
        <v>3</v>
      </c>
      <c r="C513" s="190">
        <v>2</v>
      </c>
      <c r="D513" s="190">
        <v>3</v>
      </c>
      <c r="E513" s="191" t="s">
        <v>307</v>
      </c>
      <c r="F513" s="190">
        <v>2</v>
      </c>
      <c r="G513" s="191" t="s">
        <v>94</v>
      </c>
      <c r="H513" s="190">
        <v>1</v>
      </c>
      <c r="I513" s="190">
        <v>100</v>
      </c>
      <c r="J513" s="191" t="s">
        <v>65</v>
      </c>
      <c r="K513" s="191" t="s">
        <v>81</v>
      </c>
      <c r="L513" s="191" t="s">
        <v>107</v>
      </c>
      <c r="M513" s="191" t="s">
        <v>37</v>
      </c>
      <c r="N513" s="191" t="s">
        <v>58</v>
      </c>
      <c r="O513" s="191" t="s">
        <v>99</v>
      </c>
      <c r="P513" s="191" t="s">
        <v>102</v>
      </c>
      <c r="Q513" s="191" t="s">
        <v>61</v>
      </c>
      <c r="R513" s="191" t="s">
        <v>87</v>
      </c>
      <c r="S513" s="191" t="s">
        <v>48</v>
      </c>
      <c r="T513" s="191" t="s">
        <v>44</v>
      </c>
      <c r="U513" s="191" t="s">
        <v>1147</v>
      </c>
      <c r="V513" s="191" t="s">
        <v>44</v>
      </c>
      <c r="W513" s="191" t="s">
        <v>43</v>
      </c>
      <c r="X513" s="191" t="s">
        <v>44</v>
      </c>
      <c r="Y513" s="191" t="s">
        <v>45</v>
      </c>
      <c r="Z513" s="191" t="s">
        <v>43</v>
      </c>
      <c r="AA513" s="191" t="s">
        <v>67</v>
      </c>
      <c r="AB513" s="191" t="s">
        <v>67</v>
      </c>
      <c r="AC513" s="191" t="s">
        <v>43</v>
      </c>
      <c r="AD513" s="191" t="s">
        <v>72</v>
      </c>
      <c r="AE513" s="191" t="s">
        <v>44</v>
      </c>
      <c r="AF513" s="191" t="s">
        <v>95</v>
      </c>
      <c r="AG513" s="191" t="s">
        <v>78</v>
      </c>
      <c r="AH513" s="191" t="s">
        <v>44</v>
      </c>
      <c r="AI513" s="191" t="s">
        <v>39</v>
      </c>
      <c r="AJ513" s="191" t="s">
        <v>36</v>
      </c>
      <c r="AK513" s="191" t="s">
        <v>71</v>
      </c>
      <c r="AL513" s="191" t="s">
        <v>44</v>
      </c>
      <c r="AM513" s="191" t="s">
        <v>47</v>
      </c>
      <c r="AN513" s="191" t="s">
        <v>44</v>
      </c>
      <c r="AO513" s="191" t="s">
        <v>44</v>
      </c>
      <c r="AP513" s="191" t="s">
        <v>44</v>
      </c>
    </row>
    <row r="514" spans="1:42" ht="29">
      <c r="A514" s="191" t="s">
        <v>1852</v>
      </c>
      <c r="B514" s="190">
        <v>3</v>
      </c>
      <c r="C514" s="190">
        <v>6</v>
      </c>
      <c r="D514" s="190">
        <v>6</v>
      </c>
      <c r="E514" s="191" t="s">
        <v>311</v>
      </c>
      <c r="F514" s="190">
        <v>5</v>
      </c>
      <c r="G514" s="191" t="s">
        <v>75</v>
      </c>
      <c r="H514" s="190">
        <v>1</v>
      </c>
      <c r="I514" s="190">
        <v>173</v>
      </c>
      <c r="J514" s="191" t="s">
        <v>80</v>
      </c>
      <c r="K514" s="191" t="s">
        <v>71</v>
      </c>
      <c r="L514" s="191" t="s">
        <v>36</v>
      </c>
      <c r="M514" s="191" t="s">
        <v>37</v>
      </c>
      <c r="N514" s="191" t="s">
        <v>58</v>
      </c>
      <c r="O514" s="191" t="s">
        <v>99</v>
      </c>
      <c r="P514" s="191" t="s">
        <v>102</v>
      </c>
      <c r="Q514" s="191" t="s">
        <v>61</v>
      </c>
      <c r="R514" s="191" t="s">
        <v>60</v>
      </c>
      <c r="S514" s="191" t="s">
        <v>48</v>
      </c>
      <c r="T514" s="191" t="s">
        <v>44</v>
      </c>
      <c r="U514" s="191" t="s">
        <v>47</v>
      </c>
      <c r="V514" s="191" t="s">
        <v>339</v>
      </c>
      <c r="W514" s="191" t="s">
        <v>46</v>
      </c>
      <c r="X514" s="191" t="s">
        <v>44</v>
      </c>
      <c r="Y514" s="191" t="s">
        <v>45</v>
      </c>
      <c r="Z514" s="191" t="s">
        <v>46</v>
      </c>
      <c r="AA514" s="191" t="s">
        <v>36</v>
      </c>
      <c r="AB514" s="191" t="s">
        <v>50</v>
      </c>
      <c r="AC514" s="191" t="s">
        <v>43</v>
      </c>
      <c r="AD514" s="191" t="s">
        <v>72</v>
      </c>
      <c r="AE514" s="191" t="s">
        <v>44</v>
      </c>
      <c r="AF514" s="191" t="s">
        <v>95</v>
      </c>
      <c r="AG514" s="191" t="s">
        <v>47</v>
      </c>
      <c r="AH514" s="191" t="s">
        <v>44</v>
      </c>
      <c r="AI514" s="191" t="s">
        <v>39</v>
      </c>
      <c r="AJ514" s="191" t="s">
        <v>36</v>
      </c>
      <c r="AK514" s="191" t="s">
        <v>45</v>
      </c>
      <c r="AL514" s="191" t="s">
        <v>44</v>
      </c>
      <c r="AM514" s="191" t="s">
        <v>45</v>
      </c>
      <c r="AN514" s="191" t="s">
        <v>44</v>
      </c>
      <c r="AO514" s="191" t="s">
        <v>44</v>
      </c>
      <c r="AP514" s="191" t="s">
        <v>44</v>
      </c>
    </row>
    <row r="515" spans="1:42" ht="43.5">
      <c r="A515" s="191" t="s">
        <v>1853</v>
      </c>
      <c r="B515" s="190">
        <v>3</v>
      </c>
      <c r="C515" s="190">
        <v>7</v>
      </c>
      <c r="D515" s="190">
        <v>7</v>
      </c>
      <c r="E515" s="191" t="s">
        <v>318</v>
      </c>
      <c r="F515" s="190">
        <v>2</v>
      </c>
      <c r="G515" s="191" t="s">
        <v>69</v>
      </c>
      <c r="H515" s="190">
        <v>1</v>
      </c>
      <c r="I515" s="190">
        <v>110</v>
      </c>
      <c r="J515" s="191" t="s">
        <v>54</v>
      </c>
      <c r="K515" s="191" t="s">
        <v>61</v>
      </c>
      <c r="L515" s="191" t="s">
        <v>36</v>
      </c>
      <c r="M515" s="191" t="s">
        <v>37</v>
      </c>
      <c r="N515" s="191" t="s">
        <v>38</v>
      </c>
      <c r="O515" s="191" t="s">
        <v>288</v>
      </c>
      <c r="P515" s="191" t="s">
        <v>56</v>
      </c>
      <c r="Q515" s="191" t="s">
        <v>90</v>
      </c>
      <c r="R515" s="191" t="s">
        <v>42</v>
      </c>
      <c r="S515" s="191" t="s">
        <v>133</v>
      </c>
      <c r="T515" s="191" t="s">
        <v>1854</v>
      </c>
      <c r="U515" s="191" t="s">
        <v>61</v>
      </c>
      <c r="V515" s="191" t="s">
        <v>1141</v>
      </c>
      <c r="W515" s="191" t="s">
        <v>47</v>
      </c>
      <c r="X515" s="191" t="s">
        <v>44</v>
      </c>
      <c r="Y515" s="191" t="s">
        <v>61</v>
      </c>
      <c r="Z515" s="191" t="s">
        <v>78</v>
      </c>
      <c r="AA515" s="191" t="s">
        <v>62</v>
      </c>
      <c r="AB515" s="191" t="s">
        <v>84</v>
      </c>
      <c r="AC515" s="191" t="s">
        <v>47</v>
      </c>
      <c r="AD515" s="191" t="s">
        <v>72</v>
      </c>
      <c r="AE515" s="191" t="s">
        <v>44</v>
      </c>
      <c r="AF515" s="191" t="s">
        <v>52</v>
      </c>
      <c r="AG515" s="191" t="s">
        <v>47</v>
      </c>
      <c r="AH515" s="191" t="s">
        <v>44</v>
      </c>
      <c r="AI515" s="191" t="s">
        <v>39</v>
      </c>
      <c r="AJ515" s="191" t="s">
        <v>36</v>
      </c>
      <c r="AK515" s="191" t="s">
        <v>59</v>
      </c>
      <c r="AL515" s="191" t="s">
        <v>44</v>
      </c>
      <c r="AM515" s="191" t="s">
        <v>45</v>
      </c>
      <c r="AN515" s="191" t="s">
        <v>44</v>
      </c>
      <c r="AO515" s="191" t="s">
        <v>44</v>
      </c>
      <c r="AP515" s="191" t="s">
        <v>44</v>
      </c>
    </row>
    <row r="516" spans="1:42" ht="29">
      <c r="A516" s="191" t="s">
        <v>1855</v>
      </c>
      <c r="B516" s="190">
        <v>3</v>
      </c>
      <c r="C516" s="190">
        <v>5</v>
      </c>
      <c r="D516" s="190">
        <v>9</v>
      </c>
      <c r="E516" s="191" t="s">
        <v>315</v>
      </c>
      <c r="F516" s="190">
        <v>1</v>
      </c>
      <c r="G516" s="191" t="s">
        <v>97</v>
      </c>
      <c r="H516" s="190">
        <v>1</v>
      </c>
      <c r="I516" s="190">
        <v>150</v>
      </c>
      <c r="J516" s="191" t="s">
        <v>54</v>
      </c>
      <c r="K516" s="191" t="s">
        <v>81</v>
      </c>
      <c r="L516" s="191" t="s">
        <v>36</v>
      </c>
      <c r="M516" s="191" t="s">
        <v>37</v>
      </c>
      <c r="N516" s="191" t="s">
        <v>58</v>
      </c>
      <c r="O516" s="191" t="s">
        <v>288</v>
      </c>
      <c r="P516" s="191" t="s">
        <v>98</v>
      </c>
      <c r="Q516" s="191" t="s">
        <v>106</v>
      </c>
      <c r="R516" s="191" t="s">
        <v>42</v>
      </c>
      <c r="S516" s="191" t="s">
        <v>48</v>
      </c>
      <c r="T516" s="191" t="s">
        <v>44</v>
      </c>
      <c r="U516" s="191" t="s">
        <v>47</v>
      </c>
      <c r="V516" s="191" t="s">
        <v>1108</v>
      </c>
      <c r="W516" s="191" t="s">
        <v>47</v>
      </c>
      <c r="X516" s="191" t="s">
        <v>44</v>
      </c>
      <c r="Y516" s="191" t="s">
        <v>45</v>
      </c>
      <c r="Z516" s="191" t="s">
        <v>78</v>
      </c>
      <c r="AA516" s="191" t="s">
        <v>62</v>
      </c>
      <c r="AB516" s="191" t="s">
        <v>84</v>
      </c>
      <c r="AC516" s="191" t="s">
        <v>43</v>
      </c>
      <c r="AD516" s="191" t="s">
        <v>51</v>
      </c>
      <c r="AE516" s="191" t="s">
        <v>44</v>
      </c>
      <c r="AF516" s="191" t="s">
        <v>95</v>
      </c>
      <c r="AG516" s="191" t="s">
        <v>47</v>
      </c>
      <c r="AH516" s="191" t="s">
        <v>44</v>
      </c>
      <c r="AI516" s="191" t="s">
        <v>134</v>
      </c>
      <c r="AJ516" s="191" t="s">
        <v>36</v>
      </c>
      <c r="AK516" s="191" t="s">
        <v>73</v>
      </c>
      <c r="AL516" s="191" t="s">
        <v>44</v>
      </c>
      <c r="AM516" s="191" t="s">
        <v>89</v>
      </c>
      <c r="AN516" s="191" t="s">
        <v>44</v>
      </c>
      <c r="AO516" s="191" t="s">
        <v>44</v>
      </c>
      <c r="AP516" s="191" t="s">
        <v>44</v>
      </c>
    </row>
    <row r="517" spans="1:42" ht="43.5">
      <c r="A517" s="191" t="s">
        <v>1856</v>
      </c>
      <c r="B517" s="190">
        <v>3</v>
      </c>
      <c r="C517" s="190">
        <v>7</v>
      </c>
      <c r="D517" s="190">
        <v>7</v>
      </c>
      <c r="E517" s="191" t="s">
        <v>318</v>
      </c>
      <c r="F517" s="190">
        <v>2</v>
      </c>
      <c r="G517" s="191" t="s">
        <v>53</v>
      </c>
      <c r="H517" s="190">
        <v>1</v>
      </c>
      <c r="I517" s="190">
        <v>120</v>
      </c>
      <c r="J517" s="191" t="s">
        <v>54</v>
      </c>
      <c r="K517" s="191" t="s">
        <v>46</v>
      </c>
      <c r="L517" s="191" t="s">
        <v>36</v>
      </c>
      <c r="M517" s="191" t="s">
        <v>37</v>
      </c>
      <c r="N517" s="191" t="s">
        <v>38</v>
      </c>
      <c r="O517" s="191" t="s">
        <v>288</v>
      </c>
      <c r="P517" s="191" t="s">
        <v>56</v>
      </c>
      <c r="Q517" s="191" t="s">
        <v>88</v>
      </c>
      <c r="R517" s="191" t="s">
        <v>42</v>
      </c>
      <c r="S517" s="191" t="s">
        <v>48</v>
      </c>
      <c r="T517" s="191" t="s">
        <v>44</v>
      </c>
      <c r="U517" s="191" t="s">
        <v>47</v>
      </c>
      <c r="V517" s="191" t="s">
        <v>1108</v>
      </c>
      <c r="W517" s="191" t="s">
        <v>43</v>
      </c>
      <c r="X517" s="191" t="s">
        <v>44</v>
      </c>
      <c r="Y517" s="191" t="s">
        <v>47</v>
      </c>
      <c r="Z517" s="191" t="s">
        <v>47</v>
      </c>
      <c r="AA517" s="191" t="s">
        <v>62</v>
      </c>
      <c r="AB517" s="191" t="s">
        <v>84</v>
      </c>
      <c r="AC517" s="191" t="s">
        <v>43</v>
      </c>
      <c r="AD517" s="191" t="s">
        <v>72</v>
      </c>
      <c r="AE517" s="191" t="s">
        <v>44</v>
      </c>
      <c r="AF517" s="191" t="s">
        <v>52</v>
      </c>
      <c r="AG517" s="191" t="s">
        <v>47</v>
      </c>
      <c r="AH517" s="191" t="s">
        <v>44</v>
      </c>
      <c r="AI517" s="191" t="s">
        <v>134</v>
      </c>
      <c r="AJ517" s="191" t="s">
        <v>36</v>
      </c>
      <c r="AK517" s="191" t="s">
        <v>109</v>
      </c>
      <c r="AL517" s="191" t="s">
        <v>44</v>
      </c>
      <c r="AM517" s="191" t="s">
        <v>89</v>
      </c>
      <c r="AN517" s="191" t="s">
        <v>44</v>
      </c>
      <c r="AO517" s="191" t="s">
        <v>44</v>
      </c>
      <c r="AP517" s="191" t="s">
        <v>44</v>
      </c>
    </row>
    <row r="518" spans="1:42" ht="43.5">
      <c r="A518" s="191" t="s">
        <v>1857</v>
      </c>
      <c r="B518" s="190">
        <v>3</v>
      </c>
      <c r="C518" s="190">
        <v>7</v>
      </c>
      <c r="D518" s="190">
        <v>7</v>
      </c>
      <c r="E518" s="191" t="s">
        <v>318</v>
      </c>
      <c r="F518" s="190">
        <v>1</v>
      </c>
      <c r="G518" s="191" t="s">
        <v>94</v>
      </c>
      <c r="H518" s="190">
        <v>1</v>
      </c>
      <c r="I518" s="190">
        <v>110</v>
      </c>
      <c r="J518" s="191" t="s">
        <v>54</v>
      </c>
      <c r="K518" s="191" t="s">
        <v>47</v>
      </c>
      <c r="L518" s="191" t="s">
        <v>36</v>
      </c>
      <c r="M518" s="191" t="s">
        <v>37</v>
      </c>
      <c r="N518" s="191" t="s">
        <v>38</v>
      </c>
      <c r="O518" s="191" t="s">
        <v>288</v>
      </c>
      <c r="P518" s="191" t="s">
        <v>56</v>
      </c>
      <c r="Q518" s="191" t="s">
        <v>88</v>
      </c>
      <c r="R518" s="191" t="s">
        <v>42</v>
      </c>
      <c r="S518" s="191" t="s">
        <v>48</v>
      </c>
      <c r="T518" s="191" t="s">
        <v>44</v>
      </c>
      <c r="U518" s="191" t="s">
        <v>46</v>
      </c>
      <c r="V518" s="191" t="s">
        <v>44</v>
      </c>
      <c r="W518" s="191" t="s">
        <v>43</v>
      </c>
      <c r="X518" s="191" t="s">
        <v>44</v>
      </c>
      <c r="Y518" s="191" t="s">
        <v>61</v>
      </c>
      <c r="Z518" s="191" t="s">
        <v>43</v>
      </c>
      <c r="AA518" s="191" t="s">
        <v>49</v>
      </c>
      <c r="AB518" s="191" t="s">
        <v>50</v>
      </c>
      <c r="AC518" s="191" t="s">
        <v>43</v>
      </c>
      <c r="AD518" s="191" t="s">
        <v>72</v>
      </c>
      <c r="AE518" s="191" t="s">
        <v>44</v>
      </c>
      <c r="AF518" s="191" t="s">
        <v>52</v>
      </c>
      <c r="AG518" s="191" t="s">
        <v>47</v>
      </c>
      <c r="AH518" s="191" t="s">
        <v>44</v>
      </c>
      <c r="AI518" s="191" t="s">
        <v>134</v>
      </c>
      <c r="AJ518" s="191" t="s">
        <v>36</v>
      </c>
      <c r="AK518" s="191" t="s">
        <v>59</v>
      </c>
      <c r="AL518" s="191" t="s">
        <v>44</v>
      </c>
      <c r="AM518" s="191" t="s">
        <v>45</v>
      </c>
      <c r="AN518" s="191" t="s">
        <v>44</v>
      </c>
      <c r="AO518" s="191" t="s">
        <v>44</v>
      </c>
      <c r="AP518" s="191" t="s">
        <v>44</v>
      </c>
    </row>
    <row r="519" spans="1:42" ht="43.5">
      <c r="A519" s="191" t="s">
        <v>1858</v>
      </c>
      <c r="B519" s="190">
        <v>3</v>
      </c>
      <c r="C519" s="190">
        <v>7</v>
      </c>
      <c r="D519" s="190">
        <v>9</v>
      </c>
      <c r="E519" s="191" t="s">
        <v>318</v>
      </c>
      <c r="F519" s="190">
        <v>1</v>
      </c>
      <c r="G519" s="191" t="s">
        <v>79</v>
      </c>
      <c r="H519" s="190">
        <v>1</v>
      </c>
      <c r="I519" s="190">
        <v>150</v>
      </c>
      <c r="J519" s="191" t="s">
        <v>54</v>
      </c>
      <c r="K519" s="191" t="s">
        <v>61</v>
      </c>
      <c r="L519" s="191" t="s">
        <v>36</v>
      </c>
      <c r="M519" s="191" t="s">
        <v>37</v>
      </c>
      <c r="N519" s="191" t="s">
        <v>38</v>
      </c>
      <c r="O519" s="191" t="s">
        <v>39</v>
      </c>
      <c r="P519" s="191" t="s">
        <v>56</v>
      </c>
      <c r="Q519" s="191" t="s">
        <v>40</v>
      </c>
      <c r="R519" s="191" t="s">
        <v>42</v>
      </c>
      <c r="S519" s="191" t="s">
        <v>48</v>
      </c>
      <c r="T519" s="191" t="s">
        <v>44</v>
      </c>
      <c r="U519" s="191" t="s">
        <v>1129</v>
      </c>
      <c r="V519" s="191" t="s">
        <v>44</v>
      </c>
      <c r="W519" s="191" t="s">
        <v>40</v>
      </c>
      <c r="X519" s="191" t="s">
        <v>44</v>
      </c>
      <c r="Y519" s="191" t="s">
        <v>45</v>
      </c>
      <c r="Z519" s="191" t="s">
        <v>43</v>
      </c>
      <c r="AA519" s="191" t="s">
        <v>36</v>
      </c>
      <c r="AB519" s="191" t="s">
        <v>50</v>
      </c>
      <c r="AC519" s="191" t="s">
        <v>47</v>
      </c>
      <c r="AD519" s="191" t="s">
        <v>72</v>
      </c>
      <c r="AE519" s="191" t="s">
        <v>44</v>
      </c>
      <c r="AF519" s="191" t="s">
        <v>95</v>
      </c>
      <c r="AG519" s="191" t="s">
        <v>47</v>
      </c>
      <c r="AH519" s="191" t="s">
        <v>44</v>
      </c>
      <c r="AI519" s="191" t="s">
        <v>39</v>
      </c>
      <c r="AJ519" s="191" t="s">
        <v>36</v>
      </c>
      <c r="AK519" s="191" t="s">
        <v>57</v>
      </c>
      <c r="AL519" s="191" t="s">
        <v>44</v>
      </c>
      <c r="AM519" s="191" t="s">
        <v>47</v>
      </c>
      <c r="AN519" s="191" t="s">
        <v>44</v>
      </c>
      <c r="AO519" s="191" t="s">
        <v>44</v>
      </c>
      <c r="AP519" s="191" t="s">
        <v>44</v>
      </c>
    </row>
    <row r="520" spans="1:42" ht="29">
      <c r="A520" s="191" t="s">
        <v>1859</v>
      </c>
      <c r="B520" s="190">
        <v>3</v>
      </c>
      <c r="C520" s="190">
        <v>3</v>
      </c>
      <c r="D520" s="190">
        <v>9</v>
      </c>
      <c r="E520" s="191" t="s">
        <v>307</v>
      </c>
      <c r="F520" s="190">
        <v>1</v>
      </c>
      <c r="G520" s="191" t="s">
        <v>79</v>
      </c>
      <c r="H520" s="190">
        <v>1</v>
      </c>
      <c r="I520" s="190">
        <v>120</v>
      </c>
      <c r="J520" s="191" t="s">
        <v>65</v>
      </c>
      <c r="K520" s="191" t="s">
        <v>47</v>
      </c>
      <c r="L520" s="191" t="s">
        <v>107</v>
      </c>
      <c r="M520" s="191" t="s">
        <v>37</v>
      </c>
      <c r="N520" s="191" t="s">
        <v>95</v>
      </c>
      <c r="O520" s="191" t="s">
        <v>288</v>
      </c>
      <c r="P520" s="191" t="s">
        <v>41</v>
      </c>
      <c r="Q520" s="191" t="s">
        <v>86</v>
      </c>
      <c r="R520" s="191" t="s">
        <v>60</v>
      </c>
      <c r="S520" s="191" t="s">
        <v>48</v>
      </c>
      <c r="T520" s="191" t="s">
        <v>44</v>
      </c>
      <c r="U520" s="191" t="s">
        <v>1860</v>
      </c>
      <c r="V520" s="191" t="s">
        <v>44</v>
      </c>
      <c r="W520" s="191" t="s">
        <v>47</v>
      </c>
      <c r="X520" s="191" t="s">
        <v>44</v>
      </c>
      <c r="Y520" s="191" t="s">
        <v>43</v>
      </c>
      <c r="Z520" s="191" t="s">
        <v>43</v>
      </c>
      <c r="AA520" s="191" t="s">
        <v>62</v>
      </c>
      <c r="AB520" s="191" t="s">
        <v>84</v>
      </c>
      <c r="AC520" s="191" t="s">
        <v>43</v>
      </c>
      <c r="AD520" s="191" t="s">
        <v>72</v>
      </c>
      <c r="AE520" s="191" t="s">
        <v>44</v>
      </c>
      <c r="AF520" s="191" t="s">
        <v>95</v>
      </c>
      <c r="AG520" s="191" t="s">
        <v>47</v>
      </c>
      <c r="AH520" s="191" t="s">
        <v>44</v>
      </c>
      <c r="AI520" s="191" t="s">
        <v>134</v>
      </c>
      <c r="AJ520" s="191" t="s">
        <v>36</v>
      </c>
      <c r="AK520" s="191" t="s">
        <v>35</v>
      </c>
      <c r="AL520" s="191" t="s">
        <v>44</v>
      </c>
      <c r="AM520" s="191" t="s">
        <v>1307</v>
      </c>
      <c r="AN520" s="191" t="s">
        <v>44</v>
      </c>
      <c r="AO520" s="191" t="s">
        <v>44</v>
      </c>
      <c r="AP520" s="191" t="s">
        <v>44</v>
      </c>
    </row>
    <row r="521" spans="1:42" ht="29">
      <c r="A521" s="191" t="s">
        <v>1861</v>
      </c>
      <c r="B521" s="190">
        <v>3</v>
      </c>
      <c r="C521" s="190">
        <v>4</v>
      </c>
      <c r="D521" s="190">
        <v>4</v>
      </c>
      <c r="E521" s="191" t="s">
        <v>315</v>
      </c>
      <c r="F521" s="190">
        <v>4</v>
      </c>
      <c r="G521" s="191" t="s">
        <v>64</v>
      </c>
      <c r="H521" s="190">
        <v>1</v>
      </c>
      <c r="I521" s="190">
        <v>120</v>
      </c>
      <c r="J521" s="191" t="s">
        <v>65</v>
      </c>
      <c r="K521" s="191" t="s">
        <v>61</v>
      </c>
      <c r="L521" s="191" t="s">
        <v>36</v>
      </c>
      <c r="M521" s="191" t="s">
        <v>37</v>
      </c>
      <c r="N521" s="191" t="s">
        <v>58</v>
      </c>
      <c r="O521" s="191" t="s">
        <v>39</v>
      </c>
      <c r="P521" s="191" t="s">
        <v>41</v>
      </c>
      <c r="Q521" s="191" t="s">
        <v>90</v>
      </c>
      <c r="R521" s="191" t="s">
        <v>87</v>
      </c>
      <c r="S521" s="191" t="s">
        <v>48</v>
      </c>
      <c r="T521" s="191" t="s">
        <v>44</v>
      </c>
      <c r="U521" s="191" t="s">
        <v>117</v>
      </c>
      <c r="V521" s="191" t="s">
        <v>1108</v>
      </c>
      <c r="W521" s="191" t="s">
        <v>47</v>
      </c>
      <c r="X521" s="191" t="s">
        <v>44</v>
      </c>
      <c r="Y521" s="191" t="s">
        <v>47</v>
      </c>
      <c r="Z521" s="191" t="s">
        <v>43</v>
      </c>
      <c r="AA521" s="191" t="s">
        <v>62</v>
      </c>
      <c r="AB521" s="191" t="s">
        <v>50</v>
      </c>
      <c r="AC521" s="191" t="s">
        <v>47</v>
      </c>
      <c r="AD521" s="191" t="s">
        <v>91</v>
      </c>
      <c r="AE521" s="191" t="s">
        <v>44</v>
      </c>
      <c r="AF521" s="191" t="s">
        <v>95</v>
      </c>
      <c r="AG521" s="191" t="s">
        <v>47</v>
      </c>
      <c r="AH521" s="191" t="s">
        <v>44</v>
      </c>
      <c r="AI521" s="191" t="s">
        <v>39</v>
      </c>
      <c r="AJ521" s="191" t="s">
        <v>36</v>
      </c>
      <c r="AK521" s="191" t="s">
        <v>59</v>
      </c>
      <c r="AL521" s="191" t="s">
        <v>44</v>
      </c>
      <c r="AM521" s="191" t="s">
        <v>45</v>
      </c>
      <c r="AN521" s="191" t="s">
        <v>44</v>
      </c>
      <c r="AO521" s="191" t="s">
        <v>44</v>
      </c>
      <c r="AP521" s="191" t="s">
        <v>44</v>
      </c>
    </row>
    <row r="522" spans="1:42" ht="29">
      <c r="A522" s="191" t="s">
        <v>1862</v>
      </c>
      <c r="B522" s="190">
        <v>3</v>
      </c>
      <c r="C522" s="190">
        <v>1</v>
      </c>
      <c r="D522" s="190">
        <v>3</v>
      </c>
      <c r="E522" s="191" t="s">
        <v>307</v>
      </c>
      <c r="F522" s="190">
        <v>2</v>
      </c>
      <c r="G522" s="191" t="s">
        <v>79</v>
      </c>
      <c r="H522" s="190">
        <v>1</v>
      </c>
      <c r="I522" s="190">
        <v>150</v>
      </c>
      <c r="J522" s="191" t="s">
        <v>65</v>
      </c>
      <c r="K522" s="191" t="s">
        <v>61</v>
      </c>
      <c r="L522" s="191" t="s">
        <v>36</v>
      </c>
      <c r="M522" s="191" t="s">
        <v>37</v>
      </c>
      <c r="N522" s="191" t="s">
        <v>58</v>
      </c>
      <c r="O522" s="191" t="s">
        <v>288</v>
      </c>
      <c r="P522" s="191" t="s">
        <v>102</v>
      </c>
      <c r="Q522" s="191" t="s">
        <v>43</v>
      </c>
      <c r="R522" s="191" t="s">
        <v>42</v>
      </c>
      <c r="S522" s="191" t="s">
        <v>48</v>
      </c>
      <c r="T522" s="191" t="s">
        <v>44</v>
      </c>
      <c r="U522" s="191" t="s">
        <v>61</v>
      </c>
      <c r="V522" s="191" t="s">
        <v>1141</v>
      </c>
      <c r="W522" s="191" t="s">
        <v>47</v>
      </c>
      <c r="X522" s="191" t="s">
        <v>44</v>
      </c>
      <c r="Y522" s="191" t="s">
        <v>46</v>
      </c>
      <c r="Z522" s="191" t="s">
        <v>47</v>
      </c>
      <c r="AA522" s="191" t="s">
        <v>105</v>
      </c>
      <c r="AB522" s="191" t="s">
        <v>50</v>
      </c>
      <c r="AC522" s="191" t="s">
        <v>43</v>
      </c>
      <c r="AD522" s="191" t="s">
        <v>72</v>
      </c>
      <c r="AE522" s="191" t="s">
        <v>44</v>
      </c>
      <c r="AF522" s="191" t="s">
        <v>95</v>
      </c>
      <c r="AG522" s="191" t="s">
        <v>47</v>
      </c>
      <c r="AH522" s="191" t="s">
        <v>44</v>
      </c>
      <c r="AI522" s="191" t="s">
        <v>39</v>
      </c>
      <c r="AJ522" s="191" t="s">
        <v>36</v>
      </c>
      <c r="AK522" s="191" t="s">
        <v>63</v>
      </c>
      <c r="AL522" s="191" t="s">
        <v>44</v>
      </c>
      <c r="AM522" s="191" t="s">
        <v>46</v>
      </c>
      <c r="AN522" s="191" t="s">
        <v>44</v>
      </c>
      <c r="AO522" s="191" t="s">
        <v>1753</v>
      </c>
      <c r="AP522" s="191" t="s">
        <v>1753</v>
      </c>
    </row>
    <row r="523" spans="1:42" ht="29">
      <c r="A523" s="191" t="s">
        <v>1863</v>
      </c>
      <c r="B523" s="190">
        <v>3</v>
      </c>
      <c r="C523" s="190">
        <v>5</v>
      </c>
      <c r="D523" s="190">
        <v>7</v>
      </c>
      <c r="E523" s="191" t="s">
        <v>315</v>
      </c>
      <c r="F523" s="190">
        <v>2</v>
      </c>
      <c r="G523" s="191" t="s">
        <v>64</v>
      </c>
      <c r="H523" s="190">
        <v>1</v>
      </c>
      <c r="I523" s="190">
        <v>150</v>
      </c>
      <c r="J523" s="191" t="s">
        <v>65</v>
      </c>
      <c r="K523" s="191" t="s">
        <v>81</v>
      </c>
      <c r="L523" s="191" t="s">
        <v>36</v>
      </c>
      <c r="M523" s="191" t="s">
        <v>37</v>
      </c>
      <c r="N523" s="191" t="s">
        <v>38</v>
      </c>
      <c r="O523" s="191" t="s">
        <v>288</v>
      </c>
      <c r="P523" s="191" t="s">
        <v>41</v>
      </c>
      <c r="Q523" s="191" t="s">
        <v>106</v>
      </c>
      <c r="R523" s="191" t="s">
        <v>42</v>
      </c>
      <c r="S523" s="191" t="s">
        <v>48</v>
      </c>
      <c r="T523" s="191" t="s">
        <v>44</v>
      </c>
      <c r="U523" s="191" t="s">
        <v>45</v>
      </c>
      <c r="V523" s="191" t="s">
        <v>1141</v>
      </c>
      <c r="W523" s="191" t="s">
        <v>43</v>
      </c>
      <c r="X523" s="191" t="s">
        <v>44</v>
      </c>
      <c r="Y523" s="191" t="s">
        <v>45</v>
      </c>
      <c r="Z523" s="191" t="s">
        <v>43</v>
      </c>
      <c r="AA523" s="191" t="s">
        <v>62</v>
      </c>
      <c r="AB523" s="191" t="s">
        <v>50</v>
      </c>
      <c r="AC523" s="191" t="s">
        <v>43</v>
      </c>
      <c r="AD523" s="191" t="s">
        <v>72</v>
      </c>
      <c r="AE523" s="191" t="s">
        <v>44</v>
      </c>
      <c r="AF523" s="191" t="s">
        <v>95</v>
      </c>
      <c r="AG523" s="191" t="s">
        <v>47</v>
      </c>
      <c r="AH523" s="191" t="s">
        <v>44</v>
      </c>
      <c r="AI523" s="191" t="s">
        <v>134</v>
      </c>
      <c r="AJ523" s="191" t="s">
        <v>36</v>
      </c>
      <c r="AK523" s="191" t="s">
        <v>73</v>
      </c>
      <c r="AL523" s="191" t="s">
        <v>44</v>
      </c>
      <c r="AM523" s="191" t="s">
        <v>89</v>
      </c>
      <c r="AN523" s="191" t="s">
        <v>44</v>
      </c>
      <c r="AO523" s="191" t="s">
        <v>44</v>
      </c>
      <c r="AP523" s="191" t="s">
        <v>44</v>
      </c>
    </row>
    <row r="524" spans="1:42" ht="29">
      <c r="A524" s="191" t="s">
        <v>1864</v>
      </c>
      <c r="B524" s="190">
        <v>3</v>
      </c>
      <c r="C524" s="190">
        <v>2</v>
      </c>
      <c r="D524" s="190">
        <v>3</v>
      </c>
      <c r="E524" s="191" t="s">
        <v>315</v>
      </c>
      <c r="F524" s="190">
        <v>3</v>
      </c>
      <c r="G524" s="191" t="s">
        <v>97</v>
      </c>
      <c r="H524" s="190">
        <v>1</v>
      </c>
      <c r="I524" s="190">
        <v>150</v>
      </c>
      <c r="J524" s="191" t="s">
        <v>65</v>
      </c>
      <c r="K524" s="191" t="s">
        <v>61</v>
      </c>
      <c r="L524" s="191" t="s">
        <v>36</v>
      </c>
      <c r="M524" s="191" t="s">
        <v>37</v>
      </c>
      <c r="N524" s="191" t="s">
        <v>38</v>
      </c>
      <c r="O524" s="191" t="s">
        <v>99</v>
      </c>
      <c r="P524" s="191" t="s">
        <v>102</v>
      </c>
      <c r="Q524" s="191" t="s">
        <v>46</v>
      </c>
      <c r="R524" s="191" t="s">
        <v>42</v>
      </c>
      <c r="S524" s="191" t="s">
        <v>48</v>
      </c>
      <c r="T524" s="191" t="s">
        <v>44</v>
      </c>
      <c r="U524" s="191" t="s">
        <v>1130</v>
      </c>
      <c r="V524" s="191" t="s">
        <v>339</v>
      </c>
      <c r="W524" s="191" t="s">
        <v>47</v>
      </c>
      <c r="X524" s="191" t="s">
        <v>44</v>
      </c>
      <c r="Y524" s="191" t="s">
        <v>45</v>
      </c>
      <c r="Z524" s="191" t="s">
        <v>43</v>
      </c>
      <c r="AA524" s="191" t="s">
        <v>105</v>
      </c>
      <c r="AB524" s="191" t="s">
        <v>84</v>
      </c>
      <c r="AC524" s="191" t="s">
        <v>43</v>
      </c>
      <c r="AD524" s="191" t="s">
        <v>72</v>
      </c>
      <c r="AE524" s="191" t="s">
        <v>44</v>
      </c>
      <c r="AF524" s="191" t="s">
        <v>95</v>
      </c>
      <c r="AG524" s="191" t="s">
        <v>47</v>
      </c>
      <c r="AH524" s="191" t="s">
        <v>44</v>
      </c>
      <c r="AI524" s="191" t="s">
        <v>134</v>
      </c>
      <c r="AJ524" s="191" t="s">
        <v>36</v>
      </c>
      <c r="AK524" s="191" t="s">
        <v>43</v>
      </c>
      <c r="AL524" s="191" t="s">
        <v>44</v>
      </c>
      <c r="AM524" s="191" t="s">
        <v>1242</v>
      </c>
      <c r="AN524" s="191" t="s">
        <v>44</v>
      </c>
      <c r="AO524" s="191" t="s">
        <v>44</v>
      </c>
      <c r="AP524" s="191" t="s">
        <v>44</v>
      </c>
    </row>
    <row r="525" spans="1:42" ht="43.5">
      <c r="A525" s="191" t="s">
        <v>1865</v>
      </c>
      <c r="B525" s="190">
        <v>3</v>
      </c>
      <c r="C525" s="190">
        <v>7</v>
      </c>
      <c r="D525" s="190">
        <v>7</v>
      </c>
      <c r="E525" s="191" t="s">
        <v>315</v>
      </c>
      <c r="F525" s="190">
        <v>2</v>
      </c>
      <c r="G525" s="191" t="s">
        <v>79</v>
      </c>
      <c r="H525" s="190">
        <v>1</v>
      </c>
      <c r="I525" s="190">
        <v>60</v>
      </c>
      <c r="J525" s="191" t="s">
        <v>34</v>
      </c>
      <c r="K525" s="191" t="s">
        <v>61</v>
      </c>
      <c r="L525" s="191" t="s">
        <v>36</v>
      </c>
      <c r="M525" s="191" t="s">
        <v>37</v>
      </c>
      <c r="N525" s="191" t="s">
        <v>95</v>
      </c>
      <c r="O525" s="191" t="s">
        <v>39</v>
      </c>
      <c r="P525" s="191" t="s">
        <v>41</v>
      </c>
      <c r="Q525" s="191" t="s">
        <v>35</v>
      </c>
      <c r="R525" s="191" t="s">
        <v>87</v>
      </c>
      <c r="S525" s="191" t="s">
        <v>133</v>
      </c>
      <c r="T525" s="191" t="s">
        <v>1866</v>
      </c>
      <c r="U525" s="191" t="s">
        <v>117</v>
      </c>
      <c r="V525" s="191" t="s">
        <v>1108</v>
      </c>
      <c r="W525" s="191" t="s">
        <v>47</v>
      </c>
      <c r="X525" s="191" t="s">
        <v>44</v>
      </c>
      <c r="Y525" s="191" t="s">
        <v>45</v>
      </c>
      <c r="Z525" s="191" t="s">
        <v>43</v>
      </c>
      <c r="AA525" s="191" t="s">
        <v>62</v>
      </c>
      <c r="AB525" s="191" t="s">
        <v>84</v>
      </c>
      <c r="AC525" s="191" t="s">
        <v>47</v>
      </c>
      <c r="AD525" s="191" t="s">
        <v>91</v>
      </c>
      <c r="AE525" s="191" t="s">
        <v>44</v>
      </c>
      <c r="AF525" s="191" t="s">
        <v>95</v>
      </c>
      <c r="AG525" s="191" t="s">
        <v>43</v>
      </c>
      <c r="AH525" s="191" t="s">
        <v>44</v>
      </c>
      <c r="AI525" s="191" t="s">
        <v>39</v>
      </c>
      <c r="AJ525" s="191" t="s">
        <v>36</v>
      </c>
      <c r="AK525" s="191" t="s">
        <v>114</v>
      </c>
      <c r="AL525" s="191" t="s">
        <v>1867</v>
      </c>
      <c r="AM525" s="191" t="s">
        <v>45</v>
      </c>
      <c r="AN525" s="191" t="s">
        <v>44</v>
      </c>
      <c r="AO525" s="191" t="s">
        <v>44</v>
      </c>
      <c r="AP525" s="191" t="s">
        <v>44</v>
      </c>
    </row>
    <row r="526" spans="1:42" ht="43.5">
      <c r="A526" s="191" t="s">
        <v>289</v>
      </c>
      <c r="B526" s="190">
        <v>2</v>
      </c>
      <c r="C526" s="190">
        <v>3</v>
      </c>
      <c r="D526" s="190">
        <v>3</v>
      </c>
      <c r="E526" s="191" t="s">
        <v>311</v>
      </c>
      <c r="F526" s="190">
        <v>3</v>
      </c>
      <c r="G526" s="191" t="s">
        <v>69</v>
      </c>
      <c r="H526" s="190">
        <v>1</v>
      </c>
      <c r="I526" s="190">
        <v>75</v>
      </c>
      <c r="J526" s="191" t="s">
        <v>65</v>
      </c>
      <c r="K526" s="191" t="s">
        <v>61</v>
      </c>
      <c r="L526" s="191" t="s">
        <v>36</v>
      </c>
      <c r="M526" s="191" t="s">
        <v>37</v>
      </c>
      <c r="N526" s="191" t="s">
        <v>95</v>
      </c>
      <c r="O526" s="191" t="s">
        <v>288</v>
      </c>
      <c r="P526" s="191" t="s">
        <v>56</v>
      </c>
      <c r="Q526" s="191" t="s">
        <v>147</v>
      </c>
      <c r="R526" s="191" t="s">
        <v>82</v>
      </c>
      <c r="S526" s="191" t="s">
        <v>48</v>
      </c>
      <c r="T526" s="191" t="s">
        <v>44</v>
      </c>
      <c r="U526" s="191" t="s">
        <v>45</v>
      </c>
      <c r="V526" s="191" t="s">
        <v>355</v>
      </c>
      <c r="W526" s="191" t="s">
        <v>43</v>
      </c>
      <c r="X526" s="191" t="s">
        <v>44</v>
      </c>
      <c r="Y526" s="191" t="s">
        <v>47</v>
      </c>
      <c r="Z526" s="191" t="s">
        <v>43</v>
      </c>
      <c r="AA526" s="191" t="s">
        <v>105</v>
      </c>
      <c r="AB526" s="191" t="s">
        <v>67</v>
      </c>
      <c r="AC526" s="191" t="s">
        <v>43</v>
      </c>
      <c r="AD526" s="191" t="s">
        <v>72</v>
      </c>
      <c r="AE526" s="191" t="s">
        <v>44</v>
      </c>
      <c r="AF526" s="191" t="s">
        <v>95</v>
      </c>
      <c r="AG526" s="191" t="s">
        <v>43</v>
      </c>
      <c r="AH526" s="191" t="s">
        <v>44</v>
      </c>
      <c r="AI526" s="191" t="s">
        <v>36</v>
      </c>
      <c r="AJ526" s="191" t="s">
        <v>36</v>
      </c>
      <c r="AK526" s="191" t="s">
        <v>73</v>
      </c>
      <c r="AL526" s="191" t="s">
        <v>44</v>
      </c>
      <c r="AM526" s="191" t="s">
        <v>45</v>
      </c>
      <c r="AN526" s="191" t="s">
        <v>44</v>
      </c>
      <c r="AO526" s="191" t="s">
        <v>44</v>
      </c>
    </row>
  </sheetData>
  <autoFilter ref="A1:AL526"/>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82"/>
  <sheetViews>
    <sheetView workbookViewId="0"/>
  </sheetViews>
  <sheetFormatPr baseColWidth="10" defaultRowHeight="14.5"/>
  <cols>
    <col min="1" max="1" width="94.26953125" style="195" bestFit="1" customWidth="1"/>
    <col min="2" max="2" width="8.26953125" style="6" bestFit="1" customWidth="1"/>
    <col min="3" max="3" width="64" bestFit="1" customWidth="1"/>
  </cols>
  <sheetData>
    <row r="1" spans="1:3">
      <c r="A1" s="195" t="s">
        <v>1155</v>
      </c>
      <c r="B1" s="6" t="s">
        <v>1156</v>
      </c>
      <c r="C1" s="72" t="s">
        <v>1157</v>
      </c>
    </row>
    <row r="2" spans="1:3">
      <c r="A2" s="196" t="s">
        <v>1098</v>
      </c>
      <c r="B2" s="6">
        <v>1</v>
      </c>
      <c r="C2" s="72" t="s">
        <v>1153</v>
      </c>
    </row>
    <row r="3" spans="1:3">
      <c r="A3" s="196" t="s">
        <v>1098</v>
      </c>
      <c r="B3" s="6">
        <v>2</v>
      </c>
      <c r="C3" s="72" t="s">
        <v>711</v>
      </c>
    </row>
    <row r="4" spans="1:3">
      <c r="A4" s="196" t="s">
        <v>1098</v>
      </c>
      <c r="B4" s="198">
        <v>3</v>
      </c>
      <c r="C4" s="194" t="s">
        <v>1154</v>
      </c>
    </row>
    <row r="5" spans="1:3">
      <c r="A5" s="197" t="s">
        <v>1</v>
      </c>
      <c r="B5" s="6">
        <v>1</v>
      </c>
      <c r="C5" s="72" t="s">
        <v>301</v>
      </c>
    </row>
    <row r="6" spans="1:3">
      <c r="A6" s="197" t="s">
        <v>1</v>
      </c>
      <c r="B6" s="6">
        <v>2</v>
      </c>
      <c r="C6" s="72" t="s">
        <v>1158</v>
      </c>
    </row>
    <row r="7" spans="1:3">
      <c r="A7" s="197" t="s">
        <v>1</v>
      </c>
      <c r="B7" s="6">
        <v>3</v>
      </c>
      <c r="C7" s="72" t="s">
        <v>310</v>
      </c>
    </row>
    <row r="8" spans="1:3">
      <c r="A8" s="197" t="s">
        <v>1</v>
      </c>
      <c r="B8" s="6">
        <v>4</v>
      </c>
      <c r="C8" s="72" t="s">
        <v>314</v>
      </c>
    </row>
    <row r="9" spans="1:3">
      <c r="A9" s="197" t="s">
        <v>1</v>
      </c>
      <c r="B9" s="6">
        <v>5</v>
      </c>
      <c r="C9" s="72" t="s">
        <v>317</v>
      </c>
    </row>
    <row r="10" spans="1:3">
      <c r="A10" s="197" t="s">
        <v>1</v>
      </c>
      <c r="B10" s="6">
        <v>6</v>
      </c>
      <c r="C10" s="72" t="s">
        <v>320</v>
      </c>
    </row>
    <row r="11" spans="1:3">
      <c r="A11" s="197" t="s">
        <v>1</v>
      </c>
      <c r="B11" s="6">
        <v>7</v>
      </c>
      <c r="C11" s="72" t="s">
        <v>321</v>
      </c>
    </row>
    <row r="12" spans="1:3">
      <c r="A12" s="197" t="s">
        <v>1</v>
      </c>
      <c r="B12" s="6">
        <v>8</v>
      </c>
      <c r="C12" s="72" t="s">
        <v>1159</v>
      </c>
    </row>
    <row r="13" spans="1:3">
      <c r="A13" s="197" t="s">
        <v>1</v>
      </c>
      <c r="B13" s="6">
        <v>9</v>
      </c>
      <c r="C13" s="72" t="s">
        <v>36</v>
      </c>
    </row>
    <row r="14" spans="1:3">
      <c r="A14" s="196" t="s">
        <v>2</v>
      </c>
      <c r="B14" s="6">
        <v>1</v>
      </c>
      <c r="C14" s="72" t="s">
        <v>301</v>
      </c>
    </row>
    <row r="15" spans="1:3">
      <c r="A15" s="196" t="s">
        <v>2</v>
      </c>
      <c r="B15" s="6">
        <v>2</v>
      </c>
      <c r="C15" s="72" t="s">
        <v>1158</v>
      </c>
    </row>
    <row r="16" spans="1:3">
      <c r="A16" s="196" t="s">
        <v>2</v>
      </c>
      <c r="B16" s="6">
        <v>3</v>
      </c>
      <c r="C16" s="72" t="s">
        <v>310</v>
      </c>
    </row>
    <row r="17" spans="1:3">
      <c r="A17" s="196" t="s">
        <v>2</v>
      </c>
      <c r="B17" s="6">
        <v>4</v>
      </c>
      <c r="C17" s="72" t="s">
        <v>314</v>
      </c>
    </row>
    <row r="18" spans="1:3">
      <c r="A18" s="196" t="s">
        <v>2</v>
      </c>
      <c r="B18" s="6">
        <v>5</v>
      </c>
      <c r="C18" s="72" t="s">
        <v>317</v>
      </c>
    </row>
    <row r="19" spans="1:3">
      <c r="A19" s="196" t="s">
        <v>2</v>
      </c>
      <c r="B19" s="6">
        <v>6</v>
      </c>
      <c r="C19" s="72" t="s">
        <v>320</v>
      </c>
    </row>
    <row r="20" spans="1:3">
      <c r="A20" s="196" t="s">
        <v>2</v>
      </c>
      <c r="B20" s="6">
        <v>7</v>
      </c>
      <c r="C20" s="72" t="s">
        <v>321</v>
      </c>
    </row>
    <row r="21" spans="1:3">
      <c r="A21" s="196" t="s">
        <v>2</v>
      </c>
      <c r="B21" s="6">
        <v>8</v>
      </c>
      <c r="C21" s="72" t="s">
        <v>1159</v>
      </c>
    </row>
    <row r="22" spans="1:3">
      <c r="A22" s="196" t="s">
        <v>2</v>
      </c>
      <c r="B22" s="6">
        <v>9</v>
      </c>
      <c r="C22" s="72" t="s">
        <v>36</v>
      </c>
    </row>
    <row r="23" spans="1:3">
      <c r="A23" s="196" t="s">
        <v>1099</v>
      </c>
      <c r="B23" s="6">
        <v>1</v>
      </c>
      <c r="C23" s="72" t="s">
        <v>302</v>
      </c>
    </row>
    <row r="24" spans="1:3">
      <c r="A24" s="196" t="s">
        <v>1099</v>
      </c>
      <c r="B24" s="6">
        <v>2</v>
      </c>
      <c r="C24" s="72" t="s">
        <v>307</v>
      </c>
    </row>
    <row r="25" spans="1:3">
      <c r="A25" s="196" t="s">
        <v>1099</v>
      </c>
      <c r="B25" s="6">
        <v>3</v>
      </c>
      <c r="C25" s="72" t="s">
        <v>311</v>
      </c>
    </row>
    <row r="26" spans="1:3">
      <c r="A26" s="196" t="s">
        <v>1099</v>
      </c>
      <c r="B26" s="6">
        <v>4</v>
      </c>
      <c r="C26" s="72" t="s">
        <v>315</v>
      </c>
    </row>
    <row r="27" spans="1:3">
      <c r="A27" s="196" t="s">
        <v>1099</v>
      </c>
      <c r="B27" s="6">
        <v>5</v>
      </c>
      <c r="C27" s="72" t="s">
        <v>318</v>
      </c>
    </row>
    <row r="28" spans="1:3">
      <c r="A28" s="196" t="s">
        <v>1099</v>
      </c>
      <c r="B28" s="6">
        <v>6</v>
      </c>
      <c r="C28" s="72" t="s">
        <v>36</v>
      </c>
    </row>
    <row r="29" spans="1:3">
      <c r="A29" s="196" t="s">
        <v>3</v>
      </c>
      <c r="B29" s="6">
        <v>1</v>
      </c>
      <c r="C29" s="72" t="s">
        <v>1160</v>
      </c>
    </row>
    <row r="30" spans="1:3">
      <c r="A30" s="196" t="s">
        <v>3</v>
      </c>
      <c r="B30" s="6">
        <v>2</v>
      </c>
      <c r="C30" s="72" t="s">
        <v>33</v>
      </c>
    </row>
    <row r="31" spans="1:3">
      <c r="A31" s="196" t="s">
        <v>3</v>
      </c>
      <c r="B31" s="6">
        <v>3</v>
      </c>
      <c r="C31" s="72" t="s">
        <v>53</v>
      </c>
    </row>
    <row r="32" spans="1:3">
      <c r="A32" s="196" t="s">
        <v>3</v>
      </c>
      <c r="B32" s="6">
        <v>4</v>
      </c>
      <c r="C32" s="72" t="s">
        <v>69</v>
      </c>
    </row>
    <row r="33" spans="1:3">
      <c r="A33" s="196" t="s">
        <v>3</v>
      </c>
      <c r="B33" s="6">
        <v>5</v>
      </c>
      <c r="C33" s="72" t="s">
        <v>64</v>
      </c>
    </row>
    <row r="34" spans="1:3">
      <c r="A34" s="196" t="s">
        <v>3</v>
      </c>
      <c r="B34" s="6">
        <v>6</v>
      </c>
      <c r="C34" s="72" t="s">
        <v>94</v>
      </c>
    </row>
    <row r="35" spans="1:3">
      <c r="A35" s="196" t="s">
        <v>3</v>
      </c>
      <c r="B35" s="6">
        <v>7</v>
      </c>
      <c r="C35" s="72" t="s">
        <v>97</v>
      </c>
    </row>
    <row r="36" spans="1:3">
      <c r="A36" s="196" t="s">
        <v>3</v>
      </c>
      <c r="B36" s="6">
        <v>8</v>
      </c>
      <c r="C36" s="72" t="s">
        <v>75</v>
      </c>
    </row>
    <row r="37" spans="1:3">
      <c r="A37" s="196" t="s">
        <v>3</v>
      </c>
      <c r="B37" s="6">
        <v>9</v>
      </c>
      <c r="C37" s="72" t="s">
        <v>1161</v>
      </c>
    </row>
    <row r="38" spans="1:3">
      <c r="A38" s="196" t="s">
        <v>3</v>
      </c>
      <c r="B38" s="6">
        <v>10</v>
      </c>
      <c r="C38" s="72" t="s">
        <v>36</v>
      </c>
    </row>
    <row r="39" spans="1:3">
      <c r="A39" s="196" t="s">
        <v>4</v>
      </c>
      <c r="B39" s="6">
        <v>1</v>
      </c>
      <c r="C39" s="72" t="s">
        <v>303</v>
      </c>
    </row>
    <row r="40" spans="1:3">
      <c r="A40" s="196" t="s">
        <v>4</v>
      </c>
      <c r="B40" s="6">
        <v>2</v>
      </c>
      <c r="C40" s="72" t="s">
        <v>308</v>
      </c>
    </row>
    <row r="41" spans="1:3">
      <c r="A41" s="196" t="s">
        <v>4</v>
      </c>
      <c r="B41" s="6">
        <v>3</v>
      </c>
      <c r="C41" s="72" t="s">
        <v>312</v>
      </c>
    </row>
    <row r="42" spans="1:3">
      <c r="A42" s="196" t="s">
        <v>4</v>
      </c>
      <c r="B42" s="6">
        <v>4</v>
      </c>
      <c r="C42" s="72" t="s">
        <v>36</v>
      </c>
    </row>
    <row r="43" spans="1:3" s="180" customFormat="1">
      <c r="A43" s="196" t="s">
        <v>5</v>
      </c>
      <c r="B43" s="6">
        <v>1</v>
      </c>
      <c r="C43" s="72" t="s">
        <v>1165</v>
      </c>
    </row>
    <row r="44" spans="1:3" s="180" customFormat="1">
      <c r="A44" s="196" t="s">
        <v>5</v>
      </c>
      <c r="B44" s="6">
        <v>2</v>
      </c>
      <c r="C44" s="72" t="s">
        <v>1166</v>
      </c>
    </row>
    <row r="45" spans="1:3" s="180" customFormat="1">
      <c r="A45" s="196" t="s">
        <v>5</v>
      </c>
      <c r="B45" s="6">
        <v>3</v>
      </c>
      <c r="C45" s="72" t="s">
        <v>54</v>
      </c>
    </row>
    <row r="46" spans="1:3" s="180" customFormat="1">
      <c r="A46" s="196" t="s">
        <v>5</v>
      </c>
      <c r="B46" s="6">
        <v>4</v>
      </c>
      <c r="C46" s="72" t="s">
        <v>80</v>
      </c>
    </row>
    <row r="47" spans="1:3" s="180" customFormat="1">
      <c r="A47" s="196" t="s">
        <v>5</v>
      </c>
      <c r="B47" s="6">
        <v>5</v>
      </c>
      <c r="C47" s="72" t="s">
        <v>1167</v>
      </c>
    </row>
    <row r="48" spans="1:3" s="180" customFormat="1">
      <c r="A48" s="196" t="s">
        <v>5</v>
      </c>
      <c r="B48" s="6">
        <v>6</v>
      </c>
      <c r="C48" s="72" t="s">
        <v>36</v>
      </c>
    </row>
    <row r="49" spans="1:3" s="180" customFormat="1">
      <c r="A49" s="196" t="s">
        <v>6</v>
      </c>
      <c r="B49" s="6">
        <v>1</v>
      </c>
      <c r="C49" s="72" t="s">
        <v>304</v>
      </c>
    </row>
    <row r="50" spans="1:3" s="180" customFormat="1">
      <c r="A50" s="196" t="s">
        <v>6</v>
      </c>
      <c r="B50" s="6">
        <v>2</v>
      </c>
      <c r="C50" s="72" t="s">
        <v>309</v>
      </c>
    </row>
    <row r="51" spans="1:3" s="180" customFormat="1">
      <c r="A51" s="196" t="s">
        <v>6</v>
      </c>
      <c r="B51" s="6">
        <v>3</v>
      </c>
      <c r="C51" s="72" t="s">
        <v>313</v>
      </c>
    </row>
    <row r="52" spans="1:3" s="180" customFormat="1">
      <c r="A52" s="196" t="s">
        <v>6</v>
      </c>
      <c r="B52" s="6">
        <v>4</v>
      </c>
      <c r="C52" s="72" t="s">
        <v>1184</v>
      </c>
    </row>
    <row r="53" spans="1:3" s="180" customFormat="1">
      <c r="A53" s="196" t="s">
        <v>6</v>
      </c>
      <c r="B53" s="6">
        <v>5</v>
      </c>
      <c r="C53" s="72" t="s">
        <v>319</v>
      </c>
    </row>
    <row r="54" spans="1:3" s="180" customFormat="1">
      <c r="A54" s="196" t="s">
        <v>6</v>
      </c>
      <c r="B54" s="6">
        <v>6</v>
      </c>
      <c r="C54" s="72" t="s">
        <v>36</v>
      </c>
    </row>
    <row r="55" spans="1:3" s="180" customFormat="1">
      <c r="A55" s="196" t="s">
        <v>6</v>
      </c>
      <c r="B55" s="6">
        <v>7</v>
      </c>
      <c r="C55" s="72" t="s">
        <v>67</v>
      </c>
    </row>
    <row r="56" spans="1:3">
      <c r="A56" s="196" t="s">
        <v>7</v>
      </c>
      <c r="B56" s="6">
        <v>1</v>
      </c>
      <c r="C56" s="72" t="s">
        <v>305</v>
      </c>
    </row>
    <row r="57" spans="1:3">
      <c r="A57" s="196" t="s">
        <v>7</v>
      </c>
      <c r="B57" s="6">
        <v>2</v>
      </c>
      <c r="C57" s="72" t="s">
        <v>122</v>
      </c>
    </row>
    <row r="58" spans="1:3">
      <c r="A58" s="196" t="s">
        <v>7</v>
      </c>
      <c r="B58" s="6">
        <v>3</v>
      </c>
      <c r="C58" s="72" t="s">
        <v>55</v>
      </c>
    </row>
    <row r="59" spans="1:3">
      <c r="A59" s="196" t="s">
        <v>7</v>
      </c>
      <c r="B59" s="6">
        <v>4</v>
      </c>
      <c r="C59" s="72" t="s">
        <v>103</v>
      </c>
    </row>
    <row r="60" spans="1:3">
      <c r="A60" s="196" t="s">
        <v>7</v>
      </c>
      <c r="B60" s="6">
        <v>5</v>
      </c>
      <c r="C60" s="72" t="s">
        <v>70</v>
      </c>
    </row>
    <row r="61" spans="1:3">
      <c r="A61" s="196" t="s">
        <v>7</v>
      </c>
      <c r="B61" s="6">
        <v>6</v>
      </c>
      <c r="C61" s="72" t="s">
        <v>107</v>
      </c>
    </row>
    <row r="62" spans="1:3">
      <c r="A62" s="196" t="s">
        <v>7</v>
      </c>
      <c r="B62" s="6">
        <v>7</v>
      </c>
      <c r="C62" s="72" t="s">
        <v>155</v>
      </c>
    </row>
    <row r="63" spans="1:3">
      <c r="A63" s="196" t="s">
        <v>7</v>
      </c>
      <c r="B63" s="6">
        <v>8</v>
      </c>
      <c r="C63" s="72" t="s">
        <v>67</v>
      </c>
    </row>
    <row r="64" spans="1:3">
      <c r="A64" s="196" t="s">
        <v>7</v>
      </c>
      <c r="B64" s="6">
        <v>9</v>
      </c>
      <c r="C64" s="72" t="s">
        <v>36</v>
      </c>
    </row>
    <row r="65" spans="1:3" s="180" customFormat="1">
      <c r="A65" s="196" t="s">
        <v>8</v>
      </c>
      <c r="B65" s="6">
        <v>1</v>
      </c>
      <c r="C65" s="72" t="s">
        <v>1168</v>
      </c>
    </row>
    <row r="66" spans="1:3">
      <c r="A66" s="196" t="s">
        <v>8</v>
      </c>
      <c r="B66" s="6">
        <v>2</v>
      </c>
      <c r="C66" s="72" t="s">
        <v>121</v>
      </c>
    </row>
    <row r="67" spans="1:3">
      <c r="A67" s="196" t="s">
        <v>8</v>
      </c>
      <c r="B67" s="6">
        <v>3</v>
      </c>
      <c r="C67" s="72" t="s">
        <v>1169</v>
      </c>
    </row>
    <row r="68" spans="1:3">
      <c r="A68" s="196" t="s">
        <v>8</v>
      </c>
      <c r="B68" s="6">
        <v>4</v>
      </c>
      <c r="C68" s="72" t="s">
        <v>93</v>
      </c>
    </row>
    <row r="69" spans="1:3">
      <c r="A69" s="196" t="s">
        <v>8</v>
      </c>
      <c r="B69" s="6">
        <v>5</v>
      </c>
      <c r="C69" s="72" t="s">
        <v>36</v>
      </c>
    </row>
    <row r="70" spans="1:3" s="180" customFormat="1">
      <c r="A70" s="196" t="s">
        <v>9</v>
      </c>
      <c r="B70" s="6">
        <v>1</v>
      </c>
      <c r="C70" s="72" t="s">
        <v>38</v>
      </c>
    </row>
    <row r="71" spans="1:3" s="180" customFormat="1">
      <c r="A71" s="196" t="s">
        <v>9</v>
      </c>
      <c r="B71" s="6">
        <v>2</v>
      </c>
      <c r="C71" s="72" t="s">
        <v>58</v>
      </c>
    </row>
    <row r="72" spans="1:3" s="180" customFormat="1">
      <c r="A72" s="196" t="s">
        <v>9</v>
      </c>
      <c r="B72" s="6">
        <v>3</v>
      </c>
      <c r="C72" s="72" t="s">
        <v>1164</v>
      </c>
    </row>
    <row r="73" spans="1:3" s="180" customFormat="1">
      <c r="A73" s="196" t="s">
        <v>9</v>
      </c>
      <c r="B73" s="6">
        <v>4</v>
      </c>
      <c r="C73" s="72" t="s">
        <v>108</v>
      </c>
    </row>
    <row r="74" spans="1:3" s="180" customFormat="1">
      <c r="A74" s="196" t="s">
        <v>9</v>
      </c>
      <c r="B74" s="6">
        <v>5</v>
      </c>
      <c r="C74" s="72" t="s">
        <v>132</v>
      </c>
    </row>
    <row r="75" spans="1:3" s="180" customFormat="1">
      <c r="A75" s="196" t="s">
        <v>9</v>
      </c>
      <c r="B75" s="6">
        <v>6</v>
      </c>
      <c r="C75" s="72" t="s">
        <v>36</v>
      </c>
    </row>
    <row r="76" spans="1:3">
      <c r="A76" s="196" t="s">
        <v>10</v>
      </c>
      <c r="B76" s="6">
        <v>1</v>
      </c>
      <c r="C76" s="72" t="s">
        <v>39</v>
      </c>
    </row>
    <row r="77" spans="1:3">
      <c r="A77" s="196" t="s">
        <v>10</v>
      </c>
      <c r="B77" s="6">
        <v>2</v>
      </c>
      <c r="C77" s="72" t="s">
        <v>39</v>
      </c>
    </row>
    <row r="78" spans="1:3">
      <c r="A78" s="196" t="s">
        <v>10</v>
      </c>
      <c r="B78" s="6">
        <v>3</v>
      </c>
      <c r="C78" s="72" t="s">
        <v>1170</v>
      </c>
    </row>
    <row r="79" spans="1:3">
      <c r="A79" s="196" t="s">
        <v>10</v>
      </c>
      <c r="B79" s="6">
        <v>4</v>
      </c>
      <c r="C79" s="72" t="s">
        <v>1171</v>
      </c>
    </row>
    <row r="80" spans="1:3">
      <c r="A80" s="196" t="s">
        <v>10</v>
      </c>
      <c r="B80" s="6">
        <v>5</v>
      </c>
      <c r="C80" s="72" t="s">
        <v>36</v>
      </c>
    </row>
    <row r="81" spans="1:3">
      <c r="A81" s="196" t="s">
        <v>12</v>
      </c>
      <c r="B81" s="6">
        <v>1</v>
      </c>
      <c r="C81" s="180" t="s">
        <v>41</v>
      </c>
    </row>
    <row r="82" spans="1:3" s="180" customFormat="1">
      <c r="A82" s="196" t="s">
        <v>12</v>
      </c>
      <c r="B82" s="6">
        <v>2</v>
      </c>
      <c r="C82" s="180" t="s">
        <v>142</v>
      </c>
    </row>
    <row r="83" spans="1:3" s="180" customFormat="1">
      <c r="A83" s="196" t="s">
        <v>12</v>
      </c>
      <c r="B83" s="6">
        <v>3</v>
      </c>
      <c r="C83" s="180" t="s">
        <v>290</v>
      </c>
    </row>
    <row r="84" spans="1:3" s="180" customFormat="1">
      <c r="A84" s="196" t="s">
        <v>12</v>
      </c>
      <c r="B84" s="6">
        <v>4</v>
      </c>
      <c r="C84" s="180" t="s">
        <v>359</v>
      </c>
    </row>
    <row r="85" spans="1:3" s="180" customFormat="1">
      <c r="A85" s="196" t="s">
        <v>12</v>
      </c>
      <c r="B85" s="6">
        <v>5</v>
      </c>
      <c r="C85" s="180" t="s">
        <v>1185</v>
      </c>
    </row>
    <row r="86" spans="1:3" s="180" customFormat="1">
      <c r="A86" s="196" t="s">
        <v>12</v>
      </c>
      <c r="B86" s="6">
        <v>6</v>
      </c>
      <c r="C86" s="180" t="s">
        <v>123</v>
      </c>
    </row>
    <row r="87" spans="1:3" s="180" customFormat="1">
      <c r="A87" s="196" t="s">
        <v>12</v>
      </c>
      <c r="B87" s="6">
        <v>7</v>
      </c>
      <c r="C87" s="180" t="s">
        <v>36</v>
      </c>
    </row>
    <row r="88" spans="1:3">
      <c r="A88" s="196" t="s">
        <v>11</v>
      </c>
      <c r="B88" s="6">
        <v>1</v>
      </c>
      <c r="C88" s="180" t="s">
        <v>1186</v>
      </c>
    </row>
    <row r="89" spans="1:3" s="180" customFormat="1">
      <c r="A89" s="196" t="s">
        <v>11</v>
      </c>
      <c r="B89" s="6">
        <v>2</v>
      </c>
      <c r="C89" s="180" t="s">
        <v>1187</v>
      </c>
    </row>
    <row r="90" spans="1:3" s="180" customFormat="1">
      <c r="A90" s="196" t="s">
        <v>11</v>
      </c>
      <c r="B90" s="6">
        <v>3</v>
      </c>
      <c r="C90" s="180" t="s">
        <v>1188</v>
      </c>
    </row>
    <row r="91" spans="1:3" s="180" customFormat="1">
      <c r="A91" s="196" t="s">
        <v>11</v>
      </c>
      <c r="B91" s="6">
        <v>4</v>
      </c>
      <c r="C91" s="180" t="s">
        <v>1189</v>
      </c>
    </row>
    <row r="92" spans="1:3" s="180" customFormat="1">
      <c r="A92" s="196" t="s">
        <v>11</v>
      </c>
      <c r="B92" s="6">
        <v>5</v>
      </c>
      <c r="C92" s="180" t="s">
        <v>1190</v>
      </c>
    </row>
    <row r="93" spans="1:3" s="180" customFormat="1">
      <c r="A93" s="196" t="s">
        <v>11</v>
      </c>
      <c r="B93" s="6">
        <v>6</v>
      </c>
      <c r="C93" s="180" t="s">
        <v>1191</v>
      </c>
    </row>
    <row r="94" spans="1:3" s="180" customFormat="1">
      <c r="A94" s="196" t="s">
        <v>11</v>
      </c>
      <c r="B94" s="6">
        <v>7</v>
      </c>
      <c r="C94" s="180" t="s">
        <v>36</v>
      </c>
    </row>
    <row r="95" spans="1:3" s="180" customFormat="1">
      <c r="A95" s="196" t="s">
        <v>13</v>
      </c>
      <c r="B95" s="6">
        <v>1</v>
      </c>
      <c r="C95" s="180" t="s">
        <v>1182</v>
      </c>
    </row>
    <row r="96" spans="1:3" s="180" customFormat="1">
      <c r="A96" s="196" t="s">
        <v>13</v>
      </c>
      <c r="B96" s="6">
        <v>2</v>
      </c>
      <c r="C96" s="180" t="s">
        <v>1183</v>
      </c>
    </row>
    <row r="97" spans="1:3" s="180" customFormat="1">
      <c r="A97" s="196" t="s">
        <v>13</v>
      </c>
      <c r="B97" s="6">
        <v>3</v>
      </c>
      <c r="C97" s="180" t="s">
        <v>87</v>
      </c>
    </row>
    <row r="98" spans="1:3" s="180" customFormat="1">
      <c r="A98" s="196" t="s">
        <v>13</v>
      </c>
      <c r="B98" s="6">
        <v>4</v>
      </c>
      <c r="C98" s="180" t="s">
        <v>361</v>
      </c>
    </row>
    <row r="99" spans="1:3" s="180" customFormat="1">
      <c r="A99" s="196" t="s">
        <v>13</v>
      </c>
      <c r="B99" s="6">
        <v>5</v>
      </c>
      <c r="C99" s="180" t="s">
        <v>36</v>
      </c>
    </row>
    <row r="100" spans="1:3" s="180" customFormat="1">
      <c r="A100" s="196" t="s">
        <v>20</v>
      </c>
      <c r="B100" s="6">
        <v>1</v>
      </c>
      <c r="C100" s="72" t="s">
        <v>969</v>
      </c>
    </row>
    <row r="101" spans="1:3" s="180" customFormat="1">
      <c r="A101" s="196" t="s">
        <v>20</v>
      </c>
      <c r="B101" s="6">
        <v>2</v>
      </c>
      <c r="C101" s="72" t="s">
        <v>1172</v>
      </c>
    </row>
    <row r="102" spans="1:3" s="180" customFormat="1">
      <c r="A102" s="196" t="s">
        <v>20</v>
      </c>
      <c r="B102" s="6">
        <v>3</v>
      </c>
      <c r="C102" s="72" t="s">
        <v>1173</v>
      </c>
    </row>
    <row r="103" spans="1:3" s="180" customFormat="1">
      <c r="A103" s="196" t="s">
        <v>20</v>
      </c>
      <c r="B103" s="6">
        <v>4</v>
      </c>
      <c r="C103" s="72" t="s">
        <v>1174</v>
      </c>
    </row>
    <row r="104" spans="1:3" s="180" customFormat="1">
      <c r="A104" s="196" t="s">
        <v>20</v>
      </c>
      <c r="B104" s="6">
        <v>5</v>
      </c>
      <c r="C104" s="72" t="s">
        <v>36</v>
      </c>
    </row>
    <row r="105" spans="1:3" s="180" customFormat="1">
      <c r="A105" s="196" t="s">
        <v>14</v>
      </c>
      <c r="B105" s="6">
        <v>1</v>
      </c>
      <c r="C105" s="180" t="s">
        <v>382</v>
      </c>
    </row>
    <row r="106" spans="1:3" s="180" customFormat="1">
      <c r="A106" s="196" t="s">
        <v>14</v>
      </c>
      <c r="B106" s="6">
        <v>2</v>
      </c>
      <c r="C106" s="180" t="s">
        <v>347</v>
      </c>
    </row>
    <row r="107" spans="1:3" s="180" customFormat="1">
      <c r="A107" s="196" t="s">
        <v>14</v>
      </c>
      <c r="B107" s="6">
        <v>3</v>
      </c>
      <c r="C107" s="180" t="s">
        <v>356</v>
      </c>
    </row>
    <row r="108" spans="1:3" s="180" customFormat="1">
      <c r="A108" s="196" t="s">
        <v>14</v>
      </c>
      <c r="B108" s="6">
        <v>4</v>
      </c>
      <c r="C108" s="180" t="s">
        <v>1192</v>
      </c>
    </row>
    <row r="109" spans="1:3" s="180" customFormat="1">
      <c r="A109" s="196" t="s">
        <v>14</v>
      </c>
      <c r="B109" s="6">
        <v>5</v>
      </c>
      <c r="C109" s="180" t="s">
        <v>36</v>
      </c>
    </row>
    <row r="110" spans="1:3" s="180" customFormat="1">
      <c r="A110" s="196" t="s">
        <v>16</v>
      </c>
      <c r="B110" s="6">
        <v>1</v>
      </c>
      <c r="C110" s="180" t="s">
        <v>1193</v>
      </c>
    </row>
    <row r="111" spans="1:3" s="180" customFormat="1">
      <c r="A111" s="196" t="s">
        <v>16</v>
      </c>
      <c r="B111" s="6">
        <v>2</v>
      </c>
      <c r="C111" s="180" t="s">
        <v>348</v>
      </c>
    </row>
    <row r="112" spans="1:3" s="180" customFormat="1">
      <c r="A112" s="196" t="s">
        <v>16</v>
      </c>
      <c r="B112" s="6">
        <v>3</v>
      </c>
      <c r="C112" s="180" t="s">
        <v>357</v>
      </c>
    </row>
    <row r="113" spans="1:3" s="180" customFormat="1">
      <c r="A113" s="196" t="s">
        <v>16</v>
      </c>
      <c r="B113" s="6">
        <v>4</v>
      </c>
      <c r="C113" s="180" t="s">
        <v>364</v>
      </c>
    </row>
    <row r="114" spans="1:3" s="180" customFormat="1">
      <c r="A114" s="196" t="s">
        <v>16</v>
      </c>
      <c r="B114" s="6">
        <v>5</v>
      </c>
      <c r="C114" s="180" t="s">
        <v>67</v>
      </c>
    </row>
    <row r="115" spans="1:3" s="180" customFormat="1">
      <c r="A115" s="196" t="s">
        <v>16</v>
      </c>
      <c r="B115" s="6">
        <v>6</v>
      </c>
      <c r="C115" s="180" t="s">
        <v>36</v>
      </c>
    </row>
    <row r="116" spans="1:3" s="180" customFormat="1">
      <c r="A116" s="196" t="s">
        <v>17</v>
      </c>
      <c r="B116" s="6">
        <v>1</v>
      </c>
      <c r="C116" s="180" t="s">
        <v>342</v>
      </c>
    </row>
    <row r="117" spans="1:3" s="180" customFormat="1">
      <c r="A117" s="196" t="s">
        <v>17</v>
      </c>
      <c r="B117" s="6">
        <v>2</v>
      </c>
      <c r="C117" s="180" t="s">
        <v>1194</v>
      </c>
    </row>
    <row r="118" spans="1:3">
      <c r="A118" s="196" t="s">
        <v>17</v>
      </c>
      <c r="B118" s="6">
        <v>3</v>
      </c>
      <c r="C118" s="180" t="s">
        <v>1195</v>
      </c>
    </row>
    <row r="119" spans="1:3">
      <c r="A119" s="196" t="s">
        <v>17</v>
      </c>
      <c r="B119" s="6">
        <v>4</v>
      </c>
      <c r="C119" s="180" t="s">
        <v>36</v>
      </c>
    </row>
    <row r="120" spans="1:3">
      <c r="A120" s="196" t="s">
        <v>22</v>
      </c>
      <c r="B120" s="6">
        <v>1</v>
      </c>
      <c r="C120" s="72" t="s">
        <v>1162</v>
      </c>
    </row>
    <row r="121" spans="1:3">
      <c r="A121" s="196" t="s">
        <v>22</v>
      </c>
      <c r="B121" s="6">
        <v>2</v>
      </c>
      <c r="C121" s="72" t="s">
        <v>1163</v>
      </c>
    </row>
    <row r="122" spans="1:3">
      <c r="A122" s="196" t="s">
        <v>22</v>
      </c>
      <c r="B122" s="6">
        <v>3</v>
      </c>
      <c r="C122" s="72" t="s">
        <v>62</v>
      </c>
    </row>
    <row r="123" spans="1:3">
      <c r="A123" s="196" t="s">
        <v>22</v>
      </c>
      <c r="B123" s="6">
        <v>4</v>
      </c>
      <c r="C123" s="72" t="s">
        <v>67</v>
      </c>
    </row>
    <row r="124" spans="1:3">
      <c r="A124" s="196" t="s">
        <v>22</v>
      </c>
      <c r="B124" s="6">
        <v>5</v>
      </c>
      <c r="C124" s="72" t="s">
        <v>36</v>
      </c>
    </row>
    <row r="125" spans="1:3">
      <c r="A125" s="196" t="s">
        <v>23</v>
      </c>
      <c r="B125" s="6">
        <v>1</v>
      </c>
      <c r="C125" s="180" t="s">
        <v>1196</v>
      </c>
    </row>
    <row r="126" spans="1:3">
      <c r="A126" s="196" t="s">
        <v>23</v>
      </c>
      <c r="B126" s="6">
        <v>2</v>
      </c>
      <c r="C126" s="180" t="s">
        <v>1197</v>
      </c>
    </row>
    <row r="127" spans="1:3">
      <c r="A127" s="196" t="s">
        <v>23</v>
      </c>
      <c r="B127" s="6">
        <v>3</v>
      </c>
      <c r="C127" s="180" t="s">
        <v>1198</v>
      </c>
    </row>
    <row r="128" spans="1:3">
      <c r="A128" s="196" t="s">
        <v>23</v>
      </c>
      <c r="B128" s="6">
        <v>4</v>
      </c>
      <c r="C128" s="180" t="s">
        <v>67</v>
      </c>
    </row>
    <row r="129" spans="1:3">
      <c r="A129" s="196" t="s">
        <v>23</v>
      </c>
      <c r="B129" s="6">
        <v>5</v>
      </c>
      <c r="C129" s="180" t="s">
        <v>36</v>
      </c>
    </row>
    <row r="130" spans="1:3">
      <c r="A130" s="196" t="s">
        <v>18</v>
      </c>
      <c r="B130" s="6">
        <v>1</v>
      </c>
      <c r="C130" s="180" t="s">
        <v>1199</v>
      </c>
    </row>
    <row r="131" spans="1:3">
      <c r="A131" s="196" t="s">
        <v>18</v>
      </c>
      <c r="B131" s="6">
        <v>2</v>
      </c>
      <c r="C131" s="180" t="s">
        <v>1200</v>
      </c>
    </row>
    <row r="132" spans="1:3">
      <c r="A132" s="196" t="s">
        <v>18</v>
      </c>
      <c r="B132" s="6">
        <v>3</v>
      </c>
      <c r="C132" s="180" t="s">
        <v>36</v>
      </c>
    </row>
    <row r="133" spans="1:3">
      <c r="A133" s="196" t="s">
        <v>24</v>
      </c>
      <c r="B133" s="6">
        <v>1</v>
      </c>
      <c r="C133" s="180" t="s">
        <v>51</v>
      </c>
    </row>
    <row r="134" spans="1:3">
      <c r="A134" s="196" t="s">
        <v>24</v>
      </c>
      <c r="B134" s="6">
        <v>2</v>
      </c>
      <c r="C134" s="180" t="s">
        <v>72</v>
      </c>
    </row>
    <row r="135" spans="1:3">
      <c r="A135" s="196" t="s">
        <v>24</v>
      </c>
      <c r="B135" s="6">
        <v>3</v>
      </c>
      <c r="C135" s="180" t="s">
        <v>91</v>
      </c>
    </row>
    <row r="136" spans="1:3">
      <c r="A136" s="196" t="s">
        <v>24</v>
      </c>
      <c r="B136" s="6">
        <v>4</v>
      </c>
      <c r="C136" s="180" t="s">
        <v>1175</v>
      </c>
    </row>
    <row r="137" spans="1:3">
      <c r="A137" s="196" t="s">
        <v>24</v>
      </c>
      <c r="B137" s="6">
        <v>5</v>
      </c>
      <c r="C137" s="180" t="s">
        <v>36</v>
      </c>
    </row>
    <row r="138" spans="1:3">
      <c r="A138" s="196" t="s">
        <v>26</v>
      </c>
      <c r="B138" s="6">
        <v>1</v>
      </c>
      <c r="C138" s="180" t="s">
        <v>1176</v>
      </c>
    </row>
    <row r="139" spans="1:3">
      <c r="A139" s="196" t="s">
        <v>26</v>
      </c>
      <c r="B139" s="6">
        <v>2</v>
      </c>
      <c r="C139" s="180" t="s">
        <v>1177</v>
      </c>
    </row>
    <row r="140" spans="1:3">
      <c r="A140" s="196" t="s">
        <v>26</v>
      </c>
      <c r="B140" s="6">
        <v>3</v>
      </c>
      <c r="C140" s="180" t="s">
        <v>1178</v>
      </c>
    </row>
    <row r="141" spans="1:3">
      <c r="A141" s="196" t="s">
        <v>26</v>
      </c>
      <c r="B141" s="6">
        <v>4</v>
      </c>
      <c r="C141" s="180" t="s">
        <v>1179</v>
      </c>
    </row>
    <row r="142" spans="1:3">
      <c r="A142" s="196" t="s">
        <v>26</v>
      </c>
      <c r="B142" s="6">
        <v>5</v>
      </c>
      <c r="C142" s="180" t="s">
        <v>1180</v>
      </c>
    </row>
    <row r="143" spans="1:3">
      <c r="A143" s="196" t="s">
        <v>26</v>
      </c>
      <c r="B143" s="6">
        <v>6</v>
      </c>
      <c r="C143" s="180" t="s">
        <v>1181</v>
      </c>
    </row>
    <row r="144" spans="1:3">
      <c r="A144" s="196" t="s">
        <v>26</v>
      </c>
      <c r="B144" s="6">
        <v>7</v>
      </c>
      <c r="C144" s="180" t="s">
        <v>36</v>
      </c>
    </row>
    <row r="145" spans="1:3">
      <c r="A145" s="195" t="s">
        <v>19</v>
      </c>
      <c r="B145" s="6">
        <v>1</v>
      </c>
      <c r="C145" s="180" t="s">
        <v>189</v>
      </c>
    </row>
    <row r="146" spans="1:3">
      <c r="A146" s="195" t="s">
        <v>19</v>
      </c>
      <c r="B146" s="6">
        <v>2</v>
      </c>
      <c r="C146" s="180" t="s">
        <v>1201</v>
      </c>
    </row>
    <row r="147" spans="1:3">
      <c r="A147" s="195" t="s">
        <v>19</v>
      </c>
      <c r="B147" s="6">
        <v>3</v>
      </c>
      <c r="C147" s="180" t="s">
        <v>381</v>
      </c>
    </row>
    <row r="148" spans="1:3">
      <c r="A148" s="195" t="s">
        <v>19</v>
      </c>
      <c r="B148" s="6">
        <v>4</v>
      </c>
      <c r="C148" s="180" t="s">
        <v>36</v>
      </c>
    </row>
    <row r="149" spans="1:3">
      <c r="A149" s="195" t="s">
        <v>27</v>
      </c>
      <c r="B149" s="6">
        <v>1</v>
      </c>
      <c r="C149" s="180" t="s">
        <v>39</v>
      </c>
    </row>
    <row r="150" spans="1:3">
      <c r="A150" s="195" t="s">
        <v>27</v>
      </c>
      <c r="B150" s="6">
        <v>2</v>
      </c>
      <c r="C150" s="180" t="s">
        <v>1170</v>
      </c>
    </row>
    <row r="151" spans="1:3">
      <c r="A151" s="195" t="s">
        <v>27</v>
      </c>
      <c r="B151" s="6">
        <v>3</v>
      </c>
      <c r="C151" s="180" t="s">
        <v>1171</v>
      </c>
    </row>
    <row r="152" spans="1:3">
      <c r="A152" s="195" t="s">
        <v>27</v>
      </c>
      <c r="B152" s="6">
        <v>4</v>
      </c>
      <c r="C152" s="180" t="s">
        <v>36</v>
      </c>
    </row>
    <row r="153" spans="1:3">
      <c r="A153" s="195" t="s">
        <v>28</v>
      </c>
      <c r="B153" s="6">
        <v>1</v>
      </c>
      <c r="C153" s="180" t="s">
        <v>41</v>
      </c>
    </row>
    <row r="154" spans="1:3">
      <c r="A154" s="195" t="s">
        <v>28</v>
      </c>
      <c r="B154" s="6">
        <v>2</v>
      </c>
      <c r="C154" s="180" t="s">
        <v>142</v>
      </c>
    </row>
    <row r="155" spans="1:3">
      <c r="A155" s="195" t="s">
        <v>28</v>
      </c>
      <c r="B155" s="6">
        <v>3</v>
      </c>
      <c r="C155" s="180" t="s">
        <v>290</v>
      </c>
    </row>
    <row r="156" spans="1:3">
      <c r="A156" s="195" t="s">
        <v>28</v>
      </c>
      <c r="B156" s="6">
        <v>4</v>
      </c>
      <c r="C156" s="180" t="s">
        <v>359</v>
      </c>
    </row>
    <row r="157" spans="1:3">
      <c r="A157" s="195" t="s">
        <v>28</v>
      </c>
      <c r="B157" s="6">
        <v>5</v>
      </c>
      <c r="C157" s="180" t="s">
        <v>1185</v>
      </c>
    </row>
    <row r="158" spans="1:3">
      <c r="A158" s="195" t="s">
        <v>28</v>
      </c>
      <c r="B158" s="6">
        <v>6</v>
      </c>
      <c r="C158" s="180" t="s">
        <v>123</v>
      </c>
    </row>
    <row r="159" spans="1:3" s="180" customFormat="1">
      <c r="A159" s="195" t="s">
        <v>28</v>
      </c>
      <c r="B159" s="6">
        <v>7</v>
      </c>
      <c r="C159" s="180" t="s">
        <v>36</v>
      </c>
    </row>
    <row r="160" spans="1:3">
      <c r="A160" s="195" t="s">
        <v>29</v>
      </c>
      <c r="B160" s="6">
        <v>1</v>
      </c>
      <c r="C160" s="180" t="s">
        <v>1202</v>
      </c>
    </row>
    <row r="161" spans="1:3">
      <c r="A161" s="195" t="s">
        <v>29</v>
      </c>
      <c r="B161" s="6">
        <v>2</v>
      </c>
      <c r="C161" s="180" t="s">
        <v>1203</v>
      </c>
    </row>
    <row r="162" spans="1:3">
      <c r="A162" s="195" t="s">
        <v>29</v>
      </c>
      <c r="B162" s="6">
        <v>4</v>
      </c>
      <c r="C162" s="180" t="s">
        <v>1204</v>
      </c>
    </row>
    <row r="163" spans="1:3">
      <c r="A163" s="195" t="s">
        <v>29</v>
      </c>
      <c r="B163" s="6">
        <v>5</v>
      </c>
      <c r="C163" s="180" t="s">
        <v>1205</v>
      </c>
    </row>
    <row r="164" spans="1:3">
      <c r="A164" s="195" t="s">
        <v>29</v>
      </c>
      <c r="B164" s="6">
        <v>6</v>
      </c>
      <c r="C164" s="180" t="s">
        <v>1206</v>
      </c>
    </row>
    <row r="165" spans="1:3">
      <c r="A165" s="195" t="s">
        <v>29</v>
      </c>
      <c r="B165" s="6">
        <v>7</v>
      </c>
      <c r="C165" s="180" t="s">
        <v>36</v>
      </c>
    </row>
    <row r="166" spans="1:3">
      <c r="A166" s="195" t="s">
        <v>30</v>
      </c>
      <c r="B166" s="6">
        <v>1</v>
      </c>
      <c r="C166" s="180" t="s">
        <v>1208</v>
      </c>
    </row>
    <row r="167" spans="1:3">
      <c r="A167" s="195" t="s">
        <v>30</v>
      </c>
      <c r="B167" s="6">
        <v>2</v>
      </c>
      <c r="C167" s="180" t="s">
        <v>1214</v>
      </c>
    </row>
    <row r="168" spans="1:3">
      <c r="A168" s="195" t="s">
        <v>30</v>
      </c>
      <c r="B168" s="6">
        <v>3</v>
      </c>
      <c r="C168" s="180" t="s">
        <v>1213</v>
      </c>
    </row>
    <row r="169" spans="1:3">
      <c r="A169" s="195" t="s">
        <v>30</v>
      </c>
      <c r="B169" s="6">
        <v>4</v>
      </c>
      <c r="C169" s="180" t="s">
        <v>1153</v>
      </c>
    </row>
    <row r="170" spans="1:3">
      <c r="A170" s="195" t="s">
        <v>30</v>
      </c>
      <c r="B170" s="6">
        <v>5</v>
      </c>
      <c r="C170" s="180" t="s">
        <v>1207</v>
      </c>
    </row>
    <row r="171" spans="1:3">
      <c r="A171" s="195" t="s">
        <v>30</v>
      </c>
      <c r="B171" s="6">
        <v>6</v>
      </c>
      <c r="C171" s="180" t="s">
        <v>170</v>
      </c>
    </row>
    <row r="172" spans="1:3">
      <c r="A172" s="195" t="s">
        <v>30</v>
      </c>
      <c r="B172" s="6">
        <v>7</v>
      </c>
      <c r="C172" s="180" t="s">
        <v>1215</v>
      </c>
    </row>
    <row r="173" spans="1:3">
      <c r="A173" s="195" t="s">
        <v>30</v>
      </c>
      <c r="B173" s="6">
        <v>8</v>
      </c>
      <c r="C173" s="180" t="s">
        <v>172</v>
      </c>
    </row>
    <row r="174" spans="1:3">
      <c r="A174" s="195" t="s">
        <v>30</v>
      </c>
      <c r="B174" s="6">
        <v>9</v>
      </c>
      <c r="C174" s="180" t="s">
        <v>1209</v>
      </c>
    </row>
    <row r="175" spans="1:3">
      <c r="A175" s="195" t="s">
        <v>30</v>
      </c>
      <c r="B175" s="6">
        <v>10</v>
      </c>
      <c r="C175" s="180" t="s">
        <v>36</v>
      </c>
    </row>
    <row r="176" spans="1:3">
      <c r="A176" s="195" t="s">
        <v>30</v>
      </c>
      <c r="B176" s="6">
        <v>11</v>
      </c>
      <c r="C176" s="180" t="s">
        <v>174</v>
      </c>
    </row>
    <row r="177" spans="1:3">
      <c r="A177" s="195" t="s">
        <v>30</v>
      </c>
      <c r="B177" s="6">
        <v>12</v>
      </c>
      <c r="C177" s="180" t="s">
        <v>1210</v>
      </c>
    </row>
    <row r="178" spans="1:3">
      <c r="A178" s="195" t="s">
        <v>30</v>
      </c>
      <c r="B178" s="6" t="s">
        <v>1216</v>
      </c>
      <c r="C178" s="180" t="s">
        <v>710</v>
      </c>
    </row>
    <row r="179" spans="1:3">
      <c r="A179" s="195" t="s">
        <v>30</v>
      </c>
      <c r="B179" s="6" t="s">
        <v>1216</v>
      </c>
      <c r="C179" s="180" t="s">
        <v>68</v>
      </c>
    </row>
    <row r="180" spans="1:3">
      <c r="A180" s="195" t="s">
        <v>30</v>
      </c>
      <c r="B180" s="6" t="s">
        <v>1216</v>
      </c>
      <c r="C180" s="180" t="s">
        <v>859</v>
      </c>
    </row>
    <row r="181" spans="1:3">
      <c r="A181" s="195" t="s">
        <v>30</v>
      </c>
      <c r="B181" s="6" t="s">
        <v>1216</v>
      </c>
      <c r="C181" s="180" t="s">
        <v>1211</v>
      </c>
    </row>
    <row r="182" spans="1:3">
      <c r="A182" s="195" t="s">
        <v>30</v>
      </c>
      <c r="B182" s="6" t="s">
        <v>1216</v>
      </c>
      <c r="C182" s="180" t="s">
        <v>1212</v>
      </c>
    </row>
  </sheetData>
  <sortState ref="A167:C183">
    <sortCondition ref="B167:B183"/>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C000"/>
  </sheetPr>
  <dimension ref="A1:AQ525"/>
  <sheetViews>
    <sheetView topLeftCell="AD1" workbookViewId="0"/>
  </sheetViews>
  <sheetFormatPr baseColWidth="10" defaultColWidth="11.453125" defaultRowHeight="14.5"/>
  <cols>
    <col min="1" max="2" width="11.453125" style="98"/>
    <col min="3" max="4" width="11.453125" style="200"/>
    <col min="5" max="5" width="20.7265625" style="200" customWidth="1"/>
    <col min="6" max="6" width="22.7265625" style="200" customWidth="1"/>
    <col min="7" max="7" width="11.54296875" style="200" customWidth="1"/>
    <col min="8" max="8" width="20.1796875" style="200" customWidth="1"/>
    <col min="9" max="12" width="11.54296875" style="200" customWidth="1"/>
    <col min="13" max="13" width="27.26953125" style="200" customWidth="1"/>
    <col min="14" max="14" width="21.81640625" style="200" customWidth="1"/>
    <col min="15" max="15" width="20.81640625" style="200" customWidth="1"/>
    <col min="16" max="18" width="11.54296875" style="200" customWidth="1"/>
    <col min="19" max="19" width="37.1796875" style="200" bestFit="1" customWidth="1"/>
    <col min="20" max="20" width="29.7265625" style="200" bestFit="1" customWidth="1"/>
    <col min="21" max="22" width="11.54296875" style="200" customWidth="1"/>
    <col min="23" max="23" width="39.1796875" style="200" bestFit="1" customWidth="1"/>
    <col min="24" max="24" width="11.54296875" style="200" customWidth="1"/>
    <col min="25" max="25" width="38.1796875" style="200" bestFit="1" customWidth="1"/>
    <col min="26" max="26" width="40.26953125" style="200" bestFit="1" customWidth="1"/>
    <col min="27" max="27" width="41" style="200" bestFit="1" customWidth="1"/>
    <col min="28" max="28" width="28.7265625" style="200" bestFit="1" customWidth="1"/>
    <col min="29" max="32" width="11.54296875" style="200" customWidth="1"/>
    <col min="33" max="33" width="21.26953125" style="200" customWidth="1"/>
    <col min="34" max="34" width="20.1796875" style="200" customWidth="1"/>
    <col min="35" max="35" width="11.453125" style="200"/>
    <col min="36" max="36" width="11.453125" style="201"/>
    <col min="37" max="16384" width="11.453125" style="200"/>
  </cols>
  <sheetData>
    <row r="1" spans="1:43" s="199" customFormat="1" ht="45" customHeight="1">
      <c r="A1" s="204" t="s">
        <v>383</v>
      </c>
      <c r="B1" s="205" t="s">
        <v>1152</v>
      </c>
      <c r="C1" s="202" t="s">
        <v>0</v>
      </c>
      <c r="D1" s="202" t="s">
        <v>1098</v>
      </c>
      <c r="E1" s="202" t="s">
        <v>1</v>
      </c>
      <c r="F1" s="202" t="s">
        <v>2</v>
      </c>
      <c r="G1" s="202" t="s">
        <v>1099</v>
      </c>
      <c r="H1" s="202" t="s">
        <v>1100</v>
      </c>
      <c r="I1" s="202" t="s">
        <v>3</v>
      </c>
      <c r="J1" s="202" t="s">
        <v>4</v>
      </c>
      <c r="K1" s="202" t="s">
        <v>1101</v>
      </c>
      <c r="L1" s="202" t="s">
        <v>5</v>
      </c>
      <c r="M1" s="202" t="s">
        <v>6</v>
      </c>
      <c r="N1" s="202" t="s">
        <v>7</v>
      </c>
      <c r="O1" s="202" t="s">
        <v>8</v>
      </c>
      <c r="P1" s="202" t="s">
        <v>9</v>
      </c>
      <c r="Q1" s="202" t="s">
        <v>10</v>
      </c>
      <c r="R1" s="202" t="s">
        <v>12</v>
      </c>
      <c r="S1" s="202" t="s">
        <v>11</v>
      </c>
      <c r="T1" s="202" t="s">
        <v>13</v>
      </c>
      <c r="U1" s="202" t="s">
        <v>20</v>
      </c>
      <c r="V1" s="202" t="s">
        <v>21</v>
      </c>
      <c r="W1" s="202" t="s">
        <v>1102</v>
      </c>
      <c r="X1" s="202" t="s">
        <v>1103</v>
      </c>
      <c r="Y1" s="202" t="s">
        <v>14</v>
      </c>
      <c r="Z1" s="202" t="s">
        <v>15</v>
      </c>
      <c r="AA1" s="202" t="s">
        <v>16</v>
      </c>
      <c r="AB1" s="202" t="s">
        <v>17</v>
      </c>
      <c r="AC1" s="202" t="s">
        <v>22</v>
      </c>
      <c r="AD1" s="202" t="s">
        <v>23</v>
      </c>
      <c r="AE1" s="202" t="s">
        <v>18</v>
      </c>
      <c r="AF1" s="202" t="s">
        <v>24</v>
      </c>
      <c r="AG1" s="202" t="s">
        <v>25</v>
      </c>
      <c r="AH1" s="202" t="s">
        <v>26</v>
      </c>
      <c r="AI1" s="202" t="s">
        <v>19</v>
      </c>
      <c r="AJ1" s="202" t="s">
        <v>1104</v>
      </c>
      <c r="AK1" s="202" t="s">
        <v>27</v>
      </c>
      <c r="AL1" s="202" t="s">
        <v>28</v>
      </c>
      <c r="AM1" s="202" t="s">
        <v>29</v>
      </c>
      <c r="AN1" s="202" t="s">
        <v>1105</v>
      </c>
      <c r="AO1" s="202" t="s">
        <v>30</v>
      </c>
      <c r="AP1" s="202" t="s">
        <v>31</v>
      </c>
      <c r="AQ1" s="202" t="s">
        <v>32</v>
      </c>
    </row>
    <row r="2" spans="1:43" ht="43.5" hidden="1">
      <c r="A2" s="98" t="e">
        <f>INDEX('3_BD instruction total'!A:A,MATCH(C2,'3_BD instruction total'!F:F,0))</f>
        <v>#VALUE!</v>
      </c>
      <c r="B2" s="98" t="str">
        <f>INDEX('3_BD instruction total'!C:C,MATCH(C2,'3_BD instruction total'!F:F,0))</f>
        <v>oui région</v>
      </c>
      <c r="C2" s="191" t="str">
        <f>'1_BD questio brut'!A2</f>
        <v>VRB0001</v>
      </c>
      <c r="D2" s="191" t="str">
        <f t="array" ref="D2">INDEX('Données 1_BD questio'!C:C,MATCH('1_BD questio brut'!$B$1&amp;'1_BD questio brut'!B2,'Données 1_BD questio'!A:A&amp;'Données 1_BD questio'!B:B,0))</f>
        <v>CAPV</v>
      </c>
      <c r="E2" s="191" t="str">
        <f t="array" ref="E2">INDEX('Données 1_BD questio'!C:C,MATCH('1_BD questio brut'!$C$1&amp;'1_BD questio brut'!C2,'Données 1_BD questio'!A:A&amp;'Données 1_BD questio'!B:B,0))</f>
        <v>Artisan,commerçant,chef d'entreprise</v>
      </c>
      <c r="F2" s="191" t="str">
        <f t="array" ref="F2">INDEX('Données 1_BD questio'!C:C,MATCH('1_BD questio brut'!$D$1&amp;'1_BD questio brut'!D2,'Données 1_BD questio'!A:A&amp;'Données 1_BD questio'!B:B,0))</f>
        <v>Autre,sans activité</v>
      </c>
      <c r="G2" s="191" t="str">
        <f>'1_BD questio brut'!E2</f>
        <v>35 à 49 ans</v>
      </c>
      <c r="H2" s="191">
        <f>'1_BD questio brut'!F2</f>
        <v>5</v>
      </c>
      <c r="I2" s="191" t="str">
        <f>'1_BD questio brut'!G2</f>
        <v>Pas de réponse</v>
      </c>
      <c r="J2" s="191" t="str">
        <f t="array" ref="J2">INDEX('Données 1_BD questio'!C:C,MATCH('1_BD questio brut'!$H$1&amp;'1_BD questio brut'!H2,'Données 1_BD questio'!A:A&amp;'Données 1_BD questio'!B:B,0))</f>
        <v>Maison avec jardin</v>
      </c>
      <c r="K2" s="191">
        <f>'1_BD questio brut'!I2</f>
        <v>108</v>
      </c>
      <c r="L2" s="191" t="str">
        <f>'1_BD questio brut'!J2</f>
        <v>1975-1990</v>
      </c>
      <c r="M2" s="191" t="str">
        <f>'1_BD questio brut'!K2</f>
        <v>6</v>
      </c>
      <c r="N2" s="191" t="str">
        <f>'1_BD questio brut'!L2</f>
        <v>Pas de réponse</v>
      </c>
      <c r="O2" s="191" t="str">
        <f>'1_BD questio brut'!M2</f>
        <v>Propriétaire occupant</v>
      </c>
      <c r="P2" s="191" t="str">
        <f>'1_BD questio brut'!N2</f>
        <v>Insert / foyer fermé</v>
      </c>
      <c r="Q2" s="191" t="str">
        <f>'1_BD questio brut'!O2</f>
        <v>Chauffage de base</v>
      </c>
      <c r="R2" s="191" t="str">
        <f>'1_BD questio brut'!P2</f>
        <v>Tous les jours</v>
      </c>
      <c r="S2" s="191" t="str">
        <f>'1_BD questio brut'!Q2</f>
        <v>6</v>
      </c>
      <c r="T2" s="191" t="str">
        <f>'1_BD questio brut'!R2</f>
        <v>Avant 1990</v>
      </c>
      <c r="U2" s="191" t="str">
        <f>'1_BD questio brut'!S2</f>
        <v>Bois bûche</v>
      </c>
      <c r="V2" s="191" t="str">
        <f>'1_BD questio brut'!T2</f>
        <v/>
      </c>
      <c r="W2" s="191" t="str">
        <f>'1_BD questio brut'!U2</f>
        <v>12</v>
      </c>
      <c r="X2" s="191" t="str">
        <f>'1_BD questio brut'!V2</f>
        <v>stères</v>
      </c>
      <c r="Y2" s="191" t="str">
        <f>'1_BD questio brut'!W2</f>
        <v>1</v>
      </c>
      <c r="Z2" s="191" t="str">
        <f>'1_BD questio brut'!X2</f>
        <v/>
      </c>
      <c r="AA2" s="191" t="str">
        <f t="array" ref="AA2">INDEX('Données 1_BD questio'!C:C,MATCH('1_BD questio brut'!$Y$1&amp;'1_BD questio brut'!Y2,'Données 1_BD questio'!A:A&amp;'Données 1_BD questio'!B:B,0))</f>
        <v>Ne sait pas</v>
      </c>
      <c r="AB2" s="191" t="str">
        <f>'1_BD questio brut'!Z2</f>
        <v>2</v>
      </c>
      <c r="AC2" s="191" t="str">
        <f>'1_BD questio brut'!AA2</f>
        <v>1 à 2 ans</v>
      </c>
      <c r="AD2" s="191" t="str">
        <f>'1_BD questio brut'!AB2</f>
        <v>Les deux</v>
      </c>
      <c r="AE2" s="191" t="str">
        <f t="array" ref="AE2">INDEX('Données 1_BD questio'!C:C,MATCH('1_BD questio brut'!$AC$1&amp;'1_BD questio brut'!AC2,'Données 1_BD questio'!A:A&amp;'Données 1_BD questio'!B:B,0))</f>
        <v>un professionnel</v>
      </c>
      <c r="AF2" s="191" t="str">
        <f>'1_BD questio brut'!AD2</f>
        <v>1 fois par an</v>
      </c>
      <c r="AG2" s="191" t="str">
        <f>'1_BD questio brut'!AE2</f>
        <v/>
      </c>
      <c r="AH2" s="191" t="str">
        <f>'1_BD questio brut'!AF2</f>
        <v>Poêle</v>
      </c>
      <c r="AI2" s="191" t="str">
        <f>'1_BD questio brut'!AG2</f>
        <v>2</v>
      </c>
      <c r="AJ2" s="191" t="str">
        <f>'1_BD questio brut'!AH2</f>
        <v/>
      </c>
      <c r="AK2" s="191" t="str">
        <f>'1_BD questio brut'!AI2</f>
        <v>Chauffage de base</v>
      </c>
      <c r="AL2" s="191" t="str">
        <f>'1_BD questio brut'!AJ2</f>
        <v>Pas de réponse</v>
      </c>
      <c r="AM2" s="191" t="str">
        <f>'1_BD questio brut'!AK2</f>
        <v>1; 2; 5</v>
      </c>
      <c r="AN2" s="191" t="str">
        <f>'1_BD questio brut'!AL2</f>
        <v/>
      </c>
      <c r="AO2" s="191" t="str">
        <f>'1_BD questio brut'!AM2</f>
        <v>5</v>
      </c>
      <c r="AP2" s="191" t="str">
        <f>'1_BD questio brut'!AN2</f>
        <v/>
      </c>
      <c r="AQ2" s="191" t="str">
        <f>'1_BD questio brut'!AO2</f>
        <v/>
      </c>
    </row>
    <row r="3" spans="1:43" ht="43.5" hidden="1">
      <c r="A3" s="98">
        <f>INDEX('3_BD instruction total'!A:A,MATCH(C3,'3_BD instruction total'!F:F,0))</f>
        <v>2020</v>
      </c>
      <c r="B3" s="98" t="str">
        <f>INDEX('3_BD instruction total'!C:C,MATCH(C3,'3_BD instruction total'!F:F,0))</f>
        <v>NC</v>
      </c>
      <c r="C3" s="191" t="str">
        <f>'1_BD questio brut'!A3</f>
        <v>VRB0002</v>
      </c>
      <c r="D3" s="191" t="str">
        <f t="array" ref="D3">INDEX('Données 1_BD questio'!C:C,MATCH('1_BD questio brut'!$B$1&amp;'1_BD questio brut'!B3,'Données 1_BD questio'!A:A&amp;'Données 1_BD questio'!B:B,0))</f>
        <v>CAPV</v>
      </c>
      <c r="E3" s="191" t="str">
        <f t="array" ref="E3">INDEX('Données 1_BD questio'!C:C,MATCH('1_BD questio brut'!$C$1&amp;'1_BD questio brut'!C3,'Données 1_BD questio'!A:A&amp;'Données 1_BD questio'!B:B,0))</f>
        <v>Ouvrier</v>
      </c>
      <c r="F3" s="191" t="str">
        <f t="array" ref="F3">INDEX('Données 1_BD questio'!C:C,MATCH('1_BD questio brut'!$D$1&amp;'1_BD questio brut'!D3,'Données 1_BD questio'!A:A&amp;'Données 1_BD questio'!B:B,0))</f>
        <v>Employé</v>
      </c>
      <c r="G3" s="191" t="str">
        <f>'1_BD questio brut'!E3</f>
        <v>50 à 64 ans</v>
      </c>
      <c r="H3" s="191">
        <f>'1_BD questio brut'!F3</f>
        <v>4</v>
      </c>
      <c r="I3" s="191" t="str">
        <f>'1_BD questio brut'!G3</f>
        <v>Pas de réponse</v>
      </c>
      <c r="J3" s="191" t="str">
        <f t="array" ref="J3">INDEX('Données 1_BD questio'!C:C,MATCH('1_BD questio brut'!$H$1&amp;'1_BD questio brut'!H3,'Données 1_BD questio'!A:A&amp;'Données 1_BD questio'!B:B,0))</f>
        <v>Maison avec jardin</v>
      </c>
      <c r="K3" s="191">
        <f>'1_BD questio brut'!I3</f>
        <v>125</v>
      </c>
      <c r="L3" s="191" t="str">
        <f>'1_BD questio brut'!J3</f>
        <v>1990-2005</v>
      </c>
      <c r="M3" s="191" t="str">
        <f>'1_BD questio brut'!K3</f>
        <v>6</v>
      </c>
      <c r="N3" s="191" t="str">
        <f>'1_BD questio brut'!L3</f>
        <v>Ne sait pas</v>
      </c>
      <c r="O3" s="191" t="str">
        <f>'1_BD questio brut'!M3</f>
        <v>Propriétaire occupant</v>
      </c>
      <c r="P3" s="191" t="str">
        <f>'1_BD questio brut'!N3</f>
        <v>Insert / foyer fermé</v>
      </c>
      <c r="Q3" s="191" t="str">
        <f>'1_BD questio brut'!O3</f>
        <v>Chauffage d'apoint</v>
      </c>
      <c r="R3" s="191" t="str">
        <f>'1_BD questio brut'!P3</f>
        <v>3 à 4 jours/semaine</v>
      </c>
      <c r="S3" s="191" t="str">
        <f>'1_BD questio brut'!Q3</f>
        <v>3; 4; 6</v>
      </c>
      <c r="T3" s="191" t="str">
        <f>'1_BD questio brut'!R3</f>
        <v>1996-2002</v>
      </c>
      <c r="U3" s="191" t="str">
        <f>'1_BD questio brut'!S3</f>
        <v>Bois bûche</v>
      </c>
      <c r="V3" s="191" t="str">
        <f>'1_BD questio brut'!T3</f>
        <v/>
      </c>
      <c r="W3" s="191" t="str">
        <f>'1_BD questio brut'!U3</f>
        <v>12</v>
      </c>
      <c r="X3" s="191" t="str">
        <f>'1_BD questio brut'!V3</f>
        <v>Stères</v>
      </c>
      <c r="Y3" s="191" t="str">
        <f>'1_BD questio brut'!W3</f>
        <v>1</v>
      </c>
      <c r="Z3" s="191" t="str">
        <f>'1_BD questio brut'!X3</f>
        <v/>
      </c>
      <c r="AA3" s="191" t="str">
        <f t="array" ref="AA3">INDEX('Données 1_BD questio'!C:C,MATCH('1_BD questio brut'!$Y$1&amp;'1_BD questio brut'!Y3,'Données 1_BD questio'!A:A&amp;'Données 1_BD questio'!B:B,0))</f>
        <v>Pas de réponse</v>
      </c>
      <c r="AB3" s="191" t="str">
        <f>'1_BD questio brut'!Z3</f>
        <v>2</v>
      </c>
      <c r="AC3" s="191" t="str">
        <f>'1_BD questio brut'!AA3</f>
        <v>&gt; 2 ans</v>
      </c>
      <c r="AD3" s="191" t="str">
        <f>'1_BD questio brut'!AB3</f>
        <v>Feuillus</v>
      </c>
      <c r="AE3" s="191" t="str">
        <f t="array" ref="AE3">INDEX('Données 1_BD questio'!C:C,MATCH('1_BD questio brut'!$AC$1&amp;'1_BD questio brut'!AC3,'Données 1_BD questio'!A:A&amp;'Données 1_BD questio'!B:B,0))</f>
        <v>un professionnel</v>
      </c>
      <c r="AF3" s="191" t="str">
        <f>'1_BD questio brut'!AD3</f>
        <v>1 fois par an</v>
      </c>
      <c r="AG3" s="191" t="str">
        <f>'1_BD questio brut'!AE3</f>
        <v/>
      </c>
      <c r="AH3" s="191" t="str">
        <f>'1_BD questio brut'!AF3</f>
        <v>Poêle</v>
      </c>
      <c r="AI3" s="191" t="str">
        <f>'1_BD questio brut'!AG3</f>
        <v>1</v>
      </c>
      <c r="AJ3" s="191" t="str">
        <f>'1_BD questio brut'!AH3</f>
        <v/>
      </c>
      <c r="AK3" s="191" t="str">
        <f>'1_BD questio brut'!AI3</f>
        <v>Chauffage d'appoint</v>
      </c>
      <c r="AL3" s="191" t="str">
        <f>'1_BD questio brut'!AJ3</f>
        <v>Pas de réponse</v>
      </c>
      <c r="AM3" s="191" t="str">
        <f>'1_BD questio brut'!AK3</f>
        <v>1</v>
      </c>
      <c r="AN3" s="191" t="str">
        <f>'1_BD questio brut'!AL3</f>
        <v/>
      </c>
      <c r="AO3" s="191" t="str">
        <f>'1_BD questio brut'!AM3</f>
        <v>2</v>
      </c>
      <c r="AP3" s="191" t="str">
        <f>'1_BD questio brut'!AN3</f>
        <v/>
      </c>
      <c r="AQ3" s="191" t="str">
        <f>'1_BD questio brut'!AO3</f>
        <v/>
      </c>
    </row>
    <row r="4" spans="1:43" ht="29" hidden="1">
      <c r="A4" s="98">
        <f>INDEX('3_BD instruction total'!A:A,MATCH(C4,'3_BD instruction total'!F:F,0))</f>
        <v>2020</v>
      </c>
      <c r="B4" s="98" t="str">
        <f>INDEX('3_BD instruction total'!C:C,MATCH(C4,'3_BD instruction total'!F:F,0))</f>
        <v>NC</v>
      </c>
      <c r="C4" s="191" t="str">
        <f>'1_BD questio brut'!A4</f>
        <v>VRB0003</v>
      </c>
      <c r="D4" s="191" t="str">
        <f t="array" ref="D4">INDEX('Données 1_BD questio'!C:C,MATCH('1_BD questio brut'!$B$1&amp;'1_BD questio brut'!B4,'Données 1_BD questio'!A:A&amp;'Données 1_BD questio'!B:B,0))</f>
        <v>CAPV</v>
      </c>
      <c r="E4" s="191" t="str">
        <f t="array" ref="E4">INDEX('Données 1_BD questio'!C:C,MATCH('1_BD questio brut'!$C$1&amp;'1_BD questio brut'!C4,'Données 1_BD questio'!A:A&amp;'Données 1_BD questio'!B:B,0))</f>
        <v>Employé</v>
      </c>
      <c r="F4" s="191" t="str">
        <f t="array" ref="F4">INDEX('Données 1_BD questio'!C:C,MATCH('1_BD questio brut'!$D$1&amp;'1_BD questio brut'!D4,'Données 1_BD questio'!A:A&amp;'Données 1_BD questio'!B:B,0))</f>
        <v>Pas de réponse</v>
      </c>
      <c r="G4" s="191" t="str">
        <f>'1_BD questio brut'!E4</f>
        <v>50 à 64 ans</v>
      </c>
      <c r="H4" s="191">
        <f>'1_BD questio brut'!F4</f>
        <v>2</v>
      </c>
      <c r="I4" s="191" t="str">
        <f>'1_BD questio brut'!G4</f>
        <v>Pas de réponse</v>
      </c>
      <c r="J4" s="191" t="str">
        <f t="array" ref="J4">INDEX('Données 1_BD questio'!C:C,MATCH('1_BD questio brut'!$H$1&amp;'1_BD questio brut'!H4,'Données 1_BD questio'!A:A&amp;'Données 1_BD questio'!B:B,0))</f>
        <v>Maison avec jardin</v>
      </c>
      <c r="K4" s="191">
        <f>'1_BD questio brut'!I4</f>
        <v>90</v>
      </c>
      <c r="L4" s="191" t="str">
        <f>'1_BD questio brut'!J4</f>
        <v>1975-1990</v>
      </c>
      <c r="M4" s="191" t="str">
        <f>'1_BD questio brut'!K4</f>
        <v>6</v>
      </c>
      <c r="N4" s="191" t="str">
        <f>'1_BD questio brut'!L4</f>
        <v>Pas de réponse</v>
      </c>
      <c r="O4" s="191" t="str">
        <f>'1_BD questio brut'!M4</f>
        <v>Propriétaire occupant</v>
      </c>
      <c r="P4" s="191" t="str">
        <f>'1_BD questio brut'!N4</f>
        <v>Insert / foyer fermé</v>
      </c>
      <c r="Q4" s="191" t="str">
        <f>'1_BD questio brut'!O4</f>
        <v>Chauffage de base</v>
      </c>
      <c r="R4" s="191" t="str">
        <f>'1_BD questio brut'!P4</f>
        <v>Tous les jours</v>
      </c>
      <c r="S4" s="191" t="str">
        <f>'1_BD questio brut'!Q4</f>
        <v>1; 2; 6</v>
      </c>
      <c r="T4" s="191" t="str">
        <f>'1_BD questio brut'!R4</f>
        <v>Avant 1990</v>
      </c>
      <c r="U4" s="191" t="str">
        <f>'1_BD questio brut'!S4</f>
        <v>Bois bûche</v>
      </c>
      <c r="V4" s="191" t="str">
        <f>'1_BD questio brut'!T4</f>
        <v/>
      </c>
      <c r="W4" s="191" t="str">
        <f>'1_BD questio brut'!U4</f>
        <v>10</v>
      </c>
      <c r="X4" s="191" t="str">
        <f>'1_BD questio brut'!V4</f>
        <v>m3</v>
      </c>
      <c r="Y4" s="191" t="str">
        <f>'1_BD questio brut'!W4</f>
        <v>2</v>
      </c>
      <c r="Z4" s="191" t="str">
        <f>'1_BD questio brut'!X4</f>
        <v/>
      </c>
      <c r="AA4" s="191" t="str">
        <f t="array" ref="AA4">INDEX('Données 1_BD questio'!C:C,MATCH('1_BD questio brut'!$Y$1&amp;'1_BD questio brut'!Y4,'Données 1_BD questio'!A:A&amp;'Données 1_BD questio'!B:B,0))</f>
        <v>Ne sait pas</v>
      </c>
      <c r="AB4" s="191" t="str">
        <f>'1_BD questio brut'!Z4</f>
        <v>2</v>
      </c>
      <c r="AC4" s="191" t="str">
        <f>'1_BD questio brut'!AA4</f>
        <v>&gt; 2 ans</v>
      </c>
      <c r="AD4" s="191" t="str">
        <f>'1_BD questio brut'!AB4</f>
        <v>Feuillus</v>
      </c>
      <c r="AE4" s="191" t="str">
        <f t="array" ref="AE4">INDEX('Données 1_BD questio'!C:C,MATCH('1_BD questio brut'!$AC$1&amp;'1_BD questio brut'!AC4,'Données 1_BD questio'!A:A&amp;'Données 1_BD questio'!B:B,0))</f>
        <v>vous-même</v>
      </c>
      <c r="AF4" s="191" t="str">
        <f>'1_BD questio brut'!AD4</f>
        <v>1 fois par an</v>
      </c>
      <c r="AG4" s="191" t="str">
        <f>'1_BD questio brut'!AE4</f>
        <v/>
      </c>
      <c r="AH4" s="191" t="str">
        <f>'1_BD questio brut'!AF4</f>
        <v>Poêle</v>
      </c>
      <c r="AI4" s="191" t="str">
        <f>'1_BD questio brut'!AG4</f>
        <v>2</v>
      </c>
      <c r="AJ4" s="191" t="str">
        <f>'1_BD questio brut'!AH4</f>
        <v/>
      </c>
      <c r="AK4" s="191" t="str">
        <f>'1_BD questio brut'!AI4</f>
        <v>Chauffage de base</v>
      </c>
      <c r="AL4" s="191" t="str">
        <f>'1_BD questio brut'!AJ4</f>
        <v>Pas de réponse</v>
      </c>
      <c r="AM4" s="191" t="str">
        <f>'1_BD questio brut'!AK4</f>
        <v>1; 3; 5</v>
      </c>
      <c r="AN4" s="191" t="str">
        <f>'1_BD questio brut'!AL4</f>
        <v/>
      </c>
      <c r="AO4" s="191" t="str">
        <f>'1_BD questio brut'!AM4</f>
        <v>5</v>
      </c>
      <c r="AP4" s="191" t="str">
        <f>'1_BD questio brut'!AN4</f>
        <v/>
      </c>
      <c r="AQ4" s="191" t="str">
        <f>'1_BD questio brut'!AO4</f>
        <v/>
      </c>
    </row>
    <row r="5" spans="1:43" ht="43.5" hidden="1">
      <c r="A5" s="98" t="e">
        <f>INDEX('3_BD instruction total'!A:A,MATCH(C5,'3_BD instruction total'!F:F,0))</f>
        <v>#VALUE!</v>
      </c>
      <c r="B5" s="98" t="str">
        <f>INDEX('3_BD instruction total'!C:C,MATCH(C5,'3_BD instruction total'!F:F,0))</f>
        <v>NC</v>
      </c>
      <c r="C5" s="191" t="str">
        <f>'1_BD questio brut'!A5</f>
        <v>VRB0004</v>
      </c>
      <c r="D5" s="191" t="str">
        <f t="array" ref="D5">INDEX('Données 1_BD questio'!C:C,MATCH('1_BD questio brut'!$B$1&amp;'1_BD questio brut'!B5,'Données 1_BD questio'!A:A&amp;'Données 1_BD questio'!B:B,0))</f>
        <v>CAPV</v>
      </c>
      <c r="E5" s="191" t="str">
        <f t="array" ref="E5">INDEX('Données 1_BD questio'!C:C,MATCH('1_BD questio brut'!$C$1&amp;'1_BD questio brut'!C5,'Données 1_BD questio'!A:A&amp;'Données 1_BD questio'!B:B,0))</f>
        <v>Profession intermédiaire</v>
      </c>
      <c r="F5" s="191" t="str">
        <f t="array" ref="F5">INDEX('Données 1_BD questio'!C:C,MATCH('1_BD questio brut'!$D$1&amp;'1_BD questio brut'!D5,'Données 1_BD questio'!A:A&amp;'Données 1_BD questio'!B:B,0))</f>
        <v>Retraité</v>
      </c>
      <c r="G5" s="191" t="str">
        <f>'1_BD questio brut'!E5</f>
        <v>50 à 64 ans</v>
      </c>
      <c r="H5" s="191">
        <f>'1_BD questio brut'!F5</f>
        <v>2</v>
      </c>
      <c r="I5" s="191" t="str">
        <f>'1_BD questio brut'!G5</f>
        <v>Pas de réponse</v>
      </c>
      <c r="J5" s="191" t="str">
        <f t="array" ref="J5">INDEX('Données 1_BD questio'!C:C,MATCH('1_BD questio brut'!$H$1&amp;'1_BD questio brut'!H5,'Données 1_BD questio'!A:A&amp;'Données 1_BD questio'!B:B,0))</f>
        <v>Maison avec jardin</v>
      </c>
      <c r="K5" s="191">
        <f>'1_BD questio brut'!I5</f>
        <v>88</v>
      </c>
      <c r="L5" s="191" t="str">
        <f>'1_BD questio brut'!J5</f>
        <v>1975-1990</v>
      </c>
      <c r="M5" s="191" t="str">
        <f>'1_BD questio brut'!K5</f>
        <v>1</v>
      </c>
      <c r="N5" s="191" t="str">
        <f>'1_BD questio brut'!L5</f>
        <v>Ne sait pas</v>
      </c>
      <c r="O5" s="191" t="str">
        <f>'1_BD questio brut'!M5</f>
        <v>Propriétaire occupant</v>
      </c>
      <c r="P5" s="191" t="str">
        <f>'1_BD questio brut'!N5</f>
        <v>Insert / foyer fermé</v>
      </c>
      <c r="Q5" s="191" t="str">
        <f>'1_BD questio brut'!O5</f>
        <v>Chauffage de base</v>
      </c>
      <c r="R5" s="191" t="str">
        <f>'1_BD questio brut'!P5</f>
        <v>Tous les jours</v>
      </c>
      <c r="S5" s="191" t="str">
        <f>'1_BD questio brut'!Q5</f>
        <v>2; 3</v>
      </c>
      <c r="T5" s="191" t="str">
        <f>'1_BD questio brut'!R5</f>
        <v>Avant 1990</v>
      </c>
      <c r="U5" s="191" t="str">
        <f>'1_BD questio brut'!S5</f>
        <v>Bois bûche</v>
      </c>
      <c r="V5" s="191" t="str">
        <f>'1_BD questio brut'!T5</f>
        <v/>
      </c>
      <c r="W5" s="191" t="str">
        <f>'1_BD questio brut'!U5</f>
        <v>12</v>
      </c>
      <c r="X5" s="191" t="str">
        <f>'1_BD questio brut'!V5</f>
        <v>stères</v>
      </c>
      <c r="Y5" s="191" t="str">
        <f>'1_BD questio brut'!W5</f>
        <v>3</v>
      </c>
      <c r="Z5" s="191" t="str">
        <f>'1_BD questio brut'!X5</f>
        <v/>
      </c>
      <c r="AA5" s="191" t="str">
        <f t="array" ref="AA5">INDEX('Données 1_BD questio'!C:C,MATCH('1_BD questio brut'!$Y$1&amp;'1_BD questio brut'!Y5,'Données 1_BD questio'!A:A&amp;'Données 1_BD questio'!B:B,0))</f>
        <v>Ne sait pas</v>
      </c>
      <c r="AB5" s="191" t="str">
        <f>'1_BD questio brut'!Z5</f>
        <v>2</v>
      </c>
      <c r="AC5" s="191" t="str">
        <f>'1_BD questio brut'!AA5</f>
        <v>1 à 2 ans</v>
      </c>
      <c r="AD5" s="191" t="str">
        <f>'1_BD questio brut'!AB5</f>
        <v>Feuillus</v>
      </c>
      <c r="AE5" s="191" t="str">
        <f t="array" ref="AE5">INDEX('Données 1_BD questio'!C:C,MATCH('1_BD questio brut'!$AC$1&amp;'1_BD questio brut'!AC5,'Données 1_BD questio'!A:A&amp;'Données 1_BD questio'!B:B,0))</f>
        <v>un professionnel</v>
      </c>
      <c r="AF5" s="191" t="str">
        <f>'1_BD questio brut'!AD5</f>
        <v>2 fois par an</v>
      </c>
      <c r="AG5" s="191" t="str">
        <f>'1_BD questio brut'!AE5</f>
        <v/>
      </c>
      <c r="AH5" s="191" t="str">
        <f>'1_BD questio brut'!AF5</f>
        <v>Poêle</v>
      </c>
      <c r="AI5" s="191" t="str">
        <f>'1_BD questio brut'!AG5</f>
        <v>1</v>
      </c>
      <c r="AJ5" s="191" t="str">
        <f>'1_BD questio brut'!AH5</f>
        <v/>
      </c>
      <c r="AK5" s="191" t="str">
        <f>'1_BD questio brut'!AI5</f>
        <v>Chauffage de base</v>
      </c>
      <c r="AL5" s="191" t="str">
        <f>'1_BD questio brut'!AJ5</f>
        <v>Pas de réponse</v>
      </c>
      <c r="AM5" s="191" t="str">
        <f>'1_BD questio brut'!AK5</f>
        <v>2; 4</v>
      </c>
      <c r="AN5" s="191" t="str">
        <f>'1_BD questio brut'!AL5</f>
        <v/>
      </c>
      <c r="AO5" s="191" t="str">
        <f>'1_BD questio brut'!AM5</f>
        <v>5</v>
      </c>
      <c r="AP5" s="191" t="str">
        <f>'1_BD questio brut'!AN5</f>
        <v/>
      </c>
      <c r="AQ5" s="191" t="str">
        <f>'1_BD questio brut'!AO5</f>
        <v/>
      </c>
    </row>
    <row r="6" spans="1:43" ht="43.5" hidden="1">
      <c r="A6" s="98">
        <f>INDEX('3_BD instruction total'!A:A,MATCH(C6,'3_BD instruction total'!F:F,0))</f>
        <v>2020</v>
      </c>
      <c r="B6" s="98" t="str">
        <f>INDEX('3_BD instruction total'!C:C,MATCH(C6,'3_BD instruction total'!F:F,0))</f>
        <v>région</v>
      </c>
      <c r="C6" s="191" t="str">
        <f>'1_BD questio brut'!A6</f>
        <v>VRB0005</v>
      </c>
      <c r="D6" s="191" t="str">
        <f t="array" ref="D6">INDEX('Données 1_BD questio'!C:C,MATCH('1_BD questio brut'!$B$1&amp;'1_BD questio brut'!B6,'Données 1_BD questio'!A:A&amp;'Données 1_BD questio'!B:B,0))</f>
        <v>CAPV</v>
      </c>
      <c r="E6" s="191" t="str">
        <f t="array" ref="E6">INDEX('Données 1_BD questio'!C:C,MATCH('1_BD questio brut'!$C$1&amp;'1_BD questio brut'!C6,'Données 1_BD questio'!A:A&amp;'Données 1_BD questio'!B:B,0))</f>
        <v>Retraité</v>
      </c>
      <c r="F6" s="191" t="str">
        <f t="array" ref="F6">INDEX('Données 1_BD questio'!C:C,MATCH('1_BD questio brut'!$D$1&amp;'1_BD questio brut'!D6,'Données 1_BD questio'!A:A&amp;'Données 1_BD questio'!B:B,0))</f>
        <v>Retraité</v>
      </c>
      <c r="G6" s="191" t="str">
        <f>'1_BD questio brut'!E6</f>
        <v>65 ans et plus</v>
      </c>
      <c r="H6" s="191">
        <f>'1_BD questio brut'!F6</f>
        <v>2</v>
      </c>
      <c r="I6" s="191" t="str">
        <f>'1_BD questio brut'!G6</f>
        <v>Pas de réponse</v>
      </c>
      <c r="J6" s="191" t="str">
        <f t="array" ref="J6">INDEX('Données 1_BD questio'!C:C,MATCH('1_BD questio brut'!$H$1&amp;'1_BD questio brut'!H6,'Données 1_BD questio'!A:A&amp;'Données 1_BD questio'!B:B,0))</f>
        <v>Maison avec jardin</v>
      </c>
      <c r="K6" s="191">
        <f>'1_BD questio brut'!I6</f>
        <v>120</v>
      </c>
      <c r="L6" s="191" t="str">
        <f>'1_BD questio brut'!J6</f>
        <v>1975-1990</v>
      </c>
      <c r="M6" s="191" t="str">
        <f>'1_BD questio brut'!K6</f>
        <v>4</v>
      </c>
      <c r="N6" s="191" t="str">
        <f>'1_BD questio brut'!L6</f>
        <v>Pas de réponse</v>
      </c>
      <c r="O6" s="191" t="str">
        <f>'1_BD questio brut'!M6</f>
        <v>Propriétaire occupant</v>
      </c>
      <c r="P6" s="191" t="str">
        <f>'1_BD questio brut'!N6</f>
        <v>Insert / foyer fermé</v>
      </c>
      <c r="Q6" s="191" t="str">
        <f>'1_BD questio brut'!O6</f>
        <v>Chauffage d'apoint</v>
      </c>
      <c r="R6" s="191" t="str">
        <f>'1_BD questio brut'!P6</f>
        <v>Tous les jours</v>
      </c>
      <c r="S6" s="191" t="str">
        <f>'1_BD questio brut'!Q6</f>
        <v>2; 4</v>
      </c>
      <c r="T6" s="191" t="str">
        <f>'1_BD questio brut'!R6</f>
        <v>1990-1995</v>
      </c>
      <c r="U6" s="191" t="str">
        <f>'1_BD questio brut'!S6</f>
        <v>Bois bûche</v>
      </c>
      <c r="V6" s="191" t="str">
        <f>'1_BD questio brut'!T6</f>
        <v/>
      </c>
      <c r="W6" s="191" t="str">
        <f>'1_BD questio brut'!U6</f>
        <v>8</v>
      </c>
      <c r="X6" s="191" t="str">
        <f>'1_BD questio brut'!V6</f>
        <v>stères</v>
      </c>
      <c r="Y6" s="191" t="str">
        <f>'1_BD questio brut'!W6</f>
        <v>2</v>
      </c>
      <c r="Z6" s="191" t="str">
        <f>'1_BD questio brut'!X6</f>
        <v/>
      </c>
      <c r="AA6" s="191" t="str">
        <f t="array" ref="AA6">INDEX('Données 1_BD questio'!C:C,MATCH('1_BD questio brut'!$Y$1&amp;'1_BD questio brut'!Y6,'Données 1_BD questio'!A:A&amp;'Données 1_BD questio'!B:B,0))</f>
        <v>RA2B</v>
      </c>
      <c r="AB6" s="191" t="str">
        <f>'1_BD questio brut'!Z6</f>
        <v>2</v>
      </c>
      <c r="AC6" s="191" t="str">
        <f>'1_BD questio brut'!AA6</f>
        <v>1 à 2 ans</v>
      </c>
      <c r="AD6" s="191" t="str">
        <f>'1_BD questio brut'!AB6</f>
        <v>Feuillus</v>
      </c>
      <c r="AE6" s="191" t="str">
        <f t="array" ref="AE6">INDEX('Données 1_BD questio'!C:C,MATCH('1_BD questio brut'!$AC$1&amp;'1_BD questio brut'!AC6,'Données 1_BD questio'!A:A&amp;'Données 1_BD questio'!B:B,0))</f>
        <v>un professionnel</v>
      </c>
      <c r="AF6" s="191" t="str">
        <f>'1_BD questio brut'!AD6</f>
        <v>1 fois par an</v>
      </c>
      <c r="AG6" s="191" t="str">
        <f>'1_BD questio brut'!AE6</f>
        <v/>
      </c>
      <c r="AH6" s="191" t="str">
        <f>'1_BD questio brut'!AF6</f>
        <v>Poêle</v>
      </c>
      <c r="AI6" s="191" t="str">
        <f>'1_BD questio brut'!AG6</f>
        <v>2</v>
      </c>
      <c r="AJ6" s="191" t="str">
        <f>'1_BD questio brut'!AH6</f>
        <v/>
      </c>
      <c r="AK6" s="191" t="str">
        <f>'1_BD questio brut'!AI6</f>
        <v>Chauffage de base</v>
      </c>
      <c r="AL6" s="191" t="str">
        <f>'1_BD questio brut'!AJ6</f>
        <v>Pas de réponse</v>
      </c>
      <c r="AM6" s="191" t="str">
        <f>'1_BD questio brut'!AK6</f>
        <v>4; 5</v>
      </c>
      <c r="AN6" s="191" t="str">
        <f>'1_BD questio brut'!AL6</f>
        <v/>
      </c>
      <c r="AO6" s="191" t="str">
        <f>'1_BD questio brut'!AM6</f>
        <v>5</v>
      </c>
      <c r="AP6" s="191" t="str">
        <f>'1_BD questio brut'!AN6</f>
        <v/>
      </c>
      <c r="AQ6" s="191" t="str">
        <f>'1_BD questio brut'!AO6</f>
        <v/>
      </c>
    </row>
    <row r="7" spans="1:43" ht="43.5" hidden="1">
      <c r="A7" s="98">
        <f>INDEX('3_BD instruction total'!A:A,MATCH(C7,'3_BD instruction total'!F:F,0))</f>
        <v>2020</v>
      </c>
      <c r="B7" s="98" t="str">
        <f>INDEX('3_BD instruction total'!C:C,MATCH(C7,'3_BD instruction total'!F:F,0))</f>
        <v>région</v>
      </c>
      <c r="C7" s="191" t="str">
        <f>'1_BD questio brut'!A7</f>
        <v>VRB0006</v>
      </c>
      <c r="D7" s="191" t="str">
        <f t="array" ref="D7">INDEX('Données 1_BD questio'!C:C,MATCH('1_BD questio brut'!$B$1&amp;'1_BD questio brut'!B7,'Données 1_BD questio'!A:A&amp;'Données 1_BD questio'!B:B,0))</f>
        <v>CAPV</v>
      </c>
      <c r="E7" s="191" t="str">
        <f t="array" ref="E7">INDEX('Données 1_BD questio'!C:C,MATCH('1_BD questio brut'!$C$1&amp;'1_BD questio brut'!C7,'Données 1_BD questio'!A:A&amp;'Données 1_BD questio'!B:B,0))</f>
        <v>Cadre</v>
      </c>
      <c r="F7" s="191" t="str">
        <f t="array" ref="F7">INDEX('Données 1_BD questio'!C:C,MATCH('1_BD questio brut'!$D$1&amp;'1_BD questio brut'!D7,'Données 1_BD questio'!A:A&amp;'Données 1_BD questio'!B:B,0))</f>
        <v>Pas de réponse</v>
      </c>
      <c r="G7" s="191" t="str">
        <f>'1_BD questio brut'!E7</f>
        <v>50 à 64 ans</v>
      </c>
      <c r="H7" s="191">
        <f>'1_BD questio brut'!F7</f>
        <v>3</v>
      </c>
      <c r="I7" s="191" t="str">
        <f>'1_BD questio brut'!G7</f>
        <v>Pas de réponse</v>
      </c>
      <c r="J7" s="191" t="str">
        <f t="array" ref="J7">INDEX('Données 1_BD questio'!C:C,MATCH('1_BD questio brut'!$H$1&amp;'1_BD questio brut'!H7,'Données 1_BD questio'!A:A&amp;'Données 1_BD questio'!B:B,0))</f>
        <v>Maison avec jardin</v>
      </c>
      <c r="K7" s="191">
        <f>'1_BD questio brut'!I7</f>
        <v>120</v>
      </c>
      <c r="L7" s="191" t="str">
        <f>'1_BD questio brut'!J7</f>
        <v>Avant 1949</v>
      </c>
      <c r="M7" s="191" t="str">
        <f>'1_BD questio brut'!K7</f>
        <v>4</v>
      </c>
      <c r="N7" s="191" t="str">
        <f>'1_BD questio brut'!L7</f>
        <v>Ne sait pas</v>
      </c>
      <c r="O7" s="191" t="str">
        <f>'1_BD questio brut'!M7</f>
        <v>Propriétaire occupant</v>
      </c>
      <c r="P7" s="191" t="str">
        <f>'1_BD questio brut'!N7</f>
        <v>Insert / foyer fermé</v>
      </c>
      <c r="Q7" s="191" t="str">
        <f>'1_BD questio brut'!O7</f>
        <v>Plaisir/agrément</v>
      </c>
      <c r="R7" s="191" t="str">
        <f>'1_BD questio brut'!P7</f>
        <v>Tous les jours</v>
      </c>
      <c r="S7" s="191" t="str">
        <f>'1_BD questio brut'!Q7</f>
        <v>1; 2; 3; 4; 5; 6</v>
      </c>
      <c r="T7" s="191" t="str">
        <f>'1_BD questio brut'!R7</f>
        <v>1990-1995</v>
      </c>
      <c r="U7" s="191" t="str">
        <f>'1_BD questio brut'!S7</f>
        <v>Bois bûche</v>
      </c>
      <c r="V7" s="191" t="str">
        <f>'1_BD questio brut'!T7</f>
        <v/>
      </c>
      <c r="W7" s="191" t="str">
        <f>'1_BD questio brut'!U7</f>
        <v>10</v>
      </c>
      <c r="X7" s="191" t="str">
        <f>'1_BD questio brut'!V7</f>
        <v>stères</v>
      </c>
      <c r="Y7" s="191" t="str">
        <f>'1_BD questio brut'!W7</f>
        <v>2</v>
      </c>
      <c r="Z7" s="191" t="str">
        <f>'1_BD questio brut'!X7</f>
        <v/>
      </c>
      <c r="AA7" s="191" t="str">
        <f t="array" ref="AA7">INDEX('Données 1_BD questio'!C:C,MATCH('1_BD questio brut'!$Y$1&amp;'1_BD questio brut'!Y7,'Données 1_BD questio'!A:A&amp;'Données 1_BD questio'!B:B,0))</f>
        <v>Rhône-Alpes hors RA2B</v>
      </c>
      <c r="AB7" s="191" t="str">
        <f>'1_BD questio brut'!Z7</f>
        <v>2</v>
      </c>
      <c r="AC7" s="191" t="str">
        <f>'1_BD questio brut'!AA7</f>
        <v>1 à 2 ans</v>
      </c>
      <c r="AD7" s="191" t="str">
        <f>'1_BD questio brut'!AB7</f>
        <v>Feuillus</v>
      </c>
      <c r="AE7" s="191" t="str">
        <f t="array" ref="AE7">INDEX('Données 1_BD questio'!C:C,MATCH('1_BD questio brut'!$AC$1&amp;'1_BD questio brut'!AC7,'Données 1_BD questio'!A:A&amp;'Données 1_BD questio'!B:B,0))</f>
        <v>un professionnel</v>
      </c>
      <c r="AF7" s="191" t="str">
        <f>'1_BD questio brut'!AD7</f>
        <v>1 fois par an</v>
      </c>
      <c r="AG7" s="191" t="str">
        <f>'1_BD questio brut'!AE7</f>
        <v/>
      </c>
      <c r="AH7" s="191" t="str">
        <f>'1_BD questio brut'!AF7</f>
        <v>Cuisinière</v>
      </c>
      <c r="AI7" s="191" t="str">
        <f>'1_BD questio brut'!AG7</f>
        <v>1</v>
      </c>
      <c r="AJ7" s="191" t="str">
        <f>'1_BD questio brut'!AH7</f>
        <v/>
      </c>
      <c r="AK7" s="191" t="str">
        <f>'1_BD questio brut'!AI7</f>
        <v>Chauffage de base</v>
      </c>
      <c r="AL7" s="191" t="str">
        <f>'1_BD questio brut'!AJ7</f>
        <v>Pas de réponse</v>
      </c>
      <c r="AM7" s="191" t="str">
        <f>'1_BD questio brut'!AK7</f>
        <v>2; 4; 5; 6</v>
      </c>
      <c r="AN7" s="191" t="str">
        <f>'1_BD questio brut'!AL7</f>
        <v>Cuisiner au bois</v>
      </c>
      <c r="AO7" s="191" t="str">
        <f>'1_BD questio brut'!AM7</f>
        <v>2</v>
      </c>
      <c r="AP7" s="191" t="str">
        <f>'1_BD questio brut'!AN7</f>
        <v/>
      </c>
      <c r="AQ7" s="191" t="str">
        <f>'1_BD questio brut'!AO7</f>
        <v/>
      </c>
    </row>
    <row r="8" spans="1:43" ht="43.5" hidden="1">
      <c r="A8" s="98">
        <f>INDEX('3_BD instruction total'!A:A,MATCH(C8,'3_BD instruction total'!F:F,0))</f>
        <v>2020</v>
      </c>
      <c r="B8" s="98" t="str">
        <f>INDEX('3_BD instruction total'!C:C,MATCH(C8,'3_BD instruction total'!F:F,0))</f>
        <v>région</v>
      </c>
      <c r="C8" s="191" t="str">
        <f>'1_BD questio brut'!A8</f>
        <v>VRB0007</v>
      </c>
      <c r="D8" s="191" t="str">
        <f t="array" ref="D8">INDEX('Données 1_BD questio'!C:C,MATCH('1_BD questio brut'!$B$1&amp;'1_BD questio brut'!B8,'Données 1_BD questio'!A:A&amp;'Données 1_BD questio'!B:B,0))</f>
        <v>CAPV</v>
      </c>
      <c r="E8" s="191" t="str">
        <f t="array" ref="E8">INDEX('Données 1_BD questio'!C:C,MATCH('1_BD questio brut'!$C$1&amp;'1_BD questio brut'!C8,'Données 1_BD questio'!A:A&amp;'Données 1_BD questio'!B:B,0))</f>
        <v>Retraité</v>
      </c>
      <c r="F8" s="191" t="str">
        <f t="array" ref="F8">INDEX('Données 1_BD questio'!C:C,MATCH('1_BD questio brut'!$D$1&amp;'1_BD questio brut'!D8,'Données 1_BD questio'!A:A&amp;'Données 1_BD questio'!B:B,0))</f>
        <v>Retraité</v>
      </c>
      <c r="G8" s="191" t="str">
        <f>'1_BD questio brut'!E8</f>
        <v>65 ans et plus</v>
      </c>
      <c r="H8" s="191">
        <f>'1_BD questio brut'!F8</f>
        <v>2</v>
      </c>
      <c r="I8" s="191" t="str">
        <f>'1_BD questio brut'!G8</f>
        <v>Pas de réponse</v>
      </c>
      <c r="J8" s="191" t="str">
        <f t="array" ref="J8">INDEX('Données 1_BD questio'!C:C,MATCH('1_BD questio brut'!$H$1&amp;'1_BD questio brut'!H8,'Données 1_BD questio'!A:A&amp;'Données 1_BD questio'!B:B,0))</f>
        <v>Maison avec jardin</v>
      </c>
      <c r="K8" s="191">
        <f>'1_BD questio brut'!I8</f>
        <v>138</v>
      </c>
      <c r="L8" s="191" t="str">
        <f>'1_BD questio brut'!J8</f>
        <v>1975-1990</v>
      </c>
      <c r="M8" s="191" t="str">
        <f>'1_BD questio brut'!K8</f>
        <v>1</v>
      </c>
      <c r="N8" s="191" t="str">
        <f>'1_BD questio brut'!L8</f>
        <v>D</v>
      </c>
      <c r="O8" s="191" t="str">
        <f>'1_BD questio brut'!M8</f>
        <v>Propriétaire occupant</v>
      </c>
      <c r="P8" s="191" t="str">
        <f>'1_BD questio brut'!N8</f>
        <v>Foyer ouvert</v>
      </c>
      <c r="Q8" s="191" t="str">
        <f>'1_BD questio brut'!O8</f>
        <v>Chauffage de base</v>
      </c>
      <c r="R8" s="191" t="str">
        <f>'1_BD questio brut'!P8</f>
        <v>Tous les jours</v>
      </c>
      <c r="S8" s="191" t="str">
        <f>'1_BD questio brut'!Q8</f>
        <v>4; 5; 6</v>
      </c>
      <c r="T8" s="191" t="str">
        <f>'1_BD questio brut'!R8</f>
        <v>1990-1995</v>
      </c>
      <c r="U8" s="191" t="str">
        <f>'1_BD questio brut'!S8</f>
        <v>Bois bûche</v>
      </c>
      <c r="V8" s="191" t="str">
        <f>'1_BD questio brut'!T8</f>
        <v/>
      </c>
      <c r="W8" s="191" t="str">
        <f>'1_BD questio brut'!U8</f>
        <v>12</v>
      </c>
      <c r="X8" s="191" t="str">
        <f>'1_BD questio brut'!V8</f>
        <v>stères</v>
      </c>
      <c r="Y8" s="191" t="str">
        <f>'1_BD questio brut'!W8</f>
        <v>2</v>
      </c>
      <c r="Z8" s="191" t="str">
        <f>'1_BD questio brut'!X8</f>
        <v/>
      </c>
      <c r="AA8" s="191" t="str">
        <f t="array" ref="AA8">INDEX('Données 1_BD questio'!C:C,MATCH('1_BD questio brut'!$Y$1&amp;'1_BD questio brut'!Y8,'Données 1_BD questio'!A:A&amp;'Données 1_BD questio'!B:B,0))</f>
        <v>Rhône-Alpes hors RA2B</v>
      </c>
      <c r="AB8" s="191" t="str">
        <f>'1_BD questio brut'!Z8</f>
        <v>2</v>
      </c>
      <c r="AC8" s="191" t="str">
        <f>'1_BD questio brut'!AA8</f>
        <v>&gt; 2 ans</v>
      </c>
      <c r="AD8" s="191" t="str">
        <f>'1_BD questio brut'!AB8</f>
        <v>Feuillus</v>
      </c>
      <c r="AE8" s="191" t="str">
        <f t="array" ref="AE8">INDEX('Données 1_BD questio'!C:C,MATCH('1_BD questio brut'!$AC$1&amp;'1_BD questio brut'!AC8,'Données 1_BD questio'!A:A&amp;'Données 1_BD questio'!B:B,0))</f>
        <v>un professionnel</v>
      </c>
      <c r="AF8" s="191" t="str">
        <f>'1_BD questio brut'!AD8</f>
        <v>2 fois par an</v>
      </c>
      <c r="AG8" s="191" t="str">
        <f>'1_BD questio brut'!AE8</f>
        <v/>
      </c>
      <c r="AH8" s="191" t="str">
        <f>'1_BD questio brut'!AF8</f>
        <v>Insert cheminée</v>
      </c>
      <c r="AI8" s="191" t="str">
        <f>'1_BD questio brut'!AG8</f>
        <v>1</v>
      </c>
      <c r="AJ8" s="191" t="str">
        <f>'1_BD questio brut'!AH8</f>
        <v/>
      </c>
      <c r="AK8" s="191" t="str">
        <f>'1_BD questio brut'!AI8</f>
        <v>Chauffage de base</v>
      </c>
      <c r="AL8" s="191" t="str">
        <f>'1_BD questio brut'!AJ8</f>
        <v>Pas de réponse</v>
      </c>
      <c r="AM8" s="191" t="str">
        <f>'1_BD questio brut'!AK8</f>
        <v>2; 4; 5</v>
      </c>
      <c r="AN8" s="191" t="str">
        <f>'1_BD questio brut'!AL8</f>
        <v/>
      </c>
      <c r="AO8" s="191" t="str">
        <f>'1_BD questio brut'!AM8</f>
        <v>5</v>
      </c>
      <c r="AP8" s="191" t="str">
        <f>'1_BD questio brut'!AN8</f>
        <v/>
      </c>
      <c r="AQ8" s="191" t="str">
        <f>'1_BD questio brut'!AO8</f>
        <v/>
      </c>
    </row>
    <row r="9" spans="1:43" ht="43.5" hidden="1">
      <c r="A9" s="98">
        <f>INDEX('3_BD instruction total'!A:A,MATCH(C9,'3_BD instruction total'!F:F,0))</f>
        <v>2020</v>
      </c>
      <c r="B9" s="98" t="str">
        <f>INDEX('3_BD instruction total'!C:C,MATCH(C9,'3_BD instruction total'!F:F,0))</f>
        <v>région</v>
      </c>
      <c r="C9" s="191" t="str">
        <f>'1_BD questio brut'!A9</f>
        <v>VRB0012</v>
      </c>
      <c r="D9" s="191" t="str">
        <f t="array" ref="D9">INDEX('Données 1_BD questio'!C:C,MATCH('1_BD questio brut'!$B$1&amp;'1_BD questio brut'!B9,'Données 1_BD questio'!A:A&amp;'Données 1_BD questio'!B:B,0))</f>
        <v>CAPV</v>
      </c>
      <c r="E9" s="191" t="str">
        <f t="array" ref="E9">INDEX('Données 1_BD questio'!C:C,MATCH('1_BD questio brut'!$C$1&amp;'1_BD questio brut'!C9,'Données 1_BD questio'!A:A&amp;'Données 1_BD questio'!B:B,0))</f>
        <v>Cadre</v>
      </c>
      <c r="F9" s="191" t="str">
        <f t="array" ref="F9">INDEX('Données 1_BD questio'!C:C,MATCH('1_BD questio brut'!$D$1&amp;'1_BD questio brut'!D9,'Données 1_BD questio'!A:A&amp;'Données 1_BD questio'!B:B,0))</f>
        <v>Cadre</v>
      </c>
      <c r="G9" s="191" t="str">
        <f>'1_BD questio brut'!E9</f>
        <v>35 à 49 ans</v>
      </c>
      <c r="H9" s="191">
        <f>'1_BD questio brut'!F9</f>
        <v>4</v>
      </c>
      <c r="I9" s="191" t="str">
        <f>'1_BD questio brut'!G9</f>
        <v>Pas de réponse</v>
      </c>
      <c r="J9" s="191" t="str">
        <f t="array" ref="J9">INDEX('Données 1_BD questio'!C:C,MATCH('1_BD questio brut'!$H$1&amp;'1_BD questio brut'!H9,'Données 1_BD questio'!A:A&amp;'Données 1_BD questio'!B:B,0))</f>
        <v>Maison avec jardin</v>
      </c>
      <c r="K9" s="191">
        <f>'1_BD questio brut'!I9</f>
        <v>130</v>
      </c>
      <c r="L9" s="191" t="str">
        <f>'1_BD questio brut'!J9</f>
        <v>1990-2005</v>
      </c>
      <c r="M9" s="191" t="str">
        <f>'1_BD questio brut'!K9</f>
        <v>1</v>
      </c>
      <c r="N9" s="191" t="str">
        <f>'1_BD questio brut'!L9</f>
        <v>D</v>
      </c>
      <c r="O9" s="191" t="str">
        <f>'1_BD questio brut'!M9</f>
        <v>Propriétaire occupant</v>
      </c>
      <c r="P9" s="191" t="str">
        <f>'1_BD questio brut'!N9</f>
        <v>Insert / foyer fermé</v>
      </c>
      <c r="Q9" s="191" t="str">
        <f>'1_BD questio brut'!O9</f>
        <v>Chauffage de base</v>
      </c>
      <c r="R9" s="191" t="str">
        <f>'1_BD questio brut'!P9</f>
        <v>Tous les jours</v>
      </c>
      <c r="S9" s="191" t="str">
        <f>'1_BD questio brut'!Q9</f>
        <v>1; 2; 4; 5; 6</v>
      </c>
      <c r="T9" s="191" t="str">
        <f>'1_BD questio brut'!R9</f>
        <v>1996-2002</v>
      </c>
      <c r="U9" s="191" t="str">
        <f>'1_BD questio brut'!S9</f>
        <v>Bois bûche</v>
      </c>
      <c r="V9" s="191" t="str">
        <f>'1_BD questio brut'!T9</f>
        <v/>
      </c>
      <c r="W9" s="191" t="str">
        <f>'1_BD questio brut'!U9</f>
        <v>12</v>
      </c>
      <c r="X9" s="191" t="str">
        <f>'1_BD questio brut'!V9</f>
        <v>Stères</v>
      </c>
      <c r="Y9" s="191" t="str">
        <f>'1_BD questio brut'!W9</f>
        <v>2</v>
      </c>
      <c r="Z9" s="191" t="str">
        <f>'1_BD questio brut'!X9</f>
        <v/>
      </c>
      <c r="AA9" s="191" t="str">
        <f t="array" ref="AA9">INDEX('Données 1_BD questio'!C:C,MATCH('1_BD questio brut'!$Y$1&amp;'1_BD questio brut'!Y9,'Données 1_BD questio'!A:A&amp;'Données 1_BD questio'!B:B,0))</f>
        <v>Rhône-Alpes hors RA2B</v>
      </c>
      <c r="AB9" s="191" t="str">
        <f>'1_BD questio brut'!Z9</f>
        <v>2</v>
      </c>
      <c r="AC9" s="191" t="str">
        <f>'1_BD questio brut'!AA9</f>
        <v>&gt; 2 ans</v>
      </c>
      <c r="AD9" s="191" t="str">
        <f>'1_BD questio brut'!AB9</f>
        <v>Les deux</v>
      </c>
      <c r="AE9" s="191" t="str">
        <f t="array" ref="AE9">INDEX('Données 1_BD questio'!C:C,MATCH('1_BD questio brut'!$AC$1&amp;'1_BD questio brut'!AC9,'Données 1_BD questio'!A:A&amp;'Données 1_BD questio'!B:B,0))</f>
        <v>un professionnel</v>
      </c>
      <c r="AF9" s="191" t="str">
        <f>'1_BD questio brut'!AD9</f>
        <v>1 fois par an</v>
      </c>
      <c r="AG9" s="191" t="str">
        <f>'1_BD questio brut'!AE9</f>
        <v/>
      </c>
      <c r="AH9" s="191" t="str">
        <f>'1_BD questio brut'!AF9</f>
        <v>Poêle</v>
      </c>
      <c r="AI9" s="191" t="str">
        <f>'1_BD questio brut'!AG9</f>
        <v>2</v>
      </c>
      <c r="AJ9" s="191" t="str">
        <f>'1_BD questio brut'!AH9</f>
        <v/>
      </c>
      <c r="AK9" s="191" t="str">
        <f>'1_BD questio brut'!AI9</f>
        <v>Chauffage de base</v>
      </c>
      <c r="AL9" s="191" t="str">
        <f>'1_BD questio brut'!AJ9</f>
        <v>Pas de réponse</v>
      </c>
      <c r="AM9" s="191" t="str">
        <f>'1_BD questio brut'!AK9</f>
        <v>1; 2; 4</v>
      </c>
      <c r="AN9" s="191" t="str">
        <f>'1_BD questio brut'!AL9</f>
        <v/>
      </c>
      <c r="AO9" s="191" t="str">
        <f>'1_BD questio brut'!AM9</f>
        <v>2; 5</v>
      </c>
      <c r="AP9" s="191" t="str">
        <f>'1_BD questio brut'!AN9</f>
        <v/>
      </c>
      <c r="AQ9" s="191" t="str">
        <f>'1_BD questio brut'!AO9</f>
        <v/>
      </c>
    </row>
    <row r="10" spans="1:43" ht="43.5" hidden="1">
      <c r="A10" s="98">
        <f>INDEX('3_BD instruction total'!A:A,MATCH(C10,'3_BD instruction total'!F:F,0))</f>
        <v>2020</v>
      </c>
      <c r="B10" s="98" t="str">
        <f>INDEX('3_BD instruction total'!C:C,MATCH(C10,'3_BD instruction total'!F:F,0))</f>
        <v>région</v>
      </c>
      <c r="C10" s="191" t="str">
        <f>'1_BD questio brut'!A10</f>
        <v>VRB0013</v>
      </c>
      <c r="D10" s="191" t="str">
        <f t="array" ref="D10">INDEX('Données 1_BD questio'!C:C,MATCH('1_BD questio brut'!$B$1&amp;'1_BD questio brut'!B10,'Données 1_BD questio'!A:A&amp;'Données 1_BD questio'!B:B,0))</f>
        <v>CAPV</v>
      </c>
      <c r="E10" s="191" t="str">
        <f t="array" ref="E10">INDEX('Données 1_BD questio'!C:C,MATCH('1_BD questio brut'!$C$1&amp;'1_BD questio brut'!C10,'Données 1_BD questio'!A:A&amp;'Données 1_BD questio'!B:B,0))</f>
        <v>Cadre</v>
      </c>
      <c r="F10" s="191" t="str">
        <f t="array" ref="F10">INDEX('Données 1_BD questio'!C:C,MATCH('1_BD questio brut'!$D$1&amp;'1_BD questio brut'!D10,'Données 1_BD questio'!A:A&amp;'Données 1_BD questio'!B:B,0))</f>
        <v>Artisan,commerçant,chef d'entreprise</v>
      </c>
      <c r="G10" s="191" t="str">
        <f>'1_BD questio brut'!E10</f>
        <v>35 à 49 ans</v>
      </c>
      <c r="H10" s="191">
        <f>'1_BD questio brut'!F10</f>
        <v>2</v>
      </c>
      <c r="I10" s="191" t="str">
        <f>'1_BD questio brut'!G10</f>
        <v>Pas de réponse</v>
      </c>
      <c r="J10" s="191" t="str">
        <f t="array" ref="J10">INDEX('Données 1_BD questio'!C:C,MATCH('1_BD questio brut'!$H$1&amp;'1_BD questio brut'!H10,'Données 1_BD questio'!A:A&amp;'Données 1_BD questio'!B:B,0))</f>
        <v>Maison avec jardin</v>
      </c>
      <c r="K10" s="191">
        <f>'1_BD questio brut'!I10</f>
        <v>120</v>
      </c>
      <c r="L10" s="191" t="str">
        <f>'1_BD questio brut'!J10</f>
        <v>1975-1990</v>
      </c>
      <c r="M10" s="191" t="str">
        <f>'1_BD questio brut'!K10</f>
        <v>7</v>
      </c>
      <c r="N10" s="191" t="str">
        <f>'1_BD questio brut'!L10</f>
        <v>Pas de réponse</v>
      </c>
      <c r="O10" s="191" t="str">
        <f>'1_BD questio brut'!M10</f>
        <v>Propriétaire occupant</v>
      </c>
      <c r="P10" s="191" t="str">
        <f>'1_BD questio brut'!N10</f>
        <v>Foyer ouvert</v>
      </c>
      <c r="Q10" s="191" t="str">
        <f>'1_BD questio brut'!O10</f>
        <v>Chauffage d'apoint</v>
      </c>
      <c r="R10" s="191" t="str">
        <f>'1_BD questio brut'!P10</f>
        <v>1 à 2 jours/semaine</v>
      </c>
      <c r="S10" s="191" t="str">
        <f>'1_BD questio brut'!Q10</f>
        <v>2</v>
      </c>
      <c r="T10" s="191" t="str">
        <f>'1_BD questio brut'!R10</f>
        <v>Avant 1990</v>
      </c>
      <c r="U10" s="191" t="str">
        <f>'1_BD questio brut'!S10</f>
        <v>Bois bûche</v>
      </c>
      <c r="V10" s="191" t="str">
        <f>'1_BD questio brut'!T10</f>
        <v/>
      </c>
      <c r="W10" s="191" t="str">
        <f>'1_BD questio brut'!U10</f>
        <v>5</v>
      </c>
      <c r="X10" s="191" t="str">
        <f>'1_BD questio brut'!V10</f>
        <v>Stères</v>
      </c>
      <c r="Y10" s="191" t="str">
        <f>'1_BD questio brut'!W10</f>
        <v>2</v>
      </c>
      <c r="Z10" s="191" t="str">
        <f>'1_BD questio brut'!X10</f>
        <v/>
      </c>
      <c r="AA10" s="191" t="str">
        <f t="array" ref="AA10">INDEX('Données 1_BD questio'!C:C,MATCH('1_BD questio brut'!$Y$1&amp;'1_BD questio brut'!Y10,'Données 1_BD questio'!A:A&amp;'Données 1_BD questio'!B:B,0))</f>
        <v>Ne sait pas</v>
      </c>
      <c r="AB10" s="191" t="str">
        <f>'1_BD questio brut'!Z10</f>
        <v>2</v>
      </c>
      <c r="AC10" s="191" t="str">
        <f>'1_BD questio brut'!AA10</f>
        <v>&gt; 2 ans</v>
      </c>
      <c r="AD10" s="191" t="str">
        <f>'1_BD questio brut'!AB10</f>
        <v>Les deux</v>
      </c>
      <c r="AE10" s="191" t="str">
        <f t="array" ref="AE10">INDEX('Données 1_BD questio'!C:C,MATCH('1_BD questio brut'!$AC$1&amp;'1_BD questio brut'!AC10,'Données 1_BD questio'!A:A&amp;'Données 1_BD questio'!B:B,0))</f>
        <v>un professionnel</v>
      </c>
      <c r="AF10" s="191" t="str">
        <f>'1_BD questio brut'!AD10</f>
        <v>1 fois par an</v>
      </c>
      <c r="AG10" s="191" t="str">
        <f>'1_BD questio brut'!AE10</f>
        <v/>
      </c>
      <c r="AH10" s="191" t="str">
        <f>'1_BD questio brut'!AF10</f>
        <v>Poêle</v>
      </c>
      <c r="AI10" s="191" t="str">
        <f>'1_BD questio brut'!AG10</f>
        <v>2</v>
      </c>
      <c r="AJ10" s="191" t="str">
        <f>'1_BD questio brut'!AH10</f>
        <v/>
      </c>
      <c r="AK10" s="191" t="str">
        <f>'1_BD questio brut'!AI10</f>
        <v>Chauffage de base</v>
      </c>
      <c r="AL10" s="191" t="str">
        <f>'1_BD questio brut'!AJ10</f>
        <v>Pas de réponse</v>
      </c>
      <c r="AM10" s="191" t="str">
        <f>'1_BD questio brut'!AK10</f>
        <v>2; 4; 5</v>
      </c>
      <c r="AN10" s="191" t="str">
        <f>'1_BD questio brut'!AL10</f>
        <v/>
      </c>
      <c r="AO10" s="191" t="str">
        <f>'1_BD questio brut'!AM10</f>
        <v>5</v>
      </c>
      <c r="AP10" s="191" t="str">
        <f>'1_BD questio brut'!AN10</f>
        <v/>
      </c>
      <c r="AQ10" s="191" t="str">
        <f>'1_BD questio brut'!AO10</f>
        <v/>
      </c>
    </row>
    <row r="11" spans="1:43" ht="43.5" hidden="1">
      <c r="A11" s="98">
        <f>INDEX('3_BD instruction total'!A:A,MATCH(C11,'3_BD instruction total'!F:F,0))</f>
        <v>2020</v>
      </c>
      <c r="B11" s="98" t="str">
        <f>INDEX('3_BD instruction total'!C:C,MATCH(C11,'3_BD instruction total'!F:F,0))</f>
        <v>région</v>
      </c>
      <c r="C11" s="191" t="str">
        <f>'1_BD questio brut'!A11</f>
        <v>VRB0014</v>
      </c>
      <c r="D11" s="191" t="str">
        <f t="array" ref="D11">INDEX('Données 1_BD questio'!C:C,MATCH('1_BD questio brut'!$B$1&amp;'1_BD questio brut'!B11,'Données 1_BD questio'!A:A&amp;'Données 1_BD questio'!B:B,0))</f>
        <v>CAPV</v>
      </c>
      <c r="E11" s="191" t="str">
        <f t="array" ref="E11">INDEX('Données 1_BD questio'!C:C,MATCH('1_BD questio brut'!$C$1&amp;'1_BD questio brut'!C11,'Données 1_BD questio'!A:A&amp;'Données 1_BD questio'!B:B,0))</f>
        <v>Profession intermédiaire</v>
      </c>
      <c r="F11" s="191" t="str">
        <f t="array" ref="F11">INDEX('Données 1_BD questio'!C:C,MATCH('1_BD questio brut'!$D$1&amp;'1_BD questio brut'!D11,'Données 1_BD questio'!A:A&amp;'Données 1_BD questio'!B:B,0))</f>
        <v>Pas de réponse</v>
      </c>
      <c r="G11" s="191" t="str">
        <f>'1_BD questio brut'!E11</f>
        <v>50 à 64 ans</v>
      </c>
      <c r="H11" s="191">
        <f>'1_BD questio brut'!F11</f>
        <v>1</v>
      </c>
      <c r="I11" s="191" t="str">
        <f>'1_BD questio brut'!G11</f>
        <v>Pas de réponse</v>
      </c>
      <c r="J11" s="191" t="str">
        <f t="array" ref="J11">INDEX('Données 1_BD questio'!C:C,MATCH('1_BD questio brut'!$H$1&amp;'1_BD questio brut'!H11,'Données 1_BD questio'!A:A&amp;'Données 1_BD questio'!B:B,0))</f>
        <v>Maison avec jardin</v>
      </c>
      <c r="K11" s="191">
        <f>'1_BD questio brut'!I11</f>
        <v>113</v>
      </c>
      <c r="L11" s="191" t="str">
        <f>'1_BD questio brut'!J11</f>
        <v>1975-1990</v>
      </c>
      <c r="M11" s="191" t="str">
        <f>'1_BD questio brut'!K11</f>
        <v>6</v>
      </c>
      <c r="N11" s="191" t="str">
        <f>'1_BD questio brut'!L11</f>
        <v>E</v>
      </c>
      <c r="O11" s="191" t="str">
        <f>'1_BD questio brut'!M11</f>
        <v>Propriétaire occupant</v>
      </c>
      <c r="P11" s="191" t="str">
        <f>'1_BD questio brut'!N11</f>
        <v>Insert / foyer fermé</v>
      </c>
      <c r="Q11" s="191" t="str">
        <f>'1_BD questio brut'!O11</f>
        <v>Chauffage d'apoint</v>
      </c>
      <c r="R11" s="191" t="str">
        <f>'1_BD questio brut'!P11</f>
        <v>3 à 4 jours/semaine</v>
      </c>
      <c r="S11" s="191" t="str">
        <f>'1_BD questio brut'!Q11</f>
        <v>4; 5; 6</v>
      </c>
      <c r="T11" s="191" t="str">
        <f>'1_BD questio brut'!R11</f>
        <v>Avant 1990</v>
      </c>
      <c r="U11" s="191" t="str">
        <f>'1_BD questio brut'!S11</f>
        <v>Bois bûche</v>
      </c>
      <c r="V11" s="191" t="str">
        <f>'1_BD questio brut'!T11</f>
        <v/>
      </c>
      <c r="W11" s="191" t="str">
        <f>'1_BD questio brut'!U11</f>
        <v>8</v>
      </c>
      <c r="X11" s="191" t="str">
        <f>'1_BD questio brut'!V11</f>
        <v>Stères</v>
      </c>
      <c r="Y11" s="191" t="str">
        <f>'1_BD questio brut'!W11</f>
        <v>2</v>
      </c>
      <c r="Z11" s="191" t="str">
        <f>'1_BD questio brut'!X11</f>
        <v/>
      </c>
      <c r="AA11" s="191" t="str">
        <f t="array" ref="AA11">INDEX('Données 1_BD questio'!C:C,MATCH('1_BD questio brut'!$Y$1&amp;'1_BD questio brut'!Y11,'Données 1_BD questio'!A:A&amp;'Données 1_BD questio'!B:B,0))</f>
        <v>Rhône-Alpes hors RA2B</v>
      </c>
      <c r="AB11" s="191" t="str">
        <f>'1_BD questio brut'!Z11</f>
        <v>2</v>
      </c>
      <c r="AC11" s="191" t="str">
        <f>'1_BD questio brut'!AA11</f>
        <v>&gt; 2 ans</v>
      </c>
      <c r="AD11" s="191" t="str">
        <f>'1_BD questio brut'!AB11</f>
        <v>Feuillus</v>
      </c>
      <c r="AE11" s="191" t="str">
        <f t="array" ref="AE11">INDEX('Données 1_BD questio'!C:C,MATCH('1_BD questio brut'!$AC$1&amp;'1_BD questio brut'!AC11,'Données 1_BD questio'!A:A&amp;'Données 1_BD questio'!B:B,0))</f>
        <v>un professionnel</v>
      </c>
      <c r="AF11" s="191" t="str">
        <f>'1_BD questio brut'!AD11</f>
        <v>1 fois par an</v>
      </c>
      <c r="AG11" s="191" t="str">
        <f>'1_BD questio brut'!AE11</f>
        <v/>
      </c>
      <c r="AH11" s="191" t="str">
        <f>'1_BD questio brut'!AF11</f>
        <v>Poêle</v>
      </c>
      <c r="AI11" s="191" t="str">
        <f>'1_BD questio brut'!AG11</f>
        <v>1</v>
      </c>
      <c r="AJ11" s="191" t="str">
        <f>'1_BD questio brut'!AH11</f>
        <v/>
      </c>
      <c r="AK11" s="191" t="str">
        <f>'1_BD questio brut'!AI11</f>
        <v>Chauffage de base</v>
      </c>
      <c r="AL11" s="191" t="str">
        <f>'1_BD questio brut'!AJ11</f>
        <v>Pas de réponse</v>
      </c>
      <c r="AM11" s="191" t="str">
        <f>'1_BD questio brut'!AK11</f>
        <v>1; 5</v>
      </c>
      <c r="AN11" s="191" t="str">
        <f>'1_BD questio brut'!AL11</f>
        <v/>
      </c>
      <c r="AO11" s="191" t="str">
        <f>'1_BD questio brut'!AM11</f>
        <v>5</v>
      </c>
      <c r="AP11" s="191" t="str">
        <f>'1_BD questio brut'!AN11</f>
        <v/>
      </c>
      <c r="AQ11" s="191" t="str">
        <f>'1_BD questio brut'!AO11</f>
        <v/>
      </c>
    </row>
    <row r="12" spans="1:43" ht="43.5" hidden="1">
      <c r="A12" s="98">
        <f>INDEX('3_BD instruction total'!A:A,MATCH(C12,'3_BD instruction total'!F:F,0))</f>
        <v>2020</v>
      </c>
      <c r="B12" s="98" t="str">
        <f>INDEX('3_BD instruction total'!C:C,MATCH(C12,'3_BD instruction total'!F:F,0))</f>
        <v>région</v>
      </c>
      <c r="C12" s="191" t="str">
        <f>'1_BD questio brut'!A12</f>
        <v>VRB0015</v>
      </c>
      <c r="D12" s="191" t="str">
        <f t="array" ref="D12">INDEX('Données 1_BD questio'!C:C,MATCH('1_BD questio brut'!$B$1&amp;'1_BD questio brut'!B12,'Données 1_BD questio'!A:A&amp;'Données 1_BD questio'!B:B,0))</f>
        <v>CAPV</v>
      </c>
      <c r="E12" s="191" t="str">
        <f t="array" ref="E12">INDEX('Données 1_BD questio'!C:C,MATCH('1_BD questio brut'!$C$1&amp;'1_BD questio brut'!C12,'Données 1_BD questio'!A:A&amp;'Données 1_BD questio'!B:B,0))</f>
        <v>Retraité</v>
      </c>
      <c r="F12" s="191" t="str">
        <f t="array" ref="F12">INDEX('Données 1_BD questio'!C:C,MATCH('1_BD questio brut'!$D$1&amp;'1_BD questio brut'!D12,'Données 1_BD questio'!A:A&amp;'Données 1_BD questio'!B:B,0))</f>
        <v>Retraité</v>
      </c>
      <c r="G12" s="191" t="str">
        <f>'1_BD questio brut'!E12</f>
        <v>50 à 64 ans</v>
      </c>
      <c r="H12" s="191">
        <f>'1_BD questio brut'!F12</f>
        <v>2</v>
      </c>
      <c r="I12" s="191" t="str">
        <f>'1_BD questio brut'!G12</f>
        <v>Pas de réponse</v>
      </c>
      <c r="J12" s="191" t="str">
        <f t="array" ref="J12">INDEX('Données 1_BD questio'!C:C,MATCH('1_BD questio brut'!$H$1&amp;'1_BD questio brut'!H12,'Données 1_BD questio'!A:A&amp;'Données 1_BD questio'!B:B,0))</f>
        <v>Maison avec jardin</v>
      </c>
      <c r="K12" s="191">
        <f>'1_BD questio brut'!I12</f>
        <v>150</v>
      </c>
      <c r="L12" s="191" t="str">
        <f>'1_BD questio brut'!J12</f>
        <v>1975-1990</v>
      </c>
      <c r="M12" s="191" t="str">
        <f>'1_BD questio brut'!K12</f>
        <v>1</v>
      </c>
      <c r="N12" s="191" t="str">
        <f>'1_BD questio brut'!L12</f>
        <v>Pas de réponse</v>
      </c>
      <c r="O12" s="191" t="str">
        <f>'1_BD questio brut'!M12</f>
        <v>Propriétaire occupant</v>
      </c>
      <c r="P12" s="191" t="str">
        <f>'1_BD questio brut'!N12</f>
        <v>Insert / foyer fermé</v>
      </c>
      <c r="Q12" s="191" t="str">
        <f>'1_BD questio brut'!O12</f>
        <v>Chauffage de base</v>
      </c>
      <c r="R12" s="191" t="str">
        <f>'1_BD questio brut'!P12</f>
        <v>Tous les jours</v>
      </c>
      <c r="S12" s="191" t="str">
        <f>'1_BD questio brut'!Q12</f>
        <v>4; 5; 6</v>
      </c>
      <c r="T12" s="191" t="str">
        <f>'1_BD questio brut'!R12</f>
        <v>Avant 1990</v>
      </c>
      <c r="U12" s="191" t="str">
        <f>'1_BD questio brut'!S12</f>
        <v>Bois bûche</v>
      </c>
      <c r="V12" s="191" t="str">
        <f>'1_BD questio brut'!T12</f>
        <v/>
      </c>
      <c r="W12" s="191" t="str">
        <f>'1_BD questio brut'!U12</f>
        <v>9,6</v>
      </c>
      <c r="X12" s="191" t="str">
        <f>'1_BD questio brut'!V12</f>
        <v>m3</v>
      </c>
      <c r="Y12" s="191" t="str">
        <f>'1_BD questio brut'!W12</f>
        <v>2</v>
      </c>
      <c r="Z12" s="191" t="str">
        <f>'1_BD questio brut'!X12</f>
        <v/>
      </c>
      <c r="AA12" s="191" t="str">
        <f t="array" ref="AA12">INDEX('Données 1_BD questio'!C:C,MATCH('1_BD questio brut'!$Y$1&amp;'1_BD questio brut'!Y12,'Données 1_BD questio'!A:A&amp;'Données 1_BD questio'!B:B,0))</f>
        <v>Ne sait pas</v>
      </c>
      <c r="AB12" s="191" t="str">
        <f>'1_BD questio brut'!Z12</f>
        <v>1</v>
      </c>
      <c r="AC12" s="191" t="str">
        <f>'1_BD questio brut'!AA12</f>
        <v>&gt; 2 ans</v>
      </c>
      <c r="AD12" s="191" t="str">
        <f>'1_BD questio brut'!AB12</f>
        <v>Feuillus</v>
      </c>
      <c r="AE12" s="191" t="str">
        <f t="array" ref="AE12">INDEX('Données 1_BD questio'!C:C,MATCH('1_BD questio brut'!$AC$1&amp;'1_BD questio brut'!AC12,'Données 1_BD questio'!A:A&amp;'Données 1_BD questio'!B:B,0))</f>
        <v>un professionnel</v>
      </c>
      <c r="AF12" s="191" t="str">
        <f>'1_BD questio brut'!AD12</f>
        <v>1 fois par an</v>
      </c>
      <c r="AG12" s="191" t="str">
        <f>'1_BD questio brut'!AE12</f>
        <v/>
      </c>
      <c r="AH12" s="191" t="str">
        <f>'1_BD questio brut'!AF12</f>
        <v>Poêle</v>
      </c>
      <c r="AI12" s="191" t="str">
        <f>'1_BD questio brut'!AG12</f>
        <v>2</v>
      </c>
      <c r="AJ12" s="191" t="str">
        <f>'1_BD questio brut'!AH12</f>
        <v/>
      </c>
      <c r="AK12" s="191" t="str">
        <f>'1_BD questio brut'!AI12</f>
        <v>Chauffage de base</v>
      </c>
      <c r="AL12" s="191" t="str">
        <f>'1_BD questio brut'!AJ12</f>
        <v>Pas de réponse</v>
      </c>
      <c r="AM12" s="191" t="str">
        <f>'1_BD questio brut'!AK12</f>
        <v>2; 4; 5</v>
      </c>
      <c r="AN12" s="191" t="str">
        <f>'1_BD questio brut'!AL12</f>
        <v/>
      </c>
      <c r="AO12" s="191" t="str">
        <f>'1_BD questio brut'!AM12</f>
        <v>1</v>
      </c>
      <c r="AP12" s="191" t="str">
        <f>'1_BD questio brut'!AN12</f>
        <v/>
      </c>
      <c r="AQ12" s="191" t="str">
        <f>'1_BD questio brut'!AO12</f>
        <v/>
      </c>
    </row>
    <row r="13" spans="1:43" ht="43.5" hidden="1">
      <c r="A13" s="98">
        <f>INDEX('3_BD instruction total'!A:A,MATCH(C13,'3_BD instruction total'!F:F,0))</f>
        <v>2020</v>
      </c>
      <c r="B13" s="98" t="str">
        <f>INDEX('3_BD instruction total'!C:C,MATCH(C13,'3_BD instruction total'!F:F,0))</f>
        <v>non</v>
      </c>
      <c r="C13" s="191" t="str">
        <f>'1_BD questio brut'!A13</f>
        <v>VRB0016</v>
      </c>
      <c r="D13" s="191" t="str">
        <f t="array" ref="D13">INDEX('Données 1_BD questio'!C:C,MATCH('1_BD questio brut'!$B$1&amp;'1_BD questio brut'!B13,'Données 1_BD questio'!A:A&amp;'Données 1_BD questio'!B:B,0))</f>
        <v>CAPV</v>
      </c>
      <c r="E13" s="191" t="str">
        <f t="array" ref="E13">INDEX('Données 1_BD questio'!C:C,MATCH('1_BD questio brut'!$C$1&amp;'1_BD questio brut'!C13,'Données 1_BD questio'!A:A&amp;'Données 1_BD questio'!B:B,0))</f>
        <v>Cadre</v>
      </c>
      <c r="F13" s="191" t="str">
        <f t="array" ref="F13">INDEX('Données 1_BD questio'!C:C,MATCH('1_BD questio brut'!$D$1&amp;'1_BD questio brut'!D13,'Données 1_BD questio'!A:A&amp;'Données 1_BD questio'!B:B,0))</f>
        <v>Cadre</v>
      </c>
      <c r="G13" s="191" t="str">
        <f>'1_BD questio brut'!E13</f>
        <v>35 à 49 ans</v>
      </c>
      <c r="H13" s="191">
        <f>'1_BD questio brut'!F13</f>
        <v>2</v>
      </c>
      <c r="I13" s="191" t="str">
        <f>'1_BD questio brut'!G13</f>
        <v>Pas de réponse</v>
      </c>
      <c r="J13" s="191" t="str">
        <f t="array" ref="J13">INDEX('Données 1_BD questio'!C:C,MATCH('1_BD questio brut'!$H$1&amp;'1_BD questio brut'!H13,'Données 1_BD questio'!A:A&amp;'Données 1_BD questio'!B:B,0))</f>
        <v>Maison avec jardin</v>
      </c>
      <c r="K13" s="191">
        <f>'1_BD questio brut'!I13</f>
        <v>114</v>
      </c>
      <c r="L13" s="191" t="str">
        <f>'1_BD questio brut'!J13</f>
        <v>1975-1990</v>
      </c>
      <c r="M13" s="191" t="str">
        <f>'1_BD questio brut'!K13</f>
        <v>6</v>
      </c>
      <c r="N13" s="191" t="str">
        <f>'1_BD questio brut'!L13</f>
        <v>D</v>
      </c>
      <c r="O13" s="191" t="str">
        <f>'1_BD questio brut'!M13</f>
        <v>Propriétaire occupant</v>
      </c>
      <c r="P13" s="191" t="str">
        <f>'1_BD questio brut'!N13</f>
        <v>Insert / foyer fermé</v>
      </c>
      <c r="Q13" s="191" t="str">
        <f>'1_BD questio brut'!O13</f>
        <v>Chauffage de base</v>
      </c>
      <c r="R13" s="191" t="str">
        <f>'1_BD questio brut'!P13</f>
        <v>Tous les jours</v>
      </c>
      <c r="S13" s="191" t="str">
        <f>'1_BD questio brut'!Q13</f>
        <v>4</v>
      </c>
      <c r="T13" s="191" t="str">
        <f>'1_BD questio brut'!R13</f>
        <v>Avant 1990</v>
      </c>
      <c r="U13" s="191" t="str">
        <f>'1_BD questio brut'!S13</f>
        <v>Bois bûche</v>
      </c>
      <c r="V13" s="191" t="str">
        <f>'1_BD questio brut'!T13</f>
        <v/>
      </c>
      <c r="W13" s="191" t="str">
        <f>'1_BD questio brut'!U13</f>
        <v>12</v>
      </c>
      <c r="X13" s="191" t="str">
        <f>'1_BD questio brut'!V13</f>
        <v>Stères</v>
      </c>
      <c r="Y13" s="191" t="str">
        <f>'1_BD questio brut'!W13</f>
        <v>2</v>
      </c>
      <c r="Z13" s="191" t="str">
        <f>'1_BD questio brut'!X13</f>
        <v/>
      </c>
      <c r="AA13" s="191" t="str">
        <f t="array" ref="AA13">INDEX('Données 1_BD questio'!C:C,MATCH('1_BD questio brut'!$Y$1&amp;'1_BD questio brut'!Y13,'Données 1_BD questio'!A:A&amp;'Données 1_BD questio'!B:B,0))</f>
        <v>Ne sait pas</v>
      </c>
      <c r="AB13" s="191" t="str">
        <f>'1_BD questio brut'!Z13</f>
        <v>2</v>
      </c>
      <c r="AC13" s="191" t="str">
        <f>'1_BD questio brut'!AA13</f>
        <v>1 à 2 ans</v>
      </c>
      <c r="AD13" s="191" t="str">
        <f>'1_BD questio brut'!AB13</f>
        <v>Feuillus</v>
      </c>
      <c r="AE13" s="191" t="str">
        <f t="array" ref="AE13">INDEX('Données 1_BD questio'!C:C,MATCH('1_BD questio brut'!$AC$1&amp;'1_BD questio brut'!AC13,'Données 1_BD questio'!A:A&amp;'Données 1_BD questio'!B:B,0))</f>
        <v>un professionnel</v>
      </c>
      <c r="AF13" s="191" t="str">
        <f>'1_BD questio brut'!AD13</f>
        <v>1 fois par an</v>
      </c>
      <c r="AG13" s="191" t="str">
        <f>'1_BD questio brut'!AE13</f>
        <v/>
      </c>
      <c r="AH13" s="191" t="str">
        <f>'1_BD questio brut'!AF13</f>
        <v>Poêle</v>
      </c>
      <c r="AI13" s="191" t="str">
        <f>'1_BD questio brut'!AG13</f>
        <v>2</v>
      </c>
      <c r="AJ13" s="191" t="str">
        <f>'1_BD questio brut'!AH13</f>
        <v/>
      </c>
      <c r="AK13" s="191" t="str">
        <f>'1_BD questio brut'!AI13</f>
        <v>Chauffage de base</v>
      </c>
      <c r="AL13" s="191" t="str">
        <f>'1_BD questio brut'!AJ13</f>
        <v>Pas de réponse</v>
      </c>
      <c r="AM13" s="191" t="str">
        <f>'1_BD questio brut'!AK13</f>
        <v>2; 4; 5</v>
      </c>
      <c r="AN13" s="191" t="str">
        <f>'1_BD questio brut'!AL13</f>
        <v/>
      </c>
      <c r="AO13" s="191" t="str">
        <f>'1_BD questio brut'!AM13</f>
        <v>5</v>
      </c>
      <c r="AP13" s="191" t="str">
        <f>'1_BD questio brut'!AN13</f>
        <v/>
      </c>
      <c r="AQ13" s="191" t="str">
        <f>'1_BD questio brut'!AO13</f>
        <v/>
      </c>
    </row>
    <row r="14" spans="1:43" ht="43.5" hidden="1">
      <c r="A14" s="98">
        <f>INDEX('3_BD instruction total'!A:A,MATCH(C14,'3_BD instruction total'!F:F,0))</f>
        <v>2020</v>
      </c>
      <c r="B14" s="98" t="str">
        <f>INDEX('3_BD instruction total'!C:C,MATCH(C14,'3_BD instruction total'!F:F,0))</f>
        <v>région</v>
      </c>
      <c r="C14" s="191" t="str">
        <f>'1_BD questio brut'!A14</f>
        <v>VRB0017</v>
      </c>
      <c r="D14" s="191" t="str">
        <f t="array" ref="D14">INDEX('Données 1_BD questio'!C:C,MATCH('1_BD questio brut'!$B$1&amp;'1_BD questio brut'!B14,'Données 1_BD questio'!A:A&amp;'Données 1_BD questio'!B:B,0))</f>
        <v>CAPV</v>
      </c>
      <c r="E14" s="191" t="str">
        <f t="array" ref="E14">INDEX('Données 1_BD questio'!C:C,MATCH('1_BD questio brut'!$C$1&amp;'1_BD questio brut'!C14,'Données 1_BD questio'!A:A&amp;'Données 1_BD questio'!B:B,0))</f>
        <v>Retraité</v>
      </c>
      <c r="F14" s="191" t="str">
        <f t="array" ref="F14">INDEX('Données 1_BD questio'!C:C,MATCH('1_BD questio brut'!$D$1&amp;'1_BD questio brut'!D14,'Données 1_BD questio'!A:A&amp;'Données 1_BD questio'!B:B,0))</f>
        <v>Retraité</v>
      </c>
      <c r="G14" s="191" t="str">
        <f>'1_BD questio brut'!E14</f>
        <v>65 ans et plus</v>
      </c>
      <c r="H14" s="191">
        <f>'1_BD questio brut'!F14</f>
        <v>2</v>
      </c>
      <c r="I14" s="191" t="str">
        <f>'1_BD questio brut'!G14</f>
        <v>Pas de réponse</v>
      </c>
      <c r="J14" s="191" t="str">
        <f t="array" ref="J14">INDEX('Données 1_BD questio'!C:C,MATCH('1_BD questio brut'!$H$1&amp;'1_BD questio brut'!H14,'Données 1_BD questio'!A:A&amp;'Données 1_BD questio'!B:B,0))</f>
        <v>Maison avec jardin</v>
      </c>
      <c r="K14" s="191">
        <f>'1_BD questio brut'!I14</f>
        <v>114</v>
      </c>
      <c r="L14" s="191" t="str">
        <f>'1_BD questio brut'!J14</f>
        <v>1975-1990</v>
      </c>
      <c r="M14" s="191" t="str">
        <f>'1_BD questio brut'!K14</f>
        <v>6</v>
      </c>
      <c r="N14" s="191" t="str">
        <f>'1_BD questio brut'!L14</f>
        <v>Pas de réponse</v>
      </c>
      <c r="O14" s="191" t="str">
        <f>'1_BD questio brut'!M14</f>
        <v>Propriétaire occupant</v>
      </c>
      <c r="P14" s="191" t="str">
        <f>'1_BD questio brut'!N14</f>
        <v>Poêle</v>
      </c>
      <c r="Q14" s="191" t="str">
        <f>'1_BD questio brut'!O14</f>
        <v>Chauffage de base</v>
      </c>
      <c r="R14" s="191" t="str">
        <f>'1_BD questio brut'!P14</f>
        <v>Tous les jours</v>
      </c>
      <c r="S14" s="191" t="str">
        <f>'1_BD questio brut'!Q14</f>
        <v>4</v>
      </c>
      <c r="T14" s="191" t="str">
        <f>'1_BD questio brut'!R14</f>
        <v>Avant 1990</v>
      </c>
      <c r="U14" s="191" t="str">
        <f>'1_BD questio brut'!S14</f>
        <v>Bois bûche</v>
      </c>
      <c r="V14" s="191" t="str">
        <f>'1_BD questio brut'!T14</f>
        <v/>
      </c>
      <c r="W14" s="191" t="str">
        <f>'1_BD questio brut'!U14</f>
        <v>10</v>
      </c>
      <c r="X14" s="191" t="str">
        <f>'1_BD questio brut'!V14</f>
        <v>Stères</v>
      </c>
      <c r="Y14" s="191" t="str">
        <f>'1_BD questio brut'!W14</f>
        <v>2</v>
      </c>
      <c r="Z14" s="191" t="str">
        <f>'1_BD questio brut'!X14</f>
        <v/>
      </c>
      <c r="AA14" s="191" t="str">
        <f t="array" ref="AA14">INDEX('Données 1_BD questio'!C:C,MATCH('1_BD questio brut'!$Y$1&amp;'1_BD questio brut'!Y14,'Données 1_BD questio'!A:A&amp;'Données 1_BD questio'!B:B,0))</f>
        <v>Ne sait pas</v>
      </c>
      <c r="AB14" s="191" t="str">
        <f>'1_BD questio brut'!Z14</f>
        <v>2</v>
      </c>
      <c r="AC14" s="191" t="str">
        <f>'1_BD questio brut'!AA14</f>
        <v>&lt; 1 an</v>
      </c>
      <c r="AD14" s="191" t="str">
        <f>'1_BD questio brut'!AB14</f>
        <v>Feuillus</v>
      </c>
      <c r="AE14" s="191" t="str">
        <f t="array" ref="AE14">INDEX('Données 1_BD questio'!C:C,MATCH('1_BD questio brut'!$AC$1&amp;'1_BD questio brut'!AC14,'Données 1_BD questio'!A:A&amp;'Données 1_BD questio'!B:B,0))</f>
        <v>vous-même</v>
      </c>
      <c r="AF14" s="191" t="str">
        <f>'1_BD questio brut'!AD14</f>
        <v>2 fois par an</v>
      </c>
      <c r="AG14" s="191" t="str">
        <f>'1_BD questio brut'!AE14</f>
        <v/>
      </c>
      <c r="AH14" s="191" t="str">
        <f>'1_BD questio brut'!AF14</f>
        <v>Poêle</v>
      </c>
      <c r="AI14" s="191" t="str">
        <f>'1_BD questio brut'!AG14</f>
        <v>2</v>
      </c>
      <c r="AJ14" s="191" t="str">
        <f>'1_BD questio brut'!AH14</f>
        <v/>
      </c>
      <c r="AK14" s="191" t="str">
        <f>'1_BD questio brut'!AI14</f>
        <v>Chauffage de base</v>
      </c>
      <c r="AL14" s="191" t="str">
        <f>'1_BD questio brut'!AJ14</f>
        <v>Pas de réponse</v>
      </c>
      <c r="AM14" s="191" t="str">
        <f>'1_BD questio brut'!AK14</f>
        <v>6</v>
      </c>
      <c r="AN14" s="191" t="str">
        <f>'1_BD questio brut'!AL14</f>
        <v>Difficulté a manipuler les buches</v>
      </c>
      <c r="AO14" s="191" t="str">
        <f>'1_BD questio brut'!AM14</f>
        <v>7</v>
      </c>
      <c r="AP14" s="191" t="str">
        <f>'1_BD questio brut'!AN14</f>
        <v/>
      </c>
      <c r="AQ14" s="191" t="str">
        <f>'1_BD questio brut'!AO14</f>
        <v/>
      </c>
    </row>
    <row r="15" spans="1:43" ht="43.5" hidden="1">
      <c r="A15" s="98">
        <f>INDEX('3_BD instruction total'!A:A,MATCH(C15,'3_BD instruction total'!F:F,0))</f>
        <v>2020</v>
      </c>
      <c r="B15" s="98" t="str">
        <f>INDEX('3_BD instruction total'!C:C,MATCH(C15,'3_BD instruction total'!F:F,0))</f>
        <v>région</v>
      </c>
      <c r="C15" s="191" t="str">
        <f>'1_BD questio brut'!A15</f>
        <v>VRB0018</v>
      </c>
      <c r="D15" s="191" t="str">
        <f t="array" ref="D15">INDEX('Données 1_BD questio'!C:C,MATCH('1_BD questio brut'!$B$1&amp;'1_BD questio brut'!B15,'Données 1_BD questio'!A:A&amp;'Données 1_BD questio'!B:B,0))</f>
        <v>CAPV</v>
      </c>
      <c r="E15" s="191" t="str">
        <f t="array" ref="E15">INDEX('Données 1_BD questio'!C:C,MATCH('1_BD questio brut'!$C$1&amp;'1_BD questio brut'!C15,'Données 1_BD questio'!A:A&amp;'Données 1_BD questio'!B:B,0))</f>
        <v>Retraité</v>
      </c>
      <c r="F15" s="191" t="str">
        <f t="array" ref="F15">INDEX('Données 1_BD questio'!C:C,MATCH('1_BD questio brut'!$D$1&amp;'1_BD questio brut'!D15,'Données 1_BD questio'!A:A&amp;'Données 1_BD questio'!B:B,0))</f>
        <v>Employé</v>
      </c>
      <c r="G15" s="191" t="str">
        <f>'1_BD questio brut'!E15</f>
        <v>50 à 64 ans</v>
      </c>
      <c r="H15" s="191">
        <f>'1_BD questio brut'!F15</f>
        <v>1</v>
      </c>
      <c r="I15" s="191" t="str">
        <f>'1_BD questio brut'!G15</f>
        <v>Pas de réponse</v>
      </c>
      <c r="J15" s="191" t="str">
        <f t="array" ref="J15">INDEX('Données 1_BD questio'!C:C,MATCH('1_BD questio brut'!$H$1&amp;'1_BD questio brut'!H15,'Données 1_BD questio'!A:A&amp;'Données 1_BD questio'!B:B,0))</f>
        <v>Maison avec jardin</v>
      </c>
      <c r="K15" s="191">
        <f>'1_BD questio brut'!I15</f>
        <v>120</v>
      </c>
      <c r="L15" s="191" t="str">
        <f>'1_BD questio brut'!J15</f>
        <v>1975-1990</v>
      </c>
      <c r="M15" s="191" t="str">
        <f>'1_BD questio brut'!K15</f>
        <v>1</v>
      </c>
      <c r="N15" s="191" t="str">
        <f>'1_BD questio brut'!L15</f>
        <v>Pas de réponse</v>
      </c>
      <c r="O15" s="191" t="str">
        <f>'1_BD questio brut'!M15</f>
        <v>Propriétaire occupant</v>
      </c>
      <c r="P15" s="191" t="str">
        <f>'1_BD questio brut'!N15</f>
        <v>Insert / foyer fermé</v>
      </c>
      <c r="Q15" s="191" t="str">
        <f>'1_BD questio brut'!O15</f>
        <v>Chauffage de base</v>
      </c>
      <c r="R15" s="191" t="str">
        <f>'1_BD questio brut'!P15</f>
        <v>Tous les jours</v>
      </c>
      <c r="S15" s="191" t="str">
        <f>'1_BD questio brut'!Q15</f>
        <v>6</v>
      </c>
      <c r="T15" s="191" t="str">
        <f>'1_BD questio brut'!R15</f>
        <v>Avant 1990</v>
      </c>
      <c r="U15" s="191" t="str">
        <f>'1_BD questio brut'!S15</f>
        <v>Bois bûche</v>
      </c>
      <c r="V15" s="191" t="str">
        <f>'1_BD questio brut'!T15</f>
        <v/>
      </c>
      <c r="W15" s="191" t="str">
        <f>'1_BD questio brut'!U15</f>
        <v>10</v>
      </c>
      <c r="X15" s="191" t="str">
        <f>'1_BD questio brut'!V15</f>
        <v>Stères</v>
      </c>
      <c r="Y15" s="191" t="str">
        <f>'1_BD questio brut'!W15</f>
        <v>5</v>
      </c>
      <c r="Z15" s="191" t="str">
        <f>'1_BD questio brut'!X15</f>
        <v/>
      </c>
      <c r="AA15" s="191" t="str">
        <f t="array" ref="AA15">INDEX('Données 1_BD questio'!C:C,MATCH('1_BD questio brut'!$Y$1&amp;'1_BD questio brut'!Y15,'Données 1_BD questio'!A:A&amp;'Données 1_BD questio'!B:B,0))</f>
        <v>Pas de réponse</v>
      </c>
      <c r="AB15" s="191" t="str">
        <f>'1_BD questio brut'!Z15</f>
        <v>2</v>
      </c>
      <c r="AC15" s="191" t="str">
        <f>'1_BD questio brut'!AA15</f>
        <v>&gt; 2 ans</v>
      </c>
      <c r="AD15" s="191" t="str">
        <f>'1_BD questio brut'!AB15</f>
        <v>Pas de réponse</v>
      </c>
      <c r="AE15" s="191" t="str">
        <f t="array" ref="AE15">INDEX('Données 1_BD questio'!C:C,MATCH('1_BD questio brut'!$AC$1&amp;'1_BD questio brut'!AC15,'Données 1_BD questio'!A:A&amp;'Données 1_BD questio'!B:B,0))</f>
        <v>un professionnel</v>
      </c>
      <c r="AF15" s="191" t="str">
        <f>'1_BD questio brut'!AD15</f>
        <v>1 fois par an</v>
      </c>
      <c r="AG15" s="191" t="str">
        <f>'1_BD questio brut'!AE15</f>
        <v/>
      </c>
      <c r="AH15" s="191" t="str">
        <f>'1_BD questio brut'!AF15</f>
        <v>Poêle</v>
      </c>
      <c r="AI15" s="191" t="str">
        <f>'1_BD questio brut'!AG15</f>
        <v>2</v>
      </c>
      <c r="AJ15" s="191" t="str">
        <f>'1_BD questio brut'!AH15</f>
        <v/>
      </c>
      <c r="AK15" s="191" t="str">
        <f>'1_BD questio brut'!AI15</f>
        <v>Chauffage de base</v>
      </c>
      <c r="AL15" s="191" t="str">
        <f>'1_BD questio brut'!AJ15</f>
        <v>Pas de réponse</v>
      </c>
      <c r="AM15" s="191" t="str">
        <f>'1_BD questio brut'!AK15</f>
        <v>1; 2; 4; 5</v>
      </c>
      <c r="AN15" s="191" t="str">
        <f>'1_BD questio brut'!AL15</f>
        <v/>
      </c>
      <c r="AO15" s="191" t="str">
        <f>'1_BD questio brut'!AM15</f>
        <v>7</v>
      </c>
      <c r="AP15" s="191" t="str">
        <f>'1_BD questio brut'!AN15</f>
        <v/>
      </c>
      <c r="AQ15" s="191" t="str">
        <f>'1_BD questio brut'!AO15</f>
        <v/>
      </c>
    </row>
    <row r="16" spans="1:43" ht="43.5" hidden="1">
      <c r="A16" s="98">
        <f>INDEX('3_BD instruction total'!A:A,MATCH(C16,'3_BD instruction total'!F:F,0))</f>
        <v>2020</v>
      </c>
      <c r="B16" s="98" t="str">
        <f>INDEX('3_BD instruction total'!C:C,MATCH(C16,'3_BD instruction total'!F:F,0))</f>
        <v>région</v>
      </c>
      <c r="C16" s="191" t="str">
        <f>'1_BD questio brut'!A16</f>
        <v>VRB0019</v>
      </c>
      <c r="D16" s="191" t="str">
        <f t="array" ref="D16">INDEX('Données 1_BD questio'!C:C,MATCH('1_BD questio brut'!$B$1&amp;'1_BD questio brut'!B16,'Données 1_BD questio'!A:A&amp;'Données 1_BD questio'!B:B,0))</f>
        <v>CAPV</v>
      </c>
      <c r="E16" s="191" t="str">
        <f t="array" ref="E16">INDEX('Données 1_BD questio'!C:C,MATCH('1_BD questio brut'!$C$1&amp;'1_BD questio brut'!C16,'Données 1_BD questio'!A:A&amp;'Données 1_BD questio'!B:B,0))</f>
        <v>Retraité</v>
      </c>
      <c r="F16" s="191" t="str">
        <f t="array" ref="F16">INDEX('Données 1_BD questio'!C:C,MATCH('1_BD questio brut'!$D$1&amp;'1_BD questio brut'!D16,'Données 1_BD questio'!A:A&amp;'Données 1_BD questio'!B:B,0))</f>
        <v>Retraité</v>
      </c>
      <c r="G16" s="191" t="str">
        <f>'1_BD questio brut'!E16</f>
        <v>65 ans et plus</v>
      </c>
      <c r="H16" s="191">
        <f>'1_BD questio brut'!F16</f>
        <v>2</v>
      </c>
      <c r="I16" s="191" t="str">
        <f>'1_BD questio brut'!G16</f>
        <v>Pas de réponse</v>
      </c>
      <c r="J16" s="191" t="str">
        <f t="array" ref="J16">INDEX('Données 1_BD questio'!C:C,MATCH('1_BD questio brut'!$H$1&amp;'1_BD questio brut'!H16,'Données 1_BD questio'!A:A&amp;'Données 1_BD questio'!B:B,0))</f>
        <v>Maison avec jardin</v>
      </c>
      <c r="K16" s="191">
        <f>'1_BD questio brut'!I16</f>
        <v>80</v>
      </c>
      <c r="L16" s="191" t="str">
        <f>'1_BD questio brut'!J16</f>
        <v>1975-1990</v>
      </c>
      <c r="M16" s="191" t="str">
        <f>'1_BD questio brut'!K16</f>
        <v>1</v>
      </c>
      <c r="N16" s="191" t="str">
        <f>'1_BD questio brut'!L16</f>
        <v>Pas de réponse</v>
      </c>
      <c r="O16" s="191" t="str">
        <f>'1_BD questio brut'!M16</f>
        <v>Propriétaire occupant</v>
      </c>
      <c r="P16" s="191" t="str">
        <f>'1_BD questio brut'!N16</f>
        <v>Poêle</v>
      </c>
      <c r="Q16" s="191" t="str">
        <f>'1_BD questio brut'!O16</f>
        <v>Chauffage de base</v>
      </c>
      <c r="R16" s="191" t="str">
        <f>'1_BD questio brut'!P16</f>
        <v>Tous les jours</v>
      </c>
      <c r="S16" s="191" t="str">
        <f>'1_BD questio brut'!Q16</f>
        <v>4</v>
      </c>
      <c r="T16" s="191" t="str">
        <f>'1_BD questio brut'!R16</f>
        <v>Après 2002</v>
      </c>
      <c r="U16" s="191" t="str">
        <f>'1_BD questio brut'!S16</f>
        <v>Bois bûche</v>
      </c>
      <c r="V16" s="191" t="str">
        <f>'1_BD questio brut'!T16</f>
        <v/>
      </c>
      <c r="W16" s="191" t="str">
        <f>'1_BD questio brut'!U16</f>
        <v>6</v>
      </c>
      <c r="X16" s="191" t="str">
        <f>'1_BD questio brut'!V16</f>
        <v>Stères</v>
      </c>
      <c r="Y16" s="191" t="str">
        <f>'1_BD questio brut'!W16</f>
        <v>2</v>
      </c>
      <c r="Z16" s="191" t="str">
        <f>'1_BD questio brut'!X16</f>
        <v/>
      </c>
      <c r="AA16" s="191" t="str">
        <f t="array" ref="AA16">INDEX('Données 1_BD questio'!C:C,MATCH('1_BD questio brut'!$Y$1&amp;'1_BD questio brut'!Y16,'Données 1_BD questio'!A:A&amp;'Données 1_BD questio'!B:B,0))</f>
        <v>RA2B</v>
      </c>
      <c r="AB16" s="191" t="str">
        <f>'1_BD questio brut'!Z16</f>
        <v>2</v>
      </c>
      <c r="AC16" s="191" t="str">
        <f>'1_BD questio brut'!AA16</f>
        <v>&gt; 2 ans</v>
      </c>
      <c r="AD16" s="191" t="str">
        <f>'1_BD questio brut'!AB16</f>
        <v>Les deux</v>
      </c>
      <c r="AE16" s="191" t="str">
        <f t="array" ref="AE16">INDEX('Données 1_BD questio'!C:C,MATCH('1_BD questio brut'!$AC$1&amp;'1_BD questio brut'!AC16,'Données 1_BD questio'!A:A&amp;'Données 1_BD questio'!B:B,0))</f>
        <v>un professionnel</v>
      </c>
      <c r="AF16" s="191" t="str">
        <f>'1_BD questio brut'!AD16</f>
        <v>1 fois par an</v>
      </c>
      <c r="AG16" s="191" t="str">
        <f>'1_BD questio brut'!AE16</f>
        <v/>
      </c>
      <c r="AH16" s="191" t="str">
        <f>'1_BD questio brut'!AF16</f>
        <v>Poêle</v>
      </c>
      <c r="AI16" s="191" t="str">
        <f>'1_BD questio brut'!AG16</f>
        <v>2</v>
      </c>
      <c r="AJ16" s="191" t="str">
        <f>'1_BD questio brut'!AH16</f>
        <v/>
      </c>
      <c r="AK16" s="191" t="str">
        <f>'1_BD questio brut'!AI16</f>
        <v>Chauffage de base</v>
      </c>
      <c r="AL16" s="191" t="str">
        <f>'1_BD questio brut'!AJ16</f>
        <v>Pas de réponse</v>
      </c>
      <c r="AM16" s="191" t="str">
        <f>'1_BD questio brut'!AK16</f>
        <v>1; 4</v>
      </c>
      <c r="AN16" s="191" t="str">
        <f>'1_BD questio brut'!AL16</f>
        <v/>
      </c>
      <c r="AO16" s="191" t="str">
        <f>'1_BD questio brut'!AM16</f>
        <v>1; 5</v>
      </c>
      <c r="AP16" s="191" t="str">
        <f>'1_BD questio brut'!AN16</f>
        <v/>
      </c>
      <c r="AQ16" s="191" t="str">
        <f>'1_BD questio brut'!AO16</f>
        <v/>
      </c>
    </row>
    <row r="17" spans="1:43" ht="43.5" hidden="1">
      <c r="A17" s="98">
        <f>INDEX('3_BD instruction total'!A:A,MATCH(C17,'3_BD instruction total'!F:F,0))</f>
        <v>2020</v>
      </c>
      <c r="B17" s="98" t="str">
        <f>INDEX('3_BD instruction total'!C:C,MATCH(C17,'3_BD instruction total'!F:F,0))</f>
        <v>région</v>
      </c>
      <c r="C17" s="191" t="str">
        <f>'1_BD questio brut'!A17</f>
        <v>VRB0020</v>
      </c>
      <c r="D17" s="191" t="str">
        <f t="array" ref="D17">INDEX('Données 1_BD questio'!C:C,MATCH('1_BD questio brut'!$B$1&amp;'1_BD questio brut'!B17,'Données 1_BD questio'!A:A&amp;'Données 1_BD questio'!B:B,0))</f>
        <v>CAPV</v>
      </c>
      <c r="E17" s="191" t="str">
        <f t="array" ref="E17">INDEX('Données 1_BD questio'!C:C,MATCH('1_BD questio brut'!$C$1&amp;'1_BD questio brut'!C17,'Données 1_BD questio'!A:A&amp;'Données 1_BD questio'!B:B,0))</f>
        <v>Cadre</v>
      </c>
      <c r="F17" s="191" t="str">
        <f t="array" ref="F17">INDEX('Données 1_BD questio'!C:C,MATCH('1_BD questio brut'!$D$1&amp;'1_BD questio brut'!D17,'Données 1_BD questio'!A:A&amp;'Données 1_BD questio'!B:B,0))</f>
        <v>Employé</v>
      </c>
      <c r="G17" s="191" t="str">
        <f>'1_BD questio brut'!E17</f>
        <v>50 à 64 ans</v>
      </c>
      <c r="H17" s="191">
        <f>'1_BD questio brut'!F17</f>
        <v>2</v>
      </c>
      <c r="I17" s="191" t="str">
        <f>'1_BD questio brut'!G17</f>
        <v>Pas de réponse</v>
      </c>
      <c r="J17" s="191" t="str">
        <f t="array" ref="J17">INDEX('Données 1_BD questio'!C:C,MATCH('1_BD questio brut'!$H$1&amp;'1_BD questio brut'!H17,'Données 1_BD questio'!A:A&amp;'Données 1_BD questio'!B:B,0))</f>
        <v>Maison avec jardin</v>
      </c>
      <c r="K17" s="191">
        <f>'1_BD questio brut'!I17</f>
        <v>150</v>
      </c>
      <c r="L17" s="191" t="str">
        <f>'1_BD questio brut'!J17</f>
        <v>1990-2005</v>
      </c>
      <c r="M17" s="191" t="str">
        <f>'1_BD questio brut'!K17</f>
        <v>1</v>
      </c>
      <c r="N17" s="191" t="str">
        <f>'1_BD questio brut'!L17</f>
        <v>Pas de réponse</v>
      </c>
      <c r="O17" s="191" t="str">
        <f>'1_BD questio brut'!M17</f>
        <v>Propriétaire occupant</v>
      </c>
      <c r="P17" s="191" t="str">
        <f>'1_BD questio brut'!N17</f>
        <v>Insert / foyer fermé</v>
      </c>
      <c r="Q17" s="191" t="str">
        <f>'1_BD questio brut'!O17</f>
        <v>Chauffage d'apoint</v>
      </c>
      <c r="R17" s="191" t="str">
        <f>'1_BD questio brut'!P17</f>
        <v>1 à 3 jours/mois</v>
      </c>
      <c r="S17" s="191" t="str">
        <f>'1_BD questio brut'!Q17</f>
        <v>2; 3; 6</v>
      </c>
      <c r="T17" s="191" t="str">
        <f>'1_BD questio brut'!R17</f>
        <v>1996-2002</v>
      </c>
      <c r="U17" s="191" t="str">
        <f>'1_BD questio brut'!S17</f>
        <v>Bois bûche</v>
      </c>
      <c r="V17" s="191" t="str">
        <f>'1_BD questio brut'!T17</f>
        <v/>
      </c>
      <c r="W17" s="191" t="str">
        <f>'1_BD questio brut'!U17</f>
        <v>3</v>
      </c>
      <c r="X17" s="191" t="str">
        <f>'1_BD questio brut'!V17</f>
        <v>m3</v>
      </c>
      <c r="Y17" s="191" t="str">
        <f>'1_BD questio brut'!W17</f>
        <v>2</v>
      </c>
      <c r="Z17" s="191" t="str">
        <f>'1_BD questio brut'!X17</f>
        <v/>
      </c>
      <c r="AA17" s="191" t="str">
        <f t="array" ref="AA17">INDEX('Données 1_BD questio'!C:C,MATCH('1_BD questio brut'!$Y$1&amp;'1_BD questio brut'!Y17,'Données 1_BD questio'!A:A&amp;'Données 1_BD questio'!B:B,0))</f>
        <v>Rhône-Alpes hors RA2B</v>
      </c>
      <c r="AB17" s="191" t="str">
        <f>'1_BD questio brut'!Z17</f>
        <v>2</v>
      </c>
      <c r="AC17" s="191" t="str">
        <f>'1_BD questio brut'!AA17</f>
        <v>&gt; 2 ans</v>
      </c>
      <c r="AD17" s="191" t="str">
        <f>'1_BD questio brut'!AB17</f>
        <v>Feuillus</v>
      </c>
      <c r="AE17" s="191" t="str">
        <f t="array" ref="AE17">INDEX('Données 1_BD questio'!C:C,MATCH('1_BD questio brut'!$AC$1&amp;'1_BD questio brut'!AC17,'Données 1_BD questio'!A:A&amp;'Données 1_BD questio'!B:B,0))</f>
        <v>un professionnel</v>
      </c>
      <c r="AF17" s="191" t="str">
        <f>'1_BD questio brut'!AD17</f>
        <v>1 fois par an</v>
      </c>
      <c r="AG17" s="191" t="str">
        <f>'1_BD questio brut'!AE17</f>
        <v/>
      </c>
      <c r="AH17" s="191" t="str">
        <f>'1_BD questio brut'!AF17</f>
        <v>Poêle</v>
      </c>
      <c r="AI17" s="191" t="str">
        <f>'1_BD questio brut'!AG17</f>
        <v>1</v>
      </c>
      <c r="AJ17" s="191" t="str">
        <f>'1_BD questio brut'!AH17</f>
        <v/>
      </c>
      <c r="AK17" s="191" t="str">
        <f>'1_BD questio brut'!AI17</f>
        <v>Chauffage de base</v>
      </c>
      <c r="AL17" s="191" t="str">
        <f>'1_BD questio brut'!AJ17</f>
        <v>Pas de réponse</v>
      </c>
      <c r="AM17" s="191" t="str">
        <f>'1_BD questio brut'!AK17</f>
        <v>2; 4; 5</v>
      </c>
      <c r="AN17" s="191" t="str">
        <f>'1_BD questio brut'!AL17</f>
        <v/>
      </c>
      <c r="AO17" s="191" t="str">
        <f>'1_BD questio brut'!AM17</f>
        <v>5; 7</v>
      </c>
      <c r="AP17" s="191" t="str">
        <f>'1_BD questio brut'!AN17</f>
        <v/>
      </c>
      <c r="AQ17" s="191" t="str">
        <f>'1_BD questio brut'!AO17</f>
        <v/>
      </c>
    </row>
    <row r="18" spans="1:43" ht="43.5" hidden="1">
      <c r="A18" s="98">
        <f>INDEX('3_BD instruction total'!A:A,MATCH(C18,'3_BD instruction total'!F:F,0))</f>
        <v>2020</v>
      </c>
      <c r="B18" s="98" t="str">
        <f>INDEX('3_BD instruction total'!C:C,MATCH(C18,'3_BD instruction total'!F:F,0))</f>
        <v>région</v>
      </c>
      <c r="C18" s="191" t="str">
        <f>'1_BD questio brut'!A18</f>
        <v>VRB0021</v>
      </c>
      <c r="D18" s="191" t="str">
        <f t="array" ref="D18">INDEX('Données 1_BD questio'!C:C,MATCH('1_BD questio brut'!$B$1&amp;'1_BD questio brut'!B18,'Données 1_BD questio'!A:A&amp;'Données 1_BD questio'!B:B,0))</f>
        <v>CAPV</v>
      </c>
      <c r="E18" s="191" t="str">
        <f t="array" ref="E18">INDEX('Données 1_BD questio'!C:C,MATCH('1_BD questio brut'!$C$1&amp;'1_BD questio brut'!C18,'Données 1_BD questio'!A:A&amp;'Données 1_BD questio'!B:B,0))</f>
        <v>Ouvrier</v>
      </c>
      <c r="F18" s="191" t="str">
        <f t="array" ref="F18">INDEX('Données 1_BD questio'!C:C,MATCH('1_BD questio brut'!$D$1&amp;'1_BD questio brut'!D18,'Données 1_BD questio'!A:A&amp;'Données 1_BD questio'!B:B,0))</f>
        <v>Artisan,commerçant,chef d'entreprise</v>
      </c>
      <c r="G18" s="191" t="str">
        <f>'1_BD questio brut'!E18</f>
        <v>35 à 49 ans</v>
      </c>
      <c r="H18" s="191">
        <f>'1_BD questio brut'!F18</f>
        <v>4</v>
      </c>
      <c r="I18" s="191" t="str">
        <f>'1_BD questio brut'!G18</f>
        <v>Pas de réponse</v>
      </c>
      <c r="J18" s="191" t="str">
        <f t="array" ref="J18">INDEX('Données 1_BD questio'!C:C,MATCH('1_BD questio brut'!$H$1&amp;'1_BD questio brut'!H18,'Données 1_BD questio'!A:A&amp;'Données 1_BD questio'!B:B,0))</f>
        <v>Maison avec jardin</v>
      </c>
      <c r="K18" s="191">
        <f>'1_BD questio brut'!I18</f>
        <v>100</v>
      </c>
      <c r="L18" s="191" t="str">
        <f>'1_BD questio brut'!J18</f>
        <v>Avant 1949</v>
      </c>
      <c r="M18" s="191" t="str">
        <f>'1_BD questio brut'!K18</f>
        <v>1</v>
      </c>
      <c r="N18" s="191" t="str">
        <f>'1_BD questio brut'!L18</f>
        <v>Pas de réponse</v>
      </c>
      <c r="O18" s="191" t="str">
        <f>'1_BD questio brut'!M18</f>
        <v>Propriétaire occupant</v>
      </c>
      <c r="P18" s="191" t="str">
        <f>'1_BD questio brut'!N18</f>
        <v>Foyer ouvert</v>
      </c>
      <c r="Q18" s="191" t="str">
        <f>'1_BD questio brut'!O18</f>
        <v>Chauffage de base</v>
      </c>
      <c r="R18" s="191" t="str">
        <f>'1_BD questio brut'!P18</f>
        <v>Tous les jours</v>
      </c>
      <c r="S18" s="191" t="str">
        <f>'1_BD questio brut'!Q18</f>
        <v>4; 5</v>
      </c>
      <c r="T18" s="191" t="str">
        <f>'1_BD questio brut'!R18</f>
        <v>Avant 1990</v>
      </c>
      <c r="U18" s="191" t="str">
        <f>'1_BD questio brut'!S18</f>
        <v>Bois bûche</v>
      </c>
      <c r="V18" s="191" t="str">
        <f>'1_BD questio brut'!T18</f>
        <v/>
      </c>
      <c r="W18" s="191" t="str">
        <f>'1_BD questio brut'!U18</f>
        <v>10</v>
      </c>
      <c r="X18" s="191" t="str">
        <f>'1_BD questio brut'!V18</f>
        <v>m3</v>
      </c>
      <c r="Y18" s="191" t="str">
        <f>'1_BD questio brut'!W18</f>
        <v>2</v>
      </c>
      <c r="Z18" s="191" t="str">
        <f>'1_BD questio brut'!X18</f>
        <v/>
      </c>
      <c r="AA18" s="191" t="str">
        <f t="array" ref="AA18">INDEX('Données 1_BD questio'!C:C,MATCH('1_BD questio brut'!$Y$1&amp;'1_BD questio brut'!Y18,'Données 1_BD questio'!A:A&amp;'Données 1_BD questio'!B:B,0))</f>
        <v>Rhône-Alpes hors RA2B</v>
      </c>
      <c r="AB18" s="191" t="str">
        <f>'1_BD questio brut'!Z18</f>
        <v>1; 2</v>
      </c>
      <c r="AC18" s="191" t="str">
        <f>'1_BD questio brut'!AA18</f>
        <v>&gt; 2 ans</v>
      </c>
      <c r="AD18" s="191" t="str">
        <f>'1_BD questio brut'!AB18</f>
        <v>Feuillus</v>
      </c>
      <c r="AE18" s="191" t="str">
        <f t="array" ref="AE18">INDEX('Données 1_BD questio'!C:C,MATCH('1_BD questio brut'!$AC$1&amp;'1_BD questio brut'!AC18,'Données 1_BD questio'!A:A&amp;'Données 1_BD questio'!B:B,0))</f>
        <v>un professionnel</v>
      </c>
      <c r="AF18" s="191" t="str">
        <f>'1_BD questio brut'!AD18</f>
        <v>2 fois par an</v>
      </c>
      <c r="AG18" s="191" t="str">
        <f>'1_BD questio brut'!AE18</f>
        <v/>
      </c>
      <c r="AH18" s="191" t="str">
        <f>'1_BD questio brut'!AF18</f>
        <v>Poêle</v>
      </c>
      <c r="AI18" s="191" t="str">
        <f>'1_BD questio brut'!AG18</f>
        <v>1</v>
      </c>
      <c r="AJ18" s="191" t="str">
        <f>'1_BD questio brut'!AH18</f>
        <v/>
      </c>
      <c r="AK18" s="191" t="str">
        <f>'1_BD questio brut'!AI18</f>
        <v>Chauffage de base</v>
      </c>
      <c r="AL18" s="191" t="str">
        <f>'1_BD questio brut'!AJ18</f>
        <v>Pas de réponse</v>
      </c>
      <c r="AM18" s="191" t="str">
        <f>'1_BD questio brut'!AK18</f>
        <v>2; 4; 5</v>
      </c>
      <c r="AN18" s="191" t="str">
        <f>'1_BD questio brut'!AL18</f>
        <v/>
      </c>
      <c r="AO18" s="191" t="str">
        <f>'1_BD questio brut'!AM18</f>
        <v>5</v>
      </c>
      <c r="AP18" s="191" t="str">
        <f>'1_BD questio brut'!AN18</f>
        <v/>
      </c>
      <c r="AQ18" s="191" t="str">
        <f>'1_BD questio brut'!AO18</f>
        <v/>
      </c>
    </row>
    <row r="19" spans="1:43" ht="43.5" hidden="1">
      <c r="A19" s="98">
        <f>INDEX('3_BD instruction total'!A:A,MATCH(C19,'3_BD instruction total'!F:F,0))</f>
        <v>2020</v>
      </c>
      <c r="B19" s="98" t="str">
        <f>INDEX('3_BD instruction total'!C:C,MATCH(C19,'3_BD instruction total'!F:F,0))</f>
        <v>région</v>
      </c>
      <c r="C19" s="191" t="str">
        <f>'1_BD questio brut'!A19</f>
        <v>VRB0022</v>
      </c>
      <c r="D19" s="191" t="str">
        <f t="array" ref="D19">INDEX('Données 1_BD questio'!C:C,MATCH('1_BD questio brut'!$B$1&amp;'1_BD questio brut'!B19,'Données 1_BD questio'!A:A&amp;'Données 1_BD questio'!B:B,0))</f>
        <v>CAPV</v>
      </c>
      <c r="E19" s="191" t="str">
        <f t="array" ref="E19">INDEX('Données 1_BD questio'!C:C,MATCH('1_BD questio brut'!$C$1&amp;'1_BD questio brut'!C19,'Données 1_BD questio'!A:A&amp;'Données 1_BD questio'!B:B,0))</f>
        <v>Retraité</v>
      </c>
      <c r="F19" s="191" t="str">
        <f t="array" ref="F19">INDEX('Données 1_BD questio'!C:C,MATCH('1_BD questio brut'!$D$1&amp;'1_BD questio brut'!D19,'Données 1_BD questio'!A:A&amp;'Données 1_BD questio'!B:B,0))</f>
        <v>Pas de réponse</v>
      </c>
      <c r="G19" s="191" t="str">
        <f>'1_BD questio brut'!E19</f>
        <v>65 ans et plus</v>
      </c>
      <c r="H19" s="191">
        <f>'1_BD questio brut'!F19</f>
        <v>1</v>
      </c>
      <c r="I19" s="191" t="str">
        <f>'1_BD questio brut'!G19</f>
        <v>Pas de réponse</v>
      </c>
      <c r="J19" s="191" t="str">
        <f t="array" ref="J19">INDEX('Données 1_BD questio'!C:C,MATCH('1_BD questio brut'!$H$1&amp;'1_BD questio brut'!H19,'Données 1_BD questio'!A:A&amp;'Données 1_BD questio'!B:B,0))</f>
        <v>Maison avec jardin</v>
      </c>
      <c r="K19" s="191">
        <f>'1_BD questio brut'!I19</f>
        <v>90</v>
      </c>
      <c r="L19" s="191" t="str">
        <f>'1_BD questio brut'!J19</f>
        <v>1975-1990</v>
      </c>
      <c r="M19" s="191" t="str">
        <f>'1_BD questio brut'!K19</f>
        <v>4</v>
      </c>
      <c r="N19" s="191" t="str">
        <f>'1_BD questio brut'!L19</f>
        <v>Pas de réponse</v>
      </c>
      <c r="O19" s="191" t="str">
        <f>'1_BD questio brut'!M19</f>
        <v>Propriétaire occupant</v>
      </c>
      <c r="P19" s="191" t="str">
        <f>'1_BD questio brut'!N19</f>
        <v>Insert / foyer fermé</v>
      </c>
      <c r="Q19" s="191" t="str">
        <f>'1_BD questio brut'!O19</f>
        <v>Chauffage de base</v>
      </c>
      <c r="R19" s="191" t="str">
        <f>'1_BD questio brut'!P19</f>
        <v>Tous les jours</v>
      </c>
      <c r="S19" s="191" t="str">
        <f>'1_BD questio brut'!Q19</f>
        <v>1; 2; 4; 6</v>
      </c>
      <c r="T19" s="191" t="str">
        <f>'1_BD questio brut'!R19</f>
        <v>1996-2002</v>
      </c>
      <c r="U19" s="191" t="str">
        <f>'1_BD questio brut'!S19</f>
        <v>Bois bûche</v>
      </c>
      <c r="V19" s="191" t="str">
        <f>'1_BD questio brut'!T19</f>
        <v/>
      </c>
      <c r="W19" s="191" t="str">
        <f>'1_BD questio brut'!U19</f>
        <v>18</v>
      </c>
      <c r="X19" s="191" t="str">
        <f>'1_BD questio brut'!V19</f>
        <v>Stères</v>
      </c>
      <c r="Y19" s="191" t="str">
        <f>'1_BD questio brut'!W19</f>
        <v>1</v>
      </c>
      <c r="Z19" s="191" t="str">
        <f>'1_BD questio brut'!X19</f>
        <v/>
      </c>
      <c r="AA19" s="191" t="str">
        <f t="array" ref="AA19">INDEX('Données 1_BD questio'!C:C,MATCH('1_BD questio brut'!$Y$1&amp;'1_BD questio brut'!Y19,'Données 1_BD questio'!A:A&amp;'Données 1_BD questio'!B:B,0))</f>
        <v>RA2B</v>
      </c>
      <c r="AB19" s="191" t="str">
        <f>'1_BD questio brut'!Z19</f>
        <v>1</v>
      </c>
      <c r="AC19" s="191" t="str">
        <f>'1_BD questio brut'!AA19</f>
        <v>1 à 2 ans</v>
      </c>
      <c r="AD19" s="191" t="str">
        <f>'1_BD questio brut'!AB19</f>
        <v>Feuillus</v>
      </c>
      <c r="AE19" s="191" t="str">
        <f t="array" ref="AE19">INDEX('Données 1_BD questio'!C:C,MATCH('1_BD questio brut'!$AC$1&amp;'1_BD questio brut'!AC19,'Données 1_BD questio'!A:A&amp;'Données 1_BD questio'!B:B,0))</f>
        <v>un professionnel</v>
      </c>
      <c r="AF19" s="191" t="str">
        <f>'1_BD questio brut'!AD19</f>
        <v>1 fois par an</v>
      </c>
      <c r="AG19" s="191" t="str">
        <f>'1_BD questio brut'!AE19</f>
        <v/>
      </c>
      <c r="AH19" s="191" t="str">
        <f>'1_BD questio brut'!AF19</f>
        <v>Poêle</v>
      </c>
      <c r="AI19" s="191" t="str">
        <f>'1_BD questio brut'!AG19</f>
        <v>2</v>
      </c>
      <c r="AJ19" s="191" t="str">
        <f>'1_BD questio brut'!AH19</f>
        <v/>
      </c>
      <c r="AK19" s="191" t="str">
        <f>'1_BD questio brut'!AI19</f>
        <v>Chauffage de base</v>
      </c>
      <c r="AL19" s="191" t="str">
        <f>'1_BD questio brut'!AJ19</f>
        <v>Pas de réponse</v>
      </c>
      <c r="AM19" s="191" t="str">
        <f>'1_BD questio brut'!AK19</f>
        <v>1; 2; 4; 5</v>
      </c>
      <c r="AN19" s="191" t="str">
        <f>'1_BD questio brut'!AL19</f>
        <v/>
      </c>
      <c r="AO19" s="191" t="str">
        <f>'1_BD questio brut'!AM19</f>
        <v>7</v>
      </c>
      <c r="AP19" s="191" t="str">
        <f>'1_BD questio brut'!AN19</f>
        <v/>
      </c>
      <c r="AQ19" s="191" t="str">
        <f>'1_BD questio brut'!AO19</f>
        <v/>
      </c>
    </row>
    <row r="20" spans="1:43" ht="43.5" hidden="1">
      <c r="A20" s="98">
        <f>INDEX('3_BD instruction total'!A:A,MATCH(C20,'3_BD instruction total'!F:F,0))</f>
        <v>2020</v>
      </c>
      <c r="B20" s="98" t="str">
        <f>INDEX('3_BD instruction total'!C:C,MATCH(C20,'3_BD instruction total'!F:F,0))</f>
        <v>région</v>
      </c>
      <c r="C20" s="191" t="str">
        <f>'1_BD questio brut'!A20</f>
        <v>VRB0023</v>
      </c>
      <c r="D20" s="191" t="str">
        <f t="array" ref="D20">INDEX('Données 1_BD questio'!C:C,MATCH('1_BD questio brut'!$B$1&amp;'1_BD questio brut'!B20,'Données 1_BD questio'!A:A&amp;'Données 1_BD questio'!B:B,0))</f>
        <v>CAPV</v>
      </c>
      <c r="E20" s="191" t="str">
        <f t="array" ref="E20">INDEX('Données 1_BD questio'!C:C,MATCH('1_BD questio brut'!$C$1&amp;'1_BD questio brut'!C20,'Données 1_BD questio'!A:A&amp;'Données 1_BD questio'!B:B,0))</f>
        <v>Cadre</v>
      </c>
      <c r="F20" s="191" t="str">
        <f t="array" ref="F20">INDEX('Données 1_BD questio'!C:C,MATCH('1_BD questio brut'!$D$1&amp;'1_BD questio brut'!D20,'Données 1_BD questio'!A:A&amp;'Données 1_BD questio'!B:B,0))</f>
        <v>Profession intermédiaire</v>
      </c>
      <c r="G20" s="191" t="str">
        <f>'1_BD questio brut'!E20</f>
        <v>35 à 49 ans</v>
      </c>
      <c r="H20" s="191">
        <f>'1_BD questio brut'!F20</f>
        <v>4</v>
      </c>
      <c r="I20" s="191" t="str">
        <f>'1_BD questio brut'!G20</f>
        <v>Pas de réponse</v>
      </c>
      <c r="J20" s="191" t="str">
        <f t="array" ref="J20">INDEX('Données 1_BD questio'!C:C,MATCH('1_BD questio brut'!$H$1&amp;'1_BD questio brut'!H20,'Données 1_BD questio'!A:A&amp;'Données 1_BD questio'!B:B,0))</f>
        <v>Maison avec jardin</v>
      </c>
      <c r="K20" s="191">
        <f>'1_BD questio brut'!I20</f>
        <v>122</v>
      </c>
      <c r="L20" s="191" t="str">
        <f>'1_BD questio brut'!J20</f>
        <v>1975-1990</v>
      </c>
      <c r="M20" s="191" t="str">
        <f>'1_BD questio brut'!K20</f>
        <v>7</v>
      </c>
      <c r="N20" s="191" t="str">
        <f>'1_BD questio brut'!L20</f>
        <v>E</v>
      </c>
      <c r="O20" s="191" t="str">
        <f>'1_BD questio brut'!M20</f>
        <v>Propriétaire occupant</v>
      </c>
      <c r="P20" s="191" t="str">
        <f>'1_BD questio brut'!N20</f>
        <v>Insert / foyer fermé</v>
      </c>
      <c r="Q20" s="191" t="str">
        <f>'1_BD questio brut'!O20</f>
        <v>Chauffage de base</v>
      </c>
      <c r="R20" s="191" t="str">
        <f>'1_BD questio brut'!P20</f>
        <v>Tous les jours</v>
      </c>
      <c r="S20" s="191" t="str">
        <f>'1_BD questio brut'!Q20</f>
        <v>1; 2; 4; 5</v>
      </c>
      <c r="T20" s="191" t="str">
        <f>'1_BD questio brut'!R20</f>
        <v>Avant 1990</v>
      </c>
      <c r="U20" s="191" t="str">
        <f>'1_BD questio brut'!S20</f>
        <v>Bois bûche</v>
      </c>
      <c r="V20" s="191" t="str">
        <f>'1_BD questio brut'!T20</f>
        <v/>
      </c>
      <c r="W20" s="191" t="str">
        <f>'1_BD questio brut'!U20</f>
        <v>15</v>
      </c>
      <c r="X20" s="191" t="str">
        <f>'1_BD questio brut'!V20</f>
        <v>Stères</v>
      </c>
      <c r="Y20" s="191" t="str">
        <f>'1_BD questio brut'!W20</f>
        <v>1</v>
      </c>
      <c r="Z20" s="191" t="str">
        <f>'1_BD questio brut'!X20</f>
        <v/>
      </c>
      <c r="AA20" s="191" t="str">
        <f t="array" ref="AA20">INDEX('Données 1_BD questio'!C:C,MATCH('1_BD questio brut'!$Y$1&amp;'1_BD questio brut'!Y20,'Données 1_BD questio'!A:A&amp;'Données 1_BD questio'!B:B,0))</f>
        <v>Rhône-Alpes hors RA2B</v>
      </c>
      <c r="AB20" s="191" t="str">
        <f>'1_BD questio brut'!Z20</f>
        <v>2</v>
      </c>
      <c r="AC20" s="191" t="str">
        <f>'1_BD questio brut'!AA20</f>
        <v>&gt; 2 ans</v>
      </c>
      <c r="AD20" s="191" t="str">
        <f>'1_BD questio brut'!AB20</f>
        <v>Les deux</v>
      </c>
      <c r="AE20" s="191" t="str">
        <f t="array" ref="AE20">INDEX('Données 1_BD questio'!C:C,MATCH('1_BD questio brut'!$AC$1&amp;'1_BD questio brut'!AC20,'Données 1_BD questio'!A:A&amp;'Données 1_BD questio'!B:B,0))</f>
        <v>un professionnel</v>
      </c>
      <c r="AF20" s="191" t="str">
        <f>'1_BD questio brut'!AD20</f>
        <v>1 fois par an</v>
      </c>
      <c r="AG20" s="191" t="str">
        <f>'1_BD questio brut'!AE20</f>
        <v/>
      </c>
      <c r="AH20" s="191" t="str">
        <f>'1_BD questio brut'!AF20</f>
        <v>Poêle</v>
      </c>
      <c r="AI20" s="191" t="str">
        <f>'1_BD questio brut'!AG20</f>
        <v>1; 2</v>
      </c>
      <c r="AJ20" s="191" t="str">
        <f>'1_BD questio brut'!AH20</f>
        <v/>
      </c>
      <c r="AK20" s="191" t="str">
        <f>'1_BD questio brut'!AI20</f>
        <v>Chauffage de base</v>
      </c>
      <c r="AL20" s="191" t="str">
        <f>'1_BD questio brut'!AJ20</f>
        <v>Pas de réponse</v>
      </c>
      <c r="AM20" s="191" t="str">
        <f>'1_BD questio brut'!AK20</f>
        <v>2; 4</v>
      </c>
      <c r="AN20" s="191" t="str">
        <f>'1_BD questio brut'!AL20</f>
        <v/>
      </c>
      <c r="AO20" s="191" t="str">
        <f>'1_BD questio brut'!AM20</f>
        <v>7</v>
      </c>
      <c r="AP20" s="191" t="str">
        <f>'1_BD questio brut'!AN20</f>
        <v/>
      </c>
      <c r="AQ20" s="191" t="str">
        <f>'1_BD questio brut'!AO20</f>
        <v/>
      </c>
    </row>
    <row r="21" spans="1:43" ht="43.5" hidden="1">
      <c r="A21" s="98">
        <f>INDEX('3_BD instruction total'!A:A,MATCH(C21,'3_BD instruction total'!F:F,0))</f>
        <v>2020</v>
      </c>
      <c r="B21" s="98" t="str">
        <f>INDEX('3_BD instruction total'!C:C,MATCH(C21,'3_BD instruction total'!F:F,0))</f>
        <v>région</v>
      </c>
      <c r="C21" s="191" t="str">
        <f>'1_BD questio brut'!A21</f>
        <v>VRB0024</v>
      </c>
      <c r="D21" s="191" t="str">
        <f t="array" ref="D21">INDEX('Données 1_BD questio'!C:C,MATCH('1_BD questio brut'!$B$1&amp;'1_BD questio brut'!B21,'Données 1_BD questio'!A:A&amp;'Données 1_BD questio'!B:B,0))</f>
        <v>CAPV</v>
      </c>
      <c r="E21" s="191" t="str">
        <f t="array" ref="E21">INDEX('Données 1_BD questio'!C:C,MATCH('1_BD questio brut'!$C$1&amp;'1_BD questio brut'!C21,'Données 1_BD questio'!A:A&amp;'Données 1_BD questio'!B:B,0))</f>
        <v>Artisan,commerçant,chef d'entreprise</v>
      </c>
      <c r="F21" s="191" t="str">
        <f t="array" ref="F21">INDEX('Données 1_BD questio'!C:C,MATCH('1_BD questio brut'!$D$1&amp;'1_BD questio brut'!D21,'Données 1_BD questio'!A:A&amp;'Données 1_BD questio'!B:B,0))</f>
        <v>Artisan,commerçant,chef d'entreprise</v>
      </c>
      <c r="G21" s="191" t="str">
        <f>'1_BD questio brut'!E21</f>
        <v>50 à 64 ans</v>
      </c>
      <c r="H21" s="191">
        <f>'1_BD questio brut'!F21</f>
        <v>3</v>
      </c>
      <c r="I21" s="191" t="str">
        <f>'1_BD questio brut'!G21</f>
        <v>Pas de réponse</v>
      </c>
      <c r="J21" s="191" t="str">
        <f t="array" ref="J21">INDEX('Données 1_BD questio'!C:C,MATCH('1_BD questio brut'!$H$1&amp;'1_BD questio brut'!H21,'Données 1_BD questio'!A:A&amp;'Données 1_BD questio'!B:B,0))</f>
        <v>Maison avec jardin</v>
      </c>
      <c r="K21" s="191">
        <f>'1_BD questio brut'!I21</f>
        <v>120</v>
      </c>
      <c r="L21" s="191" t="str">
        <f>'1_BD questio brut'!J21</f>
        <v>1990-2005</v>
      </c>
      <c r="M21" s="191" t="str">
        <f>'1_BD questio brut'!K21</f>
        <v>7</v>
      </c>
      <c r="N21" s="191" t="str">
        <f>'1_BD questio brut'!L21</f>
        <v>C</v>
      </c>
      <c r="O21" s="191" t="str">
        <f>'1_BD questio brut'!M21</f>
        <v>Propriétaire occupant</v>
      </c>
      <c r="P21" s="191" t="str">
        <f>'1_BD questio brut'!N21</f>
        <v>Insert / foyer fermé</v>
      </c>
      <c r="Q21" s="191" t="str">
        <f>'1_BD questio brut'!O21</f>
        <v>Plaisir/agrément</v>
      </c>
      <c r="R21" s="191" t="str">
        <f>'1_BD questio brut'!P21</f>
        <v>1 à 3 jours/mois</v>
      </c>
      <c r="S21" s="191" t="str">
        <f>'1_BD questio brut'!Q21</f>
        <v>2; 3; 6</v>
      </c>
      <c r="T21" s="191" t="str">
        <f>'1_BD questio brut'!R21</f>
        <v>1996-2002</v>
      </c>
      <c r="U21" s="191" t="str">
        <f>'1_BD questio brut'!S21</f>
        <v>Bois bûche</v>
      </c>
      <c r="V21" s="191" t="str">
        <f>'1_BD questio brut'!T21</f>
        <v/>
      </c>
      <c r="W21" s="191" t="str">
        <f>'1_BD questio brut'!U21</f>
        <v>3</v>
      </c>
      <c r="X21" s="191" t="str">
        <f>'1_BD questio brut'!V21</f>
        <v>Stères</v>
      </c>
      <c r="Y21" s="191" t="str">
        <f>'1_BD questio brut'!W21</f>
        <v>2</v>
      </c>
      <c r="Z21" s="191" t="str">
        <f>'1_BD questio brut'!X21</f>
        <v/>
      </c>
      <c r="AA21" s="191" t="str">
        <f t="array" ref="AA21">INDEX('Données 1_BD questio'!C:C,MATCH('1_BD questio brut'!$Y$1&amp;'1_BD questio brut'!Y21,'Données 1_BD questio'!A:A&amp;'Données 1_BD questio'!B:B,0))</f>
        <v>Rhône-Alpes hors RA2B</v>
      </c>
      <c r="AB21" s="191" t="str">
        <f>'1_BD questio brut'!Z21</f>
        <v>2</v>
      </c>
      <c r="AC21" s="191" t="str">
        <f>'1_BD questio brut'!AA21</f>
        <v>1 à 2 ans</v>
      </c>
      <c r="AD21" s="191" t="str">
        <f>'1_BD questio brut'!AB21</f>
        <v>Les deux</v>
      </c>
      <c r="AE21" s="191" t="str">
        <f t="array" ref="AE21">INDEX('Données 1_BD questio'!C:C,MATCH('1_BD questio brut'!$AC$1&amp;'1_BD questio brut'!AC21,'Données 1_BD questio'!A:A&amp;'Données 1_BD questio'!B:B,0))</f>
        <v>un professionnel</v>
      </c>
      <c r="AF21" s="191" t="str">
        <f>'1_BD questio brut'!AD21</f>
        <v>1 fois par an</v>
      </c>
      <c r="AG21" s="191" t="str">
        <f>'1_BD questio brut'!AE21</f>
        <v/>
      </c>
      <c r="AH21" s="191" t="str">
        <f>'1_BD questio brut'!AF21</f>
        <v>Poêle</v>
      </c>
      <c r="AI21" s="191" t="str">
        <f>'1_BD questio brut'!AG21</f>
        <v>2</v>
      </c>
      <c r="AJ21" s="191" t="str">
        <f>'1_BD questio brut'!AH21</f>
        <v/>
      </c>
      <c r="AK21" s="191" t="str">
        <f>'1_BD questio brut'!AI21</f>
        <v>Chauffage de base</v>
      </c>
      <c r="AL21" s="191" t="str">
        <f>'1_BD questio brut'!AJ21</f>
        <v>Pas de réponse</v>
      </c>
      <c r="AM21" s="191" t="str">
        <f>'1_BD questio brut'!AK21</f>
        <v>2; 4; 5</v>
      </c>
      <c r="AN21" s="191" t="str">
        <f>'1_BD questio brut'!AL21</f>
        <v/>
      </c>
      <c r="AO21" s="191" t="str">
        <f>'1_BD questio brut'!AM21</f>
        <v>1; 7</v>
      </c>
      <c r="AP21" s="191" t="str">
        <f>'1_BD questio brut'!AN21</f>
        <v/>
      </c>
      <c r="AQ21" s="191" t="str">
        <f>'1_BD questio brut'!AO21</f>
        <v/>
      </c>
    </row>
    <row r="22" spans="1:43" ht="29" hidden="1">
      <c r="A22" s="98">
        <f>INDEX('3_BD instruction total'!A:A,MATCH(C22,'3_BD instruction total'!F:F,0))</f>
        <v>2020</v>
      </c>
      <c r="B22" s="98" t="str">
        <f>INDEX('3_BD instruction total'!C:C,MATCH(C22,'3_BD instruction total'!F:F,0))</f>
        <v>région</v>
      </c>
      <c r="C22" s="191" t="str">
        <f>'1_BD questio brut'!A22</f>
        <v>VRB0025</v>
      </c>
      <c r="D22" s="191" t="str">
        <f t="array" ref="D22">INDEX('Données 1_BD questio'!C:C,MATCH('1_BD questio brut'!$B$1&amp;'1_BD questio brut'!B22,'Données 1_BD questio'!A:A&amp;'Données 1_BD questio'!B:B,0))</f>
        <v>CAPV</v>
      </c>
      <c r="E22" s="191" t="str">
        <f t="array" ref="E22">INDEX('Données 1_BD questio'!C:C,MATCH('1_BD questio brut'!$C$1&amp;'1_BD questio brut'!C22,'Données 1_BD questio'!A:A&amp;'Données 1_BD questio'!B:B,0))</f>
        <v>Employé</v>
      </c>
      <c r="F22" s="191" t="str">
        <f t="array" ref="F22">INDEX('Données 1_BD questio'!C:C,MATCH('1_BD questio brut'!$D$1&amp;'1_BD questio brut'!D22,'Données 1_BD questio'!A:A&amp;'Données 1_BD questio'!B:B,0))</f>
        <v>Pas de réponse</v>
      </c>
      <c r="G22" s="191" t="str">
        <f>'1_BD questio brut'!E22</f>
        <v>50 à 64 ans</v>
      </c>
      <c r="H22" s="191">
        <f>'1_BD questio brut'!F22</f>
        <v>1</v>
      </c>
      <c r="I22" s="191" t="str">
        <f>'1_BD questio brut'!G22</f>
        <v>Pas de réponse</v>
      </c>
      <c r="J22" s="191" t="str">
        <f t="array" ref="J22">INDEX('Données 1_BD questio'!C:C,MATCH('1_BD questio brut'!$H$1&amp;'1_BD questio brut'!H22,'Données 1_BD questio'!A:A&amp;'Données 1_BD questio'!B:B,0))</f>
        <v>Maison avec jardin</v>
      </c>
      <c r="K22" s="191">
        <f>'1_BD questio brut'!I22</f>
        <v>110</v>
      </c>
      <c r="L22" s="191" t="str">
        <f>'1_BD questio brut'!J22</f>
        <v>Avant 1949</v>
      </c>
      <c r="M22" s="191" t="str">
        <f>'1_BD questio brut'!K22</f>
        <v>6</v>
      </c>
      <c r="N22" s="191" t="str">
        <f>'1_BD questio brut'!L22</f>
        <v>Pas de réponse</v>
      </c>
      <c r="O22" s="191" t="str">
        <f>'1_BD questio brut'!M22</f>
        <v>Propriétaire occupant</v>
      </c>
      <c r="P22" s="191" t="str">
        <f>'1_BD questio brut'!N22</f>
        <v>Insert / foyer fermé</v>
      </c>
      <c r="Q22" s="191" t="str">
        <f>'1_BD questio brut'!O22</f>
        <v>Chauffage de base</v>
      </c>
      <c r="R22" s="191" t="str">
        <f>'1_BD questio brut'!P22</f>
        <v>Moins de 15 fois par an</v>
      </c>
      <c r="S22" s="191" t="str">
        <f>'1_BD questio brut'!Q22</f>
        <v>3; 6</v>
      </c>
      <c r="T22" s="191" t="str">
        <f>'1_BD questio brut'!R22</f>
        <v>Avant 1990</v>
      </c>
      <c r="U22" s="191" t="str">
        <f>'1_BD questio brut'!S22</f>
        <v>Bois bûche</v>
      </c>
      <c r="V22" s="191" t="str">
        <f>'1_BD questio brut'!T22</f>
        <v/>
      </c>
      <c r="W22" s="191" t="str">
        <f>'1_BD questio brut'!U22</f>
        <v/>
      </c>
      <c r="X22" s="191" t="str">
        <f>'1_BD questio brut'!V22</f>
        <v/>
      </c>
      <c r="Y22" s="191" t="str">
        <f>'1_BD questio brut'!W22</f>
        <v>1</v>
      </c>
      <c r="Z22" s="191" t="str">
        <f>'1_BD questio brut'!X22</f>
        <v/>
      </c>
      <c r="AA22" s="191" t="str">
        <f t="array" ref="AA22">INDEX('Données 1_BD questio'!C:C,MATCH('1_BD questio brut'!$Y$1&amp;'1_BD questio brut'!Y22,'Données 1_BD questio'!A:A&amp;'Données 1_BD questio'!B:B,0))</f>
        <v>Ne sait pas</v>
      </c>
      <c r="AB22" s="191" t="str">
        <f>'1_BD questio brut'!Z22</f>
        <v>1</v>
      </c>
      <c r="AC22" s="191" t="str">
        <f>'1_BD questio brut'!AA22</f>
        <v>1 à 2 ans</v>
      </c>
      <c r="AD22" s="191" t="str">
        <f>'1_BD questio brut'!AB22</f>
        <v>Les deux</v>
      </c>
      <c r="AE22" s="191" t="str">
        <f t="array" ref="AE22">INDEX('Données 1_BD questio'!C:C,MATCH('1_BD questio brut'!$AC$1&amp;'1_BD questio brut'!AC22,'Données 1_BD questio'!A:A&amp;'Données 1_BD questio'!B:B,0))</f>
        <v>Pas de réponse</v>
      </c>
      <c r="AF22" s="191" t="str">
        <f>'1_BD questio brut'!AD22</f>
        <v>Autre, à préciser</v>
      </c>
      <c r="AG22" s="191" t="str">
        <f>'1_BD questio brut'!AE22</f>
        <v>ne sais pas</v>
      </c>
      <c r="AH22" s="191" t="str">
        <f>'1_BD questio brut'!AF22</f>
        <v>Poêle</v>
      </c>
      <c r="AI22" s="191" t="str">
        <f>'1_BD questio brut'!AG22</f>
        <v>2</v>
      </c>
      <c r="AJ22" s="191" t="str">
        <f>'1_BD questio brut'!AH22</f>
        <v/>
      </c>
      <c r="AK22" s="191" t="str">
        <f>'1_BD questio brut'!AI22</f>
        <v>Chauffage de base</v>
      </c>
      <c r="AL22" s="191" t="str">
        <f>'1_BD questio brut'!AJ22</f>
        <v>Pas de réponse</v>
      </c>
      <c r="AM22" s="191" t="str">
        <f>'1_BD questio brut'!AK22</f>
        <v>1; 4; 5</v>
      </c>
      <c r="AN22" s="191" t="str">
        <f>'1_BD questio brut'!AL22</f>
        <v/>
      </c>
      <c r="AO22" s="191" t="str">
        <f>'1_BD questio brut'!AM22</f>
        <v>1; 2; 7</v>
      </c>
      <c r="AP22" s="191" t="str">
        <f>'1_BD questio brut'!AN22</f>
        <v/>
      </c>
      <c r="AQ22" s="191" t="str">
        <f>'1_BD questio brut'!AO22</f>
        <v/>
      </c>
    </row>
    <row r="23" spans="1:43" ht="43.5" hidden="1">
      <c r="A23" s="98">
        <f>INDEX('3_BD instruction total'!A:A,MATCH(C23,'3_BD instruction total'!F:F,0))</f>
        <v>2020</v>
      </c>
      <c r="B23" s="98" t="str">
        <f>INDEX('3_BD instruction total'!C:C,MATCH(C23,'3_BD instruction total'!F:F,0))</f>
        <v>région</v>
      </c>
      <c r="C23" s="191" t="str">
        <f>'1_BD questio brut'!A23</f>
        <v>VRB0026</v>
      </c>
      <c r="D23" s="191" t="str">
        <f t="array" ref="D23">INDEX('Données 1_BD questio'!C:C,MATCH('1_BD questio brut'!$B$1&amp;'1_BD questio brut'!B23,'Données 1_BD questio'!A:A&amp;'Données 1_BD questio'!B:B,0))</f>
        <v>CAPV</v>
      </c>
      <c r="E23" s="191" t="str">
        <f t="array" ref="E23">INDEX('Données 1_BD questio'!C:C,MATCH('1_BD questio brut'!$C$1&amp;'1_BD questio brut'!C23,'Données 1_BD questio'!A:A&amp;'Données 1_BD questio'!B:B,0))</f>
        <v>Retraité</v>
      </c>
      <c r="F23" s="191" t="str">
        <f t="array" ref="F23">INDEX('Données 1_BD questio'!C:C,MATCH('1_BD questio brut'!$D$1&amp;'1_BD questio brut'!D23,'Données 1_BD questio'!A:A&amp;'Données 1_BD questio'!B:B,0))</f>
        <v>Pas de réponse</v>
      </c>
      <c r="G23" s="191" t="str">
        <f>'1_BD questio brut'!E23</f>
        <v>65 ans et plus</v>
      </c>
      <c r="H23" s="191">
        <f>'1_BD questio brut'!F23</f>
        <v>1</v>
      </c>
      <c r="I23" s="191" t="str">
        <f>'1_BD questio brut'!G23</f>
        <v>Pas de réponse</v>
      </c>
      <c r="J23" s="191" t="str">
        <f t="array" ref="J23">INDEX('Données 1_BD questio'!C:C,MATCH('1_BD questio brut'!$H$1&amp;'1_BD questio brut'!H23,'Données 1_BD questio'!A:A&amp;'Données 1_BD questio'!B:B,0))</f>
        <v>Maison avec jardin</v>
      </c>
      <c r="K23" s="191">
        <f>'1_BD questio brut'!I23</f>
        <v>70</v>
      </c>
      <c r="L23" s="191" t="str">
        <f>'1_BD questio brut'!J23</f>
        <v>1949-1975</v>
      </c>
      <c r="M23" s="191" t="str">
        <f>'1_BD questio brut'!K23</f>
        <v>6</v>
      </c>
      <c r="N23" s="191" t="str">
        <f>'1_BD questio brut'!L23</f>
        <v>Pas de réponse</v>
      </c>
      <c r="O23" s="191" t="str">
        <f>'1_BD questio brut'!M23</f>
        <v>Propriétaire occupant</v>
      </c>
      <c r="P23" s="191" t="str">
        <f>'1_BD questio brut'!N23</f>
        <v>Poêle</v>
      </c>
      <c r="Q23" s="191" t="str">
        <f>'1_BD questio brut'!O23</f>
        <v>Chauffage de base</v>
      </c>
      <c r="R23" s="191" t="str">
        <f>'1_BD questio brut'!P23</f>
        <v>Tous les jours</v>
      </c>
      <c r="S23" s="191" t="str">
        <f>'1_BD questio brut'!Q23</f>
        <v>2</v>
      </c>
      <c r="T23" s="191" t="str">
        <f>'1_BD questio brut'!R23</f>
        <v>Avant 1990</v>
      </c>
      <c r="U23" s="191" t="str">
        <f>'1_BD questio brut'!S23</f>
        <v>Bois bûche</v>
      </c>
      <c r="V23" s="191" t="str">
        <f>'1_BD questio brut'!T23</f>
        <v/>
      </c>
      <c r="W23" s="191" t="str">
        <f>'1_BD questio brut'!U23</f>
        <v>8</v>
      </c>
      <c r="X23" s="191" t="str">
        <f>'1_BD questio brut'!V23</f>
        <v>m3</v>
      </c>
      <c r="Y23" s="191" t="str">
        <f>'1_BD questio brut'!W23</f>
        <v>2</v>
      </c>
      <c r="Z23" s="191" t="str">
        <f>'1_BD questio brut'!X23</f>
        <v/>
      </c>
      <c r="AA23" s="191" t="str">
        <f t="array" ref="AA23">INDEX('Données 1_BD questio'!C:C,MATCH('1_BD questio brut'!$Y$1&amp;'1_BD questio brut'!Y23,'Données 1_BD questio'!A:A&amp;'Données 1_BD questio'!B:B,0))</f>
        <v>Rhône-Alpes hors RA2B</v>
      </c>
      <c r="AB23" s="191" t="str">
        <f>'1_BD questio brut'!Z23</f>
        <v>2</v>
      </c>
      <c r="AC23" s="191" t="str">
        <f>'1_BD questio brut'!AA23</f>
        <v>&gt; 2 ans</v>
      </c>
      <c r="AD23" s="191" t="str">
        <f>'1_BD questio brut'!AB23</f>
        <v>Feuillus</v>
      </c>
      <c r="AE23" s="191" t="str">
        <f t="array" ref="AE23">INDEX('Données 1_BD questio'!C:C,MATCH('1_BD questio brut'!$AC$1&amp;'1_BD questio brut'!AC23,'Données 1_BD questio'!A:A&amp;'Données 1_BD questio'!B:B,0))</f>
        <v>un professionnel</v>
      </c>
      <c r="AF23" s="191" t="str">
        <f>'1_BD questio brut'!AD23</f>
        <v>1 fois par an</v>
      </c>
      <c r="AG23" s="191" t="str">
        <f>'1_BD questio brut'!AE23</f>
        <v/>
      </c>
      <c r="AH23" s="191" t="str">
        <f>'1_BD questio brut'!AF23</f>
        <v>Poêle</v>
      </c>
      <c r="AI23" s="191" t="str">
        <f>'1_BD questio brut'!AG23</f>
        <v>1</v>
      </c>
      <c r="AJ23" s="191" t="str">
        <f>'1_BD questio brut'!AH23</f>
        <v/>
      </c>
      <c r="AK23" s="191" t="str">
        <f>'1_BD questio brut'!AI23</f>
        <v>Chauffage de base</v>
      </c>
      <c r="AL23" s="191" t="str">
        <f>'1_BD questio brut'!AJ23</f>
        <v>Pas de réponse</v>
      </c>
      <c r="AM23" s="191" t="str">
        <f>'1_BD questio brut'!AK23</f>
        <v>4; 5</v>
      </c>
      <c r="AN23" s="191" t="str">
        <f>'1_BD questio brut'!AL23</f>
        <v/>
      </c>
      <c r="AO23" s="191" t="str">
        <f>'1_BD questio brut'!AM23</f>
        <v>7</v>
      </c>
      <c r="AP23" s="191" t="str">
        <f>'1_BD questio brut'!AN23</f>
        <v/>
      </c>
      <c r="AQ23" s="191" t="str">
        <f>'1_BD questio brut'!AO23</f>
        <v/>
      </c>
    </row>
    <row r="24" spans="1:43" ht="29" hidden="1">
      <c r="A24" s="98">
        <f>INDEX('3_BD instruction total'!A:A,MATCH(C24,'3_BD instruction total'!F:F,0))</f>
        <v>2020</v>
      </c>
      <c r="B24" s="98" t="str">
        <f>INDEX('3_BD instruction total'!C:C,MATCH(C24,'3_BD instruction total'!F:F,0))</f>
        <v>région</v>
      </c>
      <c r="C24" s="191" t="str">
        <f>'1_BD questio brut'!A24</f>
        <v>VRB0027</v>
      </c>
      <c r="D24" s="191" t="str">
        <f t="array" ref="D24">INDEX('Données 1_BD questio'!C:C,MATCH('1_BD questio brut'!$B$1&amp;'1_BD questio brut'!B24,'Données 1_BD questio'!A:A&amp;'Données 1_BD questio'!B:B,0))</f>
        <v>CAPV</v>
      </c>
      <c r="E24" s="191" t="str">
        <f t="array" ref="E24">INDEX('Données 1_BD questio'!C:C,MATCH('1_BD questio brut'!$C$1&amp;'1_BD questio brut'!C24,'Données 1_BD questio'!A:A&amp;'Données 1_BD questio'!B:B,0))</f>
        <v>Retraité</v>
      </c>
      <c r="F24" s="191" t="str">
        <f t="array" ref="F24">INDEX('Données 1_BD questio'!C:C,MATCH('1_BD questio brut'!$D$1&amp;'1_BD questio brut'!D24,'Données 1_BD questio'!A:A&amp;'Données 1_BD questio'!B:B,0))</f>
        <v>Pas de réponse</v>
      </c>
      <c r="G24" s="191" t="str">
        <f>'1_BD questio brut'!E24</f>
        <v>65 ans et plus</v>
      </c>
      <c r="H24" s="191">
        <f>'1_BD questio brut'!F24</f>
        <v>1</v>
      </c>
      <c r="I24" s="191" t="str">
        <f>'1_BD questio brut'!G24</f>
        <v>Pas de réponse</v>
      </c>
      <c r="J24" s="191" t="str">
        <f t="array" ref="J24">INDEX('Données 1_BD questio'!C:C,MATCH('1_BD questio brut'!$H$1&amp;'1_BD questio brut'!H24,'Données 1_BD questio'!A:A&amp;'Données 1_BD questio'!B:B,0))</f>
        <v>Maison sans jardin</v>
      </c>
      <c r="K24" s="191">
        <f>'1_BD questio brut'!I24</f>
        <v>61</v>
      </c>
      <c r="L24" s="191" t="str">
        <f>'1_BD questio brut'!J24</f>
        <v>1975-1990</v>
      </c>
      <c r="M24" s="191" t="str">
        <f>'1_BD questio brut'!K24</f>
        <v>6</v>
      </c>
      <c r="N24" s="191" t="str">
        <f>'1_BD questio brut'!L24</f>
        <v>Pas de réponse</v>
      </c>
      <c r="O24" s="191" t="str">
        <f>'1_BD questio brut'!M24</f>
        <v>Propriétaire occupant</v>
      </c>
      <c r="P24" s="191" t="str">
        <f>'1_BD questio brut'!N24</f>
        <v>Insert / foyer fermé</v>
      </c>
      <c r="Q24" s="191" t="str">
        <f>'1_BD questio brut'!O24</f>
        <v>Chauffage de base</v>
      </c>
      <c r="R24" s="191" t="str">
        <f>'1_BD questio brut'!P24</f>
        <v>Pas de réponse</v>
      </c>
      <c r="S24" s="191" t="str">
        <f>'1_BD questio brut'!Q24</f>
        <v>7</v>
      </c>
      <c r="T24" s="191" t="str">
        <f>'1_BD questio brut'!R24</f>
        <v>Avant 1990</v>
      </c>
      <c r="U24" s="191" t="str">
        <f>'1_BD questio brut'!S24</f>
        <v>Bois bûche</v>
      </c>
      <c r="V24" s="191" t="str">
        <f>'1_BD questio brut'!T24</f>
        <v/>
      </c>
      <c r="W24" s="191" t="str">
        <f>'1_BD questio brut'!U24</f>
        <v>13</v>
      </c>
      <c r="X24" s="191" t="str">
        <f>'1_BD questio brut'!V24</f>
        <v>stère</v>
      </c>
      <c r="Y24" s="191" t="str">
        <f>'1_BD questio brut'!W24</f>
        <v>3</v>
      </c>
      <c r="Z24" s="191" t="str">
        <f>'1_BD questio brut'!X24</f>
        <v/>
      </c>
      <c r="AA24" s="191" t="str">
        <f t="array" ref="AA24">INDEX('Données 1_BD questio'!C:C,MATCH('1_BD questio brut'!$Y$1&amp;'1_BD questio brut'!Y24,'Données 1_BD questio'!A:A&amp;'Données 1_BD questio'!B:B,0))</f>
        <v>RA2B</v>
      </c>
      <c r="AB24" s="191" t="str">
        <f>'1_BD questio brut'!Z24</f>
        <v>1</v>
      </c>
      <c r="AC24" s="191" t="str">
        <f>'1_BD questio brut'!AA24</f>
        <v>1 à 2 ans</v>
      </c>
      <c r="AD24" s="191" t="str">
        <f>'1_BD questio brut'!AB24</f>
        <v>Feuillus</v>
      </c>
      <c r="AE24" s="191" t="str">
        <f t="array" ref="AE24">INDEX('Données 1_BD questio'!C:C,MATCH('1_BD questio brut'!$AC$1&amp;'1_BD questio brut'!AC24,'Données 1_BD questio'!A:A&amp;'Données 1_BD questio'!B:B,0))</f>
        <v>vous-même</v>
      </c>
      <c r="AF24" s="191" t="str">
        <f>'1_BD questio brut'!AD24</f>
        <v>2 fois par an</v>
      </c>
      <c r="AG24" s="191" t="str">
        <f>'1_BD questio brut'!AE24</f>
        <v/>
      </c>
      <c r="AH24" s="191" t="str">
        <f>'1_BD questio brut'!AF24</f>
        <v>Poêle</v>
      </c>
      <c r="AI24" s="191" t="str">
        <f>'1_BD questio brut'!AG24</f>
        <v>1</v>
      </c>
      <c r="AJ24" s="191" t="str">
        <f>'1_BD questio brut'!AH24</f>
        <v/>
      </c>
      <c r="AK24" s="191" t="str">
        <f>'1_BD questio brut'!AI24</f>
        <v>Chauffage de base</v>
      </c>
      <c r="AL24" s="191" t="str">
        <f>'1_BD questio brut'!AJ24</f>
        <v>Pas de réponse</v>
      </c>
      <c r="AM24" s="191" t="str">
        <f>'1_BD questio brut'!AK24</f>
        <v>5; 6</v>
      </c>
      <c r="AN24" s="191" t="str">
        <f>'1_BD questio brut'!AL24</f>
        <v>ause trachéo</v>
      </c>
      <c r="AO24" s="191" t="str">
        <f>'1_BD questio brut'!AM24</f>
        <v>5</v>
      </c>
      <c r="AP24" s="191" t="str">
        <f>'1_BD questio brut'!AN24</f>
        <v/>
      </c>
      <c r="AQ24" s="191" t="str">
        <f>'1_BD questio brut'!AO24</f>
        <v/>
      </c>
    </row>
    <row r="25" spans="1:43" ht="43.5" hidden="1">
      <c r="A25" s="98">
        <f>INDEX('3_BD instruction total'!A:A,MATCH(C25,'3_BD instruction total'!F:F,0))</f>
        <v>2020</v>
      </c>
      <c r="B25" s="98" t="str">
        <f>INDEX('3_BD instruction total'!C:C,MATCH(C25,'3_BD instruction total'!F:F,0))</f>
        <v>région</v>
      </c>
      <c r="C25" s="191" t="str">
        <f>'1_BD questio brut'!A25</f>
        <v>VRB0028</v>
      </c>
      <c r="D25" s="191" t="str">
        <f t="array" ref="D25">INDEX('Données 1_BD questio'!C:C,MATCH('1_BD questio brut'!$B$1&amp;'1_BD questio brut'!B25,'Données 1_BD questio'!A:A&amp;'Données 1_BD questio'!B:B,0))</f>
        <v>CAPV</v>
      </c>
      <c r="E25" s="191" t="str">
        <f t="array" ref="E25">INDEX('Données 1_BD questio'!C:C,MATCH('1_BD questio brut'!$C$1&amp;'1_BD questio brut'!C25,'Données 1_BD questio'!A:A&amp;'Données 1_BD questio'!B:B,0))</f>
        <v>Retraité</v>
      </c>
      <c r="F25" s="191" t="str">
        <f t="array" ref="F25">INDEX('Données 1_BD questio'!C:C,MATCH('1_BD questio brut'!$D$1&amp;'1_BD questio brut'!D25,'Données 1_BD questio'!A:A&amp;'Données 1_BD questio'!B:B,0))</f>
        <v>Autre,sans activité</v>
      </c>
      <c r="G25" s="191" t="str">
        <f>'1_BD questio brut'!E25</f>
        <v>65 ans et plus</v>
      </c>
      <c r="H25" s="191">
        <f>'1_BD questio brut'!F25</f>
        <v>2</v>
      </c>
      <c r="I25" s="191" t="str">
        <f>'1_BD questio brut'!G25</f>
        <v>Pas de réponse</v>
      </c>
      <c r="J25" s="191" t="str">
        <f t="array" ref="J25">INDEX('Données 1_BD questio'!C:C,MATCH('1_BD questio brut'!$H$1&amp;'1_BD questio brut'!H25,'Données 1_BD questio'!A:A&amp;'Données 1_BD questio'!B:B,0))</f>
        <v>Maison avec jardin</v>
      </c>
      <c r="K25" s="191">
        <f>'1_BD questio brut'!I25</f>
        <v>60</v>
      </c>
      <c r="L25" s="191" t="str">
        <f>'1_BD questio brut'!J25</f>
        <v>1990-2005</v>
      </c>
      <c r="M25" s="191" t="str">
        <f>'1_BD questio brut'!K25</f>
        <v>1</v>
      </c>
      <c r="N25" s="191" t="str">
        <f>'1_BD questio brut'!L25</f>
        <v>Pas de réponse</v>
      </c>
      <c r="O25" s="191" t="str">
        <f>'1_BD questio brut'!M25</f>
        <v>Propriétaire occupant</v>
      </c>
      <c r="P25" s="191" t="str">
        <f>'1_BD questio brut'!N25</f>
        <v>Insert / foyer fermé</v>
      </c>
      <c r="Q25" s="191" t="str">
        <f>'1_BD questio brut'!O25</f>
        <v>Chauffage d'apoint</v>
      </c>
      <c r="R25" s="191" t="str">
        <f>'1_BD questio brut'!P25</f>
        <v>3 à 4 jours/semaine</v>
      </c>
      <c r="S25" s="191" t="str">
        <f>'1_BD questio brut'!Q25</f>
        <v>2; 3</v>
      </c>
      <c r="T25" s="191" t="str">
        <f>'1_BD questio brut'!R25</f>
        <v>1990-1995</v>
      </c>
      <c r="U25" s="191" t="str">
        <f>'1_BD questio brut'!S25</f>
        <v>Bois bûche</v>
      </c>
      <c r="V25" s="191" t="str">
        <f>'1_BD questio brut'!T25</f>
        <v/>
      </c>
      <c r="W25" s="191" t="str">
        <f>'1_BD questio brut'!U25</f>
        <v>2</v>
      </c>
      <c r="X25" s="191" t="str">
        <f>'1_BD questio brut'!V25</f>
        <v>stères</v>
      </c>
      <c r="Y25" s="191" t="str">
        <f>'1_BD questio brut'!W25</f>
        <v>5</v>
      </c>
      <c r="Z25" s="191" t="str">
        <f>'1_BD questio brut'!X25</f>
        <v/>
      </c>
      <c r="AA25" s="191" t="str">
        <f t="array" ref="AA25">INDEX('Données 1_BD questio'!C:C,MATCH('1_BD questio brut'!$Y$1&amp;'1_BD questio brut'!Y25,'Données 1_BD questio'!A:A&amp;'Données 1_BD questio'!B:B,0))</f>
        <v>Ne sait pas</v>
      </c>
      <c r="AB25" s="191" t="str">
        <f>'1_BD questio brut'!Z25</f>
        <v>2</v>
      </c>
      <c r="AC25" s="191" t="str">
        <f>'1_BD questio brut'!AA25</f>
        <v>1 à 2 ans</v>
      </c>
      <c r="AD25" s="191" t="str">
        <f>'1_BD questio brut'!AB25</f>
        <v>Les deux</v>
      </c>
      <c r="AE25" s="191" t="str">
        <f t="array" ref="AE25">INDEX('Données 1_BD questio'!C:C,MATCH('1_BD questio brut'!$AC$1&amp;'1_BD questio brut'!AC25,'Données 1_BD questio'!A:A&amp;'Données 1_BD questio'!B:B,0))</f>
        <v>vous-même</v>
      </c>
      <c r="AF25" s="191" t="str">
        <f>'1_BD questio brut'!AD25</f>
        <v>1 fois par an</v>
      </c>
      <c r="AG25" s="191" t="str">
        <f>'1_BD questio brut'!AE25</f>
        <v/>
      </c>
      <c r="AH25" s="191" t="str">
        <f>'1_BD questio brut'!AF25</f>
        <v>Poêle</v>
      </c>
      <c r="AI25" s="191" t="str">
        <f>'1_BD questio brut'!AG25</f>
        <v>1</v>
      </c>
      <c r="AJ25" s="191" t="str">
        <f>'1_BD questio brut'!AH25</f>
        <v/>
      </c>
      <c r="AK25" s="191" t="str">
        <f>'1_BD questio brut'!AI25</f>
        <v>Chauffage d'appoint</v>
      </c>
      <c r="AL25" s="191" t="str">
        <f>'1_BD questio brut'!AJ25</f>
        <v>Pas de réponse</v>
      </c>
      <c r="AM25" s="191" t="str">
        <f>'1_BD questio brut'!AK25</f>
        <v>1; 2</v>
      </c>
      <c r="AN25" s="191" t="str">
        <f>'1_BD questio brut'!AL25</f>
        <v/>
      </c>
      <c r="AO25" s="191" t="str">
        <f>'1_BD questio brut'!AM25</f>
        <v>5</v>
      </c>
      <c r="AP25" s="191" t="str">
        <f>'1_BD questio brut'!AN25</f>
        <v/>
      </c>
      <c r="AQ25" s="191" t="str">
        <f>'1_BD questio brut'!AO25</f>
        <v/>
      </c>
    </row>
    <row r="26" spans="1:43" ht="43.5" hidden="1">
      <c r="A26" s="98">
        <f>INDEX('3_BD instruction total'!A:A,MATCH(C26,'3_BD instruction total'!F:F,0))</f>
        <v>2020</v>
      </c>
      <c r="B26" s="98" t="str">
        <f>INDEX('3_BD instruction total'!C:C,MATCH(C26,'3_BD instruction total'!F:F,0))</f>
        <v>région</v>
      </c>
      <c r="C26" s="191" t="str">
        <f>'1_BD questio brut'!A26</f>
        <v>VRB0029</v>
      </c>
      <c r="D26" s="191" t="str">
        <f t="array" ref="D26">INDEX('Données 1_BD questio'!C:C,MATCH('1_BD questio brut'!$B$1&amp;'1_BD questio brut'!B26,'Données 1_BD questio'!A:A&amp;'Données 1_BD questio'!B:B,0))</f>
        <v>CAPV</v>
      </c>
      <c r="E26" s="191" t="str">
        <f t="array" ref="E26">INDEX('Données 1_BD questio'!C:C,MATCH('1_BD questio brut'!$C$1&amp;'1_BD questio brut'!C26,'Données 1_BD questio'!A:A&amp;'Données 1_BD questio'!B:B,0))</f>
        <v>Retraité</v>
      </c>
      <c r="F26" s="191" t="str">
        <f t="array" ref="F26">INDEX('Données 1_BD questio'!C:C,MATCH('1_BD questio brut'!$D$1&amp;'1_BD questio brut'!D26,'Données 1_BD questio'!A:A&amp;'Données 1_BD questio'!B:B,0))</f>
        <v>Profession intermédiaire</v>
      </c>
      <c r="G26" s="191" t="str">
        <f>'1_BD questio brut'!E26</f>
        <v>65 ans et plus</v>
      </c>
      <c r="H26" s="191">
        <f>'1_BD questio brut'!F26</f>
        <v>2</v>
      </c>
      <c r="I26" s="191" t="str">
        <f>'1_BD questio brut'!G26</f>
        <v>Pas de réponse</v>
      </c>
      <c r="J26" s="191" t="str">
        <f t="array" ref="J26">INDEX('Données 1_BD questio'!C:C,MATCH('1_BD questio brut'!$H$1&amp;'1_BD questio brut'!H26,'Données 1_BD questio'!A:A&amp;'Données 1_BD questio'!B:B,0))</f>
        <v>Maison avec jardin</v>
      </c>
      <c r="K26" s="191">
        <f>'1_BD questio brut'!I26</f>
        <v>158</v>
      </c>
      <c r="L26" s="191" t="str">
        <f>'1_BD questio brut'!J26</f>
        <v>1975-1990</v>
      </c>
      <c r="M26" s="191" t="str">
        <f>'1_BD questio brut'!K26</f>
        <v>6</v>
      </c>
      <c r="N26" s="191" t="str">
        <f>'1_BD questio brut'!L26</f>
        <v>D</v>
      </c>
      <c r="O26" s="191" t="str">
        <f>'1_BD questio brut'!M26</f>
        <v>Propriétaire occupant</v>
      </c>
      <c r="P26" s="191" t="str">
        <f>'1_BD questio brut'!N26</f>
        <v>Foyer ouvert</v>
      </c>
      <c r="Q26" s="191" t="str">
        <f>'1_BD questio brut'!O26</f>
        <v>Chauffage d'apoint</v>
      </c>
      <c r="R26" s="191" t="str">
        <f>'1_BD questio brut'!P26</f>
        <v>Pas de réponse</v>
      </c>
      <c r="S26" s="191" t="str">
        <f>'1_BD questio brut'!Q26</f>
        <v>3; 4</v>
      </c>
      <c r="T26" s="191" t="str">
        <f>'1_BD questio brut'!R26</f>
        <v>Avant 1990</v>
      </c>
      <c r="U26" s="191" t="str">
        <f>'1_BD questio brut'!S26</f>
        <v>Bois bûche</v>
      </c>
      <c r="V26" s="191" t="str">
        <f>'1_BD questio brut'!T26</f>
        <v/>
      </c>
      <c r="W26" s="191" t="str">
        <f>'1_BD questio brut'!U26</f>
        <v/>
      </c>
      <c r="X26" s="191" t="str">
        <f>'1_BD questio brut'!V26</f>
        <v/>
      </c>
      <c r="Y26" s="191" t="str">
        <f>'1_BD questio brut'!W26</f>
        <v>2</v>
      </c>
      <c r="Z26" s="191" t="str">
        <f>'1_BD questio brut'!X26</f>
        <v/>
      </c>
      <c r="AA26" s="191" t="str">
        <f t="array" ref="AA26">INDEX('Données 1_BD questio'!C:C,MATCH('1_BD questio brut'!$Y$1&amp;'1_BD questio brut'!Y26,'Données 1_BD questio'!A:A&amp;'Données 1_BD questio'!B:B,0))</f>
        <v>Ne sait pas</v>
      </c>
      <c r="AB26" s="191" t="str">
        <f>'1_BD questio brut'!Z26</f>
        <v>2</v>
      </c>
      <c r="AC26" s="191" t="str">
        <f>'1_BD questio brut'!AA26</f>
        <v>&gt; 2 ans</v>
      </c>
      <c r="AD26" s="191" t="str">
        <f>'1_BD questio brut'!AB26</f>
        <v>Feuillus</v>
      </c>
      <c r="AE26" s="191" t="str">
        <f t="array" ref="AE26">INDEX('Données 1_BD questio'!C:C,MATCH('1_BD questio brut'!$AC$1&amp;'1_BD questio brut'!AC26,'Données 1_BD questio'!A:A&amp;'Données 1_BD questio'!B:B,0))</f>
        <v>un professionnel</v>
      </c>
      <c r="AF26" s="191" t="str">
        <f>'1_BD questio brut'!AD26</f>
        <v>1 fois par an</v>
      </c>
      <c r="AG26" s="191" t="str">
        <f>'1_BD questio brut'!AE26</f>
        <v/>
      </c>
      <c r="AH26" s="191" t="str">
        <f>'1_BD questio brut'!AF26</f>
        <v>Poêle</v>
      </c>
      <c r="AI26" s="191" t="str">
        <f>'1_BD questio brut'!AG26</f>
        <v>1</v>
      </c>
      <c r="AJ26" s="191" t="str">
        <f>'1_BD questio brut'!AH26</f>
        <v/>
      </c>
      <c r="AK26" s="191" t="str">
        <f>'1_BD questio brut'!AI26</f>
        <v>Chauffage d'appoint</v>
      </c>
      <c r="AL26" s="191" t="str">
        <f>'1_BD questio brut'!AJ26</f>
        <v>Pas de réponse</v>
      </c>
      <c r="AM26" s="191" t="str">
        <f>'1_BD questio brut'!AK26</f>
        <v>2; 4; 5</v>
      </c>
      <c r="AN26" s="191" t="str">
        <f>'1_BD questio brut'!AL26</f>
        <v/>
      </c>
      <c r="AO26" s="191" t="str">
        <f>'1_BD questio brut'!AM26</f>
        <v>2</v>
      </c>
      <c r="AP26" s="191" t="str">
        <f>'1_BD questio brut'!AN26</f>
        <v/>
      </c>
      <c r="AQ26" s="191" t="str">
        <f>'1_BD questio brut'!AO26</f>
        <v/>
      </c>
    </row>
    <row r="27" spans="1:43" ht="29" hidden="1">
      <c r="A27" s="98">
        <f>INDEX('3_BD instruction total'!A:A,MATCH(C27,'3_BD instruction total'!F:F,0))</f>
        <v>2020</v>
      </c>
      <c r="B27" s="98" t="str">
        <f>INDEX('3_BD instruction total'!C:C,MATCH(C27,'3_BD instruction total'!F:F,0))</f>
        <v>région</v>
      </c>
      <c r="C27" s="191" t="str">
        <f>'1_BD questio brut'!A27</f>
        <v>VRB0030</v>
      </c>
      <c r="D27" s="191" t="str">
        <f t="array" ref="D27">INDEX('Données 1_BD questio'!C:C,MATCH('1_BD questio brut'!$B$1&amp;'1_BD questio brut'!B27,'Données 1_BD questio'!A:A&amp;'Données 1_BD questio'!B:B,0))</f>
        <v>CAPV</v>
      </c>
      <c r="E27" s="191" t="str">
        <f t="array" ref="E27">INDEX('Données 1_BD questio'!C:C,MATCH('1_BD questio brut'!$C$1&amp;'1_BD questio brut'!C27,'Données 1_BD questio'!A:A&amp;'Données 1_BD questio'!B:B,0))</f>
        <v>Retraité</v>
      </c>
      <c r="F27" s="191" t="str">
        <f t="array" ref="F27">INDEX('Données 1_BD questio'!C:C,MATCH('1_BD questio brut'!$D$1&amp;'1_BD questio brut'!D27,'Données 1_BD questio'!A:A&amp;'Données 1_BD questio'!B:B,0))</f>
        <v>Retraité</v>
      </c>
      <c r="G27" s="191" t="str">
        <f>'1_BD questio brut'!E27</f>
        <v>65 ans et plus</v>
      </c>
      <c r="H27" s="191">
        <f>'1_BD questio brut'!F27</f>
        <v>2</v>
      </c>
      <c r="I27" s="191" t="str">
        <f>'1_BD questio brut'!G27</f>
        <v>Pas de réponse</v>
      </c>
      <c r="J27" s="191" t="str">
        <f t="array" ref="J27">INDEX('Données 1_BD questio'!C:C,MATCH('1_BD questio brut'!$H$1&amp;'1_BD questio brut'!H27,'Données 1_BD questio'!A:A&amp;'Données 1_BD questio'!B:B,0))</f>
        <v>Maison avec jardin</v>
      </c>
      <c r="K27" s="191">
        <f>'1_BD questio brut'!I27</f>
        <v>90</v>
      </c>
      <c r="L27" s="191" t="str">
        <f>'1_BD questio brut'!J27</f>
        <v>1975-1990</v>
      </c>
      <c r="M27" s="191" t="str">
        <f>'1_BD questio brut'!K27</f>
        <v>1</v>
      </c>
      <c r="N27" s="191" t="str">
        <f>'1_BD questio brut'!L27</f>
        <v>Pas de réponse</v>
      </c>
      <c r="O27" s="191" t="str">
        <f>'1_BD questio brut'!M27</f>
        <v>Propriétaire occupant</v>
      </c>
      <c r="P27" s="191" t="str">
        <f>'1_BD questio brut'!N27</f>
        <v>Poêle</v>
      </c>
      <c r="Q27" s="191" t="str">
        <f>'1_BD questio brut'!O27</f>
        <v>Chauffage de base</v>
      </c>
      <c r="R27" s="191" t="str">
        <f>'1_BD questio brut'!P27</f>
        <v>Tous les jours</v>
      </c>
      <c r="S27" s="191" t="str">
        <f>'1_BD questio brut'!Q27</f>
        <v>4; 5</v>
      </c>
      <c r="T27" s="191" t="str">
        <f>'1_BD questio brut'!R27</f>
        <v>Avant 1990</v>
      </c>
      <c r="U27" s="191" t="str">
        <f>'1_BD questio brut'!S27</f>
        <v>Bois bûche</v>
      </c>
      <c r="V27" s="191" t="str">
        <f>'1_BD questio brut'!T27</f>
        <v/>
      </c>
      <c r="W27" s="191" t="str">
        <f>'1_BD questio brut'!U27</f>
        <v>10</v>
      </c>
      <c r="X27" s="191" t="str">
        <f>'1_BD questio brut'!V27</f>
        <v>Stères</v>
      </c>
      <c r="Y27" s="191" t="str">
        <f>'1_BD questio brut'!W27</f>
        <v>2</v>
      </c>
      <c r="Z27" s="191" t="str">
        <f>'1_BD questio brut'!X27</f>
        <v/>
      </c>
      <c r="AA27" s="191" t="str">
        <f t="array" ref="AA27">INDEX('Données 1_BD questio'!C:C,MATCH('1_BD questio brut'!$Y$1&amp;'1_BD questio brut'!Y27,'Données 1_BD questio'!A:A&amp;'Données 1_BD questio'!B:B,0))</f>
        <v>Rhône-Alpes hors RA2B</v>
      </c>
      <c r="AB27" s="191" t="str">
        <f>'1_BD questio brut'!Z27</f>
        <v>2</v>
      </c>
      <c r="AC27" s="191" t="str">
        <f>'1_BD questio brut'!AA27</f>
        <v>1 à 2 ans</v>
      </c>
      <c r="AD27" s="191" t="str">
        <f>'1_BD questio brut'!AB27</f>
        <v>Feuillus</v>
      </c>
      <c r="AE27" s="191" t="str">
        <f t="array" ref="AE27">INDEX('Données 1_BD questio'!C:C,MATCH('1_BD questio brut'!$AC$1&amp;'1_BD questio brut'!AC27,'Données 1_BD questio'!A:A&amp;'Données 1_BD questio'!B:B,0))</f>
        <v>vous-même</v>
      </c>
      <c r="AF27" s="191" t="str">
        <f>'1_BD questio brut'!AD27</f>
        <v>2 fois par an</v>
      </c>
      <c r="AG27" s="191" t="str">
        <f>'1_BD questio brut'!AE27</f>
        <v/>
      </c>
      <c r="AH27" s="191" t="str">
        <f>'1_BD questio brut'!AF27</f>
        <v>Poêle</v>
      </c>
      <c r="AI27" s="191" t="str">
        <f>'1_BD questio brut'!AG27</f>
        <v>2</v>
      </c>
      <c r="AJ27" s="191" t="str">
        <f>'1_BD questio brut'!AH27</f>
        <v/>
      </c>
      <c r="AK27" s="191" t="str">
        <f>'1_BD questio brut'!AI27</f>
        <v>Chauffage d'appoint</v>
      </c>
      <c r="AL27" s="191" t="str">
        <f>'1_BD questio brut'!AJ27</f>
        <v>Pas de réponse</v>
      </c>
      <c r="AM27" s="191" t="str">
        <f>'1_BD questio brut'!AK27</f>
        <v>5</v>
      </c>
      <c r="AN27" s="191" t="str">
        <f>'1_BD questio brut'!AL27</f>
        <v/>
      </c>
      <c r="AO27" s="191" t="str">
        <f>'1_BD questio brut'!AM27</f>
        <v>7</v>
      </c>
      <c r="AP27" s="191" t="str">
        <f>'1_BD questio brut'!AN27</f>
        <v/>
      </c>
      <c r="AQ27" s="191" t="str">
        <f>'1_BD questio brut'!AO27</f>
        <v/>
      </c>
    </row>
    <row r="28" spans="1:43" ht="43.5" hidden="1">
      <c r="A28" s="98">
        <f>INDEX('3_BD instruction total'!A:A,MATCH(C28,'3_BD instruction total'!F:F,0))</f>
        <v>2020</v>
      </c>
      <c r="B28" s="98" t="str">
        <f>INDEX('3_BD instruction total'!C:C,MATCH(C28,'3_BD instruction total'!F:F,0))</f>
        <v>non</v>
      </c>
      <c r="C28" s="191" t="str">
        <f>'1_BD questio brut'!A28</f>
        <v>VRB0031</v>
      </c>
      <c r="D28" s="191" t="str">
        <f t="array" ref="D28">INDEX('Données 1_BD questio'!C:C,MATCH('1_BD questio brut'!$B$1&amp;'1_BD questio brut'!B28,'Données 1_BD questio'!A:A&amp;'Données 1_BD questio'!B:B,0))</f>
        <v>CAPV</v>
      </c>
      <c r="E28" s="191" t="str">
        <f t="array" ref="E28">INDEX('Données 1_BD questio'!C:C,MATCH('1_BD questio brut'!$C$1&amp;'1_BD questio brut'!C28,'Données 1_BD questio'!A:A&amp;'Données 1_BD questio'!B:B,0))</f>
        <v>Retraité</v>
      </c>
      <c r="F28" s="191" t="str">
        <f t="array" ref="F28">INDEX('Données 1_BD questio'!C:C,MATCH('1_BD questio brut'!$D$1&amp;'1_BD questio brut'!D28,'Données 1_BD questio'!A:A&amp;'Données 1_BD questio'!B:B,0))</f>
        <v>Retraité</v>
      </c>
      <c r="G28" s="191" t="str">
        <f>'1_BD questio brut'!E28</f>
        <v>65 ans et plus</v>
      </c>
      <c r="H28" s="191">
        <f>'1_BD questio brut'!F28</f>
        <v>2</v>
      </c>
      <c r="I28" s="191" t="str">
        <f>'1_BD questio brut'!G28</f>
        <v>Pas de réponse</v>
      </c>
      <c r="J28" s="191" t="str">
        <f t="array" ref="J28">INDEX('Données 1_BD questio'!C:C,MATCH('1_BD questio brut'!$H$1&amp;'1_BD questio brut'!H28,'Données 1_BD questio'!A:A&amp;'Données 1_BD questio'!B:B,0))</f>
        <v>Maison avec jardin</v>
      </c>
      <c r="K28" s="191">
        <f>'1_BD questio brut'!I28</f>
        <v>100</v>
      </c>
      <c r="L28" s="191" t="str">
        <f>'1_BD questio brut'!J28</f>
        <v>1975-1990</v>
      </c>
      <c r="M28" s="191" t="str">
        <f>'1_BD questio brut'!K28</f>
        <v>6</v>
      </c>
      <c r="N28" s="191" t="str">
        <f>'1_BD questio brut'!L28</f>
        <v>Pas de réponse</v>
      </c>
      <c r="O28" s="191" t="str">
        <f>'1_BD questio brut'!M28</f>
        <v>Propriétaire occupant</v>
      </c>
      <c r="P28" s="191" t="str">
        <f>'1_BD questio brut'!N28</f>
        <v>Insert / foyer fermé</v>
      </c>
      <c r="Q28" s="191" t="str">
        <f>'1_BD questio brut'!O28</f>
        <v>Chauffage de base</v>
      </c>
      <c r="R28" s="191" t="str">
        <f>'1_BD questio brut'!P28</f>
        <v>Tous les jours</v>
      </c>
      <c r="S28" s="191" t="str">
        <f>'1_BD questio brut'!Q28</f>
        <v>4; 5</v>
      </c>
      <c r="T28" s="191" t="str">
        <f>'1_BD questio brut'!R28</f>
        <v>Avant 1990</v>
      </c>
      <c r="U28" s="191" t="str">
        <f>'1_BD questio brut'!S28</f>
        <v>Bois bûche</v>
      </c>
      <c r="V28" s="191" t="str">
        <f>'1_BD questio brut'!T28</f>
        <v/>
      </c>
      <c r="W28" s="191" t="str">
        <f>'1_BD questio brut'!U28</f>
        <v>9</v>
      </c>
      <c r="X28" s="191" t="str">
        <f>'1_BD questio brut'!V28</f>
        <v>Stères</v>
      </c>
      <c r="Y28" s="191" t="str">
        <f>'1_BD questio brut'!W28</f>
        <v>2</v>
      </c>
      <c r="Z28" s="191" t="str">
        <f>'1_BD questio brut'!X28</f>
        <v/>
      </c>
      <c r="AA28" s="191" t="str">
        <f t="array" ref="AA28">INDEX('Données 1_BD questio'!C:C,MATCH('1_BD questio brut'!$Y$1&amp;'1_BD questio brut'!Y28,'Données 1_BD questio'!A:A&amp;'Données 1_BD questio'!B:B,0))</f>
        <v>Pas de réponse</v>
      </c>
      <c r="AB28" s="191" t="str">
        <f>'1_BD questio brut'!Z28</f>
        <v>2</v>
      </c>
      <c r="AC28" s="191" t="str">
        <f>'1_BD questio brut'!AA28</f>
        <v>1 à 2 ans</v>
      </c>
      <c r="AD28" s="191" t="str">
        <f>'1_BD questio brut'!AB28</f>
        <v>Feuillus</v>
      </c>
      <c r="AE28" s="191" t="str">
        <f t="array" ref="AE28">INDEX('Données 1_BD questio'!C:C,MATCH('1_BD questio brut'!$AC$1&amp;'1_BD questio brut'!AC28,'Données 1_BD questio'!A:A&amp;'Données 1_BD questio'!B:B,0))</f>
        <v>un professionnel</v>
      </c>
      <c r="AF28" s="191" t="str">
        <f>'1_BD questio brut'!AD28</f>
        <v>1 fois par an</v>
      </c>
      <c r="AG28" s="191" t="str">
        <f>'1_BD questio brut'!AE28</f>
        <v/>
      </c>
      <c r="AH28" s="191" t="str">
        <f>'1_BD questio brut'!AF28</f>
        <v>Poêle</v>
      </c>
      <c r="AI28" s="191" t="str">
        <f>'1_BD questio brut'!AG28</f>
        <v>1</v>
      </c>
      <c r="AJ28" s="191" t="str">
        <f>'1_BD questio brut'!AH28</f>
        <v/>
      </c>
      <c r="AK28" s="191" t="str">
        <f>'1_BD questio brut'!AI28</f>
        <v>Chauffage de base</v>
      </c>
      <c r="AL28" s="191" t="str">
        <f>'1_BD questio brut'!AJ28</f>
        <v>Pas de réponse</v>
      </c>
      <c r="AM28" s="191" t="str">
        <f>'1_BD questio brut'!AK28</f>
        <v>2; 4</v>
      </c>
      <c r="AN28" s="191" t="str">
        <f>'1_BD questio brut'!AL28</f>
        <v/>
      </c>
      <c r="AO28" s="191" t="str">
        <f>'1_BD questio brut'!AM28</f>
        <v>5</v>
      </c>
      <c r="AP28" s="191" t="str">
        <f>'1_BD questio brut'!AN28</f>
        <v/>
      </c>
      <c r="AQ28" s="191" t="str">
        <f>'1_BD questio brut'!AO28</f>
        <v/>
      </c>
    </row>
    <row r="29" spans="1:43" ht="43.5" hidden="1">
      <c r="A29" s="98">
        <f>INDEX('3_BD instruction total'!A:A,MATCH(C29,'3_BD instruction total'!F:F,0))</f>
        <v>2020</v>
      </c>
      <c r="B29" s="98" t="str">
        <f>INDEX('3_BD instruction total'!C:C,MATCH(C29,'3_BD instruction total'!F:F,0))</f>
        <v>région</v>
      </c>
      <c r="C29" s="191" t="str">
        <f>'1_BD questio brut'!A29</f>
        <v>VRB0032</v>
      </c>
      <c r="D29" s="191" t="str">
        <f t="array" ref="D29">INDEX('Données 1_BD questio'!C:C,MATCH('1_BD questio brut'!$B$1&amp;'1_BD questio brut'!B29,'Données 1_BD questio'!A:A&amp;'Données 1_BD questio'!B:B,0))</f>
        <v>CAPV</v>
      </c>
      <c r="E29" s="191" t="str">
        <f t="array" ref="E29">INDEX('Données 1_BD questio'!C:C,MATCH('1_BD questio brut'!$C$1&amp;'1_BD questio brut'!C29,'Données 1_BD questio'!A:A&amp;'Données 1_BD questio'!B:B,0))</f>
        <v>Cadre</v>
      </c>
      <c r="F29" s="191" t="str">
        <f t="array" ref="F29">INDEX('Données 1_BD questio'!C:C,MATCH('1_BD questio brut'!$D$1&amp;'1_BD questio brut'!D29,'Données 1_BD questio'!A:A&amp;'Données 1_BD questio'!B:B,0))</f>
        <v>Retraité</v>
      </c>
      <c r="G29" s="191" t="str">
        <f>'1_BD questio brut'!E29</f>
        <v>50 à 64 ans</v>
      </c>
      <c r="H29" s="191">
        <f>'1_BD questio brut'!F29</f>
        <v>2</v>
      </c>
      <c r="I29" s="191" t="str">
        <f>'1_BD questio brut'!G29</f>
        <v>Pas de réponse</v>
      </c>
      <c r="J29" s="191" t="str">
        <f t="array" ref="J29">INDEX('Données 1_BD questio'!C:C,MATCH('1_BD questio brut'!$H$1&amp;'1_BD questio brut'!H29,'Données 1_BD questio'!A:A&amp;'Données 1_BD questio'!B:B,0))</f>
        <v>Maison avec jardin</v>
      </c>
      <c r="K29" s="191">
        <f>'1_BD questio brut'!I29</f>
        <v>150</v>
      </c>
      <c r="L29" s="191" t="str">
        <f>'1_BD questio brut'!J29</f>
        <v>1975-1990</v>
      </c>
      <c r="M29" s="191" t="str">
        <f>'1_BD questio brut'!K29</f>
        <v>6</v>
      </c>
      <c r="N29" s="191" t="str">
        <f>'1_BD questio brut'!L29</f>
        <v>D</v>
      </c>
      <c r="O29" s="191" t="str">
        <f>'1_BD questio brut'!M29</f>
        <v>Propriétaire bailleur</v>
      </c>
      <c r="P29" s="191" t="str">
        <f>'1_BD questio brut'!N29</f>
        <v>Foyer ouvert</v>
      </c>
      <c r="Q29" s="191" t="str">
        <f>'1_BD questio brut'!O29</f>
        <v>Chauffage d'apoint</v>
      </c>
      <c r="R29" s="191" t="str">
        <f>'1_BD questio brut'!P29</f>
        <v>3 à 4 jours/semaine</v>
      </c>
      <c r="S29" s="191" t="str">
        <f>'1_BD questio brut'!Q29</f>
        <v>2; 3; 6</v>
      </c>
      <c r="T29" s="191" t="str">
        <f>'1_BD questio brut'!R29</f>
        <v>1990-1995</v>
      </c>
      <c r="U29" s="191" t="str">
        <f>'1_BD questio brut'!S29</f>
        <v>Bois bûche</v>
      </c>
      <c r="V29" s="191" t="str">
        <f>'1_BD questio brut'!T29</f>
        <v/>
      </c>
      <c r="W29" s="191" t="str">
        <f>'1_BD questio brut'!U29</f>
        <v>3</v>
      </c>
      <c r="X29" s="191" t="str">
        <f>'1_BD questio brut'!V29</f>
        <v>stères</v>
      </c>
      <c r="Y29" s="191" t="str">
        <f>'1_BD questio brut'!W29</f>
        <v>1</v>
      </c>
      <c r="Z29" s="191" t="str">
        <f>'1_BD questio brut'!X29</f>
        <v/>
      </c>
      <c r="AA29" s="191" t="str">
        <f t="array" ref="AA29">INDEX('Données 1_BD questio'!C:C,MATCH('1_BD questio brut'!$Y$1&amp;'1_BD questio brut'!Y29,'Données 1_BD questio'!A:A&amp;'Données 1_BD questio'!B:B,0))</f>
        <v>Rhône-Alpes hors RA2B</v>
      </c>
      <c r="AB29" s="191" t="str">
        <f>'1_BD questio brut'!Z29</f>
        <v>1; 2</v>
      </c>
      <c r="AC29" s="191" t="str">
        <f>'1_BD questio brut'!AA29</f>
        <v>&gt; 2 ans</v>
      </c>
      <c r="AD29" s="191" t="str">
        <f>'1_BD questio brut'!AB29</f>
        <v>Feuillus</v>
      </c>
      <c r="AE29" s="191" t="str">
        <f t="array" ref="AE29">INDEX('Données 1_BD questio'!C:C,MATCH('1_BD questio brut'!$AC$1&amp;'1_BD questio brut'!AC29,'Données 1_BD questio'!A:A&amp;'Données 1_BD questio'!B:B,0))</f>
        <v>vous-même</v>
      </c>
      <c r="AF29" s="191" t="str">
        <f>'1_BD questio brut'!AD29</f>
        <v>1 fois par an</v>
      </c>
      <c r="AG29" s="191" t="str">
        <f>'1_BD questio brut'!AE29</f>
        <v/>
      </c>
      <c r="AH29" s="191" t="str">
        <f>'1_BD questio brut'!AF29</f>
        <v>Insert cheminée</v>
      </c>
      <c r="AI29" s="191" t="str">
        <f>'1_BD questio brut'!AG29</f>
        <v>1</v>
      </c>
      <c r="AJ29" s="191" t="str">
        <f>'1_BD questio brut'!AH29</f>
        <v/>
      </c>
      <c r="AK29" s="191" t="str">
        <f>'1_BD questio brut'!AI29</f>
        <v>Chauffage d'appoint</v>
      </c>
      <c r="AL29" s="191" t="str">
        <f>'1_BD questio brut'!AJ29</f>
        <v>Pas de réponse</v>
      </c>
      <c r="AM29" s="191" t="str">
        <f>'1_BD questio brut'!AK29</f>
        <v>2; 4; 5</v>
      </c>
      <c r="AN29" s="191" t="str">
        <f>'1_BD questio brut'!AL29</f>
        <v/>
      </c>
      <c r="AO29" s="191" t="str">
        <f>'1_BD questio brut'!AM29</f>
        <v>5</v>
      </c>
      <c r="AP29" s="191" t="str">
        <f>'1_BD questio brut'!AN29</f>
        <v/>
      </c>
      <c r="AQ29" s="191" t="str">
        <f>'1_BD questio brut'!AO29</f>
        <v/>
      </c>
    </row>
    <row r="30" spans="1:43" ht="43.5" hidden="1">
      <c r="A30" s="98">
        <f>INDEX('3_BD instruction total'!A:A,MATCH(C30,'3_BD instruction total'!F:F,0))</f>
        <v>2020</v>
      </c>
      <c r="B30" s="98" t="str">
        <f>INDEX('3_BD instruction total'!C:C,MATCH(C30,'3_BD instruction total'!F:F,0))</f>
        <v>région</v>
      </c>
      <c r="C30" s="191" t="str">
        <f>'1_BD questio brut'!A30</f>
        <v>VRB0033</v>
      </c>
      <c r="D30" s="191" t="str">
        <f t="array" ref="D30">INDEX('Données 1_BD questio'!C:C,MATCH('1_BD questio brut'!$B$1&amp;'1_BD questio brut'!B30,'Données 1_BD questio'!A:A&amp;'Données 1_BD questio'!B:B,0))</f>
        <v>CAPV</v>
      </c>
      <c r="E30" s="191" t="str">
        <f t="array" ref="E30">INDEX('Données 1_BD questio'!C:C,MATCH('1_BD questio brut'!$C$1&amp;'1_BD questio brut'!C30,'Données 1_BD questio'!A:A&amp;'Données 1_BD questio'!B:B,0))</f>
        <v>Cadre</v>
      </c>
      <c r="F30" s="191" t="str">
        <f t="array" ref="F30">INDEX('Données 1_BD questio'!C:C,MATCH('1_BD questio brut'!$D$1&amp;'1_BD questio brut'!D30,'Données 1_BD questio'!A:A&amp;'Données 1_BD questio'!B:B,0))</f>
        <v>Pas de réponse</v>
      </c>
      <c r="G30" s="191" t="str">
        <f>'1_BD questio brut'!E30</f>
        <v>50 à 64 ans</v>
      </c>
      <c r="H30" s="191">
        <f>'1_BD questio brut'!F30</f>
        <v>3</v>
      </c>
      <c r="I30" s="191" t="str">
        <f>'1_BD questio brut'!G30</f>
        <v>Pas de réponse</v>
      </c>
      <c r="J30" s="191" t="str">
        <f t="array" ref="J30">INDEX('Données 1_BD questio'!C:C,MATCH('1_BD questio brut'!$H$1&amp;'1_BD questio brut'!H30,'Données 1_BD questio'!A:A&amp;'Données 1_BD questio'!B:B,0))</f>
        <v>Maison avec jardin</v>
      </c>
      <c r="K30" s="191">
        <f>'1_BD questio brut'!I30</f>
        <v>180</v>
      </c>
      <c r="L30" s="191" t="str">
        <f>'1_BD questio brut'!J30</f>
        <v>Avant 1949</v>
      </c>
      <c r="M30" s="191" t="str">
        <f>'1_BD questio brut'!K30</f>
        <v>6</v>
      </c>
      <c r="N30" s="191" t="str">
        <f>'1_BD questio brut'!L30</f>
        <v>Pas de réponse</v>
      </c>
      <c r="O30" s="191" t="str">
        <f>'1_BD questio brut'!M30</f>
        <v>Propriétaire occupant</v>
      </c>
      <c r="P30" s="191" t="str">
        <f>'1_BD questio brut'!N30</f>
        <v>Insert / foyer fermé</v>
      </c>
      <c r="Q30" s="191" t="str">
        <f>'1_BD questio brut'!O30</f>
        <v>Chauffage d'apoint</v>
      </c>
      <c r="R30" s="191" t="str">
        <f>'1_BD questio brut'!P30</f>
        <v>3 à 4 jours/semaine</v>
      </c>
      <c r="S30" s="191" t="str">
        <f>'1_BD questio brut'!Q30</f>
        <v>2; 3</v>
      </c>
      <c r="T30" s="191" t="str">
        <f>'1_BD questio brut'!R30</f>
        <v>1990-1995</v>
      </c>
      <c r="U30" s="191" t="str">
        <f>'1_BD questio brut'!S30</f>
        <v>Bois bûche</v>
      </c>
      <c r="V30" s="191" t="str">
        <f>'1_BD questio brut'!T30</f>
        <v/>
      </c>
      <c r="W30" s="191" t="str">
        <f>'1_BD questio brut'!U30</f>
        <v>8</v>
      </c>
      <c r="X30" s="191" t="str">
        <f>'1_BD questio brut'!V30</f>
        <v>stère</v>
      </c>
      <c r="Y30" s="191" t="str">
        <f>'1_BD questio brut'!W30</f>
        <v>1; 2</v>
      </c>
      <c r="Z30" s="191" t="str">
        <f>'1_BD questio brut'!X30</f>
        <v/>
      </c>
      <c r="AA30" s="191" t="str">
        <f t="array" ref="AA30">INDEX('Données 1_BD questio'!C:C,MATCH('1_BD questio brut'!$Y$1&amp;'1_BD questio brut'!Y30,'Données 1_BD questio'!A:A&amp;'Données 1_BD questio'!B:B,0))</f>
        <v>Ne sait pas</v>
      </c>
      <c r="AB30" s="191" t="str">
        <f>'1_BD questio brut'!Z30</f>
        <v>4</v>
      </c>
      <c r="AC30" s="191" t="str">
        <f>'1_BD questio brut'!AA30</f>
        <v>&gt; 2 ans</v>
      </c>
      <c r="AD30" s="191" t="str">
        <f>'1_BD questio brut'!AB30</f>
        <v>Feuillus</v>
      </c>
      <c r="AE30" s="191" t="str">
        <f t="array" ref="AE30">INDEX('Données 1_BD questio'!C:C,MATCH('1_BD questio brut'!$AC$1&amp;'1_BD questio brut'!AC30,'Données 1_BD questio'!A:A&amp;'Données 1_BD questio'!B:B,0))</f>
        <v>un professionnel</v>
      </c>
      <c r="AF30" s="191" t="str">
        <f>'1_BD questio brut'!AD30</f>
        <v>1 fois tous les 2 ans</v>
      </c>
      <c r="AG30" s="191" t="str">
        <f>'1_BD questio brut'!AE30</f>
        <v/>
      </c>
      <c r="AH30" s="191" t="str">
        <f>'1_BD questio brut'!AF30</f>
        <v>Poêle</v>
      </c>
      <c r="AI30" s="191" t="str">
        <f>'1_BD questio brut'!AG30</f>
        <v>1</v>
      </c>
      <c r="AJ30" s="191" t="str">
        <f>'1_BD questio brut'!AH30</f>
        <v/>
      </c>
      <c r="AK30" s="191" t="str">
        <f>'1_BD questio brut'!AI30</f>
        <v>Chauffage d'appoint</v>
      </c>
      <c r="AL30" s="191" t="str">
        <f>'1_BD questio brut'!AJ30</f>
        <v>Pas de réponse</v>
      </c>
      <c r="AM30" s="191" t="str">
        <f>'1_BD questio brut'!AK30</f>
        <v>2</v>
      </c>
      <c r="AN30" s="191" t="str">
        <f>'1_BD questio brut'!AL30</f>
        <v/>
      </c>
      <c r="AO30" s="191" t="str">
        <f>'1_BD questio brut'!AM30</f>
        <v>7</v>
      </c>
      <c r="AP30" s="191" t="str">
        <f>'1_BD questio brut'!AN30</f>
        <v/>
      </c>
      <c r="AQ30" s="191" t="str">
        <f>'1_BD questio brut'!AO30</f>
        <v/>
      </c>
    </row>
    <row r="31" spans="1:43" ht="43.5" hidden="1">
      <c r="A31" s="98">
        <f>INDEX('3_BD instruction total'!A:A,MATCH(C31,'3_BD instruction total'!F:F,0))</f>
        <v>2020</v>
      </c>
      <c r="B31" s="98" t="str">
        <f>INDEX('3_BD instruction total'!C:C,MATCH(C31,'3_BD instruction total'!F:F,0))</f>
        <v>région</v>
      </c>
      <c r="C31" s="191" t="str">
        <f>'1_BD questio brut'!A31</f>
        <v>VRB0034</v>
      </c>
      <c r="D31" s="191" t="str">
        <f t="array" ref="D31">INDEX('Données 1_BD questio'!C:C,MATCH('1_BD questio brut'!$B$1&amp;'1_BD questio brut'!B31,'Données 1_BD questio'!A:A&amp;'Données 1_BD questio'!B:B,0))</f>
        <v>CAPV</v>
      </c>
      <c r="E31" s="191" t="str">
        <f t="array" ref="E31">INDEX('Données 1_BD questio'!C:C,MATCH('1_BD questio brut'!$C$1&amp;'1_BD questio brut'!C31,'Données 1_BD questio'!A:A&amp;'Données 1_BD questio'!B:B,0))</f>
        <v>Retraité</v>
      </c>
      <c r="F31" s="191" t="str">
        <f t="array" ref="F31">INDEX('Données 1_BD questio'!C:C,MATCH('1_BD questio brut'!$D$1&amp;'1_BD questio brut'!D31,'Données 1_BD questio'!A:A&amp;'Données 1_BD questio'!B:B,0))</f>
        <v>Retraité</v>
      </c>
      <c r="G31" s="191" t="str">
        <f>'1_BD questio brut'!E31</f>
        <v>65 ans et plus</v>
      </c>
      <c r="H31" s="191">
        <f>'1_BD questio brut'!F31</f>
        <v>2</v>
      </c>
      <c r="I31" s="191" t="str">
        <f>'1_BD questio brut'!G31</f>
        <v>Pas de réponse</v>
      </c>
      <c r="J31" s="191" t="str">
        <f t="array" ref="J31">INDEX('Données 1_BD questio'!C:C,MATCH('1_BD questio brut'!$H$1&amp;'1_BD questio brut'!H31,'Données 1_BD questio'!A:A&amp;'Données 1_BD questio'!B:B,0))</f>
        <v>Maison avec jardin</v>
      </c>
      <c r="K31" s="191">
        <f>'1_BD questio brut'!I31</f>
        <v>115</v>
      </c>
      <c r="L31" s="191" t="str">
        <f>'1_BD questio brut'!J31</f>
        <v>1975-1990</v>
      </c>
      <c r="M31" s="191" t="str">
        <f>'1_BD questio brut'!K31</f>
        <v>1; 4</v>
      </c>
      <c r="N31" s="191" t="str">
        <f>'1_BD questio brut'!L31</f>
        <v>Pas de réponse</v>
      </c>
      <c r="O31" s="191" t="str">
        <f>'1_BD questio brut'!M31</f>
        <v>Propriétaire occupant</v>
      </c>
      <c r="P31" s="191" t="str">
        <f>'1_BD questio brut'!N31</f>
        <v>Insert / foyer fermé</v>
      </c>
      <c r="Q31" s="191" t="str">
        <f>'1_BD questio brut'!O31</f>
        <v>Chauffage d'apoint</v>
      </c>
      <c r="R31" s="191" t="str">
        <f>'1_BD questio brut'!P31</f>
        <v>3 à 4 jours/semaine</v>
      </c>
      <c r="S31" s="191" t="str">
        <f>'1_BD questio brut'!Q31</f>
        <v>3</v>
      </c>
      <c r="T31" s="191" t="str">
        <f>'1_BD questio brut'!R31</f>
        <v>1990-1995</v>
      </c>
      <c r="U31" s="191" t="str">
        <f>'1_BD questio brut'!S31</f>
        <v>Bois bûche</v>
      </c>
      <c r="V31" s="191" t="str">
        <f>'1_BD questio brut'!T31</f>
        <v/>
      </c>
      <c r="W31" s="191" t="str">
        <f>'1_BD questio brut'!U31</f>
        <v>4</v>
      </c>
      <c r="X31" s="191" t="str">
        <f>'1_BD questio brut'!V31</f>
        <v>Stères</v>
      </c>
      <c r="Y31" s="191" t="str">
        <f>'1_BD questio brut'!W31</f>
        <v>1</v>
      </c>
      <c r="Z31" s="191" t="str">
        <f>'1_BD questio brut'!X31</f>
        <v/>
      </c>
      <c r="AA31" s="191" t="str">
        <f t="array" ref="AA31">INDEX('Données 1_BD questio'!C:C,MATCH('1_BD questio brut'!$Y$1&amp;'1_BD questio brut'!Y31,'Données 1_BD questio'!A:A&amp;'Données 1_BD questio'!B:B,0))</f>
        <v>Rhône-Alpes hors RA2B</v>
      </c>
      <c r="AB31" s="191" t="str">
        <f>'1_BD questio brut'!Z31</f>
        <v>2</v>
      </c>
      <c r="AC31" s="191" t="str">
        <f>'1_BD questio brut'!AA31</f>
        <v>&gt; 2 ans</v>
      </c>
      <c r="AD31" s="191" t="str">
        <f>'1_BD questio brut'!AB31</f>
        <v>Feuillus</v>
      </c>
      <c r="AE31" s="191" t="str">
        <f t="array" ref="AE31">INDEX('Données 1_BD questio'!C:C,MATCH('1_BD questio brut'!$AC$1&amp;'1_BD questio brut'!AC31,'Données 1_BD questio'!A:A&amp;'Données 1_BD questio'!B:B,0))</f>
        <v>un professionnel</v>
      </c>
      <c r="AF31" s="191" t="str">
        <f>'1_BD questio brut'!AD31</f>
        <v>1 fois par an</v>
      </c>
      <c r="AG31" s="191" t="str">
        <f>'1_BD questio brut'!AE31</f>
        <v/>
      </c>
      <c r="AH31" s="191" t="str">
        <f>'1_BD questio brut'!AF31</f>
        <v>Poêle</v>
      </c>
      <c r="AI31" s="191" t="str">
        <f>'1_BD questio brut'!AG31</f>
        <v>2</v>
      </c>
      <c r="AJ31" s="191" t="str">
        <f>'1_BD questio brut'!AH31</f>
        <v/>
      </c>
      <c r="AK31" s="191" t="str">
        <f>'1_BD questio brut'!AI31</f>
        <v>Chauffage d'appoint</v>
      </c>
      <c r="AL31" s="191" t="str">
        <f>'1_BD questio brut'!AJ31</f>
        <v>Pas de réponse</v>
      </c>
      <c r="AM31" s="191" t="str">
        <f>'1_BD questio brut'!AK31</f>
        <v>1; 4; 5</v>
      </c>
      <c r="AN31" s="191" t="str">
        <f>'1_BD questio brut'!AL31</f>
        <v/>
      </c>
      <c r="AO31" s="191" t="str">
        <f>'1_BD questio brut'!AM31</f>
        <v>5</v>
      </c>
      <c r="AP31" s="191" t="str">
        <f>'1_BD questio brut'!AN31</f>
        <v/>
      </c>
      <c r="AQ31" s="191" t="str">
        <f>'1_BD questio brut'!AO31</f>
        <v/>
      </c>
    </row>
    <row r="32" spans="1:43" ht="43.5" hidden="1">
      <c r="A32" s="98">
        <f>INDEX('3_BD instruction total'!A:A,MATCH(C32,'3_BD instruction total'!F:F,0))</f>
        <v>2020</v>
      </c>
      <c r="B32" s="98" t="str">
        <f>INDEX('3_BD instruction total'!C:C,MATCH(C32,'3_BD instruction total'!F:F,0))</f>
        <v>région</v>
      </c>
      <c r="C32" s="191" t="str">
        <f>'1_BD questio brut'!A32</f>
        <v>VRB0035</v>
      </c>
      <c r="D32" s="191" t="str">
        <f t="array" ref="D32">INDEX('Données 1_BD questio'!C:C,MATCH('1_BD questio brut'!$B$1&amp;'1_BD questio brut'!B32,'Données 1_BD questio'!A:A&amp;'Données 1_BD questio'!B:B,0))</f>
        <v>CAPV</v>
      </c>
      <c r="E32" s="191" t="str">
        <f t="array" ref="E32">INDEX('Données 1_BD questio'!C:C,MATCH('1_BD questio brut'!$C$1&amp;'1_BD questio brut'!C32,'Données 1_BD questio'!A:A&amp;'Données 1_BD questio'!B:B,0))</f>
        <v>Employé</v>
      </c>
      <c r="F32" s="191" t="str">
        <f t="array" ref="F32">INDEX('Données 1_BD questio'!C:C,MATCH('1_BD questio brut'!$D$1&amp;'1_BD questio brut'!D32,'Données 1_BD questio'!A:A&amp;'Données 1_BD questio'!B:B,0))</f>
        <v>Ouvrier</v>
      </c>
      <c r="G32" s="191" t="str">
        <f>'1_BD questio brut'!E32</f>
        <v>50 à 64 ans</v>
      </c>
      <c r="H32" s="191">
        <f>'1_BD questio brut'!F32</f>
        <v>3</v>
      </c>
      <c r="I32" s="191" t="str">
        <f>'1_BD questio brut'!G32</f>
        <v>Pas de réponse</v>
      </c>
      <c r="J32" s="191" t="str">
        <f t="array" ref="J32">INDEX('Données 1_BD questio'!C:C,MATCH('1_BD questio brut'!$H$1&amp;'1_BD questio brut'!H32,'Données 1_BD questio'!A:A&amp;'Données 1_BD questio'!B:B,0))</f>
        <v>Maison avec jardin</v>
      </c>
      <c r="K32" s="191">
        <f>'1_BD questio brut'!I32</f>
        <v>180</v>
      </c>
      <c r="L32" s="191" t="str">
        <f>'1_BD questio brut'!J32</f>
        <v>Avant 1949</v>
      </c>
      <c r="M32" s="191" t="str">
        <f>'1_BD questio brut'!K32</f>
        <v>6</v>
      </c>
      <c r="N32" s="191" t="str">
        <f>'1_BD questio brut'!L32</f>
        <v>Pas de réponse</v>
      </c>
      <c r="O32" s="191" t="str">
        <f>'1_BD questio brut'!M32</f>
        <v>Propriétaire occupant</v>
      </c>
      <c r="P32" s="191" t="str">
        <f>'1_BD questio brut'!N32</f>
        <v>Poêle</v>
      </c>
      <c r="Q32" s="191" t="str">
        <f>'1_BD questio brut'!O32</f>
        <v>Chauffage d'apoint</v>
      </c>
      <c r="R32" s="191" t="str">
        <f>'1_BD questio brut'!P32</f>
        <v>3 à 4 jours/semaine</v>
      </c>
      <c r="S32" s="191" t="str">
        <f>'1_BD questio brut'!Q32</f>
        <v>2; 3</v>
      </c>
      <c r="T32" s="191" t="str">
        <f>'1_BD questio brut'!R32</f>
        <v>1996-2002</v>
      </c>
      <c r="U32" s="191" t="str">
        <f>'1_BD questio brut'!S32</f>
        <v>Bois bûche</v>
      </c>
      <c r="V32" s="191" t="str">
        <f>'1_BD questio brut'!T32</f>
        <v/>
      </c>
      <c r="W32" s="191" t="str">
        <f>'1_BD questio brut'!U32</f>
        <v>5</v>
      </c>
      <c r="X32" s="191" t="str">
        <f>'1_BD questio brut'!V32</f>
        <v>Stères</v>
      </c>
      <c r="Y32" s="191" t="str">
        <f>'1_BD questio brut'!W32</f>
        <v>2</v>
      </c>
      <c r="Z32" s="191" t="str">
        <f>'1_BD questio brut'!X32</f>
        <v/>
      </c>
      <c r="AA32" s="191" t="str">
        <f t="array" ref="AA32">INDEX('Données 1_BD questio'!C:C,MATCH('1_BD questio brut'!$Y$1&amp;'1_BD questio brut'!Y32,'Données 1_BD questio'!A:A&amp;'Données 1_BD questio'!B:B,0))</f>
        <v>Ne sait pas</v>
      </c>
      <c r="AB32" s="191" t="str">
        <f>'1_BD questio brut'!Z32</f>
        <v>2</v>
      </c>
      <c r="AC32" s="191" t="str">
        <f>'1_BD questio brut'!AA32</f>
        <v>&gt; 2 ans</v>
      </c>
      <c r="AD32" s="191" t="str">
        <f>'1_BD questio brut'!AB32</f>
        <v>Feuillus</v>
      </c>
      <c r="AE32" s="191" t="str">
        <f t="array" ref="AE32">INDEX('Données 1_BD questio'!C:C,MATCH('1_BD questio brut'!$AC$1&amp;'1_BD questio brut'!AC32,'Données 1_BD questio'!A:A&amp;'Données 1_BD questio'!B:B,0))</f>
        <v>vous-même</v>
      </c>
      <c r="AF32" s="191" t="str">
        <f>'1_BD questio brut'!AD32</f>
        <v>1 fois par an</v>
      </c>
      <c r="AG32" s="191" t="str">
        <f>'1_BD questio brut'!AE32</f>
        <v/>
      </c>
      <c r="AH32" s="191" t="str">
        <f>'1_BD questio brut'!AF32</f>
        <v>Poêle</v>
      </c>
      <c r="AI32" s="191" t="str">
        <f>'1_BD questio brut'!AG32</f>
        <v>1</v>
      </c>
      <c r="AJ32" s="191" t="str">
        <f>'1_BD questio brut'!AH32</f>
        <v/>
      </c>
      <c r="AK32" s="191" t="str">
        <f>'1_BD questio brut'!AI32</f>
        <v>Chauffage d'appoint</v>
      </c>
      <c r="AL32" s="191" t="str">
        <f>'1_BD questio brut'!AJ32</f>
        <v>Pas de réponse</v>
      </c>
      <c r="AM32" s="191" t="str">
        <f>'1_BD questio brut'!AK32</f>
        <v>1; 2</v>
      </c>
      <c r="AN32" s="191" t="str">
        <f>'1_BD questio brut'!AL32</f>
        <v/>
      </c>
      <c r="AO32" s="191" t="str">
        <f>'1_BD questio brut'!AM32</f>
        <v>7</v>
      </c>
      <c r="AP32" s="191" t="str">
        <f>'1_BD questio brut'!AN32</f>
        <v/>
      </c>
      <c r="AQ32" s="191" t="str">
        <f>'1_BD questio brut'!AO32</f>
        <v/>
      </c>
    </row>
    <row r="33" spans="1:43" ht="43.5" hidden="1">
      <c r="A33" s="98">
        <f>INDEX('3_BD instruction total'!A:A,MATCH(C33,'3_BD instruction total'!F:F,0))</f>
        <v>2020</v>
      </c>
      <c r="B33" s="98" t="str">
        <f>INDEX('3_BD instruction total'!C:C,MATCH(C33,'3_BD instruction total'!F:F,0))</f>
        <v>région</v>
      </c>
      <c r="C33" s="191" t="str">
        <f>'1_BD questio brut'!A33</f>
        <v>VRB0036</v>
      </c>
      <c r="D33" s="191" t="str">
        <f t="array" ref="D33">INDEX('Données 1_BD questio'!C:C,MATCH('1_BD questio brut'!$B$1&amp;'1_BD questio brut'!B33,'Données 1_BD questio'!A:A&amp;'Données 1_BD questio'!B:B,0))</f>
        <v>CAPV</v>
      </c>
      <c r="E33" s="191" t="str">
        <f t="array" ref="E33">INDEX('Données 1_BD questio'!C:C,MATCH('1_BD questio brut'!$C$1&amp;'1_BD questio brut'!C33,'Données 1_BD questio'!A:A&amp;'Données 1_BD questio'!B:B,0))</f>
        <v>Employé</v>
      </c>
      <c r="F33" s="191" t="str">
        <f t="array" ref="F33">INDEX('Données 1_BD questio'!C:C,MATCH('1_BD questio brut'!$D$1&amp;'1_BD questio brut'!D33,'Données 1_BD questio'!A:A&amp;'Données 1_BD questio'!B:B,0))</f>
        <v>Employé</v>
      </c>
      <c r="G33" s="191" t="str">
        <f>'1_BD questio brut'!E33</f>
        <v>35 à 49 ans</v>
      </c>
      <c r="H33" s="191">
        <f>'1_BD questio brut'!F33</f>
        <v>4</v>
      </c>
      <c r="I33" s="191" t="str">
        <f>'1_BD questio brut'!G33</f>
        <v>Pas de réponse</v>
      </c>
      <c r="J33" s="191" t="str">
        <f t="array" ref="J33">INDEX('Données 1_BD questio'!C:C,MATCH('1_BD questio brut'!$H$1&amp;'1_BD questio brut'!H33,'Données 1_BD questio'!A:A&amp;'Données 1_BD questio'!B:B,0))</f>
        <v>Maison avec jardin</v>
      </c>
      <c r="K33" s="191">
        <f>'1_BD questio brut'!I33</f>
        <v>120</v>
      </c>
      <c r="L33" s="191" t="str">
        <f>'1_BD questio brut'!J33</f>
        <v>1975-1990</v>
      </c>
      <c r="M33" s="191" t="str">
        <f>'1_BD questio brut'!K33</f>
        <v>6</v>
      </c>
      <c r="N33" s="191" t="str">
        <f>'1_BD questio brut'!L33</f>
        <v>Pas de réponse</v>
      </c>
      <c r="O33" s="191" t="str">
        <f>'1_BD questio brut'!M33</f>
        <v>Propriétaire occupant</v>
      </c>
      <c r="P33" s="191" t="str">
        <f>'1_BD questio brut'!N33</f>
        <v>Insert / foyer fermé</v>
      </c>
      <c r="Q33" s="191" t="str">
        <f>'1_BD questio brut'!O33</f>
        <v>Chauffage de base</v>
      </c>
      <c r="R33" s="191" t="str">
        <f>'1_BD questio brut'!P33</f>
        <v>Tous les jours</v>
      </c>
      <c r="S33" s="191" t="str">
        <f>'1_BD questio brut'!Q33</f>
        <v>4</v>
      </c>
      <c r="T33" s="191" t="str">
        <f>'1_BD questio brut'!R33</f>
        <v>Avant 1990</v>
      </c>
      <c r="U33" s="191" t="str">
        <f>'1_BD questio brut'!S33</f>
        <v>Bois bûche</v>
      </c>
      <c r="V33" s="191" t="str">
        <f>'1_BD questio brut'!T33</f>
        <v/>
      </c>
      <c r="W33" s="191" t="str">
        <f>'1_BD questio brut'!U33</f>
        <v>7</v>
      </c>
      <c r="X33" s="191" t="str">
        <f>'1_BD questio brut'!V33</f>
        <v>Stères</v>
      </c>
      <c r="Y33" s="191" t="str">
        <f>'1_BD questio brut'!W33</f>
        <v>2</v>
      </c>
      <c r="Z33" s="191" t="str">
        <f>'1_BD questio brut'!X33</f>
        <v/>
      </c>
      <c r="AA33" s="191" t="str">
        <f t="array" ref="AA33">INDEX('Données 1_BD questio'!C:C,MATCH('1_BD questio brut'!$Y$1&amp;'1_BD questio brut'!Y33,'Données 1_BD questio'!A:A&amp;'Données 1_BD questio'!B:B,0))</f>
        <v>Rhône-Alpes hors RA2B</v>
      </c>
      <c r="AB33" s="191" t="str">
        <f>'1_BD questio brut'!Z33</f>
        <v>2</v>
      </c>
      <c r="AC33" s="191" t="str">
        <f>'1_BD questio brut'!AA33</f>
        <v>1 à 2 ans</v>
      </c>
      <c r="AD33" s="191" t="str">
        <f>'1_BD questio brut'!AB33</f>
        <v>Feuillus</v>
      </c>
      <c r="AE33" s="191" t="str">
        <f t="array" ref="AE33">INDEX('Données 1_BD questio'!C:C,MATCH('1_BD questio brut'!$AC$1&amp;'1_BD questio brut'!AC33,'Données 1_BD questio'!A:A&amp;'Données 1_BD questio'!B:B,0))</f>
        <v>un professionnel</v>
      </c>
      <c r="AF33" s="191" t="str">
        <f>'1_BD questio brut'!AD33</f>
        <v>1 fois par an</v>
      </c>
      <c r="AG33" s="191" t="str">
        <f>'1_BD questio brut'!AE33</f>
        <v/>
      </c>
      <c r="AH33" s="191" t="str">
        <f>'1_BD questio brut'!AF33</f>
        <v>Poêle</v>
      </c>
      <c r="AI33" s="191" t="str">
        <f>'1_BD questio brut'!AG33</f>
        <v>1</v>
      </c>
      <c r="AJ33" s="191" t="str">
        <f>'1_BD questio brut'!AH33</f>
        <v/>
      </c>
      <c r="AK33" s="191" t="str">
        <f>'1_BD questio brut'!AI33</f>
        <v>Chauffage de base</v>
      </c>
      <c r="AL33" s="191" t="str">
        <f>'1_BD questio brut'!AJ33</f>
        <v>Pas de réponse</v>
      </c>
      <c r="AM33" s="191" t="str">
        <f>'1_BD questio brut'!AK33</f>
        <v>2; 4; 5</v>
      </c>
      <c r="AN33" s="191" t="str">
        <f>'1_BD questio brut'!AL33</f>
        <v/>
      </c>
      <c r="AO33" s="191" t="str">
        <f>'1_BD questio brut'!AM33</f>
        <v>5</v>
      </c>
      <c r="AP33" s="191" t="str">
        <f>'1_BD questio brut'!AN33</f>
        <v/>
      </c>
      <c r="AQ33" s="191" t="str">
        <f>'1_BD questio brut'!AO33</f>
        <v/>
      </c>
    </row>
    <row r="34" spans="1:43" ht="43.5" hidden="1">
      <c r="A34" s="98">
        <f>INDEX('3_BD instruction total'!A:A,MATCH(C34,'3_BD instruction total'!F:F,0))</f>
        <v>2020</v>
      </c>
      <c r="B34" s="98" t="str">
        <f>INDEX('3_BD instruction total'!C:C,MATCH(C34,'3_BD instruction total'!F:F,0))</f>
        <v>non</v>
      </c>
      <c r="C34" s="191" t="str">
        <f>'1_BD questio brut'!A34</f>
        <v>VRB0037</v>
      </c>
      <c r="D34" s="191" t="str">
        <f t="array" ref="D34">INDEX('Données 1_BD questio'!C:C,MATCH('1_BD questio brut'!$B$1&amp;'1_BD questio brut'!B34,'Données 1_BD questio'!A:A&amp;'Données 1_BD questio'!B:B,0))</f>
        <v>CAPV</v>
      </c>
      <c r="E34" s="191" t="str">
        <f t="array" ref="E34">INDEX('Données 1_BD questio'!C:C,MATCH('1_BD questio brut'!$C$1&amp;'1_BD questio brut'!C34,'Données 1_BD questio'!A:A&amp;'Données 1_BD questio'!B:B,0))</f>
        <v>Retraité</v>
      </c>
      <c r="F34" s="191" t="str">
        <f t="array" ref="F34">INDEX('Données 1_BD questio'!C:C,MATCH('1_BD questio brut'!$D$1&amp;'1_BD questio brut'!D34,'Données 1_BD questio'!A:A&amp;'Données 1_BD questio'!B:B,0))</f>
        <v>Retraité</v>
      </c>
      <c r="G34" s="191" t="str">
        <f>'1_BD questio brut'!E34</f>
        <v>65 ans et plus</v>
      </c>
      <c r="H34" s="191">
        <f>'1_BD questio brut'!F34</f>
        <v>2</v>
      </c>
      <c r="I34" s="191" t="str">
        <f>'1_BD questio brut'!G34</f>
        <v>Pas de réponse</v>
      </c>
      <c r="J34" s="191" t="str">
        <f t="array" ref="J34">INDEX('Données 1_BD questio'!C:C,MATCH('1_BD questio brut'!$H$1&amp;'1_BD questio brut'!H34,'Données 1_BD questio'!A:A&amp;'Données 1_BD questio'!B:B,0))</f>
        <v>Maison avec jardin</v>
      </c>
      <c r="K34" s="191">
        <f>'1_BD questio brut'!I34</f>
        <v>100</v>
      </c>
      <c r="L34" s="191" t="str">
        <f>'1_BD questio brut'!J34</f>
        <v>1949-1975</v>
      </c>
      <c r="M34" s="191" t="str">
        <f>'1_BD questio brut'!K34</f>
        <v>1</v>
      </c>
      <c r="N34" s="191" t="str">
        <f>'1_BD questio brut'!L34</f>
        <v>Pas de réponse</v>
      </c>
      <c r="O34" s="191" t="str">
        <f>'1_BD questio brut'!M34</f>
        <v>Propriétaire occupant</v>
      </c>
      <c r="P34" s="191" t="str">
        <f>'1_BD questio brut'!N34</f>
        <v>Insert / foyer fermé</v>
      </c>
      <c r="Q34" s="191" t="str">
        <f>'1_BD questio brut'!O34</f>
        <v>Chauffage d'apoint</v>
      </c>
      <c r="R34" s="191" t="str">
        <f>'1_BD questio brut'!P34</f>
        <v>Tous les jours</v>
      </c>
      <c r="S34" s="191" t="str">
        <f>'1_BD questio brut'!Q34</f>
        <v>2; 4</v>
      </c>
      <c r="T34" s="191" t="str">
        <f>'1_BD questio brut'!R34</f>
        <v>Avant 1990</v>
      </c>
      <c r="U34" s="191" t="str">
        <f>'1_BD questio brut'!S34</f>
        <v>Bois bûche</v>
      </c>
      <c r="V34" s="191" t="str">
        <f>'1_BD questio brut'!T34</f>
        <v/>
      </c>
      <c r="W34" s="191" t="str">
        <f>'1_BD questio brut'!U34</f>
        <v>15</v>
      </c>
      <c r="X34" s="191" t="str">
        <f>'1_BD questio brut'!V34</f>
        <v>Stères</v>
      </c>
      <c r="Y34" s="191" t="str">
        <f>'1_BD questio brut'!W34</f>
        <v>2</v>
      </c>
      <c r="Z34" s="191" t="str">
        <f>'1_BD questio brut'!X34</f>
        <v/>
      </c>
      <c r="AA34" s="191" t="str">
        <f t="array" ref="AA34">INDEX('Données 1_BD questio'!C:C,MATCH('1_BD questio brut'!$Y$1&amp;'1_BD questio brut'!Y34,'Données 1_BD questio'!A:A&amp;'Données 1_BD questio'!B:B,0))</f>
        <v>RA2B</v>
      </c>
      <c r="AB34" s="191" t="str">
        <f>'1_BD questio brut'!Z34</f>
        <v>2</v>
      </c>
      <c r="AC34" s="191" t="str">
        <f>'1_BD questio brut'!AA34</f>
        <v>1 à 2 ans</v>
      </c>
      <c r="AD34" s="191" t="str">
        <f>'1_BD questio brut'!AB34</f>
        <v>Feuillus</v>
      </c>
      <c r="AE34" s="191" t="str">
        <f t="array" ref="AE34">INDEX('Données 1_BD questio'!C:C,MATCH('1_BD questio brut'!$AC$1&amp;'1_BD questio brut'!AC34,'Données 1_BD questio'!A:A&amp;'Données 1_BD questio'!B:B,0))</f>
        <v>un professionnel</v>
      </c>
      <c r="AF34" s="191" t="str">
        <f>'1_BD questio brut'!AD34</f>
        <v>2 fois par an</v>
      </c>
      <c r="AG34" s="191" t="str">
        <f>'1_BD questio brut'!AE34</f>
        <v/>
      </c>
      <c r="AH34" s="191" t="str">
        <f>'1_BD questio brut'!AF34</f>
        <v>Poêle</v>
      </c>
      <c r="AI34" s="191" t="str">
        <f>'1_BD questio brut'!AG34</f>
        <v>2</v>
      </c>
      <c r="AJ34" s="191" t="str">
        <f>'1_BD questio brut'!AH34</f>
        <v/>
      </c>
      <c r="AK34" s="191" t="str">
        <f>'1_BD questio brut'!AI34</f>
        <v>Chauffage de base</v>
      </c>
      <c r="AL34" s="191" t="str">
        <f>'1_BD questio brut'!AJ34</f>
        <v>Pas de réponse</v>
      </c>
      <c r="AM34" s="191" t="str">
        <f>'1_BD questio brut'!AK34</f>
        <v>4</v>
      </c>
      <c r="AN34" s="191" t="str">
        <f>'1_BD questio brut'!AL34</f>
        <v/>
      </c>
      <c r="AO34" s="191" t="str">
        <f>'1_BD questio brut'!AM34</f>
        <v>5</v>
      </c>
      <c r="AP34" s="191" t="str">
        <f>'1_BD questio brut'!AN34</f>
        <v/>
      </c>
      <c r="AQ34" s="191" t="str">
        <f>'1_BD questio brut'!AO34</f>
        <v/>
      </c>
    </row>
    <row r="35" spans="1:43" ht="43.5" hidden="1">
      <c r="A35" s="98">
        <f>INDEX('3_BD instruction total'!A:A,MATCH(C35,'3_BD instruction total'!F:F,0))</f>
        <v>2020</v>
      </c>
      <c r="B35" s="98" t="str">
        <f>INDEX('3_BD instruction total'!C:C,MATCH(C35,'3_BD instruction total'!F:F,0))</f>
        <v>région</v>
      </c>
      <c r="C35" s="191" t="str">
        <f>'1_BD questio brut'!A35</f>
        <v>VRB0038</v>
      </c>
      <c r="D35" s="191" t="str">
        <f t="array" ref="D35">INDEX('Données 1_BD questio'!C:C,MATCH('1_BD questio brut'!$B$1&amp;'1_BD questio brut'!B35,'Données 1_BD questio'!A:A&amp;'Données 1_BD questio'!B:B,0))</f>
        <v>CAPV</v>
      </c>
      <c r="E35" s="191" t="str">
        <f t="array" ref="E35">INDEX('Données 1_BD questio'!C:C,MATCH('1_BD questio brut'!$C$1&amp;'1_BD questio brut'!C35,'Données 1_BD questio'!A:A&amp;'Données 1_BD questio'!B:B,0))</f>
        <v>Employé</v>
      </c>
      <c r="F35" s="191" t="str">
        <f t="array" ref="F35">INDEX('Données 1_BD questio'!C:C,MATCH('1_BD questio brut'!$D$1&amp;'1_BD questio brut'!D35,'Données 1_BD questio'!A:A&amp;'Données 1_BD questio'!B:B,0))</f>
        <v>Artisan,commerçant,chef d'entreprise</v>
      </c>
      <c r="G35" s="191" t="str">
        <f>'1_BD questio brut'!E35</f>
        <v>35 à 49 ans</v>
      </c>
      <c r="H35" s="191">
        <f>'1_BD questio brut'!F35</f>
        <v>3</v>
      </c>
      <c r="I35" s="191" t="str">
        <f>'1_BD questio brut'!G35</f>
        <v>Pas de réponse</v>
      </c>
      <c r="J35" s="191" t="str">
        <f t="array" ref="J35">INDEX('Données 1_BD questio'!C:C,MATCH('1_BD questio brut'!$H$1&amp;'1_BD questio brut'!H35,'Données 1_BD questio'!A:A&amp;'Données 1_BD questio'!B:B,0))</f>
        <v>Maison avec jardin</v>
      </c>
      <c r="K35" s="191">
        <f>'1_BD questio brut'!I35</f>
        <v>99</v>
      </c>
      <c r="L35" s="191" t="str">
        <f>'1_BD questio brut'!J35</f>
        <v>1975-1990</v>
      </c>
      <c r="M35" s="191" t="str">
        <f>'1_BD questio brut'!K35</f>
        <v>1</v>
      </c>
      <c r="N35" s="191" t="str">
        <f>'1_BD questio brut'!L35</f>
        <v>Pas de réponse</v>
      </c>
      <c r="O35" s="191" t="str">
        <f>'1_BD questio brut'!M35</f>
        <v>Propriétaire occupant</v>
      </c>
      <c r="P35" s="191" t="str">
        <f>'1_BD questio brut'!N35</f>
        <v>Insert / foyer fermé</v>
      </c>
      <c r="Q35" s="191" t="str">
        <f>'1_BD questio brut'!O35</f>
        <v>Chauffage d'apoint</v>
      </c>
      <c r="R35" s="191" t="str">
        <f>'1_BD questio brut'!P35</f>
        <v>Tous les jours</v>
      </c>
      <c r="S35" s="191" t="str">
        <f>'1_BD questio brut'!Q35</f>
        <v>4</v>
      </c>
      <c r="T35" s="191" t="str">
        <f>'1_BD questio brut'!R35</f>
        <v>1990-1995</v>
      </c>
      <c r="U35" s="191" t="str">
        <f>'1_BD questio brut'!S35</f>
        <v>Bois bûche</v>
      </c>
      <c r="V35" s="191" t="str">
        <f>'1_BD questio brut'!T35</f>
        <v/>
      </c>
      <c r="W35" s="191" t="str">
        <f>'1_BD questio brut'!U35</f>
        <v>7</v>
      </c>
      <c r="X35" s="191" t="str">
        <f>'1_BD questio brut'!V35</f>
        <v>Stères</v>
      </c>
      <c r="Y35" s="191" t="str">
        <f>'1_BD questio brut'!W35</f>
        <v>2</v>
      </c>
      <c r="Z35" s="191" t="str">
        <f>'1_BD questio brut'!X35</f>
        <v/>
      </c>
      <c r="AA35" s="191" t="str">
        <f t="array" ref="AA35">INDEX('Données 1_BD questio'!C:C,MATCH('1_BD questio brut'!$Y$1&amp;'1_BD questio brut'!Y35,'Données 1_BD questio'!A:A&amp;'Données 1_BD questio'!B:B,0))</f>
        <v>Ne sait pas</v>
      </c>
      <c r="AB35" s="191" t="str">
        <f>'1_BD questio brut'!Z35</f>
        <v>3</v>
      </c>
      <c r="AC35" s="191" t="str">
        <f>'1_BD questio brut'!AA35</f>
        <v>&lt; 1 an</v>
      </c>
      <c r="AD35" s="191" t="str">
        <f>'1_BD questio brut'!AB35</f>
        <v>Les deux</v>
      </c>
      <c r="AE35" s="191" t="str">
        <f t="array" ref="AE35">INDEX('Données 1_BD questio'!C:C,MATCH('1_BD questio brut'!$AC$1&amp;'1_BD questio brut'!AC35,'Données 1_BD questio'!A:A&amp;'Données 1_BD questio'!B:B,0))</f>
        <v>un professionnel</v>
      </c>
      <c r="AF35" s="191" t="str">
        <f>'1_BD questio brut'!AD35</f>
        <v>1 fois par an</v>
      </c>
      <c r="AG35" s="191" t="str">
        <f>'1_BD questio brut'!AE35</f>
        <v/>
      </c>
      <c r="AH35" s="191" t="str">
        <f>'1_BD questio brut'!AF35</f>
        <v>Poêle</v>
      </c>
      <c r="AI35" s="191" t="str">
        <f>'1_BD questio brut'!AG35</f>
        <v>2</v>
      </c>
      <c r="AJ35" s="191" t="str">
        <f>'1_BD questio brut'!AH35</f>
        <v/>
      </c>
      <c r="AK35" s="191" t="str">
        <f>'1_BD questio brut'!AI35</f>
        <v>Chauffage de base</v>
      </c>
      <c r="AL35" s="191" t="str">
        <f>'1_BD questio brut'!AJ35</f>
        <v>Pas de réponse</v>
      </c>
      <c r="AM35" s="191" t="str">
        <f>'1_BD questio brut'!AK35</f>
        <v>2; 4</v>
      </c>
      <c r="AN35" s="191" t="str">
        <f>'1_BD questio brut'!AL35</f>
        <v/>
      </c>
      <c r="AO35" s="191" t="str">
        <f>'1_BD questio brut'!AM35</f>
        <v>1</v>
      </c>
      <c r="AP35" s="191" t="str">
        <f>'1_BD questio brut'!AN35</f>
        <v/>
      </c>
      <c r="AQ35" s="191" t="str">
        <f>'1_BD questio brut'!AO35</f>
        <v/>
      </c>
    </row>
    <row r="36" spans="1:43" ht="43.5" hidden="1">
      <c r="A36" s="98">
        <f>INDEX('3_BD instruction total'!A:A,MATCH(C36,'3_BD instruction total'!F:F,0))</f>
        <v>2020</v>
      </c>
      <c r="B36" s="98" t="str">
        <f>INDEX('3_BD instruction total'!C:C,MATCH(C36,'3_BD instruction total'!F:F,0))</f>
        <v>région</v>
      </c>
      <c r="C36" s="191" t="str">
        <f>'1_BD questio brut'!A36</f>
        <v>VRB0039</v>
      </c>
      <c r="D36" s="191" t="str">
        <f t="array" ref="D36">INDEX('Données 1_BD questio'!C:C,MATCH('1_BD questio brut'!$B$1&amp;'1_BD questio brut'!B36,'Données 1_BD questio'!A:A&amp;'Données 1_BD questio'!B:B,0))</f>
        <v>CAPV</v>
      </c>
      <c r="E36" s="191" t="str">
        <f t="array" ref="E36">INDEX('Données 1_BD questio'!C:C,MATCH('1_BD questio brut'!$C$1&amp;'1_BD questio brut'!C36,'Données 1_BD questio'!A:A&amp;'Données 1_BD questio'!B:B,0))</f>
        <v>Ouvrier</v>
      </c>
      <c r="F36" s="191" t="str">
        <f t="array" ref="F36">INDEX('Données 1_BD questio'!C:C,MATCH('1_BD questio brut'!$D$1&amp;'1_BD questio brut'!D36,'Données 1_BD questio'!A:A&amp;'Données 1_BD questio'!B:B,0))</f>
        <v>Cadre</v>
      </c>
      <c r="G36" s="191" t="str">
        <f>'1_BD questio brut'!E36</f>
        <v>35 à 49 ans</v>
      </c>
      <c r="H36" s="191">
        <f>'1_BD questio brut'!F36</f>
        <v>5</v>
      </c>
      <c r="I36" s="191" t="str">
        <f>'1_BD questio brut'!G36</f>
        <v>Pas de réponse</v>
      </c>
      <c r="J36" s="191" t="str">
        <f t="array" ref="J36">INDEX('Données 1_BD questio'!C:C,MATCH('1_BD questio brut'!$H$1&amp;'1_BD questio brut'!H36,'Données 1_BD questio'!A:A&amp;'Données 1_BD questio'!B:B,0))</f>
        <v>Maison avec jardin</v>
      </c>
      <c r="K36" s="191">
        <f>'1_BD questio brut'!I36</f>
        <v>130</v>
      </c>
      <c r="L36" s="191" t="str">
        <f>'1_BD questio brut'!J36</f>
        <v>1990-2005</v>
      </c>
      <c r="M36" s="191" t="str">
        <f>'1_BD questio brut'!K36</f>
        <v>6</v>
      </c>
      <c r="N36" s="191" t="str">
        <f>'1_BD questio brut'!L36</f>
        <v>Ne sait pas</v>
      </c>
      <c r="O36" s="191" t="str">
        <f>'1_BD questio brut'!M36</f>
        <v>Propriétaire occupant</v>
      </c>
      <c r="P36" s="191" t="str">
        <f>'1_BD questio brut'!N36</f>
        <v>Poêle</v>
      </c>
      <c r="Q36" s="191" t="str">
        <f>'1_BD questio brut'!O36</f>
        <v>Chauffage d'apoint</v>
      </c>
      <c r="R36" s="191" t="str">
        <f>'1_BD questio brut'!P36</f>
        <v>3 à 4 jours/semaine</v>
      </c>
      <c r="S36" s="191" t="str">
        <f>'1_BD questio brut'!Q36</f>
        <v>3; 6</v>
      </c>
      <c r="T36" s="191" t="str">
        <f>'1_BD questio brut'!R36</f>
        <v>1996-2002</v>
      </c>
      <c r="U36" s="191" t="str">
        <f>'1_BD questio brut'!S36</f>
        <v>Bois bûche</v>
      </c>
      <c r="V36" s="191" t="str">
        <f>'1_BD questio brut'!T36</f>
        <v/>
      </c>
      <c r="W36" s="191" t="str">
        <f>'1_BD questio brut'!U36</f>
        <v>5</v>
      </c>
      <c r="X36" s="191" t="str">
        <f>'1_BD questio brut'!V36</f>
        <v>stères</v>
      </c>
      <c r="Y36" s="191" t="str">
        <f>'1_BD questio brut'!W36</f>
        <v>2</v>
      </c>
      <c r="Z36" s="191" t="str">
        <f>'1_BD questio brut'!X36</f>
        <v/>
      </c>
      <c r="AA36" s="191" t="str">
        <f t="array" ref="AA36">INDEX('Données 1_BD questio'!C:C,MATCH('1_BD questio brut'!$Y$1&amp;'1_BD questio brut'!Y36,'Données 1_BD questio'!A:A&amp;'Données 1_BD questio'!B:B,0))</f>
        <v>RA2B</v>
      </c>
      <c r="AB36" s="191" t="str">
        <f>'1_BD questio brut'!Z36</f>
        <v>2</v>
      </c>
      <c r="AC36" s="191" t="str">
        <f>'1_BD questio brut'!AA36</f>
        <v>&gt; 2 ans</v>
      </c>
      <c r="AD36" s="191" t="str">
        <f>'1_BD questio brut'!AB36</f>
        <v>Feuillus</v>
      </c>
      <c r="AE36" s="191" t="str">
        <f t="array" ref="AE36">INDEX('Données 1_BD questio'!C:C,MATCH('1_BD questio brut'!$AC$1&amp;'1_BD questio brut'!AC36,'Données 1_BD questio'!A:A&amp;'Données 1_BD questio'!B:B,0))</f>
        <v>un professionnel</v>
      </c>
      <c r="AF36" s="191" t="str">
        <f>'1_BD questio brut'!AD36</f>
        <v>1 fois par an</v>
      </c>
      <c r="AG36" s="191" t="str">
        <f>'1_BD questio brut'!AE36</f>
        <v/>
      </c>
      <c r="AH36" s="191" t="str">
        <f>'1_BD questio brut'!AF36</f>
        <v>Poêle</v>
      </c>
      <c r="AI36" s="191" t="str">
        <f>'1_BD questio brut'!AG36</f>
        <v>2</v>
      </c>
      <c r="AJ36" s="191" t="str">
        <f>'1_BD questio brut'!AH36</f>
        <v/>
      </c>
      <c r="AK36" s="191" t="str">
        <f>'1_BD questio brut'!AI36</f>
        <v>Chauffage de base</v>
      </c>
      <c r="AL36" s="191" t="str">
        <f>'1_BD questio brut'!AJ36</f>
        <v>Pas de réponse</v>
      </c>
      <c r="AM36" s="191" t="str">
        <f>'1_BD questio brut'!AK36</f>
        <v>2; 5</v>
      </c>
      <c r="AN36" s="191" t="str">
        <f>'1_BD questio brut'!AL36</f>
        <v/>
      </c>
      <c r="AO36" s="191" t="str">
        <f>'1_BD questio brut'!AM36</f>
        <v>7</v>
      </c>
      <c r="AP36" s="191" t="str">
        <f>'1_BD questio brut'!AN36</f>
        <v/>
      </c>
      <c r="AQ36" s="191" t="str">
        <f>'1_BD questio brut'!AO36</f>
        <v/>
      </c>
    </row>
    <row r="37" spans="1:43" ht="43.5" hidden="1">
      <c r="A37" s="98">
        <f>INDEX('3_BD instruction total'!A:A,MATCH(C37,'3_BD instruction total'!F:F,0))</f>
        <v>2020</v>
      </c>
      <c r="B37" s="98" t="str">
        <f>INDEX('3_BD instruction total'!C:C,MATCH(C37,'3_BD instruction total'!F:F,0))</f>
        <v>région</v>
      </c>
      <c r="C37" s="191" t="str">
        <f>'1_BD questio brut'!A37</f>
        <v>VRB0040</v>
      </c>
      <c r="D37" s="191" t="str">
        <f t="array" ref="D37">INDEX('Données 1_BD questio'!C:C,MATCH('1_BD questio brut'!$B$1&amp;'1_BD questio brut'!B37,'Données 1_BD questio'!A:A&amp;'Données 1_BD questio'!B:B,0))</f>
        <v>CAPV</v>
      </c>
      <c r="E37" s="191" t="str">
        <f t="array" ref="E37">INDEX('Données 1_BD questio'!C:C,MATCH('1_BD questio brut'!$C$1&amp;'1_BD questio brut'!C37,'Données 1_BD questio'!A:A&amp;'Données 1_BD questio'!B:B,0))</f>
        <v>Employé</v>
      </c>
      <c r="F37" s="191" t="str">
        <f t="array" ref="F37">INDEX('Données 1_BD questio'!C:C,MATCH('1_BD questio brut'!$D$1&amp;'1_BD questio brut'!D37,'Données 1_BD questio'!A:A&amp;'Données 1_BD questio'!B:B,0))</f>
        <v>Retraité</v>
      </c>
      <c r="G37" s="191" t="str">
        <f>'1_BD questio brut'!E37</f>
        <v>50 à 64 ans</v>
      </c>
      <c r="H37" s="191">
        <f>'1_BD questio brut'!F37</f>
        <v>3</v>
      </c>
      <c r="I37" s="191" t="str">
        <f>'1_BD questio brut'!G37</f>
        <v>Pas de réponse</v>
      </c>
      <c r="J37" s="191" t="str">
        <f t="array" ref="J37">INDEX('Données 1_BD questio'!C:C,MATCH('1_BD questio brut'!$H$1&amp;'1_BD questio brut'!H37,'Données 1_BD questio'!A:A&amp;'Données 1_BD questio'!B:B,0))</f>
        <v>Maison avec jardin</v>
      </c>
      <c r="K37" s="191">
        <f>'1_BD questio brut'!I37</f>
        <v>0</v>
      </c>
      <c r="L37" s="191" t="str">
        <f>'1_BD questio brut'!J37</f>
        <v>1975-1990</v>
      </c>
      <c r="M37" s="191" t="str">
        <f>'1_BD questio brut'!K37</f>
        <v>6</v>
      </c>
      <c r="N37" s="191" t="str">
        <f>'1_BD questio brut'!L37</f>
        <v>Pas de réponse</v>
      </c>
      <c r="O37" s="191" t="str">
        <f>'1_BD questio brut'!M37</f>
        <v>Propriétaire occupant</v>
      </c>
      <c r="P37" s="191" t="str">
        <f>'1_BD questio brut'!N37</f>
        <v>Insert / foyer fermé</v>
      </c>
      <c r="Q37" s="191" t="str">
        <f>'1_BD questio brut'!O37</f>
        <v>Chauffage de base</v>
      </c>
      <c r="R37" s="191" t="str">
        <f>'1_BD questio brut'!P37</f>
        <v>Pas de réponse</v>
      </c>
      <c r="S37" s="191" t="str">
        <f>'1_BD questio brut'!Q37</f>
        <v>2; 4; 6</v>
      </c>
      <c r="T37" s="191" t="str">
        <f>'1_BD questio brut'!R37</f>
        <v>Avant 1990</v>
      </c>
      <c r="U37" s="191" t="str">
        <f>'1_BD questio brut'!S37</f>
        <v>Bois bûche</v>
      </c>
      <c r="V37" s="191" t="str">
        <f>'1_BD questio brut'!T37</f>
        <v/>
      </c>
      <c r="W37" s="191" t="str">
        <f>'1_BD questio brut'!U37</f>
        <v>8</v>
      </c>
      <c r="X37" s="191" t="str">
        <f>'1_BD questio brut'!V37</f>
        <v>stères</v>
      </c>
      <c r="Y37" s="191" t="str">
        <f>'1_BD questio brut'!W37</f>
        <v>2</v>
      </c>
      <c r="Z37" s="191" t="str">
        <f>'1_BD questio brut'!X37</f>
        <v/>
      </c>
      <c r="AA37" s="191" t="str">
        <f t="array" ref="AA37">INDEX('Données 1_BD questio'!C:C,MATCH('1_BD questio brut'!$Y$1&amp;'1_BD questio brut'!Y37,'Données 1_BD questio'!A:A&amp;'Données 1_BD questio'!B:B,0))</f>
        <v>Ne sait pas</v>
      </c>
      <c r="AB37" s="191" t="str">
        <f>'1_BD questio brut'!Z37</f>
        <v>2</v>
      </c>
      <c r="AC37" s="191" t="str">
        <f>'1_BD questio brut'!AA37</f>
        <v>1 à 2 ans</v>
      </c>
      <c r="AD37" s="191" t="str">
        <f>'1_BD questio brut'!AB37</f>
        <v>Les deux</v>
      </c>
      <c r="AE37" s="191" t="str">
        <f t="array" ref="AE37">INDEX('Données 1_BD questio'!C:C,MATCH('1_BD questio brut'!$AC$1&amp;'1_BD questio brut'!AC37,'Données 1_BD questio'!A:A&amp;'Données 1_BD questio'!B:B,0))</f>
        <v>un professionnel</v>
      </c>
      <c r="AF37" s="191" t="str">
        <f>'1_BD questio brut'!AD37</f>
        <v>1 fois par an</v>
      </c>
      <c r="AG37" s="191" t="str">
        <f>'1_BD questio brut'!AE37</f>
        <v/>
      </c>
      <c r="AH37" s="191" t="str">
        <f>'1_BD questio brut'!AF37</f>
        <v>Poêle</v>
      </c>
      <c r="AI37" s="191" t="str">
        <f>'1_BD questio brut'!AG37</f>
        <v>1</v>
      </c>
      <c r="AJ37" s="191" t="str">
        <f>'1_BD questio brut'!AH37</f>
        <v/>
      </c>
      <c r="AK37" s="191" t="str">
        <f>'1_BD questio brut'!AI37</f>
        <v>Chauffage de base</v>
      </c>
      <c r="AL37" s="191" t="str">
        <f>'1_BD questio brut'!AJ37</f>
        <v>Pas de réponse</v>
      </c>
      <c r="AM37" s="191" t="str">
        <f>'1_BD questio brut'!AK37</f>
        <v>3; 5</v>
      </c>
      <c r="AN37" s="191" t="str">
        <f>'1_BD questio brut'!AL37</f>
        <v/>
      </c>
      <c r="AO37" s="191" t="str">
        <f>'1_BD questio brut'!AM37</f>
        <v>1</v>
      </c>
      <c r="AP37" s="191" t="str">
        <f>'1_BD questio brut'!AN37</f>
        <v/>
      </c>
      <c r="AQ37" s="191" t="str">
        <f>'1_BD questio brut'!AO37</f>
        <v/>
      </c>
    </row>
    <row r="38" spans="1:43" ht="43.5" hidden="1">
      <c r="A38" s="98">
        <f>INDEX('3_BD instruction total'!A:A,MATCH(C38,'3_BD instruction total'!F:F,0))</f>
        <v>2020</v>
      </c>
      <c r="B38" s="98" t="str">
        <f>INDEX('3_BD instruction total'!C:C,MATCH(C38,'3_BD instruction total'!F:F,0))</f>
        <v>région</v>
      </c>
      <c r="C38" s="191" t="str">
        <f>'1_BD questio brut'!A38</f>
        <v>VRB0041</v>
      </c>
      <c r="D38" s="191" t="str">
        <f t="array" ref="D38">INDEX('Données 1_BD questio'!C:C,MATCH('1_BD questio brut'!$B$1&amp;'1_BD questio brut'!B38,'Données 1_BD questio'!A:A&amp;'Données 1_BD questio'!B:B,0))</f>
        <v>CAPV</v>
      </c>
      <c r="E38" s="191" t="str">
        <f t="array" ref="E38">INDEX('Données 1_BD questio'!C:C,MATCH('1_BD questio brut'!$C$1&amp;'1_BD questio brut'!C38,'Données 1_BD questio'!A:A&amp;'Données 1_BD questio'!B:B,0))</f>
        <v>Cadre</v>
      </c>
      <c r="F38" s="191" t="str">
        <f t="array" ref="F38">INDEX('Données 1_BD questio'!C:C,MATCH('1_BD questio brut'!$D$1&amp;'1_BD questio brut'!D38,'Données 1_BD questio'!A:A&amp;'Données 1_BD questio'!B:B,0))</f>
        <v>Autre,sans activité</v>
      </c>
      <c r="G38" s="191" t="str">
        <f>'1_BD questio brut'!E38</f>
        <v>35 à 49 ans</v>
      </c>
      <c r="H38" s="191">
        <f>'1_BD questio brut'!F38</f>
        <v>4</v>
      </c>
      <c r="I38" s="191" t="str">
        <f>'1_BD questio brut'!G38</f>
        <v>Pas de réponse</v>
      </c>
      <c r="J38" s="191" t="str">
        <f t="array" ref="J38">INDEX('Données 1_BD questio'!C:C,MATCH('1_BD questio brut'!$H$1&amp;'1_BD questio brut'!H38,'Données 1_BD questio'!A:A&amp;'Données 1_BD questio'!B:B,0))</f>
        <v>Maison avec jardin</v>
      </c>
      <c r="K38" s="191">
        <f>'1_BD questio brut'!I38</f>
        <v>95</v>
      </c>
      <c r="L38" s="191" t="str">
        <f>'1_BD questio brut'!J38</f>
        <v>1975-1990</v>
      </c>
      <c r="M38" s="191" t="str">
        <f>'1_BD questio brut'!K38</f>
        <v>1</v>
      </c>
      <c r="N38" s="191" t="str">
        <f>'1_BD questio brut'!L38</f>
        <v>Pas de réponse</v>
      </c>
      <c r="O38" s="191" t="str">
        <f>'1_BD questio brut'!M38</f>
        <v>Propriétaire occupant</v>
      </c>
      <c r="P38" s="191" t="str">
        <f>'1_BD questio brut'!N38</f>
        <v>Insert / foyer fermé</v>
      </c>
      <c r="Q38" s="191" t="str">
        <f>'1_BD questio brut'!O38</f>
        <v>Chauffage d'apoint</v>
      </c>
      <c r="R38" s="191" t="str">
        <f>'1_BD questio brut'!P38</f>
        <v>3 à 4 jours/semaine</v>
      </c>
      <c r="S38" s="191" t="str">
        <f>'1_BD questio brut'!Q38</f>
        <v>4</v>
      </c>
      <c r="T38" s="191" t="str">
        <f>'1_BD questio brut'!R38</f>
        <v>Avant 1990</v>
      </c>
      <c r="U38" s="191" t="str">
        <f>'1_BD questio brut'!S38</f>
        <v>Bois bûche</v>
      </c>
      <c r="V38" s="191" t="str">
        <f>'1_BD questio brut'!T38</f>
        <v/>
      </c>
      <c r="W38" s="191" t="str">
        <f>'1_BD questio brut'!U38</f>
        <v>5</v>
      </c>
      <c r="X38" s="191" t="str">
        <f>'1_BD questio brut'!V38</f>
        <v>stères</v>
      </c>
      <c r="Y38" s="191" t="str">
        <f>'1_BD questio brut'!W38</f>
        <v>2</v>
      </c>
      <c r="Z38" s="191" t="str">
        <f>'1_BD questio brut'!X38</f>
        <v/>
      </c>
      <c r="AA38" s="191" t="str">
        <f t="array" ref="AA38">INDEX('Données 1_BD questio'!C:C,MATCH('1_BD questio brut'!$Y$1&amp;'1_BD questio brut'!Y38,'Données 1_BD questio'!A:A&amp;'Données 1_BD questio'!B:B,0))</f>
        <v>RA2B</v>
      </c>
      <c r="AB38" s="191" t="str">
        <f>'1_BD questio brut'!Z38</f>
        <v>1</v>
      </c>
      <c r="AC38" s="191" t="str">
        <f>'1_BD questio brut'!AA38</f>
        <v>&gt; 2 ans</v>
      </c>
      <c r="AD38" s="191" t="str">
        <f>'1_BD questio brut'!AB38</f>
        <v>Feuillus</v>
      </c>
      <c r="AE38" s="191" t="str">
        <f t="array" ref="AE38">INDEX('Données 1_BD questio'!C:C,MATCH('1_BD questio brut'!$AC$1&amp;'1_BD questio brut'!AC38,'Données 1_BD questio'!A:A&amp;'Données 1_BD questio'!B:B,0))</f>
        <v>vous-même</v>
      </c>
      <c r="AF38" s="191" t="str">
        <f>'1_BD questio brut'!AD38</f>
        <v>2 fois par an</v>
      </c>
      <c r="AG38" s="191" t="str">
        <f>'1_BD questio brut'!AE38</f>
        <v/>
      </c>
      <c r="AH38" s="191" t="str">
        <f>'1_BD questio brut'!AF38</f>
        <v>poêle de masse</v>
      </c>
      <c r="AI38" s="191" t="str">
        <f>'1_BD questio brut'!AG38</f>
        <v>1</v>
      </c>
      <c r="AJ38" s="191" t="str">
        <f>'1_BD questio brut'!AH38</f>
        <v/>
      </c>
      <c r="AK38" s="191" t="str">
        <f>'1_BD questio brut'!AI38</f>
        <v>Chauffage d'appoint</v>
      </c>
      <c r="AL38" s="191" t="str">
        <f>'1_BD questio brut'!AJ38</f>
        <v>Pas de réponse</v>
      </c>
      <c r="AM38" s="191" t="str">
        <f>'1_BD questio brut'!AK38</f>
        <v>1; 2; 4; 5</v>
      </c>
      <c r="AN38" s="191" t="str">
        <f>'1_BD questio brut'!AL38</f>
        <v/>
      </c>
      <c r="AO38" s="191" t="str">
        <f>'1_BD questio brut'!AM38</f>
        <v>1; 5; 7</v>
      </c>
      <c r="AP38" s="191" t="str">
        <f>'1_BD questio brut'!AN38</f>
        <v/>
      </c>
      <c r="AQ38" s="191" t="str">
        <f>'1_BD questio brut'!AO38</f>
        <v/>
      </c>
    </row>
    <row r="39" spans="1:43" ht="43.5" hidden="1">
      <c r="A39" s="98">
        <f>INDEX('3_BD instruction total'!A:A,MATCH(C39,'3_BD instruction total'!F:F,0))</f>
        <v>2020</v>
      </c>
      <c r="B39" s="98" t="str">
        <f>INDEX('3_BD instruction total'!C:C,MATCH(C39,'3_BD instruction total'!F:F,0))</f>
        <v>région</v>
      </c>
      <c r="C39" s="191" t="str">
        <f>'1_BD questio brut'!A39</f>
        <v>VRB0042</v>
      </c>
      <c r="D39" s="191" t="str">
        <f t="array" ref="D39">INDEX('Données 1_BD questio'!C:C,MATCH('1_BD questio brut'!$B$1&amp;'1_BD questio brut'!B39,'Données 1_BD questio'!A:A&amp;'Données 1_BD questio'!B:B,0))</f>
        <v>CAPV</v>
      </c>
      <c r="E39" s="191" t="str">
        <f t="array" ref="E39">INDEX('Données 1_BD questio'!C:C,MATCH('1_BD questio brut'!$C$1&amp;'1_BD questio brut'!C39,'Données 1_BD questio'!A:A&amp;'Données 1_BD questio'!B:B,0))</f>
        <v>Retraité</v>
      </c>
      <c r="F39" s="191" t="str">
        <f t="array" ref="F39">INDEX('Données 1_BD questio'!C:C,MATCH('1_BD questio brut'!$D$1&amp;'1_BD questio brut'!D39,'Données 1_BD questio'!A:A&amp;'Données 1_BD questio'!B:B,0))</f>
        <v>Pas de réponse</v>
      </c>
      <c r="G39" s="191" t="str">
        <f>'1_BD questio brut'!E39</f>
        <v>65 ans et plus</v>
      </c>
      <c r="H39" s="191">
        <f>'1_BD questio brut'!F39</f>
        <v>1</v>
      </c>
      <c r="I39" s="191" t="str">
        <f>'1_BD questio brut'!G39</f>
        <v>Pas de réponse</v>
      </c>
      <c r="J39" s="191" t="str">
        <f t="array" ref="J39">INDEX('Données 1_BD questio'!C:C,MATCH('1_BD questio brut'!$H$1&amp;'1_BD questio brut'!H39,'Données 1_BD questio'!A:A&amp;'Données 1_BD questio'!B:B,0))</f>
        <v>Maison avec jardin</v>
      </c>
      <c r="K39" s="191">
        <f>'1_BD questio brut'!I39</f>
        <v>140</v>
      </c>
      <c r="L39" s="191" t="str">
        <f>'1_BD questio brut'!J39</f>
        <v>1949-1975</v>
      </c>
      <c r="M39" s="191" t="str">
        <f>'1_BD questio brut'!K39</f>
        <v>1</v>
      </c>
      <c r="N39" s="191" t="str">
        <f>'1_BD questio brut'!L39</f>
        <v>Pas de réponse</v>
      </c>
      <c r="O39" s="191" t="str">
        <f>'1_BD questio brut'!M39</f>
        <v>Propriétaire occupant</v>
      </c>
      <c r="P39" s="191" t="str">
        <f>'1_BD questio brut'!N39</f>
        <v>Poêle</v>
      </c>
      <c r="Q39" s="191" t="str">
        <f>'1_BD questio brut'!O39</f>
        <v>Chauffage de base</v>
      </c>
      <c r="R39" s="191" t="str">
        <f>'1_BD questio brut'!P39</f>
        <v>Tous les jours</v>
      </c>
      <c r="S39" s="191" t="str">
        <f>'1_BD questio brut'!Q39</f>
        <v>1; 2; 3; 4</v>
      </c>
      <c r="T39" s="191" t="str">
        <f>'1_BD questio brut'!R39</f>
        <v>Après 2002</v>
      </c>
      <c r="U39" s="191" t="str">
        <f>'1_BD questio brut'!S39</f>
        <v>Bois bûche</v>
      </c>
      <c r="V39" s="191" t="str">
        <f>'1_BD questio brut'!T39</f>
        <v/>
      </c>
      <c r="W39" s="191" t="str">
        <f>'1_BD questio brut'!U39</f>
        <v>10</v>
      </c>
      <c r="X39" s="191" t="str">
        <f>'1_BD questio brut'!V39</f>
        <v>stères</v>
      </c>
      <c r="Y39" s="191" t="str">
        <f>'1_BD questio brut'!W39</f>
        <v>2</v>
      </c>
      <c r="Z39" s="191" t="str">
        <f>'1_BD questio brut'!X39</f>
        <v/>
      </c>
      <c r="AA39" s="191" t="str">
        <f t="array" ref="AA39">INDEX('Données 1_BD questio'!C:C,MATCH('1_BD questio brut'!$Y$1&amp;'1_BD questio brut'!Y39,'Données 1_BD questio'!A:A&amp;'Données 1_BD questio'!B:B,0))</f>
        <v>RA2B</v>
      </c>
      <c r="AB39" s="191" t="str">
        <f>'1_BD questio brut'!Z39</f>
        <v>2</v>
      </c>
      <c r="AC39" s="191" t="str">
        <f>'1_BD questio brut'!AA39</f>
        <v>1 à 2 ans</v>
      </c>
      <c r="AD39" s="191" t="str">
        <f>'1_BD questio brut'!AB39</f>
        <v>Feuillus</v>
      </c>
      <c r="AE39" s="191" t="str">
        <f t="array" ref="AE39">INDEX('Données 1_BD questio'!C:C,MATCH('1_BD questio brut'!$AC$1&amp;'1_BD questio brut'!AC39,'Données 1_BD questio'!A:A&amp;'Données 1_BD questio'!B:B,0))</f>
        <v>un professionnel</v>
      </c>
      <c r="AF39" s="191" t="str">
        <f>'1_BD questio brut'!AD39</f>
        <v>1 fois par an</v>
      </c>
      <c r="AG39" s="191" t="str">
        <f>'1_BD questio brut'!AE39</f>
        <v/>
      </c>
      <c r="AH39" s="191" t="str">
        <f>'1_BD questio brut'!AF39</f>
        <v>Poêle</v>
      </c>
      <c r="AI39" s="191" t="str">
        <f>'1_BD questio brut'!AG39</f>
        <v>2</v>
      </c>
      <c r="AJ39" s="191" t="str">
        <f>'1_BD questio brut'!AH39</f>
        <v/>
      </c>
      <c r="AK39" s="191" t="str">
        <f>'1_BD questio brut'!AI39</f>
        <v>Chauffage de base</v>
      </c>
      <c r="AL39" s="191" t="str">
        <f>'1_BD questio brut'!AJ39</f>
        <v>Pas de réponse</v>
      </c>
      <c r="AM39" s="191" t="str">
        <f>'1_BD questio brut'!AK39</f>
        <v>1; 5</v>
      </c>
      <c r="AN39" s="191" t="str">
        <f>'1_BD questio brut'!AL39</f>
        <v/>
      </c>
      <c r="AO39" s="191" t="str">
        <f>'1_BD questio brut'!AM39</f>
        <v>5</v>
      </c>
      <c r="AP39" s="191" t="str">
        <f>'1_BD questio brut'!AN39</f>
        <v/>
      </c>
      <c r="AQ39" s="191" t="str">
        <f>'1_BD questio brut'!AO39</f>
        <v/>
      </c>
    </row>
    <row r="40" spans="1:43" ht="43.5" hidden="1">
      <c r="A40" s="98">
        <f>INDEX('3_BD instruction total'!A:A,MATCH(C40,'3_BD instruction total'!F:F,0))</f>
        <v>2020</v>
      </c>
      <c r="B40" s="98" t="str">
        <f>INDEX('3_BD instruction total'!C:C,MATCH(C40,'3_BD instruction total'!F:F,0))</f>
        <v>non</v>
      </c>
      <c r="C40" s="191" t="str">
        <f>'1_BD questio brut'!A40</f>
        <v>VRB0043</v>
      </c>
      <c r="D40" s="191" t="str">
        <f t="array" ref="D40">INDEX('Données 1_BD questio'!C:C,MATCH('1_BD questio brut'!$B$1&amp;'1_BD questio brut'!B40,'Données 1_BD questio'!A:A&amp;'Données 1_BD questio'!B:B,0))</f>
        <v>CAPV</v>
      </c>
      <c r="E40" s="191" t="str">
        <f t="array" ref="E40">INDEX('Données 1_BD questio'!C:C,MATCH('1_BD questio brut'!$C$1&amp;'1_BD questio brut'!C40,'Données 1_BD questio'!A:A&amp;'Données 1_BD questio'!B:B,0))</f>
        <v>Cadre</v>
      </c>
      <c r="F40" s="191" t="str">
        <f t="array" ref="F40">INDEX('Données 1_BD questio'!C:C,MATCH('1_BD questio brut'!$D$1&amp;'1_BD questio brut'!D40,'Données 1_BD questio'!A:A&amp;'Données 1_BD questio'!B:B,0))</f>
        <v>Retraité</v>
      </c>
      <c r="G40" s="191" t="str">
        <f>'1_BD questio brut'!E40</f>
        <v>50 à 64 ans</v>
      </c>
      <c r="H40" s="191">
        <f>'1_BD questio brut'!F40</f>
        <v>2</v>
      </c>
      <c r="I40" s="191" t="str">
        <f>'1_BD questio brut'!G40</f>
        <v>Pas de réponse</v>
      </c>
      <c r="J40" s="191" t="str">
        <f t="array" ref="J40">INDEX('Données 1_BD questio'!C:C,MATCH('1_BD questio brut'!$H$1&amp;'1_BD questio brut'!H40,'Données 1_BD questio'!A:A&amp;'Données 1_BD questio'!B:B,0))</f>
        <v>Maison avec jardin</v>
      </c>
      <c r="K40" s="191">
        <f>'1_BD questio brut'!I40</f>
        <v>160</v>
      </c>
      <c r="L40" s="191" t="str">
        <f>'1_BD questio brut'!J40</f>
        <v>1975-1990</v>
      </c>
      <c r="M40" s="191" t="str">
        <f>'1_BD questio brut'!K40</f>
        <v>1; 3</v>
      </c>
      <c r="N40" s="191" t="str">
        <f>'1_BD questio brut'!L40</f>
        <v>Pas de réponse</v>
      </c>
      <c r="O40" s="191" t="str">
        <f>'1_BD questio brut'!M40</f>
        <v>Propriétaire occupant</v>
      </c>
      <c r="P40" s="191" t="str">
        <f>'1_BD questio brut'!N40</f>
        <v>Insert / foyer fermé</v>
      </c>
      <c r="Q40" s="191" t="str">
        <f>'1_BD questio brut'!O40</f>
        <v>Chauffage d'apoint</v>
      </c>
      <c r="R40" s="191" t="str">
        <f>'1_BD questio brut'!P40</f>
        <v>Tous les jours</v>
      </c>
      <c r="S40" s="191" t="str">
        <f>'1_BD questio brut'!Q40</f>
        <v>1; 2; 4</v>
      </c>
      <c r="T40" s="191" t="str">
        <f>'1_BD questio brut'!R40</f>
        <v>Avant 1990</v>
      </c>
      <c r="U40" s="191" t="str">
        <f>'1_BD questio brut'!S40</f>
        <v>Bois bûche</v>
      </c>
      <c r="V40" s="191" t="str">
        <f>'1_BD questio brut'!T40</f>
        <v/>
      </c>
      <c r="W40" s="191" t="str">
        <f>'1_BD questio brut'!U40</f>
        <v>7</v>
      </c>
      <c r="X40" s="191" t="str">
        <f>'1_BD questio brut'!V40</f>
        <v>stères</v>
      </c>
      <c r="Y40" s="191" t="str">
        <f>'1_BD questio brut'!W40</f>
        <v>2</v>
      </c>
      <c r="Z40" s="191" t="str">
        <f>'1_BD questio brut'!X40</f>
        <v/>
      </c>
      <c r="AA40" s="191" t="str">
        <f t="array" ref="AA40">INDEX('Données 1_BD questio'!C:C,MATCH('1_BD questio brut'!$Y$1&amp;'1_BD questio brut'!Y40,'Données 1_BD questio'!A:A&amp;'Données 1_BD questio'!B:B,0))</f>
        <v>Rhône-Alpes hors RA2B</v>
      </c>
      <c r="AB40" s="191" t="str">
        <f>'1_BD questio brut'!Z40</f>
        <v>1; 2</v>
      </c>
      <c r="AC40" s="191" t="str">
        <f>'1_BD questio brut'!AA40</f>
        <v>&gt; 2 ans</v>
      </c>
      <c r="AD40" s="191" t="str">
        <f>'1_BD questio brut'!AB40</f>
        <v>Feuillus</v>
      </c>
      <c r="AE40" s="191" t="str">
        <f t="array" ref="AE40">INDEX('Données 1_BD questio'!C:C,MATCH('1_BD questio brut'!$AC$1&amp;'1_BD questio brut'!AC40,'Données 1_BD questio'!A:A&amp;'Données 1_BD questio'!B:B,0))</f>
        <v>un professionnel</v>
      </c>
      <c r="AF40" s="191" t="str">
        <f>'1_BD questio brut'!AD40</f>
        <v>1 fois par an</v>
      </c>
      <c r="AG40" s="191" t="str">
        <f>'1_BD questio brut'!AE40</f>
        <v/>
      </c>
      <c r="AH40" s="191" t="str">
        <f>'1_BD questio brut'!AF40</f>
        <v>Insert cheminée</v>
      </c>
      <c r="AI40" s="191" t="str">
        <f>'1_BD questio brut'!AG40</f>
        <v>1</v>
      </c>
      <c r="AJ40" s="191" t="str">
        <f>'1_BD questio brut'!AH40</f>
        <v/>
      </c>
      <c r="AK40" s="191" t="str">
        <f>'1_BD questio brut'!AI40</f>
        <v>Chauffage d'appoint</v>
      </c>
      <c r="AL40" s="191" t="str">
        <f>'1_BD questio brut'!AJ40</f>
        <v>Pas de réponse</v>
      </c>
      <c r="AM40" s="191" t="str">
        <f>'1_BD questio brut'!AK40</f>
        <v>2; 4; 5</v>
      </c>
      <c r="AN40" s="191" t="str">
        <f>'1_BD questio brut'!AL40</f>
        <v/>
      </c>
      <c r="AO40" s="191" t="str">
        <f>'1_BD questio brut'!AM40</f>
        <v>5</v>
      </c>
      <c r="AP40" s="191" t="str">
        <f>'1_BD questio brut'!AN40</f>
        <v/>
      </c>
      <c r="AQ40" s="191" t="str">
        <f>'1_BD questio brut'!AO40</f>
        <v/>
      </c>
    </row>
    <row r="41" spans="1:43" ht="43.5" hidden="1">
      <c r="A41" s="98">
        <f>INDEX('3_BD instruction total'!A:A,MATCH(C41,'3_BD instruction total'!F:F,0))</f>
        <v>2020</v>
      </c>
      <c r="B41" s="98" t="str">
        <f>INDEX('3_BD instruction total'!C:C,MATCH(C41,'3_BD instruction total'!F:F,0))</f>
        <v>région</v>
      </c>
      <c r="C41" s="191" t="str">
        <f>'1_BD questio brut'!A41</f>
        <v>VRB0044</v>
      </c>
      <c r="D41" s="191" t="str">
        <f t="array" ref="D41">INDEX('Données 1_BD questio'!C:C,MATCH('1_BD questio brut'!$B$1&amp;'1_BD questio brut'!B41,'Données 1_BD questio'!A:A&amp;'Données 1_BD questio'!B:B,0))</f>
        <v>CAPV</v>
      </c>
      <c r="E41" s="191" t="str">
        <f t="array" ref="E41">INDEX('Données 1_BD questio'!C:C,MATCH('1_BD questio brut'!$C$1&amp;'1_BD questio brut'!C41,'Données 1_BD questio'!A:A&amp;'Données 1_BD questio'!B:B,0))</f>
        <v>Retraité</v>
      </c>
      <c r="F41" s="191" t="str">
        <f t="array" ref="F41">INDEX('Données 1_BD questio'!C:C,MATCH('1_BD questio brut'!$D$1&amp;'1_BD questio brut'!D41,'Données 1_BD questio'!A:A&amp;'Données 1_BD questio'!B:B,0))</f>
        <v>Pas de réponse</v>
      </c>
      <c r="G41" s="191" t="str">
        <f>'1_BD questio brut'!E41</f>
        <v>65 ans et plus</v>
      </c>
      <c r="H41" s="191">
        <f>'1_BD questio brut'!F41</f>
        <v>1</v>
      </c>
      <c r="I41" s="191" t="str">
        <f>'1_BD questio brut'!G41</f>
        <v>Pas de réponse</v>
      </c>
      <c r="J41" s="191" t="str">
        <f t="array" ref="J41">INDEX('Données 1_BD questio'!C:C,MATCH('1_BD questio brut'!$H$1&amp;'1_BD questio brut'!H41,'Données 1_BD questio'!A:A&amp;'Données 1_BD questio'!B:B,0))</f>
        <v>Maison avec jardin</v>
      </c>
      <c r="K41" s="191">
        <f>'1_BD questio brut'!I41</f>
        <v>100</v>
      </c>
      <c r="L41" s="191" t="str">
        <f>'1_BD questio brut'!J41</f>
        <v>Avant 1949</v>
      </c>
      <c r="M41" s="191" t="str">
        <f>'1_BD questio brut'!K41</f>
        <v>4</v>
      </c>
      <c r="N41" s="191" t="str">
        <f>'1_BD questio brut'!L41</f>
        <v>Pas de réponse</v>
      </c>
      <c r="O41" s="191" t="str">
        <f>'1_BD questio brut'!M41</f>
        <v>Propriétaire occupant</v>
      </c>
      <c r="P41" s="191" t="str">
        <f>'1_BD questio brut'!N41</f>
        <v>Cuisinière</v>
      </c>
      <c r="Q41" s="191" t="str">
        <f>'1_BD questio brut'!O41</f>
        <v>Chauffage de base</v>
      </c>
      <c r="R41" s="191" t="str">
        <f>'1_BD questio brut'!P41</f>
        <v>Tous les jours</v>
      </c>
      <c r="S41" s="191" t="str">
        <f>'1_BD questio brut'!Q41</f>
        <v>1; 2; 3; 4; 5; 6</v>
      </c>
      <c r="T41" s="191" t="str">
        <f>'1_BD questio brut'!R41</f>
        <v>Avant 1990</v>
      </c>
      <c r="U41" s="191" t="str">
        <f>'1_BD questio brut'!S41</f>
        <v>Bois bûche</v>
      </c>
      <c r="V41" s="191" t="str">
        <f>'1_BD questio brut'!T41</f>
        <v/>
      </c>
      <c r="W41" s="191" t="str">
        <f>'1_BD questio brut'!U41</f>
        <v>4</v>
      </c>
      <c r="X41" s="191" t="str">
        <f>'1_BD questio brut'!V41</f>
        <v>Tonnes</v>
      </c>
      <c r="Y41" s="191" t="str">
        <f>'1_BD questio brut'!W41</f>
        <v>1</v>
      </c>
      <c r="Z41" s="191" t="str">
        <f>'1_BD questio brut'!X41</f>
        <v/>
      </c>
      <c r="AA41" s="191" t="str">
        <f t="array" ref="AA41">INDEX('Données 1_BD questio'!C:C,MATCH('1_BD questio brut'!$Y$1&amp;'1_BD questio brut'!Y41,'Données 1_BD questio'!A:A&amp;'Données 1_BD questio'!B:B,0))</f>
        <v>Rhône-Alpes hors RA2B</v>
      </c>
      <c r="AB41" s="191" t="str">
        <f>'1_BD questio brut'!Z41</f>
        <v>1</v>
      </c>
      <c r="AC41" s="191" t="str">
        <f>'1_BD questio brut'!AA41</f>
        <v>Pas de réponse</v>
      </c>
      <c r="AD41" s="191" t="str">
        <f>'1_BD questio brut'!AB41</f>
        <v>Feuillus</v>
      </c>
      <c r="AE41" s="191" t="str">
        <f t="array" ref="AE41">INDEX('Données 1_BD questio'!C:C,MATCH('1_BD questio brut'!$AC$1&amp;'1_BD questio brut'!AC41,'Données 1_BD questio'!A:A&amp;'Données 1_BD questio'!B:B,0))</f>
        <v>un professionnel</v>
      </c>
      <c r="AF41" s="191" t="str">
        <f>'1_BD questio brut'!AD41</f>
        <v>1 fois par an</v>
      </c>
      <c r="AG41" s="191" t="str">
        <f>'1_BD questio brut'!AE41</f>
        <v/>
      </c>
      <c r="AH41" s="191" t="str">
        <f>'1_BD questio brut'!AF41</f>
        <v>Cuisinière</v>
      </c>
      <c r="AI41" s="191" t="str">
        <f>'1_BD questio brut'!AG41</f>
        <v>1</v>
      </c>
      <c r="AJ41" s="191" t="str">
        <f>'1_BD questio brut'!AH41</f>
        <v/>
      </c>
      <c r="AK41" s="191" t="str">
        <f>'1_BD questio brut'!AI41</f>
        <v>Chauffage de base</v>
      </c>
      <c r="AL41" s="191" t="str">
        <f>'1_BD questio brut'!AJ41</f>
        <v>Pas de réponse</v>
      </c>
      <c r="AM41" s="191" t="str">
        <f>'1_BD questio brut'!AK41</f>
        <v>1; 5</v>
      </c>
      <c r="AN41" s="191" t="str">
        <f>'1_BD questio brut'!AL41</f>
        <v/>
      </c>
      <c r="AO41" s="191" t="str">
        <f>'1_BD questio brut'!AM41</f>
        <v>5</v>
      </c>
      <c r="AP41" s="191" t="str">
        <f>'1_BD questio brut'!AN41</f>
        <v/>
      </c>
      <c r="AQ41" s="191" t="str">
        <f>'1_BD questio brut'!AO41</f>
        <v/>
      </c>
    </row>
    <row r="42" spans="1:43" ht="43.5" hidden="1">
      <c r="A42" s="98">
        <f>INDEX('3_BD instruction total'!A:A,MATCH(C42,'3_BD instruction total'!F:F,0))</f>
        <v>2020</v>
      </c>
      <c r="B42" s="98" t="str">
        <f>INDEX('3_BD instruction total'!C:C,MATCH(C42,'3_BD instruction total'!F:F,0))</f>
        <v>région</v>
      </c>
      <c r="C42" s="191" t="str">
        <f>'1_BD questio brut'!A42</f>
        <v>VRB0045</v>
      </c>
      <c r="D42" s="191" t="str">
        <f t="array" ref="D42">INDEX('Données 1_BD questio'!C:C,MATCH('1_BD questio brut'!$B$1&amp;'1_BD questio brut'!B42,'Données 1_BD questio'!A:A&amp;'Données 1_BD questio'!B:B,0))</f>
        <v>CAPV</v>
      </c>
      <c r="E42" s="191" t="str">
        <f t="array" ref="E42">INDEX('Données 1_BD questio'!C:C,MATCH('1_BD questio brut'!$C$1&amp;'1_BD questio brut'!C42,'Données 1_BD questio'!A:A&amp;'Données 1_BD questio'!B:B,0))</f>
        <v>Employé</v>
      </c>
      <c r="F42" s="191" t="str">
        <f t="array" ref="F42">INDEX('Données 1_BD questio'!C:C,MATCH('1_BD questio brut'!$D$1&amp;'1_BD questio brut'!D42,'Données 1_BD questio'!A:A&amp;'Données 1_BD questio'!B:B,0))</f>
        <v>Autre,sans activité</v>
      </c>
      <c r="G42" s="191" t="str">
        <f>'1_BD questio brut'!E42</f>
        <v>25 à 34 ans</v>
      </c>
      <c r="H42" s="191">
        <f>'1_BD questio brut'!F42</f>
        <v>3</v>
      </c>
      <c r="I42" s="191" t="str">
        <f>'1_BD questio brut'!G42</f>
        <v>Pas de réponse</v>
      </c>
      <c r="J42" s="191" t="str">
        <f t="array" ref="J42">INDEX('Données 1_BD questio'!C:C,MATCH('1_BD questio brut'!$H$1&amp;'1_BD questio brut'!H42,'Données 1_BD questio'!A:A&amp;'Données 1_BD questio'!B:B,0))</f>
        <v>Maison avec jardin</v>
      </c>
      <c r="K42" s="191">
        <f>'1_BD questio brut'!I42</f>
        <v>90</v>
      </c>
      <c r="L42" s="191" t="str">
        <f>'1_BD questio brut'!J42</f>
        <v>1975-1990</v>
      </c>
      <c r="M42" s="191" t="str">
        <f>'1_BD questio brut'!K42</f>
        <v>1</v>
      </c>
      <c r="N42" s="191" t="str">
        <f>'1_BD questio brut'!L42</f>
        <v>Pas de réponse</v>
      </c>
      <c r="O42" s="191" t="str">
        <f>'1_BD questio brut'!M42</f>
        <v>Propriétaire occupant</v>
      </c>
      <c r="P42" s="191" t="str">
        <f>'1_BD questio brut'!N42</f>
        <v>Insert / foyer fermé</v>
      </c>
      <c r="Q42" s="191" t="str">
        <f>'1_BD questio brut'!O42</f>
        <v>Chauffage de base</v>
      </c>
      <c r="R42" s="191" t="str">
        <f>'1_BD questio brut'!P42</f>
        <v>Tous les jours</v>
      </c>
      <c r="S42" s="191" t="str">
        <f>'1_BD questio brut'!Q42</f>
        <v>1; 2</v>
      </c>
      <c r="T42" s="191" t="str">
        <f>'1_BD questio brut'!R42</f>
        <v>Avant 1990</v>
      </c>
      <c r="U42" s="191" t="str">
        <f>'1_BD questio brut'!S42</f>
        <v>Bois bûche</v>
      </c>
      <c r="V42" s="191" t="str">
        <f>'1_BD questio brut'!T42</f>
        <v/>
      </c>
      <c r="W42" s="191" t="str">
        <f>'1_BD questio brut'!U42</f>
        <v>4</v>
      </c>
      <c r="X42" s="191" t="str">
        <f>'1_BD questio brut'!V42</f>
        <v>stères</v>
      </c>
      <c r="Y42" s="191" t="str">
        <f>'1_BD questio brut'!W42</f>
        <v>1</v>
      </c>
      <c r="Z42" s="191" t="str">
        <f>'1_BD questio brut'!X42</f>
        <v/>
      </c>
      <c r="AA42" s="191" t="str">
        <f t="array" ref="AA42">INDEX('Données 1_BD questio'!C:C,MATCH('1_BD questio brut'!$Y$1&amp;'1_BD questio brut'!Y42,'Données 1_BD questio'!A:A&amp;'Données 1_BD questio'!B:B,0))</f>
        <v>Rhône-Alpes hors RA2B</v>
      </c>
      <c r="AB42" s="191" t="str">
        <f>'1_BD questio brut'!Z42</f>
        <v>2</v>
      </c>
      <c r="AC42" s="191" t="str">
        <f>'1_BD questio brut'!AA42</f>
        <v>&gt; 2 ans</v>
      </c>
      <c r="AD42" s="191" t="str">
        <f>'1_BD questio brut'!AB42</f>
        <v>Feuillus</v>
      </c>
      <c r="AE42" s="191" t="str">
        <f t="array" ref="AE42">INDEX('Données 1_BD questio'!C:C,MATCH('1_BD questio brut'!$AC$1&amp;'1_BD questio brut'!AC42,'Données 1_BD questio'!A:A&amp;'Données 1_BD questio'!B:B,0))</f>
        <v>un professionnel</v>
      </c>
      <c r="AF42" s="191" t="str">
        <f>'1_BD questio brut'!AD42</f>
        <v>1 fois par an</v>
      </c>
      <c r="AG42" s="191" t="str">
        <f>'1_BD questio brut'!AE42</f>
        <v/>
      </c>
      <c r="AH42" s="191" t="str">
        <f>'1_BD questio brut'!AF42</f>
        <v>Poêle</v>
      </c>
      <c r="AI42" s="191" t="str">
        <f>'1_BD questio brut'!AG42</f>
        <v>1</v>
      </c>
      <c r="AJ42" s="191" t="str">
        <f>'1_BD questio brut'!AH42</f>
        <v/>
      </c>
      <c r="AK42" s="191" t="str">
        <f>'1_BD questio brut'!AI42</f>
        <v>Chauffage de base</v>
      </c>
      <c r="AL42" s="191" t="str">
        <f>'1_BD questio brut'!AJ42</f>
        <v>Pas de réponse</v>
      </c>
      <c r="AM42" s="191" t="str">
        <f>'1_BD questio brut'!AK42</f>
        <v>1; 2; 4; 5</v>
      </c>
      <c r="AN42" s="191" t="str">
        <f>'1_BD questio brut'!AL42</f>
        <v/>
      </c>
      <c r="AO42" s="191" t="str">
        <f>'1_BD questio brut'!AM42</f>
        <v>1</v>
      </c>
      <c r="AP42" s="191" t="str">
        <f>'1_BD questio brut'!AN42</f>
        <v/>
      </c>
      <c r="AQ42" s="191" t="str">
        <f>'1_BD questio brut'!AO42</f>
        <v/>
      </c>
    </row>
    <row r="43" spans="1:43" ht="29" hidden="1">
      <c r="A43" s="98">
        <f>INDEX('3_BD instruction total'!A:A,MATCH(C43,'3_BD instruction total'!F:F,0))</f>
        <v>2020</v>
      </c>
      <c r="B43" s="98" t="str">
        <f>INDEX('3_BD instruction total'!C:C,MATCH(C43,'3_BD instruction total'!F:F,0))</f>
        <v>région</v>
      </c>
      <c r="C43" s="191" t="str">
        <f>'1_BD questio brut'!A43</f>
        <v>VRB0046</v>
      </c>
      <c r="D43" s="191" t="str">
        <f t="array" ref="D43">INDEX('Données 1_BD questio'!C:C,MATCH('1_BD questio brut'!$B$1&amp;'1_BD questio brut'!B43,'Données 1_BD questio'!A:A&amp;'Données 1_BD questio'!B:B,0))</f>
        <v>CAPV</v>
      </c>
      <c r="E43" s="191" t="str">
        <f t="array" ref="E43">INDEX('Données 1_BD questio'!C:C,MATCH('1_BD questio brut'!$C$1&amp;'1_BD questio brut'!C43,'Données 1_BD questio'!A:A&amp;'Données 1_BD questio'!B:B,0))</f>
        <v>Retraité</v>
      </c>
      <c r="F43" s="191" t="str">
        <f t="array" ref="F43">INDEX('Données 1_BD questio'!C:C,MATCH('1_BD questio brut'!$D$1&amp;'1_BD questio brut'!D43,'Données 1_BD questio'!A:A&amp;'Données 1_BD questio'!B:B,0))</f>
        <v>Autre,sans activité</v>
      </c>
      <c r="G43" s="191" t="str">
        <f>'1_BD questio brut'!E43</f>
        <v>50 à 64 ans</v>
      </c>
      <c r="H43" s="191">
        <f>'1_BD questio brut'!F43</f>
        <v>2</v>
      </c>
      <c r="I43" s="191" t="str">
        <f>'1_BD questio brut'!G43</f>
        <v>Pas de réponse</v>
      </c>
      <c r="J43" s="191" t="str">
        <f t="array" ref="J43">INDEX('Données 1_BD questio'!C:C,MATCH('1_BD questio brut'!$H$1&amp;'1_BD questio brut'!H43,'Données 1_BD questio'!A:A&amp;'Données 1_BD questio'!B:B,0))</f>
        <v>Maison avec jardin</v>
      </c>
      <c r="K43" s="191">
        <f>'1_BD questio brut'!I43</f>
        <v>120</v>
      </c>
      <c r="L43" s="191" t="str">
        <f>'1_BD questio brut'!J43</f>
        <v>1975-1990</v>
      </c>
      <c r="M43" s="191" t="str">
        <f>'1_BD questio brut'!K43</f>
        <v>6</v>
      </c>
      <c r="N43" s="191" t="str">
        <f>'1_BD questio brut'!L43</f>
        <v>Pas de réponse</v>
      </c>
      <c r="O43" s="191" t="str">
        <f>'1_BD questio brut'!M43</f>
        <v>Propriétaire occupant</v>
      </c>
      <c r="P43" s="191" t="str">
        <f>'1_BD questio brut'!N43</f>
        <v>Chaudière</v>
      </c>
      <c r="Q43" s="191" t="str">
        <f>'1_BD questio brut'!O43</f>
        <v>Chauffage de base</v>
      </c>
      <c r="R43" s="191" t="str">
        <f>'1_BD questio brut'!P43</f>
        <v>Tous les jours</v>
      </c>
      <c r="S43" s="191" t="str">
        <f>'1_BD questio brut'!Q43</f>
        <v>5</v>
      </c>
      <c r="T43" s="191" t="str">
        <f>'1_BD questio brut'!R43</f>
        <v>Avant 1990</v>
      </c>
      <c r="U43" s="191" t="str">
        <f>'1_BD questio brut'!S43</f>
        <v>Bois bûche</v>
      </c>
      <c r="V43" s="191" t="str">
        <f>'1_BD questio brut'!T43</f>
        <v/>
      </c>
      <c r="W43" s="191" t="str">
        <f>'1_BD questio brut'!U43</f>
        <v>16</v>
      </c>
      <c r="X43" s="191" t="str">
        <f>'1_BD questio brut'!V43</f>
        <v>stères</v>
      </c>
      <c r="Y43" s="191" t="str">
        <f>'1_BD questio brut'!W43</f>
        <v>1</v>
      </c>
      <c r="Z43" s="191" t="str">
        <f>'1_BD questio brut'!X43</f>
        <v/>
      </c>
      <c r="AA43" s="191" t="str">
        <f t="array" ref="AA43">INDEX('Données 1_BD questio'!C:C,MATCH('1_BD questio brut'!$Y$1&amp;'1_BD questio brut'!Y43,'Données 1_BD questio'!A:A&amp;'Données 1_BD questio'!B:B,0))</f>
        <v>France hors Rhône-Alpes</v>
      </c>
      <c r="AB43" s="191" t="str">
        <f>'1_BD questio brut'!Z43</f>
        <v>2</v>
      </c>
      <c r="AC43" s="191" t="str">
        <f>'1_BD questio brut'!AA43</f>
        <v>&gt; 2 ans</v>
      </c>
      <c r="AD43" s="191" t="str">
        <f>'1_BD questio brut'!AB43</f>
        <v>Feuillus</v>
      </c>
      <c r="AE43" s="191" t="str">
        <f t="array" ref="AE43">INDEX('Données 1_BD questio'!C:C,MATCH('1_BD questio brut'!$AC$1&amp;'1_BD questio brut'!AC43,'Données 1_BD questio'!A:A&amp;'Données 1_BD questio'!B:B,0))</f>
        <v>vous-même</v>
      </c>
      <c r="AF43" s="191" t="str">
        <f>'1_BD questio brut'!AD43</f>
        <v>2 fois par an</v>
      </c>
      <c r="AG43" s="191" t="str">
        <f>'1_BD questio brut'!AE43</f>
        <v/>
      </c>
      <c r="AH43" s="191" t="str">
        <f>'1_BD questio brut'!AF43</f>
        <v>Chaudière</v>
      </c>
      <c r="AI43" s="191" t="str">
        <f>'1_BD questio brut'!AG43</f>
        <v>2</v>
      </c>
      <c r="AJ43" s="191" t="str">
        <f>'1_BD questio brut'!AH43</f>
        <v/>
      </c>
      <c r="AK43" s="191" t="str">
        <f>'1_BD questio brut'!AI43</f>
        <v>Chauffage d'appoint</v>
      </c>
      <c r="AL43" s="191" t="str">
        <f>'1_BD questio brut'!AJ43</f>
        <v>Pas de réponse</v>
      </c>
      <c r="AM43" s="191" t="str">
        <f>'1_BD questio brut'!AK43</f>
        <v>4; 5</v>
      </c>
      <c r="AN43" s="191" t="str">
        <f>'1_BD questio brut'!AL43</f>
        <v/>
      </c>
      <c r="AO43" s="191" t="str">
        <f>'1_BD questio brut'!AM43</f>
        <v>5</v>
      </c>
      <c r="AP43" s="191" t="str">
        <f>'1_BD questio brut'!AN43</f>
        <v/>
      </c>
      <c r="AQ43" s="191" t="str">
        <f>'1_BD questio brut'!AO43</f>
        <v/>
      </c>
    </row>
    <row r="44" spans="1:43" ht="43.5" hidden="1">
      <c r="A44" s="98">
        <f>INDEX('3_BD instruction total'!A:A,MATCH(C44,'3_BD instruction total'!F:F,0))</f>
        <v>2020</v>
      </c>
      <c r="B44" s="98" t="str">
        <f>INDEX('3_BD instruction total'!C:C,MATCH(C44,'3_BD instruction total'!F:F,0))</f>
        <v>région</v>
      </c>
      <c r="C44" s="191" t="str">
        <f>'1_BD questio brut'!A44</f>
        <v>VRB0047</v>
      </c>
      <c r="D44" s="191" t="str">
        <f t="array" ref="D44">INDEX('Données 1_BD questio'!C:C,MATCH('1_BD questio brut'!$B$1&amp;'1_BD questio brut'!B44,'Données 1_BD questio'!A:A&amp;'Données 1_BD questio'!B:B,0))</f>
        <v>CAPV</v>
      </c>
      <c r="E44" s="191" t="str">
        <f t="array" ref="E44">INDEX('Données 1_BD questio'!C:C,MATCH('1_BD questio brut'!$C$1&amp;'1_BD questio brut'!C44,'Données 1_BD questio'!A:A&amp;'Données 1_BD questio'!B:B,0))</f>
        <v>Cadre</v>
      </c>
      <c r="F44" s="191" t="str">
        <f t="array" ref="F44">INDEX('Données 1_BD questio'!C:C,MATCH('1_BD questio brut'!$D$1&amp;'1_BD questio brut'!D44,'Données 1_BD questio'!A:A&amp;'Données 1_BD questio'!B:B,0))</f>
        <v>Cadre</v>
      </c>
      <c r="G44" s="191" t="str">
        <f>'1_BD questio brut'!E44</f>
        <v>35 à 49 ans</v>
      </c>
      <c r="H44" s="191">
        <f>'1_BD questio brut'!F44</f>
        <v>6</v>
      </c>
      <c r="I44" s="191" t="str">
        <f>'1_BD questio brut'!G44</f>
        <v>Pas de réponse</v>
      </c>
      <c r="J44" s="191" t="str">
        <f t="array" ref="J44">INDEX('Données 1_BD questio'!C:C,MATCH('1_BD questio brut'!$H$1&amp;'1_BD questio brut'!H44,'Données 1_BD questio'!A:A&amp;'Données 1_BD questio'!B:B,0))</f>
        <v>Maison avec jardin</v>
      </c>
      <c r="K44" s="191">
        <f>'1_BD questio brut'!I44</f>
        <v>150</v>
      </c>
      <c r="L44" s="191" t="str">
        <f>'1_BD questio brut'!J44</f>
        <v>Avant 1949</v>
      </c>
      <c r="M44" s="191" t="str">
        <f>'1_BD questio brut'!K44</f>
        <v>1</v>
      </c>
      <c r="N44" s="191" t="str">
        <f>'1_BD questio brut'!L44</f>
        <v>Pas de réponse</v>
      </c>
      <c r="O44" s="191" t="str">
        <f>'1_BD questio brut'!M44</f>
        <v>Propriétaire occupant</v>
      </c>
      <c r="P44" s="191" t="str">
        <f>'1_BD questio brut'!N44</f>
        <v>Insert / foyer fermé</v>
      </c>
      <c r="Q44" s="191" t="str">
        <f>'1_BD questio brut'!O44</f>
        <v>Chauffage d'apoint</v>
      </c>
      <c r="R44" s="191" t="str">
        <f>'1_BD questio brut'!P44</f>
        <v>1 à 2 jours/semaine</v>
      </c>
      <c r="S44" s="191" t="str">
        <f>'1_BD questio brut'!Q44</f>
        <v>2; 3; 6</v>
      </c>
      <c r="T44" s="191" t="str">
        <f>'1_BD questio brut'!R44</f>
        <v>Avant 1990</v>
      </c>
      <c r="U44" s="191" t="str">
        <f>'1_BD questio brut'!S44</f>
        <v>Bois bûche</v>
      </c>
      <c r="V44" s="191" t="str">
        <f>'1_BD questio brut'!T44</f>
        <v/>
      </c>
      <c r="W44" s="191" t="str">
        <f>'1_BD questio brut'!U44</f>
        <v>2</v>
      </c>
      <c r="X44" s="191" t="str">
        <f>'1_BD questio brut'!V44</f>
        <v>Stères</v>
      </c>
      <c r="Y44" s="191" t="str">
        <f>'1_BD questio brut'!W44</f>
        <v>2</v>
      </c>
      <c r="Z44" s="191" t="str">
        <f>'1_BD questio brut'!X44</f>
        <v/>
      </c>
      <c r="AA44" s="191" t="str">
        <f t="array" ref="AA44">INDEX('Données 1_BD questio'!C:C,MATCH('1_BD questio brut'!$Y$1&amp;'1_BD questio brut'!Y44,'Données 1_BD questio'!A:A&amp;'Données 1_BD questio'!B:B,0))</f>
        <v>RA2B</v>
      </c>
      <c r="AB44" s="191" t="str">
        <f>'1_BD questio brut'!Z44</f>
        <v>2</v>
      </c>
      <c r="AC44" s="191" t="str">
        <f>'1_BD questio brut'!AA44</f>
        <v>&lt; 1 an</v>
      </c>
      <c r="AD44" s="191" t="str">
        <f>'1_BD questio brut'!AB44</f>
        <v>Les deux</v>
      </c>
      <c r="AE44" s="191" t="str">
        <f t="array" ref="AE44">INDEX('Données 1_BD questio'!C:C,MATCH('1_BD questio brut'!$AC$1&amp;'1_BD questio brut'!AC44,'Données 1_BD questio'!A:A&amp;'Données 1_BD questio'!B:B,0))</f>
        <v>vous-même</v>
      </c>
      <c r="AF44" s="191" t="str">
        <f>'1_BD questio brut'!AD44</f>
        <v>1 fois par an</v>
      </c>
      <c r="AG44" s="191" t="str">
        <f>'1_BD questio brut'!AE44</f>
        <v/>
      </c>
      <c r="AH44" s="191" t="str">
        <f>'1_BD questio brut'!AF44</f>
        <v>Insert cheminée</v>
      </c>
      <c r="AI44" s="191" t="str">
        <f>'1_BD questio brut'!AG44</f>
        <v>1</v>
      </c>
      <c r="AJ44" s="191" t="str">
        <f>'1_BD questio brut'!AH44</f>
        <v/>
      </c>
      <c r="AK44" s="191" t="str">
        <f>'1_BD questio brut'!AI44</f>
        <v>Chauffage de base</v>
      </c>
      <c r="AL44" s="191" t="str">
        <f>'1_BD questio brut'!AJ44</f>
        <v>Pas de réponse</v>
      </c>
      <c r="AM44" s="191" t="str">
        <f>'1_BD questio brut'!AK44</f>
        <v>2; 4; 5</v>
      </c>
      <c r="AN44" s="191" t="str">
        <f>'1_BD questio brut'!AL44</f>
        <v/>
      </c>
      <c r="AO44" s="191" t="str">
        <f>'1_BD questio brut'!AM44</f>
        <v>5</v>
      </c>
      <c r="AP44" s="191" t="str">
        <f>'1_BD questio brut'!AN44</f>
        <v/>
      </c>
      <c r="AQ44" s="191" t="str">
        <f>'1_BD questio brut'!AO44</f>
        <v/>
      </c>
    </row>
    <row r="45" spans="1:43" ht="29" hidden="1">
      <c r="A45" s="98">
        <f>INDEX('3_BD instruction total'!A:A,MATCH(C45,'3_BD instruction total'!F:F,0))</f>
        <v>2020</v>
      </c>
      <c r="B45" s="98" t="str">
        <f>INDEX('3_BD instruction total'!C:C,MATCH(C45,'3_BD instruction total'!F:F,0))</f>
        <v>région</v>
      </c>
      <c r="C45" s="191" t="str">
        <f>'1_BD questio brut'!A45</f>
        <v>VRB0048</v>
      </c>
      <c r="D45" s="191" t="str">
        <f t="array" ref="D45">INDEX('Données 1_BD questio'!C:C,MATCH('1_BD questio brut'!$B$1&amp;'1_BD questio brut'!B45,'Données 1_BD questio'!A:A&amp;'Données 1_BD questio'!B:B,0))</f>
        <v>CAPV</v>
      </c>
      <c r="E45" s="191" t="str">
        <f t="array" ref="E45">INDEX('Données 1_BD questio'!C:C,MATCH('1_BD questio brut'!$C$1&amp;'1_BD questio brut'!C45,'Données 1_BD questio'!A:A&amp;'Données 1_BD questio'!B:B,0))</f>
        <v>Employé</v>
      </c>
      <c r="F45" s="191" t="str">
        <f t="array" ref="F45">INDEX('Données 1_BD questio'!C:C,MATCH('1_BD questio brut'!$D$1&amp;'1_BD questio brut'!D45,'Données 1_BD questio'!A:A&amp;'Données 1_BD questio'!B:B,0))</f>
        <v>Employé</v>
      </c>
      <c r="G45" s="191" t="str">
        <f>'1_BD questio brut'!E45</f>
        <v>35 à 49 ans</v>
      </c>
      <c r="H45" s="191">
        <f>'1_BD questio brut'!F45</f>
        <v>4</v>
      </c>
      <c r="I45" s="191" t="str">
        <f>'1_BD questio brut'!G45</f>
        <v>Pas de réponse</v>
      </c>
      <c r="J45" s="191" t="str">
        <f t="array" ref="J45">INDEX('Données 1_BD questio'!C:C,MATCH('1_BD questio brut'!$H$1&amp;'1_BD questio brut'!H45,'Données 1_BD questio'!A:A&amp;'Données 1_BD questio'!B:B,0))</f>
        <v>Maison avec jardin</v>
      </c>
      <c r="K45" s="191">
        <f>'1_BD questio brut'!I45</f>
        <v>200</v>
      </c>
      <c r="L45" s="191" t="str">
        <f>'1_BD questio brut'!J45</f>
        <v>Avant 1949</v>
      </c>
      <c r="M45" s="191" t="str">
        <f>'1_BD questio brut'!K45</f>
        <v>4</v>
      </c>
      <c r="N45" s="191" t="str">
        <f>'1_BD questio brut'!L45</f>
        <v>Pas de réponse</v>
      </c>
      <c r="O45" s="191" t="str">
        <f>'1_BD questio brut'!M45</f>
        <v>Propriétaire occupant</v>
      </c>
      <c r="P45" s="191" t="str">
        <f>'1_BD questio brut'!N45</f>
        <v>Insert / foyer fermé</v>
      </c>
      <c r="Q45" s="191" t="str">
        <f>'1_BD questio brut'!O45</f>
        <v>Chauffage de base</v>
      </c>
      <c r="R45" s="191" t="str">
        <f>'1_BD questio brut'!P45</f>
        <v>Tous les jours</v>
      </c>
      <c r="S45" s="191" t="str">
        <f>'1_BD questio brut'!Q45</f>
        <v>1; 2; 6</v>
      </c>
      <c r="T45" s="191" t="str">
        <f>'1_BD questio brut'!R45</f>
        <v>1996-2002</v>
      </c>
      <c r="U45" s="191" t="str">
        <f>'1_BD questio brut'!S45</f>
        <v>Bois bûche</v>
      </c>
      <c r="V45" s="191" t="str">
        <f>'1_BD questio brut'!T45</f>
        <v/>
      </c>
      <c r="W45" s="191" t="str">
        <f>'1_BD questio brut'!U45</f>
        <v>10</v>
      </c>
      <c r="X45" s="191" t="str">
        <f>'1_BD questio brut'!V45</f>
        <v>Stères</v>
      </c>
      <c r="Y45" s="191" t="str">
        <f>'1_BD questio brut'!W45</f>
        <v>1</v>
      </c>
      <c r="Z45" s="191" t="str">
        <f>'1_BD questio brut'!X45</f>
        <v/>
      </c>
      <c r="AA45" s="191" t="str">
        <f t="array" ref="AA45">INDEX('Données 1_BD questio'!C:C,MATCH('1_BD questio brut'!$Y$1&amp;'1_BD questio brut'!Y45,'Données 1_BD questio'!A:A&amp;'Données 1_BD questio'!B:B,0))</f>
        <v>France hors Rhône-Alpes</v>
      </c>
      <c r="AB45" s="191" t="str">
        <f>'1_BD questio brut'!Z45</f>
        <v>2</v>
      </c>
      <c r="AC45" s="191" t="str">
        <f>'1_BD questio brut'!AA45</f>
        <v>&gt; 2 ans</v>
      </c>
      <c r="AD45" s="191" t="str">
        <f>'1_BD questio brut'!AB45</f>
        <v>Les deux</v>
      </c>
      <c r="AE45" s="191" t="str">
        <f t="array" ref="AE45">INDEX('Données 1_BD questio'!C:C,MATCH('1_BD questio brut'!$AC$1&amp;'1_BD questio brut'!AC45,'Données 1_BD questio'!A:A&amp;'Données 1_BD questio'!B:B,0))</f>
        <v>vous-même</v>
      </c>
      <c r="AF45" s="191" t="str">
        <f>'1_BD questio brut'!AD45</f>
        <v>2 fois par an</v>
      </c>
      <c r="AG45" s="191" t="str">
        <f>'1_BD questio brut'!AE45</f>
        <v/>
      </c>
      <c r="AH45" s="191" t="str">
        <f>'1_BD questio brut'!AF45</f>
        <v>Poêle</v>
      </c>
      <c r="AI45" s="191" t="str">
        <f>'1_BD questio brut'!AG45</f>
        <v>1</v>
      </c>
      <c r="AJ45" s="191" t="str">
        <f>'1_BD questio brut'!AH45</f>
        <v/>
      </c>
      <c r="AK45" s="191" t="str">
        <f>'1_BD questio brut'!AI45</f>
        <v>Chauffage de base</v>
      </c>
      <c r="AL45" s="191" t="str">
        <f>'1_BD questio brut'!AJ45</f>
        <v>Pas de réponse</v>
      </c>
      <c r="AM45" s="191" t="str">
        <f>'1_BD questio brut'!AK45</f>
        <v>2</v>
      </c>
      <c r="AN45" s="191" t="str">
        <f>'1_BD questio brut'!AL45</f>
        <v/>
      </c>
      <c r="AO45" s="191" t="str">
        <f>'1_BD questio brut'!AM45</f>
        <v>7</v>
      </c>
      <c r="AP45" s="191" t="str">
        <f>'1_BD questio brut'!AN45</f>
        <v/>
      </c>
      <c r="AQ45" s="191" t="str">
        <f>'1_BD questio brut'!AO45</f>
        <v/>
      </c>
    </row>
    <row r="46" spans="1:43" ht="43.5" hidden="1">
      <c r="A46" s="98">
        <f>INDEX('3_BD instruction total'!A:A,MATCH(C46,'3_BD instruction total'!F:F,0))</f>
        <v>2020</v>
      </c>
      <c r="B46" s="98" t="str">
        <f>INDEX('3_BD instruction total'!C:C,MATCH(C46,'3_BD instruction total'!F:F,0))</f>
        <v>région</v>
      </c>
      <c r="C46" s="191" t="str">
        <f>'1_BD questio brut'!A46</f>
        <v>VRB0049</v>
      </c>
      <c r="D46" s="191" t="str">
        <f t="array" ref="D46">INDEX('Données 1_BD questio'!C:C,MATCH('1_BD questio brut'!$B$1&amp;'1_BD questio brut'!B46,'Données 1_BD questio'!A:A&amp;'Données 1_BD questio'!B:B,0))</f>
        <v>CAPV</v>
      </c>
      <c r="E46" s="191" t="str">
        <f t="array" ref="E46">INDEX('Données 1_BD questio'!C:C,MATCH('1_BD questio brut'!$C$1&amp;'1_BD questio brut'!C46,'Données 1_BD questio'!A:A&amp;'Données 1_BD questio'!B:B,0))</f>
        <v>Employé</v>
      </c>
      <c r="F46" s="191" t="str">
        <f t="array" ref="F46">INDEX('Données 1_BD questio'!C:C,MATCH('1_BD questio brut'!$D$1&amp;'1_BD questio brut'!D46,'Données 1_BD questio'!A:A&amp;'Données 1_BD questio'!B:B,0))</f>
        <v>Employé</v>
      </c>
      <c r="G46" s="191" t="str">
        <f>'1_BD questio brut'!E46</f>
        <v>50 à 64 ans</v>
      </c>
      <c r="H46" s="191">
        <f>'1_BD questio brut'!F46</f>
        <v>2</v>
      </c>
      <c r="I46" s="191" t="str">
        <f>'1_BD questio brut'!G46</f>
        <v>Pas de réponse</v>
      </c>
      <c r="J46" s="191" t="str">
        <f t="array" ref="J46">INDEX('Données 1_BD questio'!C:C,MATCH('1_BD questio brut'!$H$1&amp;'1_BD questio brut'!H46,'Données 1_BD questio'!A:A&amp;'Données 1_BD questio'!B:B,0))</f>
        <v>Maison avec jardin</v>
      </c>
      <c r="K46" s="191">
        <f>'1_BD questio brut'!I46</f>
        <v>110</v>
      </c>
      <c r="L46" s="191" t="str">
        <f>'1_BD questio brut'!J46</f>
        <v>1975-1990</v>
      </c>
      <c r="M46" s="191" t="str">
        <f>'1_BD questio brut'!K46</f>
        <v>4</v>
      </c>
      <c r="N46" s="191" t="str">
        <f>'1_BD questio brut'!L46</f>
        <v>Pas de réponse</v>
      </c>
      <c r="O46" s="191" t="str">
        <f>'1_BD questio brut'!M46</f>
        <v>Propriétaire occupant</v>
      </c>
      <c r="P46" s="191" t="str">
        <f>'1_BD questio brut'!N46</f>
        <v>Insert / foyer fermé</v>
      </c>
      <c r="Q46" s="191" t="str">
        <f>'1_BD questio brut'!O46</f>
        <v>Chauffage de base</v>
      </c>
      <c r="R46" s="191" t="str">
        <f>'1_BD questio brut'!P46</f>
        <v>3 à 4 jours/semaine</v>
      </c>
      <c r="S46" s="191" t="str">
        <f>'1_BD questio brut'!Q46</f>
        <v>4</v>
      </c>
      <c r="T46" s="191" t="str">
        <f>'1_BD questio brut'!R46</f>
        <v>1990-1995</v>
      </c>
      <c r="U46" s="191" t="str">
        <f>'1_BD questio brut'!S46</f>
        <v>Bois bûche</v>
      </c>
      <c r="V46" s="191" t="str">
        <f>'1_BD questio brut'!T46</f>
        <v/>
      </c>
      <c r="W46" s="191" t="str">
        <f>'1_BD questio brut'!U46</f>
        <v>7</v>
      </c>
      <c r="X46" s="191" t="str">
        <f>'1_BD questio brut'!V46</f>
        <v>stères</v>
      </c>
      <c r="Y46" s="191" t="str">
        <f>'1_BD questio brut'!W46</f>
        <v>1</v>
      </c>
      <c r="Z46" s="191" t="str">
        <f>'1_BD questio brut'!X46</f>
        <v/>
      </c>
      <c r="AA46" s="191" t="str">
        <f t="array" ref="AA46">INDEX('Données 1_BD questio'!C:C,MATCH('1_BD questio brut'!$Y$1&amp;'1_BD questio brut'!Y46,'Données 1_BD questio'!A:A&amp;'Données 1_BD questio'!B:B,0))</f>
        <v>Pas de réponse</v>
      </c>
      <c r="AB46" s="191" t="str">
        <f>'1_BD questio brut'!Z46</f>
        <v>2</v>
      </c>
      <c r="AC46" s="191" t="str">
        <f>'1_BD questio brut'!AA46</f>
        <v>1 à 2 ans</v>
      </c>
      <c r="AD46" s="191" t="str">
        <f>'1_BD questio brut'!AB46</f>
        <v>Feuillus</v>
      </c>
      <c r="AE46" s="191" t="str">
        <f t="array" ref="AE46">INDEX('Données 1_BD questio'!C:C,MATCH('1_BD questio brut'!$AC$1&amp;'1_BD questio brut'!AC46,'Données 1_BD questio'!A:A&amp;'Données 1_BD questio'!B:B,0))</f>
        <v>vous-même</v>
      </c>
      <c r="AF46" s="191" t="str">
        <f>'1_BD questio brut'!AD46</f>
        <v>2 fois par an</v>
      </c>
      <c r="AG46" s="191" t="str">
        <f>'1_BD questio brut'!AE46</f>
        <v/>
      </c>
      <c r="AH46" s="191" t="str">
        <f>'1_BD questio brut'!AF46</f>
        <v>Poêle</v>
      </c>
      <c r="AI46" s="191" t="str">
        <f>'1_BD questio brut'!AG46</f>
        <v>1</v>
      </c>
      <c r="AJ46" s="191" t="str">
        <f>'1_BD questio brut'!AH46</f>
        <v/>
      </c>
      <c r="AK46" s="191" t="str">
        <f>'1_BD questio brut'!AI46</f>
        <v>Chauffage d'appoint</v>
      </c>
      <c r="AL46" s="191" t="str">
        <f>'1_BD questio brut'!AJ46</f>
        <v>Pas de réponse</v>
      </c>
      <c r="AM46" s="191" t="str">
        <f>'1_BD questio brut'!AK46</f>
        <v>7</v>
      </c>
      <c r="AN46" s="191" t="str">
        <f>'1_BD questio brut'!AL46</f>
        <v/>
      </c>
      <c r="AO46" s="191" t="str">
        <f>'1_BD questio brut'!AM46</f>
        <v>7</v>
      </c>
      <c r="AP46" s="191" t="str">
        <f>'1_BD questio brut'!AN46</f>
        <v/>
      </c>
      <c r="AQ46" s="191" t="str">
        <f>'1_BD questio brut'!AO46</f>
        <v/>
      </c>
    </row>
    <row r="47" spans="1:43" ht="43.5" hidden="1">
      <c r="A47" s="98">
        <f>INDEX('3_BD instruction total'!A:A,MATCH(C47,'3_BD instruction total'!F:F,0))</f>
        <v>2020</v>
      </c>
      <c r="B47" s="98" t="str">
        <f>INDEX('3_BD instruction total'!C:C,MATCH(C47,'3_BD instruction total'!F:F,0))</f>
        <v>région</v>
      </c>
      <c r="C47" s="191" t="str">
        <f>'1_BD questio brut'!A47</f>
        <v>VRB0050</v>
      </c>
      <c r="D47" s="191" t="str">
        <f t="array" ref="D47">INDEX('Données 1_BD questio'!C:C,MATCH('1_BD questio brut'!$B$1&amp;'1_BD questio brut'!B47,'Données 1_BD questio'!A:A&amp;'Données 1_BD questio'!B:B,0))</f>
        <v>CAPV</v>
      </c>
      <c r="E47" s="191" t="str">
        <f t="array" ref="E47">INDEX('Données 1_BD questio'!C:C,MATCH('1_BD questio brut'!$C$1&amp;'1_BD questio brut'!C47,'Données 1_BD questio'!A:A&amp;'Données 1_BD questio'!B:B,0))</f>
        <v>Profession intermédiaire</v>
      </c>
      <c r="F47" s="191" t="e">
        <f t="array" ref="F47">INDEX('Données 1_BD questio'!C:C,MATCH('1_BD questio brut'!$D$1&amp;'1_BD questio brut'!D47,'Données 1_BD questio'!A:A&amp;'Données 1_BD questio'!B:B,0))</f>
        <v>#N/A</v>
      </c>
      <c r="G47" s="191" t="str">
        <f>'1_BD questio brut'!E47</f>
        <v>50 à 64 ans</v>
      </c>
      <c r="H47" s="191">
        <f>'1_BD questio brut'!F47</f>
        <v>1</v>
      </c>
      <c r="I47" s="191" t="str">
        <f>'1_BD questio brut'!G47</f>
        <v>Pas de réponse</v>
      </c>
      <c r="J47" s="191" t="str">
        <f t="array" ref="J47">INDEX('Données 1_BD questio'!C:C,MATCH('1_BD questio brut'!$H$1&amp;'1_BD questio brut'!H47,'Données 1_BD questio'!A:A&amp;'Données 1_BD questio'!B:B,0))</f>
        <v>Maison avec jardin</v>
      </c>
      <c r="K47" s="191">
        <f>'1_BD questio brut'!I47</f>
        <v>90</v>
      </c>
      <c r="L47" s="191" t="str">
        <f>'1_BD questio brut'!J47</f>
        <v>1975-1990</v>
      </c>
      <c r="M47" s="191" t="str">
        <f>'1_BD questio brut'!K47</f>
        <v>1</v>
      </c>
      <c r="N47" s="191" t="str">
        <f>'1_BD questio brut'!L47</f>
        <v>Pas de réponse</v>
      </c>
      <c r="O47" s="191" t="str">
        <f>'1_BD questio brut'!M47</f>
        <v>Propriétaire occupant</v>
      </c>
      <c r="P47" s="191" t="str">
        <f>'1_BD questio brut'!N47</f>
        <v>Insert / foyer fermé</v>
      </c>
      <c r="Q47" s="191" t="str">
        <f>'1_BD questio brut'!O47</f>
        <v>Chauffage de base</v>
      </c>
      <c r="R47" s="191" t="str">
        <f>'1_BD questio brut'!P47</f>
        <v>Tous les jours</v>
      </c>
      <c r="S47" s="191" t="str">
        <f>'1_BD questio brut'!Q47</f>
        <v>4</v>
      </c>
      <c r="T47" s="191" t="str">
        <f>'1_BD questio brut'!R47</f>
        <v>1990-1995</v>
      </c>
      <c r="U47" s="191" t="str">
        <f>'1_BD questio brut'!S47</f>
        <v>Bois bûche</v>
      </c>
      <c r="V47" s="191" t="str">
        <f>'1_BD questio brut'!T47</f>
        <v/>
      </c>
      <c r="W47" s="191" t="str">
        <f>'1_BD questio brut'!U47</f>
        <v>8</v>
      </c>
      <c r="X47" s="191" t="str">
        <f>'1_BD questio brut'!V47</f>
        <v>stères</v>
      </c>
      <c r="Y47" s="191" t="str">
        <f>'1_BD questio brut'!W47</f>
        <v>2</v>
      </c>
      <c r="Z47" s="191" t="str">
        <f>'1_BD questio brut'!X47</f>
        <v/>
      </c>
      <c r="AA47" s="191" t="str">
        <f t="array" ref="AA47">INDEX('Données 1_BD questio'!C:C,MATCH('1_BD questio brut'!$Y$1&amp;'1_BD questio brut'!Y47,'Données 1_BD questio'!A:A&amp;'Données 1_BD questio'!B:B,0))</f>
        <v>RA2B</v>
      </c>
      <c r="AB47" s="191" t="str">
        <f>'1_BD questio brut'!Z47</f>
        <v>3</v>
      </c>
      <c r="AC47" s="191" t="str">
        <f>'1_BD questio brut'!AA47</f>
        <v>&gt; 2 ans</v>
      </c>
      <c r="AD47" s="191" t="str">
        <f>'1_BD questio brut'!AB47</f>
        <v>Feuillus</v>
      </c>
      <c r="AE47" s="191" t="str">
        <f t="array" ref="AE47">INDEX('Données 1_BD questio'!C:C,MATCH('1_BD questio brut'!$AC$1&amp;'1_BD questio brut'!AC47,'Données 1_BD questio'!A:A&amp;'Données 1_BD questio'!B:B,0))</f>
        <v>un professionnel</v>
      </c>
      <c r="AF47" s="191" t="str">
        <f>'1_BD questio brut'!AD47</f>
        <v>1 fois par an</v>
      </c>
      <c r="AG47" s="191" t="str">
        <f>'1_BD questio brut'!AE47</f>
        <v/>
      </c>
      <c r="AH47" s="191" t="str">
        <f>'1_BD questio brut'!AF47</f>
        <v>Poêle</v>
      </c>
      <c r="AI47" s="191" t="str">
        <f>'1_BD questio brut'!AG47</f>
        <v>2</v>
      </c>
      <c r="AJ47" s="191" t="str">
        <f>'1_BD questio brut'!AH47</f>
        <v/>
      </c>
      <c r="AK47" s="191" t="str">
        <f>'1_BD questio brut'!AI47</f>
        <v>Chauffage de base</v>
      </c>
      <c r="AL47" s="191" t="str">
        <f>'1_BD questio brut'!AJ47</f>
        <v>Pas de réponse</v>
      </c>
      <c r="AM47" s="191" t="str">
        <f>'1_BD questio brut'!AK47</f>
        <v>1; 4; 5</v>
      </c>
      <c r="AN47" s="191" t="str">
        <f>'1_BD questio brut'!AL47</f>
        <v/>
      </c>
      <c r="AO47" s="191" t="str">
        <f>'1_BD questio brut'!AM47</f>
        <v>5</v>
      </c>
      <c r="AP47" s="191" t="str">
        <f>'1_BD questio brut'!AN47</f>
        <v/>
      </c>
      <c r="AQ47" s="191" t="str">
        <f>'1_BD questio brut'!AO47</f>
        <v/>
      </c>
    </row>
    <row r="48" spans="1:43" ht="43.5" hidden="1">
      <c r="A48" s="98">
        <f>INDEX('3_BD instruction total'!A:A,MATCH(C48,'3_BD instruction total'!F:F,0))</f>
        <v>2021</v>
      </c>
      <c r="B48" s="98" t="str">
        <f>INDEX('3_BD instruction total'!C:C,MATCH(C48,'3_BD instruction total'!F:F,0))</f>
        <v>oui région</v>
      </c>
      <c r="C48" s="191" t="str">
        <f>'1_BD questio brut'!A48</f>
        <v>VRB0051</v>
      </c>
      <c r="D48" s="191" t="str">
        <f t="array" ref="D48">INDEX('Données 1_BD questio'!C:C,MATCH('1_BD questio brut'!$B$1&amp;'1_BD questio brut'!B48,'Données 1_BD questio'!A:A&amp;'Données 1_BD questio'!B:B,0))</f>
        <v>CAPV</v>
      </c>
      <c r="E48" s="191" t="str">
        <f t="array" ref="E48">INDEX('Données 1_BD questio'!C:C,MATCH('1_BD questio brut'!$C$1&amp;'1_BD questio brut'!C48,'Données 1_BD questio'!A:A&amp;'Données 1_BD questio'!B:B,0))</f>
        <v>Cadre</v>
      </c>
      <c r="F48" s="191" t="str">
        <f t="array" ref="F48">INDEX('Données 1_BD questio'!C:C,MATCH('1_BD questio brut'!$D$1&amp;'1_BD questio brut'!D48,'Données 1_BD questio'!A:A&amp;'Données 1_BD questio'!B:B,0))</f>
        <v>Cadre</v>
      </c>
      <c r="G48" s="191" t="str">
        <f>'1_BD questio brut'!E48</f>
        <v>35 à 49 ans</v>
      </c>
      <c r="H48" s="191">
        <f>'1_BD questio brut'!F48</f>
        <v>3</v>
      </c>
      <c r="I48" s="191" t="str">
        <f>'1_BD questio brut'!G48</f>
        <v>Pas de réponse</v>
      </c>
      <c r="J48" s="191" t="str">
        <f t="array" ref="J48">INDEX('Données 1_BD questio'!C:C,MATCH('1_BD questio brut'!$H$1&amp;'1_BD questio brut'!H48,'Données 1_BD questio'!A:A&amp;'Données 1_BD questio'!B:B,0))</f>
        <v>Maison avec jardin</v>
      </c>
      <c r="K48" s="191">
        <f>'1_BD questio brut'!I48</f>
        <v>70</v>
      </c>
      <c r="L48" s="191" t="str">
        <f>'1_BD questio brut'!J48</f>
        <v>Avant 1949</v>
      </c>
      <c r="M48" s="191" t="str">
        <f>'1_BD questio brut'!K48</f>
        <v>6</v>
      </c>
      <c r="N48" s="191" t="str">
        <f>'1_BD questio brut'!L48</f>
        <v>Pas de réponse</v>
      </c>
      <c r="O48" s="191" t="str">
        <f>'1_BD questio brut'!M48</f>
        <v>Propriétaire bailleur</v>
      </c>
      <c r="P48" s="191" t="str">
        <f>'1_BD questio brut'!N48</f>
        <v>Insert / foyer fermé</v>
      </c>
      <c r="Q48" s="191" t="str">
        <f>'1_BD questio brut'!O48</f>
        <v>Chauffage d'apoint</v>
      </c>
      <c r="R48" s="191" t="str">
        <f>'1_BD questio brut'!P48</f>
        <v>3 à 4 jours/semaine</v>
      </c>
      <c r="S48" s="191" t="str">
        <f>'1_BD questio brut'!Q48</f>
        <v>1; 2; 3; 4; 5; 6</v>
      </c>
      <c r="T48" s="191" t="str">
        <f>'1_BD questio brut'!R48</f>
        <v>1996-2002</v>
      </c>
      <c r="U48" s="191" t="str">
        <f>'1_BD questio brut'!S48</f>
        <v>Bois bûche</v>
      </c>
      <c r="V48" s="191" t="str">
        <f>'1_BD questio brut'!T48</f>
        <v/>
      </c>
      <c r="W48" s="191" t="str">
        <f>'1_BD questio brut'!U48</f>
        <v>5</v>
      </c>
      <c r="X48" s="191" t="str">
        <f>'1_BD questio brut'!V48</f>
        <v>stères</v>
      </c>
      <c r="Y48" s="191" t="str">
        <f>'1_BD questio brut'!W48</f>
        <v>1; 2</v>
      </c>
      <c r="Z48" s="191" t="str">
        <f>'1_BD questio brut'!X48</f>
        <v/>
      </c>
      <c r="AA48" s="191" t="str">
        <f t="array" ref="AA48">INDEX('Données 1_BD questio'!C:C,MATCH('1_BD questio brut'!$Y$1&amp;'1_BD questio brut'!Y48,'Données 1_BD questio'!A:A&amp;'Données 1_BD questio'!B:B,0))</f>
        <v>France hors Rhône-Alpes</v>
      </c>
      <c r="AB48" s="191" t="str">
        <f>'1_BD questio brut'!Z48</f>
        <v>1</v>
      </c>
      <c r="AC48" s="191" t="str">
        <f>'1_BD questio brut'!AA48</f>
        <v>1 à 2 ans</v>
      </c>
      <c r="AD48" s="191" t="str">
        <f>'1_BD questio brut'!AB48</f>
        <v>Feuillus</v>
      </c>
      <c r="AE48" s="191" t="str">
        <f t="array" ref="AE48">INDEX('Données 1_BD questio'!C:C,MATCH('1_BD questio brut'!$AC$1&amp;'1_BD questio brut'!AC48,'Données 1_BD questio'!A:A&amp;'Données 1_BD questio'!B:B,0))</f>
        <v>un professionnel</v>
      </c>
      <c r="AF48" s="191" t="str">
        <f>'1_BD questio brut'!AD48</f>
        <v>1 fois tous les 2 ans</v>
      </c>
      <c r="AG48" s="191" t="str">
        <f>'1_BD questio brut'!AE48</f>
        <v/>
      </c>
      <c r="AH48" s="191" t="str">
        <f>'1_BD questio brut'!AF48</f>
        <v>Poêle</v>
      </c>
      <c r="AI48" s="191" t="str">
        <f>'1_BD questio brut'!AG48</f>
        <v>1</v>
      </c>
      <c r="AJ48" s="191" t="str">
        <f>'1_BD questio brut'!AH48</f>
        <v/>
      </c>
      <c r="AK48" s="191" t="str">
        <f>'1_BD questio brut'!AI48</f>
        <v>Chauffage de base</v>
      </c>
      <c r="AL48" s="191" t="str">
        <f>'1_BD questio brut'!AJ48</f>
        <v>Pas de réponse</v>
      </c>
      <c r="AM48" s="191" t="str">
        <f>'1_BD questio brut'!AK48</f>
        <v>2; 4</v>
      </c>
      <c r="AN48" s="191" t="str">
        <f>'1_BD questio brut'!AL48</f>
        <v/>
      </c>
      <c r="AO48" s="191" t="str">
        <f>'1_BD questio brut'!AM48</f>
        <v>5</v>
      </c>
      <c r="AP48" s="191" t="str">
        <f>'1_BD questio brut'!AN48</f>
        <v/>
      </c>
      <c r="AQ48" s="191" t="str">
        <f>'1_BD questio brut'!AO48</f>
        <v/>
      </c>
    </row>
    <row r="49" spans="1:43" ht="29" hidden="1">
      <c r="A49" s="98">
        <f>INDEX('3_BD instruction total'!A:A,MATCH(C49,'3_BD instruction total'!F:F,0))</f>
        <v>2020</v>
      </c>
      <c r="B49" s="98" t="str">
        <f>INDEX('3_BD instruction total'!C:C,MATCH(C49,'3_BD instruction total'!F:F,0))</f>
        <v>région</v>
      </c>
      <c r="C49" s="191" t="str">
        <f>'1_BD questio brut'!A49</f>
        <v>VRB0052</v>
      </c>
      <c r="D49" s="191" t="str">
        <f t="array" ref="D49">INDEX('Données 1_BD questio'!C:C,MATCH('1_BD questio brut'!$B$1&amp;'1_BD questio brut'!B49,'Données 1_BD questio'!A:A&amp;'Données 1_BD questio'!B:B,0))</f>
        <v>CAPV</v>
      </c>
      <c r="E49" s="191" t="str">
        <f t="array" ref="E49">INDEX('Données 1_BD questio'!C:C,MATCH('1_BD questio brut'!$C$1&amp;'1_BD questio brut'!C49,'Données 1_BD questio'!A:A&amp;'Données 1_BD questio'!B:B,0))</f>
        <v>Retraité</v>
      </c>
      <c r="F49" s="191" t="str">
        <f t="array" ref="F49">INDEX('Données 1_BD questio'!C:C,MATCH('1_BD questio brut'!$D$1&amp;'1_BD questio brut'!D49,'Données 1_BD questio'!A:A&amp;'Données 1_BD questio'!B:B,0))</f>
        <v>Cadre</v>
      </c>
      <c r="G49" s="191" t="str">
        <f>'1_BD questio brut'!E49</f>
        <v>50 à 64 ans</v>
      </c>
      <c r="H49" s="191">
        <f>'1_BD questio brut'!F49</f>
        <v>2</v>
      </c>
      <c r="I49" s="191" t="str">
        <f>'1_BD questio brut'!G49</f>
        <v>Pas de réponse</v>
      </c>
      <c r="J49" s="191" t="str">
        <f t="array" ref="J49">INDEX('Données 1_BD questio'!C:C,MATCH('1_BD questio brut'!$H$1&amp;'1_BD questio brut'!H49,'Données 1_BD questio'!A:A&amp;'Données 1_BD questio'!B:B,0))</f>
        <v>Maison avec jardin</v>
      </c>
      <c r="K49" s="191">
        <f>'1_BD questio brut'!I49</f>
        <v>95</v>
      </c>
      <c r="L49" s="191" t="str">
        <f>'1_BD questio brut'!J49</f>
        <v>1975-1990</v>
      </c>
      <c r="M49" s="191" t="str">
        <f>'1_BD questio brut'!K49</f>
        <v>4</v>
      </c>
      <c r="N49" s="191" t="str">
        <f>'1_BD questio brut'!L49</f>
        <v>Pas de réponse</v>
      </c>
      <c r="O49" s="191" t="str">
        <f>'1_BD questio brut'!M49</f>
        <v>Propriétaire occupant</v>
      </c>
      <c r="P49" s="191" t="str">
        <f>'1_BD questio brut'!N49</f>
        <v>Insert / foyer fermé</v>
      </c>
      <c r="Q49" s="191" t="str">
        <f>'1_BD questio brut'!O49</f>
        <v>Chauffage de base</v>
      </c>
      <c r="R49" s="191" t="str">
        <f>'1_BD questio brut'!P49</f>
        <v>Tous les jours</v>
      </c>
      <c r="S49" s="191" t="str">
        <f>'1_BD questio brut'!Q49</f>
        <v>4</v>
      </c>
      <c r="T49" s="191" t="str">
        <f>'1_BD questio brut'!R49</f>
        <v>Avant 1990</v>
      </c>
      <c r="U49" s="191" t="str">
        <f>'1_BD questio brut'!S49</f>
        <v>Bois bûche</v>
      </c>
      <c r="V49" s="191" t="str">
        <f>'1_BD questio brut'!T49</f>
        <v/>
      </c>
      <c r="W49" s="191" t="str">
        <f>'1_BD questio brut'!U49</f>
        <v>6</v>
      </c>
      <c r="X49" s="191" t="str">
        <f>'1_BD questio brut'!V49</f>
        <v>stères</v>
      </c>
      <c r="Y49" s="191" t="str">
        <f>'1_BD questio brut'!W49</f>
        <v>2</v>
      </c>
      <c r="Z49" s="191" t="str">
        <f>'1_BD questio brut'!X49</f>
        <v/>
      </c>
      <c r="AA49" s="191" t="str">
        <f t="array" ref="AA49">INDEX('Données 1_BD questio'!C:C,MATCH('1_BD questio brut'!$Y$1&amp;'1_BD questio brut'!Y49,'Données 1_BD questio'!A:A&amp;'Données 1_BD questio'!B:B,0))</f>
        <v>Rhône-Alpes hors RA2B</v>
      </c>
      <c r="AB49" s="191" t="str">
        <f>'1_BD questio brut'!Z49</f>
        <v>2</v>
      </c>
      <c r="AC49" s="191" t="str">
        <f>'1_BD questio brut'!AA49</f>
        <v>&gt; 2 ans</v>
      </c>
      <c r="AD49" s="191" t="str">
        <f>'1_BD questio brut'!AB49</f>
        <v>Feuillus</v>
      </c>
      <c r="AE49" s="191" t="str">
        <f t="array" ref="AE49">INDEX('Données 1_BD questio'!C:C,MATCH('1_BD questio brut'!$AC$1&amp;'1_BD questio brut'!AC49,'Données 1_BD questio'!A:A&amp;'Données 1_BD questio'!B:B,0))</f>
        <v>vous-même</v>
      </c>
      <c r="AF49" s="191" t="str">
        <f>'1_BD questio brut'!AD49</f>
        <v>2 fois par an</v>
      </c>
      <c r="AG49" s="191" t="str">
        <f>'1_BD questio brut'!AE49</f>
        <v/>
      </c>
      <c r="AH49" s="191" t="str">
        <f>'1_BD questio brut'!AF49</f>
        <v>Poêle</v>
      </c>
      <c r="AI49" s="191" t="str">
        <f>'1_BD questio brut'!AG49</f>
        <v>1</v>
      </c>
      <c r="AJ49" s="191" t="str">
        <f>'1_BD questio brut'!AH49</f>
        <v/>
      </c>
      <c r="AK49" s="191" t="str">
        <f>'1_BD questio brut'!AI49</f>
        <v>Chauffage de base</v>
      </c>
      <c r="AL49" s="191" t="str">
        <f>'1_BD questio brut'!AJ49</f>
        <v>Pas de réponse</v>
      </c>
      <c r="AM49" s="191" t="str">
        <f>'1_BD questio brut'!AK49</f>
        <v>2; 4; 5</v>
      </c>
      <c r="AN49" s="191" t="str">
        <f>'1_BD questio brut'!AL49</f>
        <v/>
      </c>
      <c r="AO49" s="191" t="str">
        <f>'1_BD questio brut'!AM49</f>
        <v>7</v>
      </c>
      <c r="AP49" s="191" t="str">
        <f>'1_BD questio brut'!AN49</f>
        <v/>
      </c>
      <c r="AQ49" s="191" t="str">
        <f>'1_BD questio brut'!AO49</f>
        <v/>
      </c>
    </row>
    <row r="50" spans="1:43" ht="43.5" hidden="1">
      <c r="A50" s="98">
        <f>INDEX('3_BD instruction total'!A:A,MATCH(C50,'3_BD instruction total'!F:F,0))</f>
        <v>2020</v>
      </c>
      <c r="B50" s="98" t="str">
        <f>INDEX('3_BD instruction total'!C:C,MATCH(C50,'3_BD instruction total'!F:F,0))</f>
        <v>région</v>
      </c>
      <c r="C50" s="191" t="str">
        <f>'1_BD questio brut'!A50</f>
        <v>VRB0053</v>
      </c>
      <c r="D50" s="191" t="str">
        <f t="array" ref="D50">INDEX('Données 1_BD questio'!C:C,MATCH('1_BD questio brut'!$B$1&amp;'1_BD questio brut'!B50,'Données 1_BD questio'!A:A&amp;'Données 1_BD questio'!B:B,0))</f>
        <v>CAPV</v>
      </c>
      <c r="E50" s="191" t="str">
        <f t="array" ref="E50">INDEX('Données 1_BD questio'!C:C,MATCH('1_BD questio brut'!$C$1&amp;'1_BD questio brut'!C50,'Données 1_BD questio'!A:A&amp;'Données 1_BD questio'!B:B,0))</f>
        <v>Retraité</v>
      </c>
      <c r="F50" s="191" t="str">
        <f t="array" ref="F50">INDEX('Données 1_BD questio'!C:C,MATCH('1_BD questio brut'!$D$1&amp;'1_BD questio brut'!D50,'Données 1_BD questio'!A:A&amp;'Données 1_BD questio'!B:B,0))</f>
        <v>Retraité</v>
      </c>
      <c r="G50" s="191" t="str">
        <f>'1_BD questio brut'!E50</f>
        <v>50 à 64 ans</v>
      </c>
      <c r="H50" s="191">
        <f>'1_BD questio brut'!F50</f>
        <v>2</v>
      </c>
      <c r="I50" s="191" t="str">
        <f>'1_BD questio brut'!G50</f>
        <v>Pas de réponse</v>
      </c>
      <c r="J50" s="191" t="str">
        <f t="array" ref="J50">INDEX('Données 1_BD questio'!C:C,MATCH('1_BD questio brut'!$H$1&amp;'1_BD questio brut'!H50,'Données 1_BD questio'!A:A&amp;'Données 1_BD questio'!B:B,0))</f>
        <v>Maison avec jardin</v>
      </c>
      <c r="K50" s="191">
        <f>'1_BD questio brut'!I50</f>
        <v>150</v>
      </c>
      <c r="L50" s="191" t="str">
        <f>'1_BD questio brut'!J50</f>
        <v>Avant 1949</v>
      </c>
      <c r="M50" s="191" t="str">
        <f>'1_BD questio brut'!K50</f>
        <v>1</v>
      </c>
      <c r="N50" s="191" t="str">
        <f>'1_BD questio brut'!L50</f>
        <v>Pas de réponse</v>
      </c>
      <c r="O50" s="191" t="str">
        <f>'1_BD questio brut'!M50</f>
        <v>Propriétaire occupant</v>
      </c>
      <c r="P50" s="191" t="str">
        <f>'1_BD questio brut'!N50</f>
        <v>Insert / foyer fermé</v>
      </c>
      <c r="Q50" s="191" t="str">
        <f>'1_BD questio brut'!O50</f>
        <v>Chauffage d'apoint</v>
      </c>
      <c r="R50" s="191" t="str">
        <f>'1_BD questio brut'!P50</f>
        <v>Tous les jours</v>
      </c>
      <c r="S50" s="191" t="str">
        <f>'1_BD questio brut'!Q50</f>
        <v>3; 4; 6</v>
      </c>
      <c r="T50" s="191" t="str">
        <f>'1_BD questio brut'!R50</f>
        <v>1990-1995</v>
      </c>
      <c r="U50" s="191" t="str">
        <f>'1_BD questio brut'!S50</f>
        <v>Bois bûche</v>
      </c>
      <c r="V50" s="191" t="str">
        <f>'1_BD questio brut'!T50</f>
        <v/>
      </c>
      <c r="W50" s="191" t="str">
        <f>'1_BD questio brut'!U50</f>
        <v>5</v>
      </c>
      <c r="X50" s="191" t="str">
        <f>'1_BD questio brut'!V50</f>
        <v>stères</v>
      </c>
      <c r="Y50" s="191" t="str">
        <f>'1_BD questio brut'!W50</f>
        <v>1</v>
      </c>
      <c r="Z50" s="191" t="str">
        <f>'1_BD questio brut'!X50</f>
        <v/>
      </c>
      <c r="AA50" s="191" t="str">
        <f t="array" ref="AA50">INDEX('Données 1_BD questio'!C:C,MATCH('1_BD questio brut'!$Y$1&amp;'1_BD questio brut'!Y50,'Données 1_BD questio'!A:A&amp;'Données 1_BD questio'!B:B,0))</f>
        <v>Rhône-Alpes hors RA2B</v>
      </c>
      <c r="AB50" s="191" t="str">
        <f>'1_BD questio brut'!Z50</f>
        <v>2</v>
      </c>
      <c r="AC50" s="191" t="str">
        <f>'1_BD questio brut'!AA50</f>
        <v>&gt; 2 ans</v>
      </c>
      <c r="AD50" s="191" t="str">
        <f>'1_BD questio brut'!AB50</f>
        <v>Les deux</v>
      </c>
      <c r="AE50" s="191" t="str">
        <f t="array" ref="AE50">INDEX('Données 1_BD questio'!C:C,MATCH('1_BD questio brut'!$AC$1&amp;'1_BD questio brut'!AC50,'Données 1_BD questio'!A:A&amp;'Données 1_BD questio'!B:B,0))</f>
        <v>un professionnel</v>
      </c>
      <c r="AF50" s="191" t="str">
        <f>'1_BD questio brut'!AD50</f>
        <v>1 fois par an</v>
      </c>
      <c r="AG50" s="191" t="str">
        <f>'1_BD questio brut'!AE50</f>
        <v/>
      </c>
      <c r="AH50" s="191" t="str">
        <f>'1_BD questio brut'!AF50</f>
        <v>Poêle</v>
      </c>
      <c r="AI50" s="191" t="str">
        <f>'1_BD questio brut'!AG50</f>
        <v>2</v>
      </c>
      <c r="AJ50" s="191" t="str">
        <f>'1_BD questio brut'!AH50</f>
        <v/>
      </c>
      <c r="AK50" s="191" t="str">
        <f>'1_BD questio brut'!AI50</f>
        <v>Chauffage de base</v>
      </c>
      <c r="AL50" s="191" t="str">
        <f>'1_BD questio brut'!AJ50</f>
        <v>Pas de réponse</v>
      </c>
      <c r="AM50" s="191" t="str">
        <f>'1_BD questio brut'!AK50</f>
        <v>2; 4; 5</v>
      </c>
      <c r="AN50" s="191" t="str">
        <f>'1_BD questio brut'!AL50</f>
        <v/>
      </c>
      <c r="AO50" s="191" t="str">
        <f>'1_BD questio brut'!AM50</f>
        <v>5</v>
      </c>
      <c r="AP50" s="191" t="str">
        <f>'1_BD questio brut'!AN50</f>
        <v/>
      </c>
      <c r="AQ50" s="191" t="str">
        <f>'1_BD questio brut'!AO50</f>
        <v/>
      </c>
    </row>
    <row r="51" spans="1:43" ht="29" hidden="1">
      <c r="A51" s="98">
        <f>INDEX('3_BD instruction total'!A:A,MATCH(C51,'3_BD instruction total'!F:F,0))</f>
        <v>2020</v>
      </c>
      <c r="B51" s="98" t="str">
        <f>INDEX('3_BD instruction total'!C:C,MATCH(C51,'3_BD instruction total'!F:F,0))</f>
        <v>région</v>
      </c>
      <c r="C51" s="191" t="str">
        <f>'1_BD questio brut'!A51</f>
        <v>VRB0054</v>
      </c>
      <c r="D51" s="191" t="str">
        <f t="array" ref="D51">INDEX('Données 1_BD questio'!C:C,MATCH('1_BD questio brut'!$B$1&amp;'1_BD questio brut'!B51,'Données 1_BD questio'!A:A&amp;'Données 1_BD questio'!B:B,0))</f>
        <v>CAPV</v>
      </c>
      <c r="E51" s="191" t="str">
        <f t="array" ref="E51">INDEX('Données 1_BD questio'!C:C,MATCH('1_BD questio brut'!$C$1&amp;'1_BD questio brut'!C51,'Données 1_BD questio'!A:A&amp;'Données 1_BD questio'!B:B,0))</f>
        <v>Ouvrier</v>
      </c>
      <c r="F51" s="191" t="str">
        <f t="array" ref="F51">INDEX('Données 1_BD questio'!C:C,MATCH('1_BD questio brut'!$D$1&amp;'1_BD questio brut'!D51,'Données 1_BD questio'!A:A&amp;'Données 1_BD questio'!B:B,0))</f>
        <v>Autre,sans activité</v>
      </c>
      <c r="G51" s="191" t="str">
        <f>'1_BD questio brut'!E51</f>
        <v>35 à 49 ans</v>
      </c>
      <c r="H51" s="191">
        <f>'1_BD questio brut'!F51</f>
        <v>4</v>
      </c>
      <c r="I51" s="191" t="str">
        <f>'1_BD questio brut'!G51</f>
        <v>Pas de réponse</v>
      </c>
      <c r="J51" s="191" t="str">
        <f t="array" ref="J51">INDEX('Données 1_BD questio'!C:C,MATCH('1_BD questio brut'!$H$1&amp;'1_BD questio brut'!H51,'Données 1_BD questio'!A:A&amp;'Données 1_BD questio'!B:B,0))</f>
        <v>Maison avec jardin</v>
      </c>
      <c r="K51" s="191">
        <f>'1_BD questio brut'!I51</f>
        <v>110</v>
      </c>
      <c r="L51" s="191" t="str">
        <f>'1_BD questio brut'!J51</f>
        <v>1949-1975</v>
      </c>
      <c r="M51" s="191" t="str">
        <f>'1_BD questio brut'!K51</f>
        <v>4</v>
      </c>
      <c r="N51" s="191" t="str">
        <f>'1_BD questio brut'!L51</f>
        <v>Ne sait pas</v>
      </c>
      <c r="O51" s="191" t="str">
        <f>'1_BD questio brut'!M51</f>
        <v>Propriétaire occupant</v>
      </c>
      <c r="P51" s="191" t="str">
        <f>'1_BD questio brut'!N51</f>
        <v>Foyer ouvert</v>
      </c>
      <c r="Q51" s="191" t="str">
        <f>'1_BD questio brut'!O51</f>
        <v>Pas de réponse</v>
      </c>
      <c r="R51" s="191" t="str">
        <f>'1_BD questio brut'!P51</f>
        <v>Pas de réponse</v>
      </c>
      <c r="S51" s="191" t="str">
        <f>'1_BD questio brut'!Q51</f>
        <v>7</v>
      </c>
      <c r="T51" s="191" t="str">
        <f>'1_BD questio brut'!R51</f>
        <v>Avant 1990</v>
      </c>
      <c r="U51" s="191" t="str">
        <f>'1_BD questio brut'!S51</f>
        <v>Bois bûche</v>
      </c>
      <c r="V51" s="191" t="str">
        <f>'1_BD questio brut'!T51</f>
        <v/>
      </c>
      <c r="W51" s="191" t="str">
        <f>'1_BD questio brut'!U51</f>
        <v/>
      </c>
      <c r="X51" s="191" t="str">
        <f>'1_BD questio brut'!V51</f>
        <v/>
      </c>
      <c r="Y51" s="191" t="str">
        <f>'1_BD questio brut'!W51</f>
        <v>5</v>
      </c>
      <c r="Z51" s="191" t="str">
        <f>'1_BD questio brut'!X51</f>
        <v/>
      </c>
      <c r="AA51" s="191" t="str">
        <f t="array" ref="AA51">INDEX('Données 1_BD questio'!C:C,MATCH('1_BD questio brut'!$Y$1&amp;'1_BD questio brut'!Y51,'Données 1_BD questio'!A:A&amp;'Données 1_BD questio'!B:B,0))</f>
        <v>Pas de réponse</v>
      </c>
      <c r="AB51" s="191" t="str">
        <f>'1_BD questio brut'!Z51</f>
        <v>4</v>
      </c>
      <c r="AC51" s="191" t="str">
        <f>'1_BD questio brut'!AA51</f>
        <v>Pas de réponse</v>
      </c>
      <c r="AD51" s="191" t="str">
        <f>'1_BD questio brut'!AB51</f>
        <v>Pas de réponse</v>
      </c>
      <c r="AE51" s="191" t="str">
        <f t="array" ref="AE51">INDEX('Données 1_BD questio'!C:C,MATCH('1_BD questio brut'!$AC$1&amp;'1_BD questio brut'!AC51,'Données 1_BD questio'!A:A&amp;'Données 1_BD questio'!B:B,0))</f>
        <v>Pas de réponse</v>
      </c>
      <c r="AF51" s="191" t="str">
        <f>'1_BD questio brut'!AD51</f>
        <v>Pas de réponse</v>
      </c>
      <c r="AG51" s="191" t="str">
        <f>'1_BD questio brut'!AE51</f>
        <v/>
      </c>
      <c r="AH51" s="191" t="str">
        <f>'1_BD questio brut'!AF51</f>
        <v>Poêle</v>
      </c>
      <c r="AI51" s="191" t="str">
        <f>'1_BD questio brut'!AG51</f>
        <v>2</v>
      </c>
      <c r="AJ51" s="191" t="str">
        <f>'1_BD questio brut'!AH51</f>
        <v/>
      </c>
      <c r="AK51" s="191" t="str">
        <f>'1_BD questio brut'!AI51</f>
        <v>Chauffage de base</v>
      </c>
      <c r="AL51" s="191" t="str">
        <f>'1_BD questio brut'!AJ51</f>
        <v>Pas de réponse</v>
      </c>
      <c r="AM51" s="191" t="str">
        <f>'1_BD questio brut'!AK51</f>
        <v>1; 2; 4; 5</v>
      </c>
      <c r="AN51" s="191" t="str">
        <f>'1_BD questio brut'!AL51</f>
        <v/>
      </c>
      <c r="AO51" s="191" t="str">
        <f>'1_BD questio brut'!AM51</f>
        <v>2</v>
      </c>
      <c r="AP51" s="191" t="str">
        <f>'1_BD questio brut'!AN51</f>
        <v/>
      </c>
      <c r="AQ51" s="191" t="str">
        <f>'1_BD questio brut'!AO51</f>
        <v/>
      </c>
    </row>
    <row r="52" spans="1:43" ht="43.5" hidden="1">
      <c r="A52" s="98">
        <f>INDEX('3_BD instruction total'!A:A,MATCH(C52,'3_BD instruction total'!F:F,0))</f>
        <v>2020</v>
      </c>
      <c r="B52" s="98" t="str">
        <f>INDEX('3_BD instruction total'!C:C,MATCH(C52,'3_BD instruction total'!F:F,0))</f>
        <v>région</v>
      </c>
      <c r="C52" s="191" t="str">
        <f>'1_BD questio brut'!A52</f>
        <v>VRB0055</v>
      </c>
      <c r="D52" s="191" t="str">
        <f t="array" ref="D52">INDEX('Données 1_BD questio'!C:C,MATCH('1_BD questio brut'!$B$1&amp;'1_BD questio brut'!B52,'Données 1_BD questio'!A:A&amp;'Données 1_BD questio'!B:B,0))</f>
        <v>CAPV</v>
      </c>
      <c r="E52" s="191" t="str">
        <f t="array" ref="E52">INDEX('Données 1_BD questio'!C:C,MATCH('1_BD questio brut'!$C$1&amp;'1_BD questio brut'!C52,'Données 1_BD questio'!A:A&amp;'Données 1_BD questio'!B:B,0))</f>
        <v>Employé</v>
      </c>
      <c r="F52" s="191" t="str">
        <f t="array" ref="F52">INDEX('Données 1_BD questio'!C:C,MATCH('1_BD questio brut'!$D$1&amp;'1_BD questio brut'!D52,'Données 1_BD questio'!A:A&amp;'Données 1_BD questio'!B:B,0))</f>
        <v>Artisan,commerçant,chef d'entreprise</v>
      </c>
      <c r="G52" s="191" t="str">
        <f>'1_BD questio brut'!E52</f>
        <v>25 à 34 ans</v>
      </c>
      <c r="H52" s="191">
        <f>'1_BD questio brut'!F52</f>
        <v>3</v>
      </c>
      <c r="I52" s="191" t="str">
        <f>'1_BD questio brut'!G52</f>
        <v>Pas de réponse</v>
      </c>
      <c r="J52" s="191" t="str">
        <f t="array" ref="J52">INDEX('Données 1_BD questio'!C:C,MATCH('1_BD questio brut'!$H$1&amp;'1_BD questio brut'!H52,'Données 1_BD questio'!A:A&amp;'Données 1_BD questio'!B:B,0))</f>
        <v>Maison avec jardin</v>
      </c>
      <c r="K52" s="191">
        <f>'1_BD questio brut'!I52</f>
        <v>97</v>
      </c>
      <c r="L52" s="191" t="str">
        <f>'1_BD questio brut'!J52</f>
        <v>1990-2005</v>
      </c>
      <c r="M52" s="191" t="str">
        <f>'1_BD questio brut'!K52</f>
        <v>1</v>
      </c>
      <c r="N52" s="191" t="str">
        <f>'1_BD questio brut'!L52</f>
        <v>Pas de réponse</v>
      </c>
      <c r="O52" s="191" t="str">
        <f>'1_BD questio brut'!M52</f>
        <v>Propriétaire occupant</v>
      </c>
      <c r="P52" s="191" t="str">
        <f>'1_BD questio brut'!N52</f>
        <v>Poêle</v>
      </c>
      <c r="Q52" s="191" t="str">
        <f>'1_BD questio brut'!O52</f>
        <v>Chauffage de base</v>
      </c>
      <c r="R52" s="191" t="str">
        <f>'1_BD questio brut'!P52</f>
        <v>Tous les jours</v>
      </c>
      <c r="S52" s="191" t="str">
        <f>'1_BD questio brut'!Q52</f>
        <v>1; 2; 4; 5; 6</v>
      </c>
      <c r="T52" s="191" t="str">
        <f>'1_BD questio brut'!R52</f>
        <v>Après 2002</v>
      </c>
      <c r="U52" s="191" t="str">
        <f>'1_BD questio brut'!S52</f>
        <v>Bois bûche</v>
      </c>
      <c r="V52" s="191" t="str">
        <f>'1_BD questio brut'!T52</f>
        <v/>
      </c>
      <c r="W52" s="191" t="str">
        <f>'1_BD questio brut'!U52</f>
        <v>4</v>
      </c>
      <c r="X52" s="191" t="str">
        <f>'1_BD questio brut'!V52</f>
        <v>stères</v>
      </c>
      <c r="Y52" s="191" t="str">
        <f>'1_BD questio brut'!W52</f>
        <v>2</v>
      </c>
      <c r="Z52" s="191" t="str">
        <f>'1_BD questio brut'!X52</f>
        <v/>
      </c>
      <c r="AA52" s="191" t="str">
        <f t="array" ref="AA52">INDEX('Données 1_BD questio'!C:C,MATCH('1_BD questio brut'!$Y$1&amp;'1_BD questio brut'!Y52,'Données 1_BD questio'!A:A&amp;'Données 1_BD questio'!B:B,0))</f>
        <v>Rhône-Alpes hors RA2B</v>
      </c>
      <c r="AB52" s="191" t="str">
        <f>'1_BD questio brut'!Z52</f>
        <v>2</v>
      </c>
      <c r="AC52" s="191" t="str">
        <f>'1_BD questio brut'!AA52</f>
        <v>&gt; 2 ans</v>
      </c>
      <c r="AD52" s="191" t="str">
        <f>'1_BD questio brut'!AB52</f>
        <v>Les deux</v>
      </c>
      <c r="AE52" s="191" t="str">
        <f t="array" ref="AE52">INDEX('Données 1_BD questio'!C:C,MATCH('1_BD questio brut'!$AC$1&amp;'1_BD questio brut'!AC52,'Données 1_BD questio'!A:A&amp;'Données 1_BD questio'!B:B,0))</f>
        <v>un professionnel</v>
      </c>
      <c r="AF52" s="191" t="str">
        <f>'1_BD questio brut'!AD52</f>
        <v>1 fois par an</v>
      </c>
      <c r="AG52" s="191" t="str">
        <f>'1_BD questio brut'!AE52</f>
        <v/>
      </c>
      <c r="AH52" s="191" t="str">
        <f>'1_BD questio brut'!AF52</f>
        <v>Poêle</v>
      </c>
      <c r="AI52" s="191" t="str">
        <f>'1_BD questio brut'!AG52</f>
        <v>2</v>
      </c>
      <c r="AJ52" s="191" t="str">
        <f>'1_BD questio brut'!AH52</f>
        <v/>
      </c>
      <c r="AK52" s="191" t="str">
        <f>'1_BD questio brut'!AI52</f>
        <v>Chauffage de base</v>
      </c>
      <c r="AL52" s="191" t="str">
        <f>'1_BD questio brut'!AJ52</f>
        <v>Pas de réponse</v>
      </c>
      <c r="AM52" s="191" t="str">
        <f>'1_BD questio brut'!AK52</f>
        <v>2; 4</v>
      </c>
      <c r="AN52" s="191" t="str">
        <f>'1_BD questio brut'!AL52</f>
        <v/>
      </c>
      <c r="AO52" s="191" t="str">
        <f>'1_BD questio brut'!AM52</f>
        <v>7</v>
      </c>
      <c r="AP52" s="191" t="str">
        <f>'1_BD questio brut'!AN52</f>
        <v/>
      </c>
      <c r="AQ52" s="191" t="str">
        <f>'1_BD questio brut'!AO52</f>
        <v/>
      </c>
    </row>
    <row r="53" spans="1:43" ht="43.5" hidden="1">
      <c r="A53" s="98">
        <f>INDEX('3_BD instruction total'!A:A,MATCH(C53,'3_BD instruction total'!F:F,0))</f>
        <v>2020</v>
      </c>
      <c r="B53" s="98" t="str">
        <f>INDEX('3_BD instruction total'!C:C,MATCH(C53,'3_BD instruction total'!F:F,0))</f>
        <v>région</v>
      </c>
      <c r="C53" s="191" t="str">
        <f>'1_BD questio brut'!A53</f>
        <v>VRB0056</v>
      </c>
      <c r="D53" s="191" t="str">
        <f t="array" ref="D53">INDEX('Données 1_BD questio'!C:C,MATCH('1_BD questio brut'!$B$1&amp;'1_BD questio brut'!B53,'Données 1_BD questio'!A:A&amp;'Données 1_BD questio'!B:B,0))</f>
        <v>CAPV</v>
      </c>
      <c r="E53" s="191" t="str">
        <f t="array" ref="E53">INDEX('Données 1_BD questio'!C:C,MATCH('1_BD questio brut'!$C$1&amp;'1_BD questio brut'!C53,'Données 1_BD questio'!A:A&amp;'Données 1_BD questio'!B:B,0))</f>
        <v>Employé</v>
      </c>
      <c r="F53" s="191" t="str">
        <f t="array" ref="F53">INDEX('Données 1_BD questio'!C:C,MATCH('1_BD questio brut'!$D$1&amp;'1_BD questio brut'!D53,'Données 1_BD questio'!A:A&amp;'Données 1_BD questio'!B:B,0))</f>
        <v>Employé</v>
      </c>
      <c r="G53" s="191" t="str">
        <f>'1_BD questio brut'!E53</f>
        <v>50 à 64 ans</v>
      </c>
      <c r="H53" s="191">
        <f>'1_BD questio brut'!F53</f>
        <v>4</v>
      </c>
      <c r="I53" s="191" t="str">
        <f>'1_BD questio brut'!G53</f>
        <v>Pas de réponse</v>
      </c>
      <c r="J53" s="191" t="str">
        <f t="array" ref="J53">INDEX('Données 1_BD questio'!C:C,MATCH('1_BD questio brut'!$H$1&amp;'1_BD questio brut'!H53,'Données 1_BD questio'!A:A&amp;'Données 1_BD questio'!B:B,0))</f>
        <v>Maison avec jardin</v>
      </c>
      <c r="K53" s="191">
        <f>'1_BD questio brut'!I53</f>
        <v>110</v>
      </c>
      <c r="L53" s="191" t="str">
        <f>'1_BD questio brut'!J53</f>
        <v>1990-2005</v>
      </c>
      <c r="M53" s="191" t="str">
        <f>'1_BD questio brut'!K53</f>
        <v>6</v>
      </c>
      <c r="N53" s="191" t="str">
        <f>'1_BD questio brut'!L53</f>
        <v>Pas de réponse</v>
      </c>
      <c r="O53" s="191" t="str">
        <f>'1_BD questio brut'!M53</f>
        <v>Propriétaire occupant</v>
      </c>
      <c r="P53" s="191" t="str">
        <f>'1_BD questio brut'!N53</f>
        <v>Poêle</v>
      </c>
      <c r="Q53" s="191" t="str">
        <f>'1_BD questio brut'!O53</f>
        <v>Chauffage de base</v>
      </c>
      <c r="R53" s="191" t="str">
        <f>'1_BD questio brut'!P53</f>
        <v>Tous les jours</v>
      </c>
      <c r="S53" s="191" t="str">
        <f>'1_BD questio brut'!Q53</f>
        <v>4; 5</v>
      </c>
      <c r="T53" s="191" t="str">
        <f>'1_BD questio brut'!R53</f>
        <v>1996-2002</v>
      </c>
      <c r="U53" s="191" t="str">
        <f>'1_BD questio brut'!S53</f>
        <v>Bois bûche</v>
      </c>
      <c r="V53" s="191" t="str">
        <f>'1_BD questio brut'!T53</f>
        <v/>
      </c>
      <c r="W53" s="191" t="str">
        <f>'1_BD questio brut'!U53</f>
        <v>10</v>
      </c>
      <c r="X53" s="191" t="str">
        <f>'1_BD questio brut'!V53</f>
        <v>stères</v>
      </c>
      <c r="Y53" s="191" t="str">
        <f>'1_BD questio brut'!W53</f>
        <v>2</v>
      </c>
      <c r="Z53" s="191" t="str">
        <f>'1_BD questio brut'!X53</f>
        <v/>
      </c>
      <c r="AA53" s="191" t="str">
        <f t="array" ref="AA53">INDEX('Données 1_BD questio'!C:C,MATCH('1_BD questio brut'!$Y$1&amp;'1_BD questio brut'!Y53,'Données 1_BD questio'!A:A&amp;'Données 1_BD questio'!B:B,0))</f>
        <v>RA2B</v>
      </c>
      <c r="AB53" s="191" t="str">
        <f>'1_BD questio brut'!Z53</f>
        <v>2</v>
      </c>
      <c r="AC53" s="191" t="str">
        <f>'1_BD questio brut'!AA53</f>
        <v>1 à 2 ans</v>
      </c>
      <c r="AD53" s="191" t="str">
        <f>'1_BD questio brut'!AB53</f>
        <v>Les deux</v>
      </c>
      <c r="AE53" s="191" t="str">
        <f t="array" ref="AE53">INDEX('Données 1_BD questio'!C:C,MATCH('1_BD questio brut'!$AC$1&amp;'1_BD questio brut'!AC53,'Données 1_BD questio'!A:A&amp;'Données 1_BD questio'!B:B,0))</f>
        <v>un professionnel</v>
      </c>
      <c r="AF53" s="191" t="str">
        <f>'1_BD questio brut'!AD53</f>
        <v>1 fois par an</v>
      </c>
      <c r="AG53" s="191" t="str">
        <f>'1_BD questio brut'!AE53</f>
        <v/>
      </c>
      <c r="AH53" s="191" t="str">
        <f>'1_BD questio brut'!AF53</f>
        <v>Poêle</v>
      </c>
      <c r="AI53" s="191" t="str">
        <f>'1_BD questio brut'!AG53</f>
        <v>2</v>
      </c>
      <c r="AJ53" s="191" t="str">
        <f>'1_BD questio brut'!AH53</f>
        <v/>
      </c>
      <c r="AK53" s="191" t="str">
        <f>'1_BD questio brut'!AI53</f>
        <v>Chauffage de base</v>
      </c>
      <c r="AL53" s="191" t="str">
        <f>'1_BD questio brut'!AJ53</f>
        <v>Pas de réponse</v>
      </c>
      <c r="AM53" s="191" t="str">
        <f>'1_BD questio brut'!AK53</f>
        <v>1; 4; 5</v>
      </c>
      <c r="AN53" s="191" t="str">
        <f>'1_BD questio brut'!AL53</f>
        <v/>
      </c>
      <c r="AO53" s="191" t="str">
        <f>'1_BD questio brut'!AM53</f>
        <v>5</v>
      </c>
      <c r="AP53" s="191" t="str">
        <f>'1_BD questio brut'!AN53</f>
        <v/>
      </c>
      <c r="AQ53" s="191" t="str">
        <f>'1_BD questio brut'!AO53</f>
        <v/>
      </c>
    </row>
    <row r="54" spans="1:43" ht="43.5" hidden="1">
      <c r="A54" s="98">
        <f>INDEX('3_BD instruction total'!A:A,MATCH(C54,'3_BD instruction total'!F:F,0))</f>
        <v>2020</v>
      </c>
      <c r="B54" s="98" t="str">
        <f>INDEX('3_BD instruction total'!C:C,MATCH(C54,'3_BD instruction total'!F:F,0))</f>
        <v>région</v>
      </c>
      <c r="C54" s="191" t="str">
        <f>'1_BD questio brut'!A54</f>
        <v>VRB0057</v>
      </c>
      <c r="D54" s="191" t="str">
        <f t="array" ref="D54">INDEX('Données 1_BD questio'!C:C,MATCH('1_BD questio brut'!$B$1&amp;'1_BD questio brut'!B54,'Données 1_BD questio'!A:A&amp;'Données 1_BD questio'!B:B,0))</f>
        <v>CAPV</v>
      </c>
      <c r="E54" s="191" t="str">
        <f t="array" ref="E54">INDEX('Données 1_BD questio'!C:C,MATCH('1_BD questio brut'!$C$1&amp;'1_BD questio brut'!C54,'Données 1_BD questio'!A:A&amp;'Données 1_BD questio'!B:B,0))</f>
        <v>Artisan,commerçant,chef d'entreprise</v>
      </c>
      <c r="F54" s="191" t="str">
        <f t="array" ref="F54">INDEX('Données 1_BD questio'!C:C,MATCH('1_BD questio brut'!$D$1&amp;'1_BD questio brut'!D54,'Données 1_BD questio'!A:A&amp;'Données 1_BD questio'!B:B,0))</f>
        <v>Employé</v>
      </c>
      <c r="G54" s="191" t="str">
        <f>'1_BD questio brut'!E54</f>
        <v>35 à 49 ans</v>
      </c>
      <c r="H54" s="191">
        <f>'1_BD questio brut'!F54</f>
        <v>3</v>
      </c>
      <c r="I54" s="191" t="str">
        <f>'1_BD questio brut'!G54</f>
        <v>Pas de réponse</v>
      </c>
      <c r="J54" s="191" t="str">
        <f t="array" ref="J54">INDEX('Données 1_BD questio'!C:C,MATCH('1_BD questio brut'!$H$1&amp;'1_BD questio brut'!H54,'Données 1_BD questio'!A:A&amp;'Données 1_BD questio'!B:B,0))</f>
        <v>Maison avec jardin</v>
      </c>
      <c r="K54" s="191">
        <f>'1_BD questio brut'!I54</f>
        <v>140</v>
      </c>
      <c r="L54" s="191" t="str">
        <f>'1_BD questio brut'!J54</f>
        <v>Avant 1949</v>
      </c>
      <c r="M54" s="191" t="str">
        <f>'1_BD questio brut'!K54</f>
        <v>2; 4</v>
      </c>
      <c r="N54" s="191" t="str">
        <f>'1_BD questio brut'!L54</f>
        <v>Pas de réponse</v>
      </c>
      <c r="O54" s="191" t="str">
        <f>'1_BD questio brut'!M54</f>
        <v>Propriétaire occupant</v>
      </c>
      <c r="P54" s="191" t="str">
        <f>'1_BD questio brut'!N54</f>
        <v>Insert / foyer fermé</v>
      </c>
      <c r="Q54" s="191" t="str">
        <f>'1_BD questio brut'!O54</f>
        <v>Chauffage de base</v>
      </c>
      <c r="R54" s="191" t="str">
        <f>'1_BD questio brut'!P54</f>
        <v>Tous les jours</v>
      </c>
      <c r="S54" s="191" t="str">
        <f>'1_BD questio brut'!Q54</f>
        <v>1; 2; 4; 5</v>
      </c>
      <c r="T54" s="191" t="str">
        <f>'1_BD questio brut'!R54</f>
        <v>1990-1995</v>
      </c>
      <c r="U54" s="191" t="str">
        <f>'1_BD questio brut'!S54</f>
        <v>Bois bûche</v>
      </c>
      <c r="V54" s="191" t="str">
        <f>'1_BD questio brut'!T54</f>
        <v/>
      </c>
      <c r="W54" s="191" t="str">
        <f>'1_BD questio brut'!U54</f>
        <v>8</v>
      </c>
      <c r="X54" s="191" t="str">
        <f>'1_BD questio brut'!V54</f>
        <v>stères</v>
      </c>
      <c r="Y54" s="191" t="str">
        <f>'1_BD questio brut'!W54</f>
        <v>2</v>
      </c>
      <c r="Z54" s="191" t="str">
        <f>'1_BD questio brut'!X54</f>
        <v/>
      </c>
      <c r="AA54" s="191" t="str">
        <f t="array" ref="AA54">INDEX('Données 1_BD questio'!C:C,MATCH('1_BD questio brut'!$Y$1&amp;'1_BD questio brut'!Y54,'Données 1_BD questio'!A:A&amp;'Données 1_BD questio'!B:B,0))</f>
        <v>Ne sait pas</v>
      </c>
      <c r="AB54" s="191" t="str">
        <f>'1_BD questio brut'!Z54</f>
        <v>2</v>
      </c>
      <c r="AC54" s="191" t="str">
        <f>'1_BD questio brut'!AA54</f>
        <v>1 à 2 ans</v>
      </c>
      <c r="AD54" s="191" t="str">
        <f>'1_BD questio brut'!AB54</f>
        <v>Les deux</v>
      </c>
      <c r="AE54" s="191" t="str">
        <f t="array" ref="AE54">INDEX('Données 1_BD questio'!C:C,MATCH('1_BD questio brut'!$AC$1&amp;'1_BD questio brut'!AC54,'Données 1_BD questio'!A:A&amp;'Données 1_BD questio'!B:B,0))</f>
        <v>un professionnel</v>
      </c>
      <c r="AF54" s="191" t="str">
        <f>'1_BD questio brut'!AD54</f>
        <v>1 fois par an</v>
      </c>
      <c r="AG54" s="191" t="str">
        <f>'1_BD questio brut'!AE54</f>
        <v/>
      </c>
      <c r="AH54" s="191" t="str">
        <f>'1_BD questio brut'!AF54</f>
        <v>Poêle</v>
      </c>
      <c r="AI54" s="191" t="str">
        <f>'1_BD questio brut'!AG54</f>
        <v>2</v>
      </c>
      <c r="AJ54" s="191" t="str">
        <f>'1_BD questio brut'!AH54</f>
        <v/>
      </c>
      <c r="AK54" s="191" t="str">
        <f>'1_BD questio brut'!AI54</f>
        <v>Chauffage de base</v>
      </c>
      <c r="AL54" s="191" t="str">
        <f>'1_BD questio brut'!AJ54</f>
        <v>Pas de réponse</v>
      </c>
      <c r="AM54" s="191" t="str">
        <f>'1_BD questio brut'!AK54</f>
        <v>2; 5</v>
      </c>
      <c r="AN54" s="191" t="str">
        <f>'1_BD questio brut'!AL54</f>
        <v/>
      </c>
      <c r="AO54" s="191" t="str">
        <f>'1_BD questio brut'!AM54</f>
        <v>5</v>
      </c>
      <c r="AP54" s="191" t="str">
        <f>'1_BD questio brut'!AN54</f>
        <v/>
      </c>
      <c r="AQ54" s="191" t="str">
        <f>'1_BD questio brut'!AO54</f>
        <v/>
      </c>
    </row>
    <row r="55" spans="1:43" ht="43.5" hidden="1">
      <c r="A55" s="98" t="e">
        <f>INDEX('3_BD instruction total'!A:A,MATCH(C55,'3_BD instruction total'!F:F,0))</f>
        <v>#VALUE!</v>
      </c>
      <c r="B55" s="98" t="str">
        <f>INDEX('3_BD instruction total'!C:C,MATCH(C55,'3_BD instruction total'!F:F,0))</f>
        <v>oui région</v>
      </c>
      <c r="C55" s="191" t="str">
        <f>'1_BD questio brut'!A55</f>
        <v>VRB0058</v>
      </c>
      <c r="D55" s="191" t="str">
        <f t="array" ref="D55">INDEX('Données 1_BD questio'!C:C,MATCH('1_BD questio brut'!$B$1&amp;'1_BD questio brut'!B55,'Données 1_BD questio'!A:A&amp;'Données 1_BD questio'!B:B,0))</f>
        <v>CAPV</v>
      </c>
      <c r="E55" s="191" t="str">
        <f t="array" ref="E55">INDEX('Données 1_BD questio'!C:C,MATCH('1_BD questio brut'!$C$1&amp;'1_BD questio brut'!C55,'Données 1_BD questio'!A:A&amp;'Données 1_BD questio'!B:B,0))</f>
        <v>Autre,sans activité</v>
      </c>
      <c r="F55" s="191" t="str">
        <f t="array" ref="F55">INDEX('Données 1_BD questio'!C:C,MATCH('1_BD questio brut'!$D$1&amp;'1_BD questio brut'!D55,'Données 1_BD questio'!A:A&amp;'Données 1_BD questio'!B:B,0))</f>
        <v>Profession intermédiaire</v>
      </c>
      <c r="G55" s="191" t="str">
        <f>'1_BD questio brut'!E55</f>
        <v>35 à 49 ans</v>
      </c>
      <c r="H55" s="191">
        <f>'1_BD questio brut'!F55</f>
        <v>6</v>
      </c>
      <c r="I55" s="191" t="str">
        <f>'1_BD questio brut'!G55</f>
        <v>Pas de réponse</v>
      </c>
      <c r="J55" s="191" t="str">
        <f t="array" ref="J55">INDEX('Données 1_BD questio'!C:C,MATCH('1_BD questio brut'!$H$1&amp;'1_BD questio brut'!H55,'Données 1_BD questio'!A:A&amp;'Données 1_BD questio'!B:B,0))</f>
        <v>Maison avec jardin</v>
      </c>
      <c r="K55" s="191">
        <f>'1_BD questio brut'!I55</f>
        <v>140</v>
      </c>
      <c r="L55" s="191" t="str">
        <f>'1_BD questio brut'!J55</f>
        <v>1990-2005</v>
      </c>
      <c r="M55" s="191" t="str">
        <f>'1_BD questio brut'!K55</f>
        <v>6</v>
      </c>
      <c r="N55" s="191" t="str">
        <f>'1_BD questio brut'!L55</f>
        <v>D</v>
      </c>
      <c r="O55" s="191" t="str">
        <f>'1_BD questio brut'!M55</f>
        <v>Propriétaire occupant</v>
      </c>
      <c r="P55" s="191" t="str">
        <f>'1_BD questio brut'!N55</f>
        <v>Poêle</v>
      </c>
      <c r="Q55" s="191" t="str">
        <f>'1_BD questio brut'!O55</f>
        <v>Chauffage de base</v>
      </c>
      <c r="R55" s="191" t="str">
        <f>'1_BD questio brut'!P55</f>
        <v>Tous les jours</v>
      </c>
      <c r="S55" s="191" t="str">
        <f>'1_BD questio brut'!Q55</f>
        <v>1; 2; 4</v>
      </c>
      <c r="T55" s="191" t="str">
        <f>'1_BD questio brut'!R55</f>
        <v>Après 2002</v>
      </c>
      <c r="U55" s="191" t="str">
        <f>'1_BD questio brut'!S55</f>
        <v>Granulés/pellets</v>
      </c>
      <c r="V55" s="191" t="str">
        <f>'1_BD questio brut'!T55</f>
        <v/>
      </c>
      <c r="W55" s="191" t="str">
        <f>'1_BD questio brut'!U55</f>
        <v>1</v>
      </c>
      <c r="X55" s="191" t="str">
        <f>'1_BD questio brut'!V55</f>
        <v>Palette</v>
      </c>
      <c r="Y55" s="191" t="str">
        <f>'1_BD questio brut'!W55</f>
        <v>3</v>
      </c>
      <c r="Z55" s="191" t="str">
        <f>'1_BD questio brut'!X55</f>
        <v/>
      </c>
      <c r="AA55" s="191" t="str">
        <f t="array" ref="AA55">INDEX('Données 1_BD questio'!C:C,MATCH('1_BD questio brut'!$Y$1&amp;'1_BD questio brut'!Y55,'Données 1_BD questio'!A:A&amp;'Données 1_BD questio'!B:B,0))</f>
        <v>France hors Rhône-Alpes</v>
      </c>
      <c r="AB55" s="191" t="str">
        <f>'1_BD questio brut'!Z55</f>
        <v>1</v>
      </c>
      <c r="AC55" s="191" t="str">
        <f>'1_BD questio brut'!AA55</f>
        <v>Pas de réponse</v>
      </c>
      <c r="AD55" s="191" t="str">
        <f>'1_BD questio brut'!AB55</f>
        <v>Pas de réponse</v>
      </c>
      <c r="AE55" s="191" t="str">
        <f t="array" ref="AE55">INDEX('Données 1_BD questio'!C:C,MATCH('1_BD questio brut'!$AC$1&amp;'1_BD questio brut'!AC55,'Données 1_BD questio'!A:A&amp;'Données 1_BD questio'!B:B,0))</f>
        <v>un professionnel</v>
      </c>
      <c r="AF55" s="191" t="str">
        <f>'1_BD questio brut'!AD55</f>
        <v>2 fois par an</v>
      </c>
      <c r="AG55" s="191" t="str">
        <f>'1_BD questio brut'!AE55</f>
        <v/>
      </c>
      <c r="AH55" s="191" t="str">
        <f>'1_BD questio brut'!AF55</f>
        <v>Poêle</v>
      </c>
      <c r="AI55" s="191" t="str">
        <f>'1_BD questio brut'!AG55</f>
        <v>2</v>
      </c>
      <c r="AJ55" s="191" t="str">
        <f>'1_BD questio brut'!AH55</f>
        <v/>
      </c>
      <c r="AK55" s="191" t="str">
        <f>'1_BD questio brut'!AI55</f>
        <v>Chauffage de base</v>
      </c>
      <c r="AL55" s="191" t="str">
        <f>'1_BD questio brut'!AJ55</f>
        <v>Pas de réponse</v>
      </c>
      <c r="AM55" s="191" t="str">
        <f>'1_BD questio brut'!AK55</f>
        <v>2; 4</v>
      </c>
      <c r="AN55" s="191" t="str">
        <f>'1_BD questio brut'!AL55</f>
        <v/>
      </c>
      <c r="AO55" s="191" t="str">
        <f>'1_BD questio brut'!AM55</f>
        <v>5</v>
      </c>
      <c r="AP55" s="191" t="str">
        <f>'1_BD questio brut'!AN55</f>
        <v/>
      </c>
      <c r="AQ55" s="191" t="str">
        <f>'1_BD questio brut'!AO55</f>
        <v/>
      </c>
    </row>
    <row r="56" spans="1:43" ht="43.5" hidden="1">
      <c r="A56" s="98">
        <f>INDEX('3_BD instruction total'!A:A,MATCH(C56,'3_BD instruction total'!F:F,0))</f>
        <v>2021</v>
      </c>
      <c r="B56" s="98" t="str">
        <f>INDEX('3_BD instruction total'!C:C,MATCH(C56,'3_BD instruction total'!F:F,0))</f>
        <v>non</v>
      </c>
      <c r="C56" s="191" t="str">
        <f>'1_BD questio brut'!A56</f>
        <v>VRB0059</v>
      </c>
      <c r="D56" s="191" t="str">
        <f t="array" ref="D56">INDEX('Données 1_BD questio'!C:C,MATCH('1_BD questio brut'!$B$1&amp;'1_BD questio brut'!B56,'Données 1_BD questio'!A:A&amp;'Données 1_BD questio'!B:B,0))</f>
        <v>CAPV</v>
      </c>
      <c r="E56" s="191" t="str">
        <f t="array" ref="E56">INDEX('Données 1_BD questio'!C:C,MATCH('1_BD questio brut'!$C$1&amp;'1_BD questio brut'!C56,'Données 1_BD questio'!A:A&amp;'Données 1_BD questio'!B:B,0))</f>
        <v>Ouvrier</v>
      </c>
      <c r="F56" s="191" t="str">
        <f t="array" ref="F56">INDEX('Données 1_BD questio'!C:C,MATCH('1_BD questio brut'!$D$1&amp;'1_BD questio brut'!D56,'Données 1_BD questio'!A:A&amp;'Données 1_BD questio'!B:B,0))</f>
        <v>Artisan,commerçant,chef d'entreprise</v>
      </c>
      <c r="G56" s="191" t="str">
        <f>'1_BD questio brut'!E56</f>
        <v>35 à 49 ans</v>
      </c>
      <c r="H56" s="191">
        <f>'1_BD questio brut'!F56</f>
        <v>4</v>
      </c>
      <c r="I56" s="191" t="str">
        <f>'1_BD questio brut'!G56</f>
        <v>Pas de réponse</v>
      </c>
      <c r="J56" s="191" t="str">
        <f t="array" ref="J56">INDEX('Données 1_BD questio'!C:C,MATCH('1_BD questio brut'!$H$1&amp;'1_BD questio brut'!H56,'Données 1_BD questio'!A:A&amp;'Données 1_BD questio'!B:B,0))</f>
        <v>Maison avec jardin</v>
      </c>
      <c r="K56" s="191">
        <f>'1_BD questio brut'!I56</f>
        <v>126</v>
      </c>
      <c r="L56" s="191" t="str">
        <f>'1_BD questio brut'!J56</f>
        <v>1975-1990</v>
      </c>
      <c r="M56" s="191" t="str">
        <f>'1_BD questio brut'!K56</f>
        <v>4</v>
      </c>
      <c r="N56" s="191" t="str">
        <f>'1_BD questio brut'!L56</f>
        <v>D</v>
      </c>
      <c r="O56" s="191" t="str">
        <f>'1_BD questio brut'!M56</f>
        <v>Propriétaire occupant</v>
      </c>
      <c r="P56" s="191" t="str">
        <f>'1_BD questio brut'!N56</f>
        <v>Insert / foyer fermé</v>
      </c>
      <c r="Q56" s="191" t="str">
        <f>'1_BD questio brut'!O56</f>
        <v>Chauffage de base</v>
      </c>
      <c r="R56" s="191" t="str">
        <f>'1_BD questio brut'!P56</f>
        <v>Tous les jours</v>
      </c>
      <c r="S56" s="191" t="str">
        <f>'1_BD questio brut'!Q56</f>
        <v>4; 5</v>
      </c>
      <c r="T56" s="191" t="str">
        <f>'1_BD questio brut'!R56</f>
        <v>Avant 1990</v>
      </c>
      <c r="U56" s="191" t="str">
        <f>'1_BD questio brut'!S56</f>
        <v>Bois bûche</v>
      </c>
      <c r="V56" s="191" t="str">
        <f>'1_BD questio brut'!T56</f>
        <v/>
      </c>
      <c r="W56" s="191" t="str">
        <f>'1_BD questio brut'!U56</f>
        <v>8</v>
      </c>
      <c r="X56" s="191" t="str">
        <f>'1_BD questio brut'!V56</f>
        <v>tonnes</v>
      </c>
      <c r="Y56" s="191" t="str">
        <f>'1_BD questio brut'!W56</f>
        <v>2</v>
      </c>
      <c r="Z56" s="191" t="str">
        <f>'1_BD questio brut'!X56</f>
        <v/>
      </c>
      <c r="AA56" s="191" t="str">
        <f t="array" ref="AA56">INDEX('Données 1_BD questio'!C:C,MATCH('1_BD questio brut'!$Y$1&amp;'1_BD questio brut'!Y56,'Données 1_BD questio'!A:A&amp;'Données 1_BD questio'!B:B,0))</f>
        <v>Ne sait pas</v>
      </c>
      <c r="AB56" s="191" t="str">
        <f>'1_BD questio brut'!Z56</f>
        <v>1</v>
      </c>
      <c r="AC56" s="191" t="str">
        <f>'1_BD questio brut'!AA56</f>
        <v>1 à 2 ans</v>
      </c>
      <c r="AD56" s="191" t="str">
        <f>'1_BD questio brut'!AB56</f>
        <v>Feuillus</v>
      </c>
      <c r="AE56" s="191" t="str">
        <f t="array" ref="AE56">INDEX('Données 1_BD questio'!C:C,MATCH('1_BD questio brut'!$AC$1&amp;'1_BD questio brut'!AC56,'Données 1_BD questio'!A:A&amp;'Données 1_BD questio'!B:B,0))</f>
        <v>un professionnel</v>
      </c>
      <c r="AF56" s="191" t="str">
        <f>'1_BD questio brut'!AD56</f>
        <v>1 fois par an</v>
      </c>
      <c r="AG56" s="191" t="str">
        <f>'1_BD questio brut'!AE56</f>
        <v/>
      </c>
      <c r="AH56" s="191" t="str">
        <f>'1_BD questio brut'!AF56</f>
        <v>Poêle</v>
      </c>
      <c r="AI56" s="191" t="str">
        <f>'1_BD questio brut'!AG56</f>
        <v>1</v>
      </c>
      <c r="AJ56" s="191" t="str">
        <f>'1_BD questio brut'!AH56</f>
        <v/>
      </c>
      <c r="AK56" s="191" t="str">
        <f>'1_BD questio brut'!AI56</f>
        <v>Chauffage de base</v>
      </c>
      <c r="AL56" s="191" t="str">
        <f>'1_BD questio brut'!AJ56</f>
        <v>Pas de réponse</v>
      </c>
      <c r="AM56" s="191" t="str">
        <f>'1_BD questio brut'!AK56</f>
        <v>2; 4</v>
      </c>
      <c r="AN56" s="191" t="str">
        <f>'1_BD questio brut'!AL56</f>
        <v/>
      </c>
      <c r="AO56" s="191" t="str">
        <f>'1_BD questio brut'!AM56</f>
        <v>5</v>
      </c>
      <c r="AP56" s="191" t="str">
        <f>'1_BD questio brut'!AN56</f>
        <v/>
      </c>
      <c r="AQ56" s="191" t="str">
        <f>'1_BD questio brut'!AO56</f>
        <v/>
      </c>
    </row>
    <row r="57" spans="1:43" ht="43.5" hidden="1">
      <c r="A57" s="98">
        <f>INDEX('3_BD instruction total'!A:A,MATCH(C57,'3_BD instruction total'!F:F,0))</f>
        <v>2020</v>
      </c>
      <c r="B57" s="98" t="str">
        <f>INDEX('3_BD instruction total'!C:C,MATCH(C57,'3_BD instruction total'!F:F,0))</f>
        <v>région</v>
      </c>
      <c r="C57" s="191" t="str">
        <f>'1_BD questio brut'!A57</f>
        <v>VRB0061</v>
      </c>
      <c r="D57" s="191" t="str">
        <f t="array" ref="D57">INDEX('Données 1_BD questio'!C:C,MATCH('1_BD questio brut'!$B$1&amp;'1_BD questio brut'!B57,'Données 1_BD questio'!A:A&amp;'Données 1_BD questio'!B:B,0))</f>
        <v>CCLG</v>
      </c>
      <c r="E57" s="191" t="str">
        <f t="array" ref="E57">INDEX('Données 1_BD questio'!C:C,MATCH('1_BD questio brut'!$C$1&amp;'1_BD questio brut'!C57,'Données 1_BD questio'!A:A&amp;'Données 1_BD questio'!B:B,0))</f>
        <v>Employé</v>
      </c>
      <c r="F57" s="191" t="str">
        <f t="array" ref="F57">INDEX('Données 1_BD questio'!C:C,MATCH('1_BD questio brut'!$D$1&amp;'1_BD questio brut'!D57,'Données 1_BD questio'!A:A&amp;'Données 1_BD questio'!B:B,0))</f>
        <v>Employé</v>
      </c>
      <c r="G57" s="191" t="str">
        <f>'1_BD questio brut'!E57</f>
        <v>25 à 34 ans</v>
      </c>
      <c r="H57" s="191">
        <f>'1_BD questio brut'!F57</f>
        <v>4</v>
      </c>
      <c r="I57" s="191" t="str">
        <f>'1_BD questio brut'!G57</f>
        <v>Pas de réponse</v>
      </c>
      <c r="J57" s="191" t="str">
        <f t="array" ref="J57">INDEX('Données 1_BD questio'!C:C,MATCH('1_BD questio brut'!$H$1&amp;'1_BD questio brut'!H57,'Données 1_BD questio'!A:A&amp;'Données 1_BD questio'!B:B,0))</f>
        <v>Maison avec jardin</v>
      </c>
      <c r="K57" s="191">
        <f>'1_BD questio brut'!I57</f>
        <v>95</v>
      </c>
      <c r="L57" s="191" t="str">
        <f>'1_BD questio brut'!J57</f>
        <v>Avant 1949</v>
      </c>
      <c r="M57" s="191" t="str">
        <f>'1_BD questio brut'!K57</f>
        <v>4</v>
      </c>
      <c r="N57" s="191" t="str">
        <f>'1_BD questio brut'!L57</f>
        <v>Pas de réponse</v>
      </c>
      <c r="O57" s="191" t="str">
        <f>'1_BD questio brut'!M57</f>
        <v>Propriétaire occupant</v>
      </c>
      <c r="P57" s="191" t="str">
        <f>'1_BD questio brut'!N57</f>
        <v>Insert / foyer fermé</v>
      </c>
      <c r="Q57" s="191" t="str">
        <f>'1_BD questio brut'!O57</f>
        <v>Chauffage d'apoint</v>
      </c>
      <c r="R57" s="191" t="str">
        <f>'1_BD questio brut'!P57</f>
        <v>3 à 4 jours/semaine</v>
      </c>
      <c r="S57" s="191" t="str">
        <f>'1_BD questio brut'!Q57</f>
        <v>2; 4; 6</v>
      </c>
      <c r="T57" s="191" t="str">
        <f>'1_BD questio brut'!R57</f>
        <v>Avant 1990</v>
      </c>
      <c r="U57" s="191" t="str">
        <f>'1_BD questio brut'!S57</f>
        <v>Bois bûche</v>
      </c>
      <c r="V57" s="191" t="str">
        <f>'1_BD questio brut'!T57</f>
        <v/>
      </c>
      <c r="W57" s="191" t="str">
        <f>'1_BD questio brut'!U57</f>
        <v>5</v>
      </c>
      <c r="X57" s="191" t="str">
        <f>'1_BD questio brut'!V57</f>
        <v>m3</v>
      </c>
      <c r="Y57" s="191" t="str">
        <f>'1_BD questio brut'!W57</f>
        <v>2</v>
      </c>
      <c r="Z57" s="191" t="str">
        <f>'1_BD questio brut'!X57</f>
        <v/>
      </c>
      <c r="AA57" s="191" t="str">
        <f t="array" ref="AA57">INDEX('Données 1_BD questio'!C:C,MATCH('1_BD questio brut'!$Y$1&amp;'1_BD questio brut'!Y57,'Données 1_BD questio'!A:A&amp;'Données 1_BD questio'!B:B,0))</f>
        <v>RA2B</v>
      </c>
      <c r="AB57" s="191" t="str">
        <f>'1_BD questio brut'!Z57</f>
        <v>2</v>
      </c>
      <c r="AC57" s="191" t="str">
        <f>'1_BD questio brut'!AA57</f>
        <v>1 à 2 ans</v>
      </c>
      <c r="AD57" s="191" t="str">
        <f>'1_BD questio brut'!AB57</f>
        <v>Feuillus</v>
      </c>
      <c r="AE57" s="191" t="str">
        <f t="array" ref="AE57">INDEX('Données 1_BD questio'!C:C,MATCH('1_BD questio brut'!$AC$1&amp;'1_BD questio brut'!AC57,'Données 1_BD questio'!A:A&amp;'Données 1_BD questio'!B:B,0))</f>
        <v>un professionnel</v>
      </c>
      <c r="AF57" s="191" t="str">
        <f>'1_BD questio brut'!AD57</f>
        <v>1 fois par an</v>
      </c>
      <c r="AG57" s="191" t="str">
        <f>'1_BD questio brut'!AE57</f>
        <v/>
      </c>
      <c r="AH57" s="191" t="str">
        <f>'1_BD questio brut'!AF57</f>
        <v>Poêle</v>
      </c>
      <c r="AI57" s="191" t="str">
        <f>'1_BD questio brut'!AG57</f>
        <v>1</v>
      </c>
      <c r="AJ57" s="191" t="str">
        <f>'1_BD questio brut'!AH57</f>
        <v/>
      </c>
      <c r="AK57" s="191" t="str">
        <f>'1_BD questio brut'!AI57</f>
        <v>Chauffage d'appoint</v>
      </c>
      <c r="AL57" s="191" t="str">
        <f>'1_BD questio brut'!AJ57</f>
        <v>Pas de réponse</v>
      </c>
      <c r="AM57" s="191" t="str">
        <f>'1_BD questio brut'!AK57</f>
        <v>1; 4; 5; 6</v>
      </c>
      <c r="AN57" s="191" t="str">
        <f>'1_BD questio brut'!AL57</f>
        <v>Appareil securisé</v>
      </c>
      <c r="AO57" s="191" t="str">
        <f>'1_BD questio brut'!AM57</f>
        <v>5; 9</v>
      </c>
      <c r="AP57" s="191" t="str">
        <f>'1_BD questio brut'!AN57</f>
        <v/>
      </c>
      <c r="AQ57" s="191" t="str">
        <f>'1_BD questio brut'!AO57</f>
        <v/>
      </c>
    </row>
    <row r="58" spans="1:43" ht="43.5" hidden="1">
      <c r="A58" s="98">
        <f>INDEX('3_BD instruction total'!A:A,MATCH(C58,'3_BD instruction total'!F:F,0))</f>
        <v>2020</v>
      </c>
      <c r="B58" s="98" t="str">
        <f>INDEX('3_BD instruction total'!C:C,MATCH(C58,'3_BD instruction total'!F:F,0))</f>
        <v>région</v>
      </c>
      <c r="C58" s="191" t="str">
        <f>'1_BD questio brut'!A58</f>
        <v>VRB0062</v>
      </c>
      <c r="D58" s="191" t="str">
        <f t="array" ref="D58">INDEX('Données 1_BD questio'!C:C,MATCH('1_BD questio brut'!$B$1&amp;'1_BD questio brut'!B58,'Données 1_BD questio'!A:A&amp;'Données 1_BD questio'!B:B,0))</f>
        <v>CAPV</v>
      </c>
      <c r="E58" s="191" t="str">
        <f t="array" ref="E58">INDEX('Données 1_BD questio'!C:C,MATCH('1_BD questio brut'!$C$1&amp;'1_BD questio brut'!C58,'Données 1_BD questio'!A:A&amp;'Données 1_BD questio'!B:B,0))</f>
        <v>Artisan,commerçant,chef d'entreprise</v>
      </c>
      <c r="F58" s="191" t="str">
        <f t="array" ref="F58">INDEX('Données 1_BD questio'!C:C,MATCH('1_BD questio brut'!$D$1&amp;'1_BD questio brut'!D58,'Données 1_BD questio'!A:A&amp;'Données 1_BD questio'!B:B,0))</f>
        <v>Employé</v>
      </c>
      <c r="G58" s="191" t="str">
        <f>'1_BD questio brut'!E58</f>
        <v>35 à 49 ans</v>
      </c>
      <c r="H58" s="191">
        <f>'1_BD questio brut'!F58</f>
        <v>5</v>
      </c>
      <c r="I58" s="191" t="str">
        <f>'1_BD questio brut'!G58</f>
        <v>Pas de réponse</v>
      </c>
      <c r="J58" s="191" t="str">
        <f t="array" ref="J58">INDEX('Données 1_BD questio'!C:C,MATCH('1_BD questio brut'!$H$1&amp;'1_BD questio brut'!H58,'Données 1_BD questio'!A:A&amp;'Données 1_BD questio'!B:B,0))</f>
        <v>Maison avec jardin</v>
      </c>
      <c r="K58" s="191">
        <f>'1_BD questio brut'!I58</f>
        <v>120</v>
      </c>
      <c r="L58" s="191" t="str">
        <f>'1_BD questio brut'!J58</f>
        <v>1949-1975</v>
      </c>
      <c r="M58" s="191" t="str">
        <f>'1_BD questio brut'!K58</f>
        <v>1</v>
      </c>
      <c r="N58" s="191" t="str">
        <f>'1_BD questio brut'!L58</f>
        <v>Pas de réponse</v>
      </c>
      <c r="O58" s="191" t="str">
        <f>'1_BD questio brut'!M58</f>
        <v>Propriétaire occupant</v>
      </c>
      <c r="P58" s="191" t="str">
        <f>'1_BD questio brut'!N58</f>
        <v>Insert / foyer fermé</v>
      </c>
      <c r="Q58" s="191" t="str">
        <f>'1_BD questio brut'!O58</f>
        <v>Chauffage d'apoint</v>
      </c>
      <c r="R58" s="191" t="str">
        <f>'1_BD questio brut'!P58</f>
        <v>1 à 2 jours/semaine</v>
      </c>
      <c r="S58" s="191" t="str">
        <f>'1_BD questio brut'!Q58</f>
        <v>6</v>
      </c>
      <c r="T58" s="191" t="str">
        <f>'1_BD questio brut'!R58</f>
        <v>1996-2002</v>
      </c>
      <c r="U58" s="191" t="str">
        <f>'1_BD questio brut'!S58</f>
        <v>Bois bûche</v>
      </c>
      <c r="V58" s="191" t="str">
        <f>'1_BD questio brut'!T58</f>
        <v/>
      </c>
      <c r="W58" s="191" t="str">
        <f>'1_BD questio brut'!U58</f>
        <v>4</v>
      </c>
      <c r="X58" s="191" t="str">
        <f>'1_BD questio brut'!V58</f>
        <v>Stères</v>
      </c>
      <c r="Y58" s="191" t="str">
        <f>'1_BD questio brut'!W58</f>
        <v>2</v>
      </c>
      <c r="Z58" s="191" t="str">
        <f>'1_BD questio brut'!X58</f>
        <v/>
      </c>
      <c r="AA58" s="191" t="str">
        <f t="array" ref="AA58">INDEX('Données 1_BD questio'!C:C,MATCH('1_BD questio brut'!$Y$1&amp;'1_BD questio brut'!Y58,'Données 1_BD questio'!A:A&amp;'Données 1_BD questio'!B:B,0))</f>
        <v>Ne sait pas</v>
      </c>
      <c r="AB58" s="191" t="str">
        <f>'1_BD questio brut'!Z58</f>
        <v>2</v>
      </c>
      <c r="AC58" s="191" t="str">
        <f>'1_BD questio brut'!AA58</f>
        <v>1 à 2 ans</v>
      </c>
      <c r="AD58" s="191" t="str">
        <f>'1_BD questio brut'!AB58</f>
        <v>Feuillus</v>
      </c>
      <c r="AE58" s="191" t="str">
        <f t="array" ref="AE58">INDEX('Données 1_BD questio'!C:C,MATCH('1_BD questio brut'!$AC$1&amp;'1_BD questio brut'!AC58,'Données 1_BD questio'!A:A&amp;'Données 1_BD questio'!B:B,0))</f>
        <v>un professionnel</v>
      </c>
      <c r="AF58" s="191" t="str">
        <f>'1_BD questio brut'!AD58</f>
        <v>1 fois par an</v>
      </c>
      <c r="AG58" s="191" t="str">
        <f>'1_BD questio brut'!AE58</f>
        <v/>
      </c>
      <c r="AH58" s="191" t="str">
        <f>'1_BD questio brut'!AF58</f>
        <v>Insert cheminée</v>
      </c>
      <c r="AI58" s="191" t="str">
        <f>'1_BD questio brut'!AG58</f>
        <v>1</v>
      </c>
      <c r="AJ58" s="191" t="str">
        <f>'1_BD questio brut'!AH58</f>
        <v/>
      </c>
      <c r="AK58" s="191" t="str">
        <f>'1_BD questio brut'!AI58</f>
        <v>Chauffage de base</v>
      </c>
      <c r="AL58" s="191" t="str">
        <f>'1_BD questio brut'!AJ58</f>
        <v>Pas de réponse</v>
      </c>
      <c r="AM58" s="191" t="str">
        <f>'1_BD questio brut'!AK58</f>
        <v>2; 5</v>
      </c>
      <c r="AN58" s="191" t="str">
        <f>'1_BD questio brut'!AL58</f>
        <v/>
      </c>
      <c r="AO58" s="191" t="str">
        <f>'1_BD questio brut'!AM58</f>
        <v>5</v>
      </c>
      <c r="AP58" s="191" t="str">
        <f>'1_BD questio brut'!AN58</f>
        <v/>
      </c>
      <c r="AQ58" s="191" t="str">
        <f>'1_BD questio brut'!AO58</f>
        <v/>
      </c>
    </row>
    <row r="59" spans="1:43" ht="43.5" hidden="1">
      <c r="A59" s="98">
        <f>INDEX('3_BD instruction total'!A:A,MATCH(C59,'3_BD instruction total'!F:F,0))</f>
        <v>2020</v>
      </c>
      <c r="B59" s="98" t="str">
        <f>INDEX('3_BD instruction total'!C:C,MATCH(C59,'3_BD instruction total'!F:F,0))</f>
        <v>région</v>
      </c>
      <c r="C59" s="191" t="str">
        <f>'1_BD questio brut'!A59</f>
        <v>VRB0063</v>
      </c>
      <c r="D59" s="191" t="str">
        <f t="array" ref="D59">INDEX('Données 1_BD questio'!C:C,MATCH('1_BD questio brut'!$B$1&amp;'1_BD questio brut'!B59,'Données 1_BD questio'!A:A&amp;'Données 1_BD questio'!B:B,0))</f>
        <v>CAPV</v>
      </c>
      <c r="E59" s="191" t="str">
        <f t="array" ref="E59">INDEX('Données 1_BD questio'!C:C,MATCH('1_BD questio brut'!$C$1&amp;'1_BD questio brut'!C59,'Données 1_BD questio'!A:A&amp;'Données 1_BD questio'!B:B,0))</f>
        <v>Employé</v>
      </c>
      <c r="F59" s="191" t="str">
        <f t="array" ref="F59">INDEX('Données 1_BD questio'!C:C,MATCH('1_BD questio brut'!$D$1&amp;'1_BD questio brut'!D59,'Données 1_BD questio'!A:A&amp;'Données 1_BD questio'!B:B,0))</f>
        <v>Employé</v>
      </c>
      <c r="G59" s="191" t="str">
        <f>'1_BD questio brut'!E59</f>
        <v>25 à 34 ans</v>
      </c>
      <c r="H59" s="191">
        <f>'1_BD questio brut'!F59</f>
        <v>3</v>
      </c>
      <c r="I59" s="191" t="str">
        <f>'1_BD questio brut'!G59</f>
        <v>Pas de réponse</v>
      </c>
      <c r="J59" s="191" t="str">
        <f t="array" ref="J59">INDEX('Données 1_BD questio'!C:C,MATCH('1_BD questio brut'!$H$1&amp;'1_BD questio brut'!H59,'Données 1_BD questio'!A:A&amp;'Données 1_BD questio'!B:B,0))</f>
        <v>Maison avec jardin</v>
      </c>
      <c r="K59" s="191">
        <f>'1_BD questio brut'!I59</f>
        <v>150</v>
      </c>
      <c r="L59" s="191" t="str">
        <f>'1_BD questio brut'!J59</f>
        <v>Avant 1949</v>
      </c>
      <c r="M59" s="191" t="str">
        <f>'1_BD questio brut'!K59</f>
        <v>1; 4</v>
      </c>
      <c r="N59" s="191" t="str">
        <f>'1_BD questio brut'!L59</f>
        <v>D</v>
      </c>
      <c r="O59" s="191" t="str">
        <f>'1_BD questio brut'!M59</f>
        <v>Propriétaire occupant</v>
      </c>
      <c r="P59" s="191" t="str">
        <f>'1_BD questio brut'!N59</f>
        <v>Poêle</v>
      </c>
      <c r="Q59" s="191" t="str">
        <f>'1_BD questio brut'!O59</f>
        <v>Chauffage de base</v>
      </c>
      <c r="R59" s="191" t="str">
        <f>'1_BD questio brut'!P59</f>
        <v>Tous les jours</v>
      </c>
      <c r="S59" s="191" t="str">
        <f>'1_BD questio brut'!Q59</f>
        <v>4</v>
      </c>
      <c r="T59" s="191" t="str">
        <f>'1_BD questio brut'!R59</f>
        <v>Pas de réponse</v>
      </c>
      <c r="U59" s="191" t="str">
        <f>'1_BD questio brut'!S59</f>
        <v>Bois bûche</v>
      </c>
      <c r="V59" s="191" t="str">
        <f>'1_BD questio brut'!T59</f>
        <v/>
      </c>
      <c r="W59" s="191" t="str">
        <f>'1_BD questio brut'!U59</f>
        <v>10</v>
      </c>
      <c r="X59" s="191" t="str">
        <f>'1_BD questio brut'!V59</f>
        <v>Stères</v>
      </c>
      <c r="Y59" s="191" t="str">
        <f>'1_BD questio brut'!W59</f>
        <v>2</v>
      </c>
      <c r="Z59" s="191" t="str">
        <f>'1_BD questio brut'!X59</f>
        <v/>
      </c>
      <c r="AA59" s="191" t="str">
        <f t="array" ref="AA59">INDEX('Données 1_BD questio'!C:C,MATCH('1_BD questio brut'!$Y$1&amp;'1_BD questio brut'!Y59,'Données 1_BD questio'!A:A&amp;'Données 1_BD questio'!B:B,0))</f>
        <v>Ne sait pas</v>
      </c>
      <c r="AB59" s="191" t="str">
        <f>'1_BD questio brut'!Z59</f>
        <v>3</v>
      </c>
      <c r="AC59" s="191" t="str">
        <f>'1_BD questio brut'!AA59</f>
        <v>1 à 2 ans</v>
      </c>
      <c r="AD59" s="191" t="str">
        <f>'1_BD questio brut'!AB59</f>
        <v>Les deux</v>
      </c>
      <c r="AE59" s="191" t="str">
        <f t="array" ref="AE59">INDEX('Données 1_BD questio'!C:C,MATCH('1_BD questio brut'!$AC$1&amp;'1_BD questio brut'!AC59,'Données 1_BD questio'!A:A&amp;'Données 1_BD questio'!B:B,0))</f>
        <v>un professionnel</v>
      </c>
      <c r="AF59" s="191" t="str">
        <f>'1_BD questio brut'!AD59</f>
        <v>1 fois par an</v>
      </c>
      <c r="AG59" s="191" t="str">
        <f>'1_BD questio brut'!AE59</f>
        <v/>
      </c>
      <c r="AH59" s="191" t="str">
        <f>'1_BD questio brut'!AF59</f>
        <v>Poêle</v>
      </c>
      <c r="AI59" s="191" t="str">
        <f>'1_BD questio brut'!AG59</f>
        <v>2</v>
      </c>
      <c r="AJ59" s="191" t="str">
        <f>'1_BD questio brut'!AH59</f>
        <v/>
      </c>
      <c r="AK59" s="191" t="str">
        <f>'1_BD questio brut'!AI59</f>
        <v>Chauffage de base</v>
      </c>
      <c r="AL59" s="191" t="str">
        <f>'1_BD questio brut'!AJ59</f>
        <v>Pas de réponse</v>
      </c>
      <c r="AM59" s="191" t="str">
        <f>'1_BD questio brut'!AK59</f>
        <v>3; 4; 5</v>
      </c>
      <c r="AN59" s="191" t="str">
        <f>'1_BD questio brut'!AL59</f>
        <v/>
      </c>
      <c r="AO59" s="191" t="str">
        <f>'1_BD questio brut'!AM59</f>
        <v>5</v>
      </c>
      <c r="AP59" s="191" t="str">
        <f>'1_BD questio brut'!AN59</f>
        <v/>
      </c>
      <c r="AQ59" s="191" t="str">
        <f>'1_BD questio brut'!AO59</f>
        <v/>
      </c>
    </row>
    <row r="60" spans="1:43" ht="43.5" hidden="1">
      <c r="A60" s="98">
        <f>INDEX('3_BD instruction total'!A:A,MATCH(C60,'3_BD instruction total'!F:F,0))</f>
        <v>2020</v>
      </c>
      <c r="B60" s="98" t="str">
        <f>INDEX('3_BD instruction total'!C:C,MATCH(C60,'3_BD instruction total'!F:F,0))</f>
        <v>non</v>
      </c>
      <c r="C60" s="191" t="str">
        <f>'1_BD questio brut'!A60</f>
        <v>VRB0064</v>
      </c>
      <c r="D60" s="191" t="str">
        <f t="array" ref="D60">INDEX('Données 1_BD questio'!C:C,MATCH('1_BD questio brut'!$B$1&amp;'1_BD questio brut'!B60,'Données 1_BD questio'!A:A&amp;'Données 1_BD questio'!B:B,0))</f>
        <v>CAPV</v>
      </c>
      <c r="E60" s="191" t="str">
        <f t="array" ref="E60">INDEX('Données 1_BD questio'!C:C,MATCH('1_BD questio brut'!$C$1&amp;'1_BD questio brut'!C60,'Données 1_BD questio'!A:A&amp;'Données 1_BD questio'!B:B,0))</f>
        <v>Employé</v>
      </c>
      <c r="F60" s="191" t="str">
        <f t="array" ref="F60">INDEX('Données 1_BD questio'!C:C,MATCH('1_BD questio brut'!$D$1&amp;'1_BD questio brut'!D60,'Données 1_BD questio'!A:A&amp;'Données 1_BD questio'!B:B,0))</f>
        <v>Employé</v>
      </c>
      <c r="G60" s="191" t="str">
        <f>'1_BD questio brut'!E60</f>
        <v>35 à 49 ans</v>
      </c>
      <c r="H60" s="191">
        <f>'1_BD questio brut'!F60</f>
        <v>2</v>
      </c>
      <c r="I60" s="191" t="str">
        <f>'1_BD questio brut'!G60</f>
        <v>Pas de réponse</v>
      </c>
      <c r="J60" s="191" t="str">
        <f t="array" ref="J60">INDEX('Données 1_BD questio'!C:C,MATCH('1_BD questio brut'!$H$1&amp;'1_BD questio brut'!H60,'Données 1_BD questio'!A:A&amp;'Données 1_BD questio'!B:B,0))</f>
        <v>Maison avec jardin</v>
      </c>
      <c r="K60" s="191">
        <f>'1_BD questio brut'!I60</f>
        <v>80</v>
      </c>
      <c r="L60" s="191" t="str">
        <f>'1_BD questio brut'!J60</f>
        <v>1975-1990</v>
      </c>
      <c r="M60" s="191" t="str">
        <f>'1_BD questio brut'!K60</f>
        <v>6</v>
      </c>
      <c r="N60" s="191" t="str">
        <f>'1_BD questio brut'!L60</f>
        <v>E</v>
      </c>
      <c r="O60" s="191" t="str">
        <f>'1_BD questio brut'!M60</f>
        <v>Propriétaire occupant</v>
      </c>
      <c r="P60" s="191" t="str">
        <f>'1_BD questio brut'!N60</f>
        <v>Insert / foyer fermé</v>
      </c>
      <c r="Q60" s="191" t="str">
        <f>'1_BD questio brut'!O60</f>
        <v>Chauffage de base</v>
      </c>
      <c r="R60" s="191" t="str">
        <f>'1_BD questio brut'!P60</f>
        <v>Tous les jours</v>
      </c>
      <c r="S60" s="191" t="str">
        <f>'1_BD questio brut'!Q60</f>
        <v>2; 4</v>
      </c>
      <c r="T60" s="191" t="str">
        <f>'1_BD questio brut'!R60</f>
        <v>Avant 1990</v>
      </c>
      <c r="U60" s="191" t="str">
        <f>'1_BD questio brut'!S60</f>
        <v>Bois bûche</v>
      </c>
      <c r="V60" s="191" t="str">
        <f>'1_BD questio brut'!T60</f>
        <v/>
      </c>
      <c r="W60" s="191" t="str">
        <f>'1_BD questio brut'!U60</f>
        <v>4</v>
      </c>
      <c r="X60" s="191" t="str">
        <f>'1_BD questio brut'!V60</f>
        <v>stères</v>
      </c>
      <c r="Y60" s="191" t="str">
        <f>'1_BD questio brut'!W60</f>
        <v>2</v>
      </c>
      <c r="Z60" s="191" t="str">
        <f>'1_BD questio brut'!X60</f>
        <v/>
      </c>
      <c r="AA60" s="191" t="str">
        <f t="array" ref="AA60">INDEX('Données 1_BD questio'!C:C,MATCH('1_BD questio brut'!$Y$1&amp;'1_BD questio brut'!Y60,'Données 1_BD questio'!A:A&amp;'Données 1_BD questio'!B:B,0))</f>
        <v>Ne sait pas</v>
      </c>
      <c r="AB60" s="191" t="str">
        <f>'1_BD questio brut'!Z60</f>
        <v>2</v>
      </c>
      <c r="AC60" s="191" t="str">
        <f>'1_BD questio brut'!AA60</f>
        <v>1 à 2 ans</v>
      </c>
      <c r="AD60" s="191" t="str">
        <f>'1_BD questio brut'!AB60</f>
        <v>Feuillus</v>
      </c>
      <c r="AE60" s="191" t="str">
        <f t="array" ref="AE60">INDEX('Données 1_BD questio'!C:C,MATCH('1_BD questio brut'!$AC$1&amp;'1_BD questio brut'!AC60,'Données 1_BD questio'!A:A&amp;'Données 1_BD questio'!B:B,0))</f>
        <v>un professionnel</v>
      </c>
      <c r="AF60" s="191" t="str">
        <f>'1_BD questio brut'!AD60</f>
        <v>2 fois par an</v>
      </c>
      <c r="AG60" s="191" t="str">
        <f>'1_BD questio brut'!AE60</f>
        <v/>
      </c>
      <c r="AH60" s="191" t="str">
        <f>'1_BD questio brut'!AF60</f>
        <v>Insert cheminée</v>
      </c>
      <c r="AI60" s="191" t="str">
        <f>'1_BD questio brut'!AG60</f>
        <v>1</v>
      </c>
      <c r="AJ60" s="191" t="str">
        <f>'1_BD questio brut'!AH60</f>
        <v/>
      </c>
      <c r="AK60" s="191" t="str">
        <f>'1_BD questio brut'!AI60</f>
        <v>Chauffage de base</v>
      </c>
      <c r="AL60" s="191" t="str">
        <f>'1_BD questio brut'!AJ60</f>
        <v>Pas de réponse</v>
      </c>
      <c r="AM60" s="191" t="str">
        <f>'1_BD questio brut'!AK60</f>
        <v>1; 2; 4; 5</v>
      </c>
      <c r="AN60" s="191" t="str">
        <f>'1_BD questio brut'!AL60</f>
        <v/>
      </c>
      <c r="AO60" s="191" t="str">
        <f>'1_BD questio brut'!AM60</f>
        <v>5</v>
      </c>
      <c r="AP60" s="191" t="str">
        <f>'1_BD questio brut'!AN60</f>
        <v/>
      </c>
      <c r="AQ60" s="191" t="str">
        <f>'1_BD questio brut'!AO60</f>
        <v/>
      </c>
    </row>
    <row r="61" spans="1:43" ht="43.5" hidden="1">
      <c r="A61" s="98">
        <f>INDEX('3_BD instruction total'!A:A,MATCH(C61,'3_BD instruction total'!F:F,0))</f>
        <v>2020</v>
      </c>
      <c r="B61" s="98" t="str">
        <f>INDEX('3_BD instruction total'!C:C,MATCH(C61,'3_BD instruction total'!F:F,0))</f>
        <v>région</v>
      </c>
      <c r="C61" s="191" t="str">
        <f>'1_BD questio brut'!A61</f>
        <v>VRB0065</v>
      </c>
      <c r="D61" s="191" t="str">
        <f t="array" ref="D61">INDEX('Données 1_BD questio'!C:C,MATCH('1_BD questio brut'!$B$1&amp;'1_BD questio brut'!B61,'Données 1_BD questio'!A:A&amp;'Données 1_BD questio'!B:B,0))</f>
        <v>CAPV</v>
      </c>
      <c r="E61" s="191" t="str">
        <f t="array" ref="E61">INDEX('Données 1_BD questio'!C:C,MATCH('1_BD questio brut'!$C$1&amp;'1_BD questio brut'!C61,'Données 1_BD questio'!A:A&amp;'Données 1_BD questio'!B:B,0))</f>
        <v>Retraité</v>
      </c>
      <c r="F61" s="191" t="str">
        <f t="array" ref="F61">INDEX('Données 1_BD questio'!C:C,MATCH('1_BD questio brut'!$D$1&amp;'1_BD questio brut'!D61,'Données 1_BD questio'!A:A&amp;'Données 1_BD questio'!B:B,0))</f>
        <v>Retraité</v>
      </c>
      <c r="G61" s="191" t="str">
        <f>'1_BD questio brut'!E61</f>
        <v>65 ans et plus</v>
      </c>
      <c r="H61" s="191">
        <f>'1_BD questio brut'!F61</f>
        <v>2</v>
      </c>
      <c r="I61" s="191" t="str">
        <f>'1_BD questio brut'!G61</f>
        <v>Pas de réponse</v>
      </c>
      <c r="J61" s="191" t="str">
        <f t="array" ref="J61">INDEX('Données 1_BD questio'!C:C,MATCH('1_BD questio brut'!$H$1&amp;'1_BD questio brut'!H61,'Données 1_BD questio'!A:A&amp;'Données 1_BD questio'!B:B,0))</f>
        <v>Maison avec jardin</v>
      </c>
      <c r="K61" s="191">
        <f>'1_BD questio brut'!I61</f>
        <v>110</v>
      </c>
      <c r="L61" s="191" t="str">
        <f>'1_BD questio brut'!J61</f>
        <v>1975-1990</v>
      </c>
      <c r="M61" s="191" t="str">
        <f>'1_BD questio brut'!K61</f>
        <v>1; 4</v>
      </c>
      <c r="N61" s="191" t="str">
        <f>'1_BD questio brut'!L61</f>
        <v>Ne sait pas</v>
      </c>
      <c r="O61" s="191" t="str">
        <f>'1_BD questio brut'!M61</f>
        <v>Propriétaire occupant</v>
      </c>
      <c r="P61" s="191" t="str">
        <f>'1_BD questio brut'!N61</f>
        <v>Insert / foyer fermé</v>
      </c>
      <c r="Q61" s="191" t="str">
        <f>'1_BD questio brut'!O61</f>
        <v>Chauffage d'apoint</v>
      </c>
      <c r="R61" s="191" t="str">
        <f>'1_BD questio brut'!P61</f>
        <v>3 à 4 jours/semaine</v>
      </c>
      <c r="S61" s="191" t="str">
        <f>'1_BD questio brut'!Q61</f>
        <v>3; 4; 6</v>
      </c>
      <c r="T61" s="191" t="str">
        <f>'1_BD questio brut'!R61</f>
        <v>Avant 1990</v>
      </c>
      <c r="U61" s="191" t="str">
        <f>'1_BD questio brut'!S61</f>
        <v>Bois bûche</v>
      </c>
      <c r="V61" s="191" t="str">
        <f>'1_BD questio brut'!T61</f>
        <v/>
      </c>
      <c r="W61" s="191" t="str">
        <f>'1_BD questio brut'!U61</f>
        <v>6</v>
      </c>
      <c r="X61" s="191" t="str">
        <f>'1_BD questio brut'!V61</f>
        <v>m3</v>
      </c>
      <c r="Y61" s="191" t="str">
        <f>'1_BD questio brut'!W61</f>
        <v>1</v>
      </c>
      <c r="Z61" s="191" t="str">
        <f>'1_BD questio brut'!X61</f>
        <v/>
      </c>
      <c r="AA61" s="191" t="str">
        <f t="array" ref="AA61">INDEX('Données 1_BD questio'!C:C,MATCH('1_BD questio brut'!$Y$1&amp;'1_BD questio brut'!Y61,'Données 1_BD questio'!A:A&amp;'Données 1_BD questio'!B:B,0))</f>
        <v>Ne sait pas</v>
      </c>
      <c r="AB61" s="191" t="str">
        <f>'1_BD questio brut'!Z61</f>
        <v>1</v>
      </c>
      <c r="AC61" s="191" t="str">
        <f>'1_BD questio brut'!AA61</f>
        <v>&gt; 2 ans</v>
      </c>
      <c r="AD61" s="191" t="str">
        <f>'1_BD questio brut'!AB61</f>
        <v>Les deux</v>
      </c>
      <c r="AE61" s="191" t="str">
        <f t="array" ref="AE61">INDEX('Données 1_BD questio'!C:C,MATCH('1_BD questio brut'!$AC$1&amp;'1_BD questio brut'!AC61,'Données 1_BD questio'!A:A&amp;'Données 1_BD questio'!B:B,0))</f>
        <v>un professionnel</v>
      </c>
      <c r="AF61" s="191" t="str">
        <f>'1_BD questio brut'!AD61</f>
        <v>1 fois tous les 2 ans</v>
      </c>
      <c r="AG61" s="191" t="str">
        <f>'1_BD questio brut'!AE61</f>
        <v/>
      </c>
      <c r="AH61" s="191" t="str">
        <f>'1_BD questio brut'!AF61</f>
        <v>Poêle</v>
      </c>
      <c r="AI61" s="191" t="str">
        <f>'1_BD questio brut'!AG61</f>
        <v>1</v>
      </c>
      <c r="AJ61" s="191" t="str">
        <f>'1_BD questio brut'!AH61</f>
        <v/>
      </c>
      <c r="AK61" s="191" t="str">
        <f>'1_BD questio brut'!AI61</f>
        <v>Chauffage d'appoint</v>
      </c>
      <c r="AL61" s="191" t="str">
        <f>'1_BD questio brut'!AJ61</f>
        <v>Pas de réponse</v>
      </c>
      <c r="AM61" s="191" t="str">
        <f>'1_BD questio brut'!AK61</f>
        <v>2; 4; 5</v>
      </c>
      <c r="AN61" s="191" t="str">
        <f>'1_BD questio brut'!AL61</f>
        <v/>
      </c>
      <c r="AO61" s="191" t="str">
        <f>'1_BD questio brut'!AM61</f>
        <v>5</v>
      </c>
      <c r="AP61" s="191" t="str">
        <f>'1_BD questio brut'!AN61</f>
        <v/>
      </c>
      <c r="AQ61" s="191" t="str">
        <f>'1_BD questio brut'!AO61</f>
        <v/>
      </c>
    </row>
    <row r="62" spans="1:43" ht="43.5" hidden="1">
      <c r="A62" s="98">
        <f>INDEX('3_BD instruction total'!A:A,MATCH(C62,'3_BD instruction total'!F:F,0))</f>
        <v>2020</v>
      </c>
      <c r="B62" s="98" t="str">
        <f>INDEX('3_BD instruction total'!C:C,MATCH(C62,'3_BD instruction total'!F:F,0))</f>
        <v>région</v>
      </c>
      <c r="C62" s="191" t="str">
        <f>'1_BD questio brut'!A62</f>
        <v>VRB0066</v>
      </c>
      <c r="D62" s="191" t="str">
        <f t="array" ref="D62">INDEX('Données 1_BD questio'!C:C,MATCH('1_BD questio brut'!$B$1&amp;'1_BD questio brut'!B62,'Données 1_BD questio'!A:A&amp;'Données 1_BD questio'!B:B,0))</f>
        <v>CAPV</v>
      </c>
      <c r="E62" s="191" t="str">
        <f t="array" ref="E62">INDEX('Données 1_BD questio'!C:C,MATCH('1_BD questio brut'!$C$1&amp;'1_BD questio brut'!C62,'Données 1_BD questio'!A:A&amp;'Données 1_BD questio'!B:B,0))</f>
        <v>Cadre</v>
      </c>
      <c r="F62" s="191" t="str">
        <f t="array" ref="F62">INDEX('Données 1_BD questio'!C:C,MATCH('1_BD questio brut'!$D$1&amp;'1_BD questio brut'!D62,'Données 1_BD questio'!A:A&amp;'Données 1_BD questio'!B:B,0))</f>
        <v>Cadre</v>
      </c>
      <c r="G62" s="191" t="str">
        <f>'1_BD questio brut'!E62</f>
        <v>25 à 34 ans</v>
      </c>
      <c r="H62" s="191">
        <f>'1_BD questio brut'!F62</f>
        <v>4</v>
      </c>
      <c r="I62" s="191" t="str">
        <f>'1_BD questio brut'!G62</f>
        <v>Pas de réponse</v>
      </c>
      <c r="J62" s="191" t="str">
        <f t="array" ref="J62">INDEX('Données 1_BD questio'!C:C,MATCH('1_BD questio brut'!$H$1&amp;'1_BD questio brut'!H62,'Données 1_BD questio'!A:A&amp;'Données 1_BD questio'!B:B,0))</f>
        <v>Maison avec jardin</v>
      </c>
      <c r="K62" s="191">
        <f>'1_BD questio brut'!I62</f>
        <v>200</v>
      </c>
      <c r="L62" s="191" t="str">
        <f>'1_BD questio brut'!J62</f>
        <v>1975-1990</v>
      </c>
      <c r="M62" s="191" t="str">
        <f>'1_BD questio brut'!K62</f>
        <v>1</v>
      </c>
      <c r="N62" s="191" t="str">
        <f>'1_BD questio brut'!L62</f>
        <v>E</v>
      </c>
      <c r="O62" s="191" t="str">
        <f>'1_BD questio brut'!M62</f>
        <v>Propriétaire occupant</v>
      </c>
      <c r="P62" s="191" t="str">
        <f>'1_BD questio brut'!N62</f>
        <v>Foyer ouvert</v>
      </c>
      <c r="Q62" s="191" t="str">
        <f>'1_BD questio brut'!O62</f>
        <v>Chauffage d'apoint</v>
      </c>
      <c r="R62" s="191" t="str">
        <f>'1_BD questio brut'!P62</f>
        <v>3 à 4 jours/semaine</v>
      </c>
      <c r="S62" s="191" t="str">
        <f>'1_BD questio brut'!Q62</f>
        <v>3; 4; 6</v>
      </c>
      <c r="T62" s="191" t="str">
        <f>'1_BD questio brut'!R62</f>
        <v>Avant 1990</v>
      </c>
      <c r="U62" s="191" t="str">
        <f>'1_BD questio brut'!S62</f>
        <v>Bois bûche</v>
      </c>
      <c r="V62" s="191" t="str">
        <f>'1_BD questio brut'!T62</f>
        <v/>
      </c>
      <c r="W62" s="191" t="str">
        <f>'1_BD questio brut'!U62</f>
        <v/>
      </c>
      <c r="X62" s="191" t="str">
        <f>'1_BD questio brut'!V62</f>
        <v/>
      </c>
      <c r="Y62" s="191" t="str">
        <f>'1_BD questio brut'!W62</f>
        <v>5</v>
      </c>
      <c r="Z62" s="191" t="str">
        <f>'1_BD questio brut'!X62</f>
        <v/>
      </c>
      <c r="AA62" s="191" t="str">
        <f t="array" ref="AA62">INDEX('Données 1_BD questio'!C:C,MATCH('1_BD questio brut'!$Y$1&amp;'1_BD questio brut'!Y62,'Données 1_BD questio'!A:A&amp;'Données 1_BD questio'!B:B,0))</f>
        <v>Pas de réponse</v>
      </c>
      <c r="AB62" s="191" t="str">
        <f>'1_BD questio brut'!Z62</f>
        <v>2</v>
      </c>
      <c r="AC62" s="191" t="str">
        <f>'1_BD questio brut'!AA62</f>
        <v>Pas de réponse</v>
      </c>
      <c r="AD62" s="191" t="str">
        <f>'1_BD questio brut'!AB62</f>
        <v>Pas de réponse</v>
      </c>
      <c r="AE62" s="191" t="str">
        <f t="array" ref="AE62">INDEX('Données 1_BD questio'!C:C,MATCH('1_BD questio brut'!$AC$1&amp;'1_BD questio brut'!AC62,'Données 1_BD questio'!A:A&amp;'Données 1_BD questio'!B:B,0))</f>
        <v>Pas de réponse</v>
      </c>
      <c r="AF62" s="191" t="str">
        <f>'1_BD questio brut'!AD62</f>
        <v>Pas de réponse</v>
      </c>
      <c r="AG62" s="191" t="str">
        <f>'1_BD questio brut'!AE62</f>
        <v/>
      </c>
      <c r="AH62" s="191" t="str">
        <f>'1_BD questio brut'!AF62</f>
        <v>Poêle</v>
      </c>
      <c r="AI62" s="191" t="str">
        <f>'1_BD questio brut'!AG62</f>
        <v>1</v>
      </c>
      <c r="AJ62" s="191" t="str">
        <f>'1_BD questio brut'!AH62</f>
        <v/>
      </c>
      <c r="AK62" s="191" t="str">
        <f>'1_BD questio brut'!AI62</f>
        <v>Chauffage d'appoint</v>
      </c>
      <c r="AL62" s="191" t="str">
        <f>'1_BD questio brut'!AJ62</f>
        <v>Pas de réponse</v>
      </c>
      <c r="AM62" s="191" t="str">
        <f>'1_BD questio brut'!AK62</f>
        <v>4</v>
      </c>
      <c r="AN62" s="191" t="str">
        <f>'1_BD questio brut'!AL62</f>
        <v/>
      </c>
      <c r="AO62" s="191" t="str">
        <f>'1_BD questio brut'!AM62</f>
        <v>7</v>
      </c>
      <c r="AP62" s="191" t="str">
        <f>'1_BD questio brut'!AN62</f>
        <v/>
      </c>
      <c r="AQ62" s="191" t="str">
        <f>'1_BD questio brut'!AO62</f>
        <v/>
      </c>
    </row>
    <row r="63" spans="1:43" ht="43.5" hidden="1">
      <c r="A63" s="98" t="e">
        <f>INDEX('3_BD instruction total'!A:A,MATCH(C63,'3_BD instruction total'!F:F,0))</f>
        <v>#VALUE!</v>
      </c>
      <c r="B63" s="98" t="str">
        <f>INDEX('3_BD instruction total'!C:C,MATCH(C63,'3_BD instruction total'!F:F,0))</f>
        <v>oui région</v>
      </c>
      <c r="C63" s="191" t="str">
        <f>'1_BD questio brut'!A63</f>
        <v>VRB0067</v>
      </c>
      <c r="D63" s="191" t="str">
        <f t="array" ref="D63">INDEX('Données 1_BD questio'!C:C,MATCH('1_BD questio brut'!$B$1&amp;'1_BD questio brut'!B63,'Données 1_BD questio'!A:A&amp;'Données 1_BD questio'!B:B,0))</f>
        <v>CAPV</v>
      </c>
      <c r="E63" s="191" t="str">
        <f t="array" ref="E63">INDEX('Données 1_BD questio'!C:C,MATCH('1_BD questio brut'!$C$1&amp;'1_BD questio brut'!C63,'Données 1_BD questio'!A:A&amp;'Données 1_BD questio'!B:B,0))</f>
        <v>Retraité</v>
      </c>
      <c r="F63" s="191" t="str">
        <f t="array" ref="F63">INDEX('Données 1_BD questio'!C:C,MATCH('1_BD questio brut'!$D$1&amp;'1_BD questio brut'!D63,'Données 1_BD questio'!A:A&amp;'Données 1_BD questio'!B:B,0))</f>
        <v>Pas de réponse</v>
      </c>
      <c r="G63" s="191" t="str">
        <f>'1_BD questio brut'!E63</f>
        <v>65 ans et plus</v>
      </c>
      <c r="H63" s="191">
        <f>'1_BD questio brut'!F63</f>
        <v>1</v>
      </c>
      <c r="I63" s="191" t="str">
        <f>'1_BD questio brut'!G63</f>
        <v>Pas de réponse</v>
      </c>
      <c r="J63" s="191" t="str">
        <f t="array" ref="J63">INDEX('Données 1_BD questio'!C:C,MATCH('1_BD questio brut'!$H$1&amp;'1_BD questio brut'!H63,'Données 1_BD questio'!A:A&amp;'Données 1_BD questio'!B:B,0))</f>
        <v>Maison avec jardin</v>
      </c>
      <c r="K63" s="191">
        <f>'1_BD questio brut'!I63</f>
        <v>85</v>
      </c>
      <c r="L63" s="191" t="str">
        <f>'1_BD questio brut'!J63</f>
        <v>Avant 1949</v>
      </c>
      <c r="M63" s="191" t="str">
        <f>'1_BD questio brut'!K63</f>
        <v>1; 2</v>
      </c>
      <c r="N63" s="191" t="str">
        <f>'1_BD questio brut'!L63</f>
        <v>Pas de réponse</v>
      </c>
      <c r="O63" s="191" t="str">
        <f>'1_BD questio brut'!M63</f>
        <v>Propriétaire occupant</v>
      </c>
      <c r="P63" s="191" t="str">
        <f>'1_BD questio brut'!N63</f>
        <v>Cuisinière</v>
      </c>
      <c r="Q63" s="191" t="str">
        <f>'1_BD questio brut'!O63</f>
        <v>Chauffage de base</v>
      </c>
      <c r="R63" s="191" t="str">
        <f>'1_BD questio brut'!P63</f>
        <v>Tous les jours</v>
      </c>
      <c r="S63" s="191" t="str">
        <f>'1_BD questio brut'!Q63</f>
        <v>2</v>
      </c>
      <c r="T63" s="191" t="str">
        <f>'1_BD questio brut'!R63</f>
        <v>1990-1995</v>
      </c>
      <c r="U63" s="191" t="str">
        <f>'1_BD questio brut'!S63</f>
        <v>Bois bûche</v>
      </c>
      <c r="V63" s="191" t="str">
        <f>'1_BD questio brut'!T63</f>
        <v/>
      </c>
      <c r="W63" s="191" t="str">
        <f>'1_BD questio brut'!U63</f>
        <v>12</v>
      </c>
      <c r="X63" s="191" t="str">
        <f>'1_BD questio brut'!V63</f>
        <v>stères</v>
      </c>
      <c r="Y63" s="191" t="str">
        <f>'1_BD questio brut'!W63</f>
        <v>2</v>
      </c>
      <c r="Z63" s="191" t="str">
        <f>'1_BD questio brut'!X63</f>
        <v/>
      </c>
      <c r="AA63" s="191" t="str">
        <f t="array" ref="AA63">INDEX('Données 1_BD questio'!C:C,MATCH('1_BD questio brut'!$Y$1&amp;'1_BD questio brut'!Y63,'Données 1_BD questio'!A:A&amp;'Données 1_BD questio'!B:B,0))</f>
        <v>Ne sait pas</v>
      </c>
      <c r="AB63" s="191" t="str">
        <f>'1_BD questio brut'!Z63</f>
        <v>2</v>
      </c>
      <c r="AC63" s="191" t="str">
        <f>'1_BD questio brut'!AA63</f>
        <v>&gt; 2 ans</v>
      </c>
      <c r="AD63" s="191" t="str">
        <f>'1_BD questio brut'!AB63</f>
        <v>Les deux</v>
      </c>
      <c r="AE63" s="191" t="str">
        <f t="array" ref="AE63">INDEX('Données 1_BD questio'!C:C,MATCH('1_BD questio brut'!$AC$1&amp;'1_BD questio brut'!AC63,'Données 1_BD questio'!A:A&amp;'Données 1_BD questio'!B:B,0))</f>
        <v>un professionnel</v>
      </c>
      <c r="AF63" s="191" t="str">
        <f>'1_BD questio brut'!AD63</f>
        <v>1 fois par an</v>
      </c>
      <c r="AG63" s="191" t="str">
        <f>'1_BD questio brut'!AE63</f>
        <v/>
      </c>
      <c r="AH63" s="191" t="str">
        <f>'1_BD questio brut'!AF63</f>
        <v>Poêle</v>
      </c>
      <c r="AI63" s="191" t="str">
        <f>'1_BD questio brut'!AG63</f>
        <v>1</v>
      </c>
      <c r="AJ63" s="191" t="str">
        <f>'1_BD questio brut'!AH63</f>
        <v/>
      </c>
      <c r="AK63" s="191" t="str">
        <f>'1_BD questio brut'!AI63</f>
        <v>Chauffage de base</v>
      </c>
      <c r="AL63" s="191" t="str">
        <f>'1_BD questio brut'!AJ63</f>
        <v>Pas de réponse</v>
      </c>
      <c r="AM63" s="191" t="str">
        <f>'1_BD questio brut'!AK63</f>
        <v>3; 4</v>
      </c>
      <c r="AN63" s="191" t="str">
        <f>'1_BD questio brut'!AL63</f>
        <v/>
      </c>
      <c r="AO63" s="191" t="str">
        <f>'1_BD questio brut'!AM63</f>
        <v>5</v>
      </c>
      <c r="AP63" s="191" t="str">
        <f>'1_BD questio brut'!AN63</f>
        <v/>
      </c>
      <c r="AQ63" s="191" t="str">
        <f>'1_BD questio brut'!AO63</f>
        <v/>
      </c>
    </row>
    <row r="64" spans="1:43" ht="43.5" hidden="1">
      <c r="A64" s="98">
        <f>INDEX('3_BD instruction total'!A:A,MATCH(C64,'3_BD instruction total'!F:F,0))</f>
        <v>2020</v>
      </c>
      <c r="B64" s="98" t="str">
        <f>INDEX('3_BD instruction total'!C:C,MATCH(C64,'3_BD instruction total'!F:F,0))</f>
        <v>région</v>
      </c>
      <c r="C64" s="191" t="str">
        <f>'1_BD questio brut'!A64</f>
        <v>VRB0068</v>
      </c>
      <c r="D64" s="191" t="str">
        <f t="array" ref="D64">INDEX('Données 1_BD questio'!C:C,MATCH('1_BD questio brut'!$B$1&amp;'1_BD questio brut'!B64,'Données 1_BD questio'!A:A&amp;'Données 1_BD questio'!B:B,0))</f>
        <v>CAPV</v>
      </c>
      <c r="E64" s="191" t="str">
        <f t="array" ref="E64">INDEX('Données 1_BD questio'!C:C,MATCH('1_BD questio brut'!$C$1&amp;'1_BD questio brut'!C64,'Données 1_BD questio'!A:A&amp;'Données 1_BD questio'!B:B,0))</f>
        <v>Employé</v>
      </c>
      <c r="F64" s="191" t="str">
        <f t="array" ref="F64">INDEX('Données 1_BD questio'!C:C,MATCH('1_BD questio brut'!$D$1&amp;'1_BD questio brut'!D64,'Données 1_BD questio'!A:A&amp;'Données 1_BD questio'!B:B,0))</f>
        <v>Ouvrier</v>
      </c>
      <c r="G64" s="191" t="str">
        <f>'1_BD questio brut'!E64</f>
        <v>35 à 49 ans</v>
      </c>
      <c r="H64" s="191">
        <f>'1_BD questio brut'!F64</f>
        <v>3</v>
      </c>
      <c r="I64" s="191" t="str">
        <f>'1_BD questio brut'!G64</f>
        <v>Pas de réponse</v>
      </c>
      <c r="J64" s="191" t="str">
        <f t="array" ref="J64">INDEX('Données 1_BD questio'!C:C,MATCH('1_BD questio brut'!$H$1&amp;'1_BD questio brut'!H64,'Données 1_BD questio'!A:A&amp;'Données 1_BD questio'!B:B,0))</f>
        <v>Maison avec jardin</v>
      </c>
      <c r="K64" s="191">
        <f>'1_BD questio brut'!I64</f>
        <v>136</v>
      </c>
      <c r="L64" s="191" t="str">
        <f>'1_BD questio brut'!J64</f>
        <v>1975-1990</v>
      </c>
      <c r="M64" s="191" t="str">
        <f>'1_BD questio brut'!K64</f>
        <v>1</v>
      </c>
      <c r="N64" s="191" t="str">
        <f>'1_BD questio brut'!L64</f>
        <v>Pas de réponse</v>
      </c>
      <c r="O64" s="191" t="str">
        <f>'1_BD questio brut'!M64</f>
        <v>Propriétaire occupant</v>
      </c>
      <c r="P64" s="191" t="str">
        <f>'1_BD questio brut'!N64</f>
        <v>Foyer ouvert</v>
      </c>
      <c r="Q64" s="191" t="str">
        <f>'1_BD questio brut'!O64</f>
        <v>Chauffage d'apoint</v>
      </c>
      <c r="R64" s="191" t="str">
        <f>'1_BD questio brut'!P64</f>
        <v>Tous les jours</v>
      </c>
      <c r="S64" s="191" t="str">
        <f>'1_BD questio brut'!Q64</f>
        <v>2; 3; 6</v>
      </c>
      <c r="T64" s="191" t="str">
        <f>'1_BD questio brut'!R64</f>
        <v>Avant 1990</v>
      </c>
      <c r="U64" s="191" t="str">
        <f>'1_BD questio brut'!S64</f>
        <v>Bois bûche</v>
      </c>
      <c r="V64" s="191" t="str">
        <f>'1_BD questio brut'!T64</f>
        <v/>
      </c>
      <c r="W64" s="191" t="str">
        <f>'1_BD questio brut'!U64</f>
        <v>6</v>
      </c>
      <c r="X64" s="191" t="str">
        <f>'1_BD questio brut'!V64</f>
        <v>stères</v>
      </c>
      <c r="Y64" s="191" t="str">
        <f>'1_BD questio brut'!W64</f>
        <v>2</v>
      </c>
      <c r="Z64" s="191" t="str">
        <f>'1_BD questio brut'!X64</f>
        <v/>
      </c>
      <c r="AA64" s="191" t="str">
        <f t="array" ref="AA64">INDEX('Données 1_BD questio'!C:C,MATCH('1_BD questio brut'!$Y$1&amp;'1_BD questio brut'!Y64,'Données 1_BD questio'!A:A&amp;'Données 1_BD questio'!B:B,0))</f>
        <v>Ne sait pas</v>
      </c>
      <c r="AB64" s="191" t="str">
        <f>'1_BD questio brut'!Z64</f>
        <v>2</v>
      </c>
      <c r="AC64" s="191" t="str">
        <f>'1_BD questio brut'!AA64</f>
        <v>1 à 2 ans</v>
      </c>
      <c r="AD64" s="191" t="str">
        <f>'1_BD questio brut'!AB64</f>
        <v>Feuillus</v>
      </c>
      <c r="AE64" s="191" t="str">
        <f t="array" ref="AE64">INDEX('Données 1_BD questio'!C:C,MATCH('1_BD questio brut'!$AC$1&amp;'1_BD questio brut'!AC64,'Données 1_BD questio'!A:A&amp;'Données 1_BD questio'!B:B,0))</f>
        <v>un professionnel</v>
      </c>
      <c r="AF64" s="191" t="str">
        <f>'1_BD questio brut'!AD64</f>
        <v>1 fois par an</v>
      </c>
      <c r="AG64" s="191" t="str">
        <f>'1_BD questio brut'!AE64</f>
        <v/>
      </c>
      <c r="AH64" s="191" t="str">
        <f>'1_BD questio brut'!AF64</f>
        <v>Insert cheminée</v>
      </c>
      <c r="AI64" s="191" t="str">
        <f>'1_BD questio brut'!AG64</f>
        <v>1</v>
      </c>
      <c r="AJ64" s="191" t="str">
        <f>'1_BD questio brut'!AH64</f>
        <v/>
      </c>
      <c r="AK64" s="191" t="str">
        <f>'1_BD questio brut'!AI64</f>
        <v>Chauffage de base</v>
      </c>
      <c r="AL64" s="191" t="str">
        <f>'1_BD questio brut'!AJ64</f>
        <v>Pas de réponse</v>
      </c>
      <c r="AM64" s="191" t="str">
        <f>'1_BD questio brut'!AK64</f>
        <v>1; 2; 4; 5</v>
      </c>
      <c r="AN64" s="191" t="str">
        <f>'1_BD questio brut'!AL64</f>
        <v/>
      </c>
      <c r="AO64" s="191" t="str">
        <f>'1_BD questio brut'!AM64</f>
        <v>5</v>
      </c>
      <c r="AP64" s="191" t="str">
        <f>'1_BD questio brut'!AN64</f>
        <v/>
      </c>
      <c r="AQ64" s="191" t="str">
        <f>'1_BD questio brut'!AO64</f>
        <v/>
      </c>
    </row>
    <row r="65" spans="1:43" ht="43.5" hidden="1">
      <c r="A65" s="98">
        <f>INDEX('3_BD instruction total'!A:A,MATCH(C65,'3_BD instruction total'!F:F,0))</f>
        <v>2020</v>
      </c>
      <c r="B65" s="98" t="str">
        <f>INDEX('3_BD instruction total'!C:C,MATCH(C65,'3_BD instruction total'!F:F,0))</f>
        <v>non</v>
      </c>
      <c r="C65" s="191" t="str">
        <f>'1_BD questio brut'!A65</f>
        <v>VRB0069</v>
      </c>
      <c r="D65" s="191" t="str">
        <f t="array" ref="D65">INDEX('Données 1_BD questio'!C:C,MATCH('1_BD questio brut'!$B$1&amp;'1_BD questio brut'!B65,'Données 1_BD questio'!A:A&amp;'Données 1_BD questio'!B:B,0))</f>
        <v>CAPV</v>
      </c>
      <c r="E65" s="191" t="str">
        <f t="array" ref="E65">INDEX('Données 1_BD questio'!C:C,MATCH('1_BD questio brut'!$C$1&amp;'1_BD questio brut'!C65,'Données 1_BD questio'!A:A&amp;'Données 1_BD questio'!B:B,0))</f>
        <v>Cadre</v>
      </c>
      <c r="F65" s="191" t="str">
        <f t="array" ref="F65">INDEX('Données 1_BD questio'!C:C,MATCH('1_BD questio brut'!$D$1&amp;'1_BD questio brut'!D65,'Données 1_BD questio'!A:A&amp;'Données 1_BD questio'!B:B,0))</f>
        <v>Employé</v>
      </c>
      <c r="G65" s="191" t="str">
        <f>'1_BD questio brut'!E65</f>
        <v>35 à 49 ans</v>
      </c>
      <c r="H65" s="191">
        <f>'1_BD questio brut'!F65</f>
        <v>4</v>
      </c>
      <c r="I65" s="191" t="str">
        <f>'1_BD questio brut'!G65</f>
        <v>Pas de réponse</v>
      </c>
      <c r="J65" s="191" t="str">
        <f t="array" ref="J65">INDEX('Données 1_BD questio'!C:C,MATCH('1_BD questio brut'!$H$1&amp;'1_BD questio brut'!H65,'Données 1_BD questio'!A:A&amp;'Données 1_BD questio'!B:B,0))</f>
        <v>Maison avec jardin</v>
      </c>
      <c r="K65" s="191">
        <f>'1_BD questio brut'!I65</f>
        <v>140</v>
      </c>
      <c r="L65" s="191" t="str">
        <f>'1_BD questio brut'!J65</f>
        <v>1975-1990</v>
      </c>
      <c r="M65" s="191" t="str">
        <f>'1_BD questio brut'!K65</f>
        <v>6</v>
      </c>
      <c r="N65" s="191" t="str">
        <f>'1_BD questio brut'!L65</f>
        <v>Pas de réponse</v>
      </c>
      <c r="O65" s="191" t="str">
        <f>'1_BD questio brut'!M65</f>
        <v>Propriétaire occupant</v>
      </c>
      <c r="P65" s="191" t="str">
        <f>'1_BD questio brut'!N65</f>
        <v>Foyer ouvert</v>
      </c>
      <c r="Q65" s="191" t="str">
        <f>'1_BD questio brut'!O65</f>
        <v>Chauffage d'apoint</v>
      </c>
      <c r="R65" s="191" t="str">
        <f>'1_BD questio brut'!P65</f>
        <v>Pas de réponse</v>
      </c>
      <c r="S65" s="191" t="str">
        <f>'1_BD questio brut'!Q65</f>
        <v>7</v>
      </c>
      <c r="T65" s="191" t="str">
        <f>'1_BD questio brut'!R65</f>
        <v>Avant 1990</v>
      </c>
      <c r="U65" s="191" t="str">
        <f>'1_BD questio brut'!S65</f>
        <v>Bois bûche</v>
      </c>
      <c r="V65" s="191" t="str">
        <f>'1_BD questio brut'!T65</f>
        <v/>
      </c>
      <c r="W65" s="191" t="str">
        <f>'1_BD questio brut'!U65</f>
        <v/>
      </c>
      <c r="X65" s="191" t="str">
        <f>'1_BD questio brut'!V65</f>
        <v/>
      </c>
      <c r="Y65" s="191" t="str">
        <f>'1_BD questio brut'!W65</f>
        <v>5</v>
      </c>
      <c r="Z65" s="191" t="str">
        <f>'1_BD questio brut'!X65</f>
        <v/>
      </c>
      <c r="AA65" s="191" t="str">
        <f t="array" ref="AA65">INDEX('Données 1_BD questio'!C:C,MATCH('1_BD questio brut'!$Y$1&amp;'1_BD questio brut'!Y65,'Données 1_BD questio'!A:A&amp;'Données 1_BD questio'!B:B,0))</f>
        <v>Ne sait pas</v>
      </c>
      <c r="AB65" s="191" t="str">
        <f>'1_BD questio brut'!Z65</f>
        <v>2</v>
      </c>
      <c r="AC65" s="191" t="str">
        <f>'1_BD questio brut'!AA65</f>
        <v>Ne sait pas</v>
      </c>
      <c r="AD65" s="191" t="str">
        <f>'1_BD questio brut'!AB65</f>
        <v>Les deux</v>
      </c>
      <c r="AE65" s="191" t="str">
        <f t="array" ref="AE65">INDEX('Données 1_BD questio'!C:C,MATCH('1_BD questio brut'!$AC$1&amp;'1_BD questio brut'!AC65,'Données 1_BD questio'!A:A&amp;'Données 1_BD questio'!B:B,0))</f>
        <v>un professionnel</v>
      </c>
      <c r="AF65" s="191" t="str">
        <f>'1_BD questio brut'!AD65</f>
        <v>Pas de réponse</v>
      </c>
      <c r="AG65" s="191" t="str">
        <f>'1_BD questio brut'!AE65</f>
        <v/>
      </c>
      <c r="AH65" s="191" t="str">
        <f>'1_BD questio brut'!AF65</f>
        <v>Poêle</v>
      </c>
      <c r="AI65" s="191" t="str">
        <f>'1_BD questio brut'!AG65</f>
        <v>2</v>
      </c>
      <c r="AJ65" s="191" t="str">
        <f>'1_BD questio brut'!AH65</f>
        <v/>
      </c>
      <c r="AK65" s="191" t="str">
        <f>'1_BD questio brut'!AI65</f>
        <v>Pas de réponse</v>
      </c>
      <c r="AL65" s="191" t="str">
        <f>'1_BD questio brut'!AJ65</f>
        <v>Pas de réponse</v>
      </c>
      <c r="AM65" s="191" t="str">
        <f>'1_BD questio brut'!AK65</f>
        <v>2; 4; 5</v>
      </c>
      <c r="AN65" s="191" t="str">
        <f>'1_BD questio brut'!AL65</f>
        <v/>
      </c>
      <c r="AO65" s="191" t="str">
        <f>'1_BD questio brut'!AM65</f>
        <v>5; 7</v>
      </c>
      <c r="AP65" s="191" t="str">
        <f>'1_BD questio brut'!AN65</f>
        <v/>
      </c>
      <c r="AQ65" s="191" t="str">
        <f>'1_BD questio brut'!AO65</f>
        <v/>
      </c>
    </row>
    <row r="66" spans="1:43" ht="29" hidden="1">
      <c r="A66" s="98">
        <f>INDEX('3_BD instruction total'!A:A,MATCH(C66,'3_BD instruction total'!F:F,0))</f>
        <v>2020</v>
      </c>
      <c r="B66" s="98" t="str">
        <f>INDEX('3_BD instruction total'!C:C,MATCH(C66,'3_BD instruction total'!F:F,0))</f>
        <v>oui région</v>
      </c>
      <c r="C66" s="191" t="str">
        <f>'1_BD questio brut'!A66</f>
        <v>VRB0070</v>
      </c>
      <c r="D66" s="191" t="str">
        <f t="array" ref="D66">INDEX('Données 1_BD questio'!C:C,MATCH('1_BD questio brut'!$B$1&amp;'1_BD questio brut'!B66,'Données 1_BD questio'!A:A&amp;'Données 1_BD questio'!B:B,0))</f>
        <v>CAPV</v>
      </c>
      <c r="E66" s="191" t="str">
        <f t="array" ref="E66">INDEX('Données 1_BD questio'!C:C,MATCH('1_BD questio brut'!$C$1&amp;'1_BD questio brut'!C66,'Données 1_BD questio'!A:A&amp;'Données 1_BD questio'!B:B,0))</f>
        <v>Employé</v>
      </c>
      <c r="F66" s="191" t="str">
        <f t="array" ref="F66">INDEX('Données 1_BD questio'!C:C,MATCH('1_BD questio brut'!$D$1&amp;'1_BD questio brut'!D66,'Données 1_BD questio'!A:A&amp;'Données 1_BD questio'!B:B,0))</f>
        <v>Employé</v>
      </c>
      <c r="G66" s="191" t="str">
        <f>'1_BD questio brut'!E66</f>
        <v>25 à 34 ans</v>
      </c>
      <c r="H66" s="191">
        <f>'1_BD questio brut'!F66</f>
        <v>2</v>
      </c>
      <c r="I66" s="191" t="str">
        <f>'1_BD questio brut'!G66</f>
        <v>Pas de réponse</v>
      </c>
      <c r="J66" s="191" t="str">
        <f t="array" ref="J66">INDEX('Données 1_BD questio'!C:C,MATCH('1_BD questio brut'!$H$1&amp;'1_BD questio brut'!H66,'Données 1_BD questio'!A:A&amp;'Données 1_BD questio'!B:B,0))</f>
        <v>Maison avec jardin</v>
      </c>
      <c r="K66" s="191">
        <f>'1_BD questio brut'!I66</f>
        <v>108</v>
      </c>
      <c r="L66" s="191" t="str">
        <f>'1_BD questio brut'!J66</f>
        <v>1990-2005</v>
      </c>
      <c r="M66" s="191" t="str">
        <f>'1_BD questio brut'!K66</f>
        <v>6</v>
      </c>
      <c r="N66" s="191" t="str">
        <f>'1_BD questio brut'!L66</f>
        <v>D</v>
      </c>
      <c r="O66" s="191" t="str">
        <f>'1_BD questio brut'!M66</f>
        <v>Propriétaire occupant</v>
      </c>
      <c r="P66" s="191" t="str">
        <f>'1_BD questio brut'!N66</f>
        <v>Poêle</v>
      </c>
      <c r="Q66" s="191" t="str">
        <f>'1_BD questio brut'!O66</f>
        <v>Chauffage de base</v>
      </c>
      <c r="R66" s="191" t="str">
        <f>'1_BD questio brut'!P66</f>
        <v>Tous les jours</v>
      </c>
      <c r="S66" s="191" t="str">
        <f>'1_BD questio brut'!Q66</f>
        <v>1; 2; 3; 5</v>
      </c>
      <c r="T66" s="191" t="str">
        <f>'1_BD questio brut'!R66</f>
        <v>Pas de réponse</v>
      </c>
      <c r="U66" s="191" t="str">
        <f>'1_BD questio brut'!S66</f>
        <v>Bois bûche</v>
      </c>
      <c r="V66" s="191" t="str">
        <f>'1_BD questio brut'!T66</f>
        <v/>
      </c>
      <c r="W66" s="191" t="str">
        <f>'1_BD questio brut'!U66</f>
        <v/>
      </c>
      <c r="X66" s="191" t="str">
        <f>'1_BD questio brut'!V66</f>
        <v/>
      </c>
      <c r="Y66" s="191" t="str">
        <f>'1_BD questio brut'!W66</f>
        <v>2</v>
      </c>
      <c r="Z66" s="191" t="str">
        <f>'1_BD questio brut'!X66</f>
        <v/>
      </c>
      <c r="AA66" s="191" t="str">
        <f t="array" ref="AA66">INDEX('Données 1_BD questio'!C:C,MATCH('1_BD questio brut'!$Y$1&amp;'1_BD questio brut'!Y66,'Données 1_BD questio'!A:A&amp;'Données 1_BD questio'!B:B,0))</f>
        <v>Ne sait pas</v>
      </c>
      <c r="AB66" s="191" t="str">
        <f>'1_BD questio brut'!Z66</f>
        <v>2</v>
      </c>
      <c r="AC66" s="191" t="str">
        <f>'1_BD questio brut'!AA66</f>
        <v>Pas de réponse</v>
      </c>
      <c r="AD66" s="191" t="str">
        <f>'1_BD questio brut'!AB66</f>
        <v>Les deux</v>
      </c>
      <c r="AE66" s="191" t="str">
        <f t="array" ref="AE66">INDEX('Données 1_BD questio'!C:C,MATCH('1_BD questio brut'!$AC$1&amp;'1_BD questio brut'!AC66,'Données 1_BD questio'!A:A&amp;'Données 1_BD questio'!B:B,0))</f>
        <v>vous-même</v>
      </c>
      <c r="AF66" s="191" t="str">
        <f>'1_BD questio brut'!AD66</f>
        <v>1 fois par an</v>
      </c>
      <c r="AG66" s="191" t="str">
        <f>'1_BD questio brut'!AE66</f>
        <v/>
      </c>
      <c r="AH66" s="191" t="str">
        <f>'1_BD questio brut'!AF66</f>
        <v>Poêle</v>
      </c>
      <c r="AI66" s="191" t="str">
        <f>'1_BD questio brut'!AG66</f>
        <v>2</v>
      </c>
      <c r="AJ66" s="191" t="str">
        <f>'1_BD questio brut'!AH66</f>
        <v/>
      </c>
      <c r="AK66" s="191" t="str">
        <f>'1_BD questio brut'!AI66</f>
        <v>Chauffage de base</v>
      </c>
      <c r="AL66" s="191" t="str">
        <f>'1_BD questio brut'!AJ66</f>
        <v>Pas de réponse</v>
      </c>
      <c r="AM66" s="191" t="str">
        <f>'1_BD questio brut'!AK66</f>
        <v>1; 2; 4; 5</v>
      </c>
      <c r="AN66" s="191" t="str">
        <f>'1_BD questio brut'!AL66</f>
        <v/>
      </c>
      <c r="AO66" s="191" t="str">
        <f>'1_BD questio brut'!AM66</f>
        <v>5</v>
      </c>
      <c r="AP66" s="191" t="str">
        <f>'1_BD questio brut'!AN66</f>
        <v/>
      </c>
      <c r="AQ66" s="191" t="str">
        <f>'1_BD questio brut'!AO66</f>
        <v/>
      </c>
    </row>
    <row r="67" spans="1:43" ht="43.5" hidden="1">
      <c r="A67" s="98" t="e">
        <f>INDEX('3_BD instruction total'!A:A,MATCH(C67,'3_BD instruction total'!F:F,0))</f>
        <v>#VALUE!</v>
      </c>
      <c r="B67" s="98" t="str">
        <f>INDEX('3_BD instruction total'!C:C,MATCH(C67,'3_BD instruction total'!F:F,0))</f>
        <v>oui région</v>
      </c>
      <c r="C67" s="191" t="str">
        <f>'1_BD questio brut'!A67</f>
        <v>VRB0071</v>
      </c>
      <c r="D67" s="191" t="str">
        <f t="array" ref="D67">INDEX('Données 1_BD questio'!C:C,MATCH('1_BD questio brut'!$B$1&amp;'1_BD questio brut'!B67,'Données 1_BD questio'!A:A&amp;'Données 1_BD questio'!B:B,0))</f>
        <v>CAPV</v>
      </c>
      <c r="E67" s="191" t="str">
        <f t="array" ref="E67">INDEX('Données 1_BD questio'!C:C,MATCH('1_BD questio brut'!$C$1&amp;'1_BD questio brut'!C67,'Données 1_BD questio'!A:A&amp;'Données 1_BD questio'!B:B,0))</f>
        <v>Cadre</v>
      </c>
      <c r="F67" s="191" t="str">
        <f t="array" ref="F67">INDEX('Données 1_BD questio'!C:C,MATCH('1_BD questio brut'!$D$1&amp;'1_BD questio brut'!D67,'Données 1_BD questio'!A:A&amp;'Données 1_BD questio'!B:B,0))</f>
        <v>Employé</v>
      </c>
      <c r="G67" s="191" t="str">
        <f>'1_BD questio brut'!E67</f>
        <v>35 à 49 ans</v>
      </c>
      <c r="H67" s="191">
        <f>'1_BD questio brut'!F67</f>
        <v>6</v>
      </c>
      <c r="I67" s="191" t="str">
        <f>'1_BD questio brut'!G67</f>
        <v>Pas de réponse</v>
      </c>
      <c r="J67" s="191" t="str">
        <f t="array" ref="J67">INDEX('Données 1_BD questio'!C:C,MATCH('1_BD questio brut'!$H$1&amp;'1_BD questio brut'!H67,'Données 1_BD questio'!A:A&amp;'Données 1_BD questio'!B:B,0))</f>
        <v>Maison avec jardin</v>
      </c>
      <c r="K67" s="191">
        <f>'1_BD questio brut'!I67</f>
        <v>230</v>
      </c>
      <c r="L67" s="191" t="str">
        <f>'1_BD questio brut'!J67</f>
        <v>Avant 1949</v>
      </c>
      <c r="M67" s="191" t="str">
        <f>'1_BD questio brut'!K67</f>
        <v>3; 4</v>
      </c>
      <c r="N67" s="191" t="str">
        <f>'1_BD questio brut'!L67</f>
        <v>Pas de réponse</v>
      </c>
      <c r="O67" s="191" t="str">
        <f>'1_BD questio brut'!M67</f>
        <v>Propriétaire occupant</v>
      </c>
      <c r="P67" s="191" t="str">
        <f>'1_BD questio brut'!N67</f>
        <v>Insert / foyer fermé</v>
      </c>
      <c r="Q67" s="191" t="str">
        <f>'1_BD questio brut'!O67</f>
        <v>Chauffage de base</v>
      </c>
      <c r="R67" s="191" t="str">
        <f>'1_BD questio brut'!P67</f>
        <v>Tous les jours</v>
      </c>
      <c r="S67" s="191" t="str">
        <f>'1_BD questio brut'!Q67</f>
        <v>1; 2; 4; 5</v>
      </c>
      <c r="T67" s="191" t="str">
        <f>'1_BD questio brut'!R67</f>
        <v>1996-2002</v>
      </c>
      <c r="U67" s="191" t="str">
        <f>'1_BD questio brut'!S67</f>
        <v>Bois bûche</v>
      </c>
      <c r="V67" s="191" t="str">
        <f>'1_BD questio brut'!T67</f>
        <v/>
      </c>
      <c r="W67" s="191" t="str">
        <f>'1_BD questio brut'!U67</f>
        <v>12</v>
      </c>
      <c r="X67" s="191" t="str">
        <f>'1_BD questio brut'!V67</f>
        <v>stères</v>
      </c>
      <c r="Y67" s="191" t="str">
        <f>'1_BD questio brut'!W67</f>
        <v>3</v>
      </c>
      <c r="Z67" s="191" t="str">
        <f>'1_BD questio brut'!X67</f>
        <v/>
      </c>
      <c r="AA67" s="191" t="str">
        <f t="array" ref="AA67">INDEX('Données 1_BD questio'!C:C,MATCH('1_BD questio brut'!$Y$1&amp;'1_BD questio brut'!Y67,'Données 1_BD questio'!A:A&amp;'Données 1_BD questio'!B:B,0))</f>
        <v>Ne sait pas</v>
      </c>
      <c r="AB67" s="191" t="str">
        <f>'1_BD questio brut'!Z67</f>
        <v>2</v>
      </c>
      <c r="AC67" s="191" t="str">
        <f>'1_BD questio brut'!AA67</f>
        <v>1 à 2 ans</v>
      </c>
      <c r="AD67" s="191" t="str">
        <f>'1_BD questio brut'!AB67</f>
        <v>Feuillus</v>
      </c>
      <c r="AE67" s="191" t="str">
        <f t="array" ref="AE67">INDEX('Données 1_BD questio'!C:C,MATCH('1_BD questio brut'!$AC$1&amp;'1_BD questio brut'!AC67,'Données 1_BD questio'!A:A&amp;'Données 1_BD questio'!B:B,0))</f>
        <v>un professionnel</v>
      </c>
      <c r="AF67" s="191" t="str">
        <f>'1_BD questio brut'!AD67</f>
        <v>1 fois par an</v>
      </c>
      <c r="AG67" s="191" t="str">
        <f>'1_BD questio brut'!AE67</f>
        <v/>
      </c>
      <c r="AH67" s="191" t="str">
        <f>'1_BD questio brut'!AF67</f>
        <v>Poêle</v>
      </c>
      <c r="AI67" s="191" t="str">
        <f>'1_BD questio brut'!AG67</f>
        <v>2</v>
      </c>
      <c r="AJ67" s="191" t="str">
        <f>'1_BD questio brut'!AH67</f>
        <v/>
      </c>
      <c r="AK67" s="191" t="str">
        <f>'1_BD questio brut'!AI67</f>
        <v>Chauffage de base</v>
      </c>
      <c r="AL67" s="191" t="str">
        <f>'1_BD questio brut'!AJ67</f>
        <v>Pas de réponse</v>
      </c>
      <c r="AM67" s="191" t="str">
        <f>'1_BD questio brut'!AK67</f>
        <v>1; 2; 4</v>
      </c>
      <c r="AN67" s="191" t="str">
        <f>'1_BD questio brut'!AL67</f>
        <v/>
      </c>
      <c r="AO67" s="191" t="str">
        <f>'1_BD questio brut'!AM67</f>
        <v>1</v>
      </c>
      <c r="AP67" s="191" t="str">
        <f>'1_BD questio brut'!AN67</f>
        <v/>
      </c>
      <c r="AQ67" s="191" t="str">
        <f>'1_BD questio brut'!AO67</f>
        <v/>
      </c>
    </row>
    <row r="68" spans="1:43" ht="29" hidden="1">
      <c r="A68" s="98">
        <f>INDEX('3_BD instruction total'!A:A,MATCH(C68,'3_BD instruction total'!F:F,0))</f>
        <v>2020</v>
      </c>
      <c r="B68" s="98" t="str">
        <f>INDEX('3_BD instruction total'!C:C,MATCH(C68,'3_BD instruction total'!F:F,0))</f>
        <v>région</v>
      </c>
      <c r="C68" s="191" t="str">
        <f>'1_BD questio brut'!A68</f>
        <v>VRB0072</v>
      </c>
      <c r="D68" s="191" t="str">
        <f t="array" ref="D68">INDEX('Données 1_BD questio'!C:C,MATCH('1_BD questio brut'!$B$1&amp;'1_BD questio brut'!B68,'Données 1_BD questio'!A:A&amp;'Données 1_BD questio'!B:B,0))</f>
        <v>CAPV</v>
      </c>
      <c r="E68" s="191" t="str">
        <f t="array" ref="E68">INDEX('Données 1_BD questio'!C:C,MATCH('1_BD questio brut'!$C$1&amp;'1_BD questio brut'!C68,'Données 1_BD questio'!A:A&amp;'Données 1_BD questio'!B:B,0))</f>
        <v>Retraité</v>
      </c>
      <c r="F68" s="191" t="str">
        <f t="array" ref="F68">INDEX('Données 1_BD questio'!C:C,MATCH('1_BD questio brut'!$D$1&amp;'1_BD questio brut'!D68,'Données 1_BD questio'!A:A&amp;'Données 1_BD questio'!B:B,0))</f>
        <v>Retraité</v>
      </c>
      <c r="G68" s="191" t="str">
        <f>'1_BD questio brut'!E68</f>
        <v>65 ans et plus</v>
      </c>
      <c r="H68" s="191">
        <f>'1_BD questio brut'!F68</f>
        <v>2</v>
      </c>
      <c r="I68" s="191" t="str">
        <f>'1_BD questio brut'!G68</f>
        <v>Pas de réponse</v>
      </c>
      <c r="J68" s="191" t="str">
        <f t="array" ref="J68">INDEX('Données 1_BD questio'!C:C,MATCH('1_BD questio brut'!$H$1&amp;'1_BD questio brut'!H68,'Données 1_BD questio'!A:A&amp;'Données 1_BD questio'!B:B,0))</f>
        <v>Maison avec jardin</v>
      </c>
      <c r="K68" s="191">
        <f>'1_BD questio brut'!I68</f>
        <v>90</v>
      </c>
      <c r="L68" s="191" t="str">
        <f>'1_BD questio brut'!J68</f>
        <v>1990-2005</v>
      </c>
      <c r="M68" s="191" t="str">
        <f>'1_BD questio brut'!K68</f>
        <v>4</v>
      </c>
      <c r="N68" s="191" t="str">
        <f>'1_BD questio brut'!L68</f>
        <v>Pas de réponse</v>
      </c>
      <c r="O68" s="191" t="str">
        <f>'1_BD questio brut'!M68</f>
        <v>Propriétaire occupant</v>
      </c>
      <c r="P68" s="191" t="str">
        <f>'1_BD questio brut'!N68</f>
        <v>Poêle</v>
      </c>
      <c r="Q68" s="191" t="str">
        <f>'1_BD questio brut'!O68</f>
        <v>Chauffage d'apoint</v>
      </c>
      <c r="R68" s="191" t="str">
        <f>'1_BD questio brut'!P68</f>
        <v>Tous les jours</v>
      </c>
      <c r="S68" s="191" t="str">
        <f>'1_BD questio brut'!Q68</f>
        <v>2</v>
      </c>
      <c r="T68" s="191" t="str">
        <f>'1_BD questio brut'!R68</f>
        <v>Avant 1990</v>
      </c>
      <c r="U68" s="191" t="str">
        <f>'1_BD questio brut'!S68</f>
        <v>Bois bûche</v>
      </c>
      <c r="V68" s="191" t="str">
        <f>'1_BD questio brut'!T68</f>
        <v/>
      </c>
      <c r="W68" s="191" t="str">
        <f>'1_BD questio brut'!U68</f>
        <v>6</v>
      </c>
      <c r="X68" s="191" t="str">
        <f>'1_BD questio brut'!V68</f>
        <v>stères</v>
      </c>
      <c r="Y68" s="191" t="str">
        <f>'1_BD questio brut'!W68</f>
        <v>4</v>
      </c>
      <c r="Z68" s="191" t="str">
        <f>'1_BD questio brut'!X68</f>
        <v/>
      </c>
      <c r="AA68" s="191" t="str">
        <f t="array" ref="AA68">INDEX('Données 1_BD questio'!C:C,MATCH('1_BD questio brut'!$Y$1&amp;'1_BD questio brut'!Y68,'Données 1_BD questio'!A:A&amp;'Données 1_BD questio'!B:B,0))</f>
        <v>Ne sait pas</v>
      </c>
      <c r="AB68" s="191" t="str">
        <f>'1_BD questio brut'!Z68</f>
        <v>3</v>
      </c>
      <c r="AC68" s="191" t="str">
        <f>'1_BD questio brut'!AA68</f>
        <v>1 à 2 ans</v>
      </c>
      <c r="AD68" s="191" t="str">
        <f>'1_BD questio brut'!AB68</f>
        <v>Les deux</v>
      </c>
      <c r="AE68" s="191" t="str">
        <f t="array" ref="AE68">INDEX('Données 1_BD questio'!C:C,MATCH('1_BD questio brut'!$AC$1&amp;'1_BD questio brut'!AC68,'Données 1_BD questio'!A:A&amp;'Données 1_BD questio'!B:B,0))</f>
        <v>vous-même</v>
      </c>
      <c r="AF68" s="191" t="str">
        <f>'1_BD questio brut'!AD68</f>
        <v>1 fois tous les 2 ans</v>
      </c>
      <c r="AG68" s="191" t="str">
        <f>'1_BD questio brut'!AE68</f>
        <v/>
      </c>
      <c r="AH68" s="191" t="str">
        <f>'1_BD questio brut'!AF68</f>
        <v>Poêle</v>
      </c>
      <c r="AI68" s="191" t="str">
        <f>'1_BD questio brut'!AG68</f>
        <v>2</v>
      </c>
      <c r="AJ68" s="191" t="str">
        <f>'1_BD questio brut'!AH68</f>
        <v/>
      </c>
      <c r="AK68" s="191" t="str">
        <f>'1_BD questio brut'!AI68</f>
        <v>Chauffage de base</v>
      </c>
      <c r="AL68" s="191" t="str">
        <f>'1_BD questio brut'!AJ68</f>
        <v>Pas de réponse</v>
      </c>
      <c r="AM68" s="191" t="str">
        <f>'1_BD questio brut'!AK68</f>
        <v>1; 2; 4</v>
      </c>
      <c r="AN68" s="191" t="str">
        <f>'1_BD questio brut'!AL68</f>
        <v/>
      </c>
      <c r="AO68" s="191" t="str">
        <f>'1_BD questio brut'!AM68</f>
        <v>1</v>
      </c>
      <c r="AP68" s="191" t="str">
        <f>'1_BD questio brut'!AN68</f>
        <v/>
      </c>
      <c r="AQ68" s="191" t="str">
        <f>'1_BD questio brut'!AO68</f>
        <v/>
      </c>
    </row>
    <row r="69" spans="1:43" ht="43.5" hidden="1">
      <c r="A69" s="98">
        <f>INDEX('3_BD instruction total'!A:A,MATCH(C69,'3_BD instruction total'!F:F,0))</f>
        <v>2020</v>
      </c>
      <c r="B69" s="98" t="str">
        <f>INDEX('3_BD instruction total'!C:C,MATCH(C69,'3_BD instruction total'!F:F,0))</f>
        <v>région</v>
      </c>
      <c r="C69" s="191" t="str">
        <f>'1_BD questio brut'!A69</f>
        <v>VRB0073</v>
      </c>
      <c r="D69" s="191" t="str">
        <f t="array" ref="D69">INDEX('Données 1_BD questio'!C:C,MATCH('1_BD questio brut'!$B$1&amp;'1_BD questio brut'!B69,'Données 1_BD questio'!A:A&amp;'Données 1_BD questio'!B:B,0))</f>
        <v>CAPV</v>
      </c>
      <c r="E69" s="191" t="str">
        <f t="array" ref="E69">INDEX('Données 1_BD questio'!C:C,MATCH('1_BD questio brut'!$C$1&amp;'1_BD questio brut'!C69,'Données 1_BD questio'!A:A&amp;'Données 1_BD questio'!B:B,0))</f>
        <v>Retraité</v>
      </c>
      <c r="F69" s="191" t="str">
        <f t="array" ref="F69">INDEX('Données 1_BD questio'!C:C,MATCH('1_BD questio brut'!$D$1&amp;'1_BD questio brut'!D69,'Données 1_BD questio'!A:A&amp;'Données 1_BD questio'!B:B,0))</f>
        <v>Retraité</v>
      </c>
      <c r="G69" s="191" t="str">
        <f>'1_BD questio brut'!E69</f>
        <v>65 ans et plus</v>
      </c>
      <c r="H69" s="191">
        <f>'1_BD questio brut'!F69</f>
        <v>2</v>
      </c>
      <c r="I69" s="191" t="str">
        <f>'1_BD questio brut'!G69</f>
        <v>Pas de réponse</v>
      </c>
      <c r="J69" s="191" t="str">
        <f t="array" ref="J69">INDEX('Données 1_BD questio'!C:C,MATCH('1_BD questio brut'!$H$1&amp;'1_BD questio brut'!H69,'Données 1_BD questio'!A:A&amp;'Données 1_BD questio'!B:B,0))</f>
        <v>Maison avec jardin</v>
      </c>
      <c r="K69" s="191">
        <f>'1_BD questio brut'!I69</f>
        <v>120</v>
      </c>
      <c r="L69" s="191" t="str">
        <f>'1_BD questio brut'!J69</f>
        <v>1949-1975</v>
      </c>
      <c r="M69" s="191" t="str">
        <f>'1_BD questio brut'!K69</f>
        <v>6</v>
      </c>
      <c r="N69" s="191" t="str">
        <f>'1_BD questio brut'!L69</f>
        <v>Pas de réponse</v>
      </c>
      <c r="O69" s="191" t="str">
        <f>'1_BD questio brut'!M69</f>
        <v>Propriétaire occupant</v>
      </c>
      <c r="P69" s="191" t="str">
        <f>'1_BD questio brut'!N69</f>
        <v>Foyer ouvert</v>
      </c>
      <c r="Q69" s="191" t="str">
        <f>'1_BD questio brut'!O69</f>
        <v>Chauffage d'apoint</v>
      </c>
      <c r="R69" s="191" t="str">
        <f>'1_BD questio brut'!P69</f>
        <v>1 à 2 jours/semaine</v>
      </c>
      <c r="S69" s="191" t="str">
        <f>'1_BD questio brut'!Q69</f>
        <v>4</v>
      </c>
      <c r="T69" s="191" t="str">
        <f>'1_BD questio brut'!R69</f>
        <v>Avant 1990</v>
      </c>
      <c r="U69" s="191" t="str">
        <f>'1_BD questio brut'!S69</f>
        <v>Bois bûche</v>
      </c>
      <c r="V69" s="191" t="str">
        <f>'1_BD questio brut'!T69</f>
        <v/>
      </c>
      <c r="W69" s="191" t="str">
        <f>'1_BD questio brut'!U69</f>
        <v>2</v>
      </c>
      <c r="X69" s="191" t="str">
        <f>'1_BD questio brut'!V69</f>
        <v>stères</v>
      </c>
      <c r="Y69" s="191" t="str">
        <f>'1_BD questio brut'!W69</f>
        <v>2</v>
      </c>
      <c r="Z69" s="191" t="str">
        <f>'1_BD questio brut'!X69</f>
        <v/>
      </c>
      <c r="AA69" s="191" t="str">
        <f t="array" ref="AA69">INDEX('Données 1_BD questio'!C:C,MATCH('1_BD questio brut'!$Y$1&amp;'1_BD questio brut'!Y69,'Données 1_BD questio'!A:A&amp;'Données 1_BD questio'!B:B,0))</f>
        <v>Rhône-Alpes hors RA2B</v>
      </c>
      <c r="AB69" s="191" t="str">
        <f>'1_BD questio brut'!Z69</f>
        <v>2</v>
      </c>
      <c r="AC69" s="191" t="str">
        <f>'1_BD questio brut'!AA69</f>
        <v>&gt; 2 ans</v>
      </c>
      <c r="AD69" s="191" t="str">
        <f>'1_BD questio brut'!AB69</f>
        <v>Feuillus</v>
      </c>
      <c r="AE69" s="191" t="str">
        <f t="array" ref="AE69">INDEX('Données 1_BD questio'!C:C,MATCH('1_BD questio brut'!$AC$1&amp;'1_BD questio brut'!AC69,'Données 1_BD questio'!A:A&amp;'Données 1_BD questio'!B:B,0))</f>
        <v>vous-même</v>
      </c>
      <c r="AF69" s="191" t="str">
        <f>'1_BD questio brut'!AD69</f>
        <v>1 fois par an</v>
      </c>
      <c r="AG69" s="191" t="str">
        <f>'1_BD questio brut'!AE69</f>
        <v/>
      </c>
      <c r="AH69" s="191" t="str">
        <f>'1_BD questio brut'!AF69</f>
        <v>Insert cheminée</v>
      </c>
      <c r="AI69" s="191" t="str">
        <f>'1_BD questio brut'!AG69</f>
        <v>1</v>
      </c>
      <c r="AJ69" s="191" t="str">
        <f>'1_BD questio brut'!AH69</f>
        <v/>
      </c>
      <c r="AK69" s="191" t="str">
        <f>'1_BD questio brut'!AI69</f>
        <v>Chauffage d'appoint</v>
      </c>
      <c r="AL69" s="191" t="str">
        <f>'1_BD questio brut'!AJ69</f>
        <v>Pas de réponse</v>
      </c>
      <c r="AM69" s="191" t="str">
        <f>'1_BD questio brut'!AK69</f>
        <v>2; 4; 5</v>
      </c>
      <c r="AN69" s="191" t="str">
        <f>'1_BD questio brut'!AL69</f>
        <v/>
      </c>
      <c r="AO69" s="191" t="str">
        <f>'1_BD questio brut'!AM69</f>
        <v>5</v>
      </c>
      <c r="AP69" s="191" t="str">
        <f>'1_BD questio brut'!AN69</f>
        <v/>
      </c>
      <c r="AQ69" s="191" t="str">
        <f>'1_BD questio brut'!AO69</f>
        <v/>
      </c>
    </row>
    <row r="70" spans="1:43" ht="43.5" hidden="1">
      <c r="A70" s="98">
        <f>INDEX('3_BD instruction total'!A:A,MATCH(C70,'3_BD instruction total'!F:F,0))</f>
        <v>2020</v>
      </c>
      <c r="B70" s="98" t="str">
        <f>INDEX('3_BD instruction total'!C:C,MATCH(C70,'3_BD instruction total'!F:F,0))</f>
        <v>non</v>
      </c>
      <c r="C70" s="191" t="str">
        <f>'1_BD questio brut'!A70</f>
        <v>VRB0075</v>
      </c>
      <c r="D70" s="191" t="str">
        <f t="array" ref="D70">INDEX('Données 1_BD questio'!C:C,MATCH('1_BD questio brut'!$B$1&amp;'1_BD questio brut'!B70,'Données 1_BD questio'!A:A&amp;'Données 1_BD questio'!B:B,0))</f>
        <v>GAM</v>
      </c>
      <c r="E70" s="191" t="str">
        <f t="array" ref="E70">INDEX('Données 1_BD questio'!C:C,MATCH('1_BD questio brut'!$C$1&amp;'1_BD questio brut'!C70,'Données 1_BD questio'!A:A&amp;'Données 1_BD questio'!B:B,0))</f>
        <v>Cadre</v>
      </c>
      <c r="F70" s="191" t="str">
        <f t="array" ref="F70">INDEX('Données 1_BD questio'!C:C,MATCH('1_BD questio brut'!$D$1&amp;'1_BD questio brut'!D70,'Données 1_BD questio'!A:A&amp;'Données 1_BD questio'!B:B,0))</f>
        <v>Profession intermédiaire</v>
      </c>
      <c r="G70" s="191" t="str">
        <f>'1_BD questio brut'!E70</f>
        <v>50 à 64 ans</v>
      </c>
      <c r="H70" s="191">
        <f>'1_BD questio brut'!F70</f>
        <v>1</v>
      </c>
      <c r="I70" s="191" t="str">
        <f>'1_BD questio brut'!G70</f>
        <v>Pas de réponse</v>
      </c>
      <c r="J70" s="191" t="str">
        <f t="array" ref="J70">INDEX('Données 1_BD questio'!C:C,MATCH('1_BD questio brut'!$H$1&amp;'1_BD questio brut'!H70,'Données 1_BD questio'!A:A&amp;'Données 1_BD questio'!B:B,0))</f>
        <v>Maison avec jardin</v>
      </c>
      <c r="K70" s="191">
        <f>'1_BD questio brut'!I70</f>
        <v>149</v>
      </c>
      <c r="L70" s="191" t="str">
        <f>'1_BD questio brut'!J70</f>
        <v>1949-1975</v>
      </c>
      <c r="M70" s="191" t="str">
        <f>'1_BD questio brut'!K70</f>
        <v>4</v>
      </c>
      <c r="N70" s="191" t="str">
        <f>'1_BD questio brut'!L70</f>
        <v>E</v>
      </c>
      <c r="O70" s="191" t="str">
        <f>'1_BD questio brut'!M70</f>
        <v>Propriétaire occupant</v>
      </c>
      <c r="P70" s="191" t="str">
        <f>'1_BD questio brut'!N70</f>
        <v>Cuisinière</v>
      </c>
      <c r="Q70" s="191" t="str">
        <f>'1_BD questio brut'!O70</f>
        <v>Chauffage d'apoint</v>
      </c>
      <c r="R70" s="191" t="str">
        <f>'1_BD questio brut'!P70</f>
        <v>3 à 4 jours/semaine</v>
      </c>
      <c r="S70" s="191" t="str">
        <f>'1_BD questio brut'!Q70</f>
        <v>3; 5</v>
      </c>
      <c r="T70" s="191" t="str">
        <f>'1_BD questio brut'!R70</f>
        <v>Avant 1990</v>
      </c>
      <c r="U70" s="191" t="str">
        <f>'1_BD questio brut'!S70</f>
        <v>Bois bûche</v>
      </c>
      <c r="V70" s="191" t="str">
        <f>'1_BD questio brut'!T70</f>
        <v/>
      </c>
      <c r="W70" s="191" t="str">
        <f>'1_BD questio brut'!U70</f>
        <v>7</v>
      </c>
      <c r="X70" s="191" t="str">
        <f>'1_BD questio brut'!V70</f>
        <v>stères</v>
      </c>
      <c r="Y70" s="191" t="str">
        <f>'1_BD questio brut'!W70</f>
        <v>2</v>
      </c>
      <c r="Z70" s="191" t="str">
        <f>'1_BD questio brut'!X70</f>
        <v/>
      </c>
      <c r="AA70" s="191" t="str">
        <f t="array" ref="AA70">INDEX('Données 1_BD questio'!C:C,MATCH('1_BD questio brut'!$Y$1&amp;'1_BD questio brut'!Y70,'Données 1_BD questio'!A:A&amp;'Données 1_BD questio'!B:B,0))</f>
        <v>Ne sait pas</v>
      </c>
      <c r="AB70" s="191" t="str">
        <f>'1_BD questio brut'!Z70</f>
        <v>2</v>
      </c>
      <c r="AC70" s="191" t="str">
        <f>'1_BD questio brut'!AA70</f>
        <v>1 à 2 ans</v>
      </c>
      <c r="AD70" s="191" t="str">
        <f>'1_BD questio brut'!AB70</f>
        <v>Les deux</v>
      </c>
      <c r="AE70" s="191" t="str">
        <f t="array" ref="AE70">INDEX('Données 1_BD questio'!C:C,MATCH('1_BD questio brut'!$AC$1&amp;'1_BD questio brut'!AC70,'Données 1_BD questio'!A:A&amp;'Données 1_BD questio'!B:B,0))</f>
        <v>un professionnel</v>
      </c>
      <c r="AF70" s="191" t="str">
        <f>'1_BD questio brut'!AD70</f>
        <v>1 fois par an</v>
      </c>
      <c r="AG70" s="191" t="str">
        <f>'1_BD questio brut'!AE70</f>
        <v/>
      </c>
      <c r="AH70" s="191" t="str">
        <f>'1_BD questio brut'!AF70</f>
        <v>Poêle</v>
      </c>
      <c r="AI70" s="191" t="str">
        <f>'1_BD questio brut'!AG70</f>
        <v>1</v>
      </c>
      <c r="AJ70" s="191" t="str">
        <f>'1_BD questio brut'!AH70</f>
        <v/>
      </c>
      <c r="AK70" s="191" t="str">
        <f>'1_BD questio brut'!AI70</f>
        <v>Chauffage de base</v>
      </c>
      <c r="AL70" s="191" t="str">
        <f>'1_BD questio brut'!AJ70</f>
        <v>Pas de réponse</v>
      </c>
      <c r="AM70" s="191" t="str">
        <f>'1_BD questio brut'!AK70</f>
        <v>1; 3; 4</v>
      </c>
      <c r="AN70" s="191" t="str">
        <f>'1_BD questio brut'!AL70</f>
        <v/>
      </c>
      <c r="AO70" s="191" t="str">
        <f>'1_BD questio brut'!AM70</f>
        <v>7</v>
      </c>
      <c r="AP70" s="191" t="str">
        <f>'1_BD questio brut'!AN70</f>
        <v/>
      </c>
      <c r="AQ70" s="191" t="str">
        <f>'1_BD questio brut'!AO70</f>
        <v/>
      </c>
    </row>
    <row r="71" spans="1:43" ht="29" hidden="1">
      <c r="A71" s="98">
        <f>INDEX('3_BD instruction total'!A:A,MATCH(C71,'3_BD instruction total'!F:F,0))</f>
        <v>2020</v>
      </c>
      <c r="B71" s="98" t="str">
        <f>INDEX('3_BD instruction total'!C:C,MATCH(C71,'3_BD instruction total'!F:F,0))</f>
        <v>région</v>
      </c>
      <c r="C71" s="191" t="str">
        <f>'1_BD questio brut'!A71</f>
        <v>VRB0076</v>
      </c>
      <c r="D71" s="191" t="str">
        <f t="array" ref="D71">INDEX('Données 1_BD questio'!C:C,MATCH('1_BD questio brut'!$B$1&amp;'1_BD questio brut'!B71,'Données 1_BD questio'!A:A&amp;'Données 1_BD questio'!B:B,0))</f>
        <v>CAPV</v>
      </c>
      <c r="E71" s="191" t="str">
        <f t="array" ref="E71">INDEX('Données 1_BD questio'!C:C,MATCH('1_BD questio brut'!$C$1&amp;'1_BD questio brut'!C71,'Données 1_BD questio'!A:A&amp;'Données 1_BD questio'!B:B,0))</f>
        <v>Retraité</v>
      </c>
      <c r="F71" s="191" t="str">
        <f t="array" ref="F71">INDEX('Données 1_BD questio'!C:C,MATCH('1_BD questio brut'!$D$1&amp;'1_BD questio brut'!D71,'Données 1_BD questio'!A:A&amp;'Données 1_BD questio'!B:B,0))</f>
        <v>Retraité</v>
      </c>
      <c r="G71" s="191" t="str">
        <f>'1_BD questio brut'!E71</f>
        <v>50 à 64 ans</v>
      </c>
      <c r="H71" s="191">
        <f>'1_BD questio brut'!F71</f>
        <v>2</v>
      </c>
      <c r="I71" s="191" t="str">
        <f>'1_BD questio brut'!G71</f>
        <v>Pas de réponse</v>
      </c>
      <c r="J71" s="191" t="str">
        <f t="array" ref="J71">INDEX('Données 1_BD questio'!C:C,MATCH('1_BD questio brut'!$H$1&amp;'1_BD questio brut'!H71,'Données 1_BD questio'!A:A&amp;'Données 1_BD questio'!B:B,0))</f>
        <v>Maison avec jardin</v>
      </c>
      <c r="K71" s="191">
        <f>'1_BD questio brut'!I71</f>
        <v>100</v>
      </c>
      <c r="L71" s="191" t="str">
        <f>'1_BD questio brut'!J71</f>
        <v>1975-1990</v>
      </c>
      <c r="M71" s="191" t="str">
        <f>'1_BD questio brut'!K71</f>
        <v>6</v>
      </c>
      <c r="N71" s="191" t="str">
        <f>'1_BD questio brut'!L71</f>
        <v>Pas de réponse</v>
      </c>
      <c r="O71" s="191" t="str">
        <f>'1_BD questio brut'!M71</f>
        <v>Propriétaire occupant</v>
      </c>
      <c r="P71" s="191" t="str">
        <f>'1_BD questio brut'!N71</f>
        <v>Insert / foyer fermé</v>
      </c>
      <c r="Q71" s="191" t="str">
        <f>'1_BD questio brut'!O71</f>
        <v>Chauffage de base</v>
      </c>
      <c r="R71" s="191" t="str">
        <f>'1_BD questio brut'!P71</f>
        <v>Tous les jours</v>
      </c>
      <c r="S71" s="191" t="str">
        <f>'1_BD questio brut'!Q71</f>
        <v>4; 5; 6</v>
      </c>
      <c r="T71" s="191" t="str">
        <f>'1_BD questio brut'!R71</f>
        <v>Avant 1990</v>
      </c>
      <c r="U71" s="191" t="str">
        <f>'1_BD questio brut'!S71</f>
        <v>Bois bûche</v>
      </c>
      <c r="V71" s="191" t="str">
        <f>'1_BD questio brut'!T71</f>
        <v/>
      </c>
      <c r="W71" s="191" t="str">
        <f>'1_BD questio brut'!U71</f>
        <v>14</v>
      </c>
      <c r="X71" s="191" t="str">
        <f>'1_BD questio brut'!V71</f>
        <v>tonne</v>
      </c>
      <c r="Y71" s="191" t="str">
        <f>'1_BD questio brut'!W71</f>
        <v>1</v>
      </c>
      <c r="Z71" s="191" t="str">
        <f>'1_BD questio brut'!X71</f>
        <v/>
      </c>
      <c r="AA71" s="191" t="str">
        <f t="array" ref="AA71">INDEX('Données 1_BD questio'!C:C,MATCH('1_BD questio brut'!$Y$1&amp;'1_BD questio brut'!Y71,'Données 1_BD questio'!A:A&amp;'Données 1_BD questio'!B:B,0))</f>
        <v>Ne sait pas</v>
      </c>
      <c r="AB71" s="191" t="str">
        <f>'1_BD questio brut'!Z71</f>
        <v>2</v>
      </c>
      <c r="AC71" s="191" t="str">
        <f>'1_BD questio brut'!AA71</f>
        <v>1 à 2 ans</v>
      </c>
      <c r="AD71" s="191" t="str">
        <f>'1_BD questio brut'!AB71</f>
        <v>Feuillus</v>
      </c>
      <c r="AE71" s="191" t="str">
        <f t="array" ref="AE71">INDEX('Données 1_BD questio'!C:C,MATCH('1_BD questio brut'!$AC$1&amp;'1_BD questio brut'!AC71,'Données 1_BD questio'!A:A&amp;'Données 1_BD questio'!B:B,0))</f>
        <v>vous-même</v>
      </c>
      <c r="AF71" s="191" t="str">
        <f>'1_BD questio brut'!AD71</f>
        <v>1 fois par an</v>
      </c>
      <c r="AG71" s="191" t="str">
        <f>'1_BD questio brut'!AE71</f>
        <v/>
      </c>
      <c r="AH71" s="191" t="str">
        <f>'1_BD questio brut'!AF71</f>
        <v>Poêle</v>
      </c>
      <c r="AI71" s="191" t="str">
        <f>'1_BD questio brut'!AG71</f>
        <v>2</v>
      </c>
      <c r="AJ71" s="191" t="str">
        <f>'1_BD questio brut'!AH71</f>
        <v/>
      </c>
      <c r="AK71" s="191" t="str">
        <f>'1_BD questio brut'!AI71</f>
        <v>Chauffage de base</v>
      </c>
      <c r="AL71" s="191" t="str">
        <f>'1_BD questio brut'!AJ71</f>
        <v>Pas de réponse</v>
      </c>
      <c r="AM71" s="191" t="str">
        <f>'1_BD questio brut'!AK71</f>
        <v>5; 6</v>
      </c>
      <c r="AN71" s="191" t="str">
        <f>'1_BD questio brut'!AL71</f>
        <v>facilité le quotidien</v>
      </c>
      <c r="AO71" s="191" t="str">
        <f>'1_BD questio brut'!AM71</f>
        <v>2; 7</v>
      </c>
      <c r="AP71" s="191" t="str">
        <f>'1_BD questio brut'!AN71</f>
        <v/>
      </c>
      <c r="AQ71" s="191" t="str">
        <f>'1_BD questio brut'!AO71</f>
        <v/>
      </c>
    </row>
    <row r="72" spans="1:43" ht="43.5" hidden="1">
      <c r="A72" s="98">
        <f>INDEX('3_BD instruction total'!A:A,MATCH(C72,'3_BD instruction total'!F:F,0))</f>
        <v>2020</v>
      </c>
      <c r="B72" s="98" t="str">
        <f>INDEX('3_BD instruction total'!C:C,MATCH(C72,'3_BD instruction total'!F:F,0))</f>
        <v>région</v>
      </c>
      <c r="C72" s="191" t="str">
        <f>'1_BD questio brut'!A72</f>
        <v>VRB0077</v>
      </c>
      <c r="D72" s="191" t="str">
        <f t="array" ref="D72">INDEX('Données 1_BD questio'!C:C,MATCH('1_BD questio brut'!$B$1&amp;'1_BD questio brut'!B72,'Données 1_BD questio'!A:A&amp;'Données 1_BD questio'!B:B,0))</f>
        <v>CAPV</v>
      </c>
      <c r="E72" s="191" t="str">
        <f t="array" ref="E72">INDEX('Données 1_BD questio'!C:C,MATCH('1_BD questio brut'!$C$1&amp;'1_BD questio brut'!C72,'Données 1_BD questio'!A:A&amp;'Données 1_BD questio'!B:B,0))</f>
        <v>Cadre</v>
      </c>
      <c r="F72" s="191" t="str">
        <f t="array" ref="F72">INDEX('Données 1_BD questio'!C:C,MATCH('1_BD questio brut'!$D$1&amp;'1_BD questio brut'!D72,'Données 1_BD questio'!A:A&amp;'Données 1_BD questio'!B:B,0))</f>
        <v>Cadre</v>
      </c>
      <c r="G72" s="191" t="str">
        <f>'1_BD questio brut'!E72</f>
        <v>50 à 64 ans</v>
      </c>
      <c r="H72" s="191">
        <f>'1_BD questio brut'!F72</f>
        <v>2</v>
      </c>
      <c r="I72" s="191" t="str">
        <f>'1_BD questio brut'!G72</f>
        <v>Pas de réponse</v>
      </c>
      <c r="J72" s="191" t="str">
        <f t="array" ref="J72">INDEX('Données 1_BD questio'!C:C,MATCH('1_BD questio brut'!$H$1&amp;'1_BD questio brut'!H72,'Données 1_BD questio'!A:A&amp;'Données 1_BD questio'!B:B,0))</f>
        <v>Maison avec jardin</v>
      </c>
      <c r="K72" s="191">
        <f>'1_BD questio brut'!I72</f>
        <v>92.2</v>
      </c>
      <c r="L72" s="191" t="str">
        <f>'1_BD questio brut'!J72</f>
        <v>1990-2005</v>
      </c>
      <c r="M72" s="191" t="str">
        <f>'1_BD questio brut'!K72</f>
        <v>4</v>
      </c>
      <c r="N72" s="191" t="str">
        <f>'1_BD questio brut'!L72</f>
        <v>E</v>
      </c>
      <c r="O72" s="191" t="str">
        <f>'1_BD questio brut'!M72</f>
        <v>Propriétaire occupant</v>
      </c>
      <c r="P72" s="191" t="str">
        <f>'1_BD questio brut'!N72</f>
        <v>Insert / foyer fermé</v>
      </c>
      <c r="Q72" s="191" t="str">
        <f>'1_BD questio brut'!O72</f>
        <v>Chauffage de base</v>
      </c>
      <c r="R72" s="191" t="str">
        <f>'1_BD questio brut'!P72</f>
        <v>Tous les jours</v>
      </c>
      <c r="S72" s="191" t="str">
        <f>'1_BD questio brut'!Q72</f>
        <v>4</v>
      </c>
      <c r="T72" s="191" t="str">
        <f>'1_BD questio brut'!R72</f>
        <v>1996-2002</v>
      </c>
      <c r="U72" s="191" t="str">
        <f>'1_BD questio brut'!S72</f>
        <v>Bois bûche</v>
      </c>
      <c r="V72" s="191" t="str">
        <f>'1_BD questio brut'!T72</f>
        <v/>
      </c>
      <c r="W72" s="191" t="str">
        <f>'1_BD questio brut'!U72</f>
        <v>7</v>
      </c>
      <c r="X72" s="191" t="str">
        <f>'1_BD questio brut'!V72</f>
        <v>stères</v>
      </c>
      <c r="Y72" s="191" t="str">
        <f>'1_BD questio brut'!W72</f>
        <v>2</v>
      </c>
      <c r="Z72" s="191" t="str">
        <f>'1_BD questio brut'!X72</f>
        <v/>
      </c>
      <c r="AA72" s="191" t="str">
        <f t="array" ref="AA72">INDEX('Données 1_BD questio'!C:C,MATCH('1_BD questio brut'!$Y$1&amp;'1_BD questio brut'!Y72,'Données 1_BD questio'!A:A&amp;'Données 1_BD questio'!B:B,0))</f>
        <v>Ne sait pas</v>
      </c>
      <c r="AB72" s="191" t="str">
        <f>'1_BD questio brut'!Z72</f>
        <v>2</v>
      </c>
      <c r="AC72" s="191" t="str">
        <f>'1_BD questio brut'!AA72</f>
        <v>1 à 2 ans</v>
      </c>
      <c r="AD72" s="191" t="str">
        <f>'1_BD questio brut'!AB72</f>
        <v>Les deux</v>
      </c>
      <c r="AE72" s="191" t="str">
        <f t="array" ref="AE72">INDEX('Données 1_BD questio'!C:C,MATCH('1_BD questio brut'!$AC$1&amp;'1_BD questio brut'!AC72,'Données 1_BD questio'!A:A&amp;'Données 1_BD questio'!B:B,0))</f>
        <v>un professionnel</v>
      </c>
      <c r="AF72" s="191" t="str">
        <f>'1_BD questio brut'!AD72</f>
        <v>1 fois par an</v>
      </c>
      <c r="AG72" s="191" t="str">
        <f>'1_BD questio brut'!AE72</f>
        <v/>
      </c>
      <c r="AH72" s="191" t="str">
        <f>'1_BD questio brut'!AF72</f>
        <v>Poêle</v>
      </c>
      <c r="AI72" s="191" t="str">
        <f>'1_BD questio brut'!AG72</f>
        <v>2</v>
      </c>
      <c r="AJ72" s="191" t="str">
        <f>'1_BD questio brut'!AH72</f>
        <v/>
      </c>
      <c r="AK72" s="191" t="str">
        <f>'1_BD questio brut'!AI72</f>
        <v>Chauffage de base</v>
      </c>
      <c r="AL72" s="191" t="str">
        <f>'1_BD questio brut'!AJ72</f>
        <v>Pas de réponse</v>
      </c>
      <c r="AM72" s="191" t="str">
        <f>'1_BD questio brut'!AK72</f>
        <v>1; 2; 5</v>
      </c>
      <c r="AN72" s="191" t="str">
        <f>'1_BD questio brut'!AL72</f>
        <v/>
      </c>
      <c r="AO72" s="191" t="str">
        <f>'1_BD questio brut'!AM72</f>
        <v>5</v>
      </c>
      <c r="AP72" s="191" t="str">
        <f>'1_BD questio brut'!AN72</f>
        <v/>
      </c>
      <c r="AQ72" s="191" t="str">
        <f>'1_BD questio brut'!AO72</f>
        <v/>
      </c>
    </row>
    <row r="73" spans="1:43" ht="43.5" hidden="1">
      <c r="A73" s="98">
        <f>INDEX('3_BD instruction total'!A:A,MATCH(C73,'3_BD instruction total'!F:F,0))</f>
        <v>2020</v>
      </c>
      <c r="B73" s="98" t="str">
        <f>INDEX('3_BD instruction total'!C:C,MATCH(C73,'3_BD instruction total'!F:F,0))</f>
        <v>région</v>
      </c>
      <c r="C73" s="191" t="str">
        <f>'1_BD questio brut'!A73</f>
        <v>VRB0078</v>
      </c>
      <c r="D73" s="191" t="str">
        <f t="array" ref="D73">INDEX('Données 1_BD questio'!C:C,MATCH('1_BD questio brut'!$B$1&amp;'1_BD questio brut'!B73,'Données 1_BD questio'!A:A&amp;'Données 1_BD questio'!B:B,0))</f>
        <v>CAPV</v>
      </c>
      <c r="E73" s="191" t="str">
        <f t="array" ref="E73">INDEX('Données 1_BD questio'!C:C,MATCH('1_BD questio brut'!$C$1&amp;'1_BD questio brut'!C73,'Données 1_BD questio'!A:A&amp;'Données 1_BD questio'!B:B,0))</f>
        <v>Retraité</v>
      </c>
      <c r="F73" s="191" t="str">
        <f t="array" ref="F73">INDEX('Données 1_BD questio'!C:C,MATCH('1_BD questio brut'!$D$1&amp;'1_BD questio brut'!D73,'Données 1_BD questio'!A:A&amp;'Données 1_BD questio'!B:B,0))</f>
        <v>Pas de réponse</v>
      </c>
      <c r="G73" s="191" t="str">
        <f>'1_BD questio brut'!E73</f>
        <v>65 ans et plus</v>
      </c>
      <c r="H73" s="191">
        <f>'1_BD questio brut'!F73</f>
        <v>1</v>
      </c>
      <c r="I73" s="191" t="str">
        <f>'1_BD questio brut'!G73</f>
        <v>Pas de réponse</v>
      </c>
      <c r="J73" s="191" t="str">
        <f t="array" ref="J73">INDEX('Données 1_BD questio'!C:C,MATCH('1_BD questio brut'!$H$1&amp;'1_BD questio brut'!H73,'Données 1_BD questio'!A:A&amp;'Données 1_BD questio'!B:B,0))</f>
        <v>Maison avec jardin</v>
      </c>
      <c r="K73" s="191">
        <f>'1_BD questio brut'!I73</f>
        <v>130</v>
      </c>
      <c r="L73" s="191" t="str">
        <f>'1_BD questio brut'!J73</f>
        <v>1975-1990</v>
      </c>
      <c r="M73" s="191" t="str">
        <f>'1_BD questio brut'!K73</f>
        <v>6</v>
      </c>
      <c r="N73" s="191" t="str">
        <f>'1_BD questio brut'!L73</f>
        <v>Pas de réponse</v>
      </c>
      <c r="O73" s="191" t="str">
        <f>'1_BD questio brut'!M73</f>
        <v>Propriétaire occupant</v>
      </c>
      <c r="P73" s="191" t="str">
        <f>'1_BD questio brut'!N73</f>
        <v>Foyer ouvert</v>
      </c>
      <c r="Q73" s="191" t="str">
        <f>'1_BD questio brut'!O73</f>
        <v>Chauffage d'apoint</v>
      </c>
      <c r="R73" s="191" t="str">
        <f>'1_BD questio brut'!P73</f>
        <v>1 à 2 jours/semaine</v>
      </c>
      <c r="S73" s="191" t="str">
        <f>'1_BD questio brut'!Q73</f>
        <v>3; 6</v>
      </c>
      <c r="T73" s="191" t="str">
        <f>'1_BD questio brut'!R73</f>
        <v>Avant 1990</v>
      </c>
      <c r="U73" s="191" t="str">
        <f>'1_BD questio brut'!S73</f>
        <v>Bois de récupération, à préciser</v>
      </c>
      <c r="V73" s="191" t="str">
        <f>'1_BD questio brut'!T73</f>
        <v/>
      </c>
      <c r="W73" s="191" t="str">
        <f>'1_BD questio brut'!U73</f>
        <v>3</v>
      </c>
      <c r="X73" s="191" t="str">
        <f>'1_BD questio brut'!V73</f>
        <v>stères</v>
      </c>
      <c r="Y73" s="191" t="str">
        <f>'1_BD questio brut'!W73</f>
        <v>1</v>
      </c>
      <c r="Z73" s="191" t="str">
        <f>'1_BD questio brut'!X73</f>
        <v/>
      </c>
      <c r="AA73" s="191" t="str">
        <f t="array" ref="AA73">INDEX('Données 1_BD questio'!C:C,MATCH('1_BD questio brut'!$Y$1&amp;'1_BD questio brut'!Y73,'Données 1_BD questio'!A:A&amp;'Données 1_BD questio'!B:B,0))</f>
        <v>Pas de réponse</v>
      </c>
      <c r="AB73" s="191" t="str">
        <f>'1_BD questio brut'!Z73</f>
        <v>2</v>
      </c>
      <c r="AC73" s="191" t="str">
        <f>'1_BD questio brut'!AA73</f>
        <v>&gt; 2 ans</v>
      </c>
      <c r="AD73" s="191" t="str">
        <f>'1_BD questio brut'!AB73</f>
        <v>Les deux</v>
      </c>
      <c r="AE73" s="191" t="str">
        <f t="array" ref="AE73">INDEX('Données 1_BD questio'!C:C,MATCH('1_BD questio brut'!$AC$1&amp;'1_BD questio brut'!AC73,'Données 1_BD questio'!A:A&amp;'Données 1_BD questio'!B:B,0))</f>
        <v>un professionnel</v>
      </c>
      <c r="AF73" s="191" t="str">
        <f>'1_BD questio brut'!AD73</f>
        <v>1 fois par an</v>
      </c>
      <c r="AG73" s="191" t="str">
        <f>'1_BD questio brut'!AE73</f>
        <v/>
      </c>
      <c r="AH73" s="191" t="str">
        <f>'1_BD questio brut'!AF73</f>
        <v>Insert cheminée</v>
      </c>
      <c r="AI73" s="191" t="str">
        <f>'1_BD questio brut'!AG73</f>
        <v>1</v>
      </c>
      <c r="AJ73" s="191" t="str">
        <f>'1_BD questio brut'!AH73</f>
        <v/>
      </c>
      <c r="AK73" s="191" t="str">
        <f>'1_BD questio brut'!AI73</f>
        <v>Chauffage d'appoint</v>
      </c>
      <c r="AL73" s="191" t="str">
        <f>'1_BD questio brut'!AJ73</f>
        <v>Pas de réponse</v>
      </c>
      <c r="AM73" s="191" t="str">
        <f>'1_BD questio brut'!AK73</f>
        <v>1; 2; 4; 5</v>
      </c>
      <c r="AN73" s="191" t="str">
        <f>'1_BD questio brut'!AL73</f>
        <v/>
      </c>
      <c r="AO73" s="191" t="str">
        <f>'1_BD questio brut'!AM73</f>
        <v>5</v>
      </c>
      <c r="AP73" s="191" t="str">
        <f>'1_BD questio brut'!AN73</f>
        <v/>
      </c>
      <c r="AQ73" s="191" t="str">
        <f>'1_BD questio brut'!AO73</f>
        <v/>
      </c>
    </row>
    <row r="74" spans="1:43" ht="29" hidden="1">
      <c r="A74" s="98">
        <f>INDEX('3_BD instruction total'!A:A,MATCH(C74,'3_BD instruction total'!F:F,0))</f>
        <v>2020</v>
      </c>
      <c r="B74" s="98" t="str">
        <f>INDEX('3_BD instruction total'!C:C,MATCH(C74,'3_BD instruction total'!F:F,0))</f>
        <v>région</v>
      </c>
      <c r="C74" s="191" t="str">
        <f>'1_BD questio brut'!A74</f>
        <v>VRB0079</v>
      </c>
      <c r="D74" s="191" t="str">
        <f t="array" ref="D74">INDEX('Données 1_BD questio'!C:C,MATCH('1_BD questio brut'!$B$1&amp;'1_BD questio brut'!B74,'Données 1_BD questio'!A:A&amp;'Données 1_BD questio'!B:B,0))</f>
        <v>CAPV</v>
      </c>
      <c r="E74" s="191" t="str">
        <f t="array" ref="E74">INDEX('Données 1_BD questio'!C:C,MATCH('1_BD questio brut'!$C$1&amp;'1_BD questio brut'!C74,'Données 1_BD questio'!A:A&amp;'Données 1_BD questio'!B:B,0))</f>
        <v>Cadre</v>
      </c>
      <c r="F74" s="191" t="str">
        <f t="array" ref="F74">INDEX('Données 1_BD questio'!C:C,MATCH('1_BD questio brut'!$D$1&amp;'1_BD questio brut'!D74,'Données 1_BD questio'!A:A&amp;'Données 1_BD questio'!B:B,0))</f>
        <v>Employé</v>
      </c>
      <c r="G74" s="191" t="str">
        <f>'1_BD questio brut'!E74</f>
        <v>50 à 64 ans</v>
      </c>
      <c r="H74" s="191">
        <f>'1_BD questio brut'!F74</f>
        <v>5</v>
      </c>
      <c r="I74" s="191" t="str">
        <f>'1_BD questio brut'!G74</f>
        <v>Pas de réponse</v>
      </c>
      <c r="J74" s="191" t="str">
        <f t="array" ref="J74">INDEX('Données 1_BD questio'!C:C,MATCH('1_BD questio brut'!$H$1&amp;'1_BD questio brut'!H74,'Données 1_BD questio'!A:A&amp;'Données 1_BD questio'!B:B,0))</f>
        <v>Maison avec jardin</v>
      </c>
      <c r="K74" s="191">
        <f>'1_BD questio brut'!I74</f>
        <v>1</v>
      </c>
      <c r="L74" s="191" t="str">
        <f>'1_BD questio brut'!J74</f>
        <v>Pas de réponse</v>
      </c>
      <c r="M74" s="191" t="str">
        <f>'1_BD questio brut'!K74</f>
        <v>6</v>
      </c>
      <c r="N74" s="191" t="str">
        <f>'1_BD questio brut'!L74</f>
        <v>Pas de réponse</v>
      </c>
      <c r="O74" s="191" t="str">
        <f>'1_BD questio brut'!M74</f>
        <v>Propriétaire occupant</v>
      </c>
      <c r="P74" s="191" t="str">
        <f>'1_BD questio brut'!N74</f>
        <v>Poêle</v>
      </c>
      <c r="Q74" s="191" t="str">
        <f>'1_BD questio brut'!O74</f>
        <v>Pas de réponse</v>
      </c>
      <c r="R74" s="191" t="str">
        <f>'1_BD questio brut'!P74</f>
        <v>Tous les jours</v>
      </c>
      <c r="S74" s="191" t="str">
        <f>'1_BD questio brut'!Q74</f>
        <v>1; 2; 3</v>
      </c>
      <c r="T74" s="191" t="str">
        <f>'1_BD questio brut'!R74</f>
        <v>1996-2002</v>
      </c>
      <c r="U74" s="191" t="str">
        <f>'1_BD questio brut'!S74</f>
        <v>Bois bûche</v>
      </c>
      <c r="V74" s="191" t="str">
        <f>'1_BD questio brut'!T74</f>
        <v/>
      </c>
      <c r="W74" s="191" t="str">
        <f>'1_BD questio brut'!U74</f>
        <v>4</v>
      </c>
      <c r="X74" s="191" t="str">
        <f>'1_BD questio brut'!V74</f>
        <v>stères</v>
      </c>
      <c r="Y74" s="191" t="str">
        <f>'1_BD questio brut'!W74</f>
        <v>2</v>
      </c>
      <c r="Z74" s="191" t="str">
        <f>'1_BD questio brut'!X74</f>
        <v/>
      </c>
      <c r="AA74" s="191" t="str">
        <f t="array" ref="AA74">INDEX('Données 1_BD questio'!C:C,MATCH('1_BD questio brut'!$Y$1&amp;'1_BD questio brut'!Y74,'Données 1_BD questio'!A:A&amp;'Données 1_BD questio'!B:B,0))</f>
        <v>Ne sait pas</v>
      </c>
      <c r="AB74" s="191" t="str">
        <f>'1_BD questio brut'!Z74</f>
        <v>2</v>
      </c>
      <c r="AC74" s="191" t="str">
        <f>'1_BD questio brut'!AA74</f>
        <v>1 à 2 ans</v>
      </c>
      <c r="AD74" s="191" t="str">
        <f>'1_BD questio brut'!AB74</f>
        <v>Feuillus</v>
      </c>
      <c r="AE74" s="191" t="str">
        <f t="array" ref="AE74">INDEX('Données 1_BD questio'!C:C,MATCH('1_BD questio brut'!$AC$1&amp;'1_BD questio brut'!AC74,'Données 1_BD questio'!A:A&amp;'Données 1_BD questio'!B:B,0))</f>
        <v>vous-même</v>
      </c>
      <c r="AF74" s="191" t="str">
        <f>'1_BD questio brut'!AD74</f>
        <v>1 fois par an</v>
      </c>
      <c r="AG74" s="191" t="str">
        <f>'1_BD questio brut'!AE74</f>
        <v/>
      </c>
      <c r="AH74" s="191" t="str">
        <f>'1_BD questio brut'!AF74</f>
        <v>Poêle</v>
      </c>
      <c r="AI74" s="191" t="str">
        <f>'1_BD questio brut'!AG74</f>
        <v>2</v>
      </c>
      <c r="AJ74" s="191" t="str">
        <f>'1_BD questio brut'!AH74</f>
        <v/>
      </c>
      <c r="AK74" s="191" t="str">
        <f>'1_BD questio brut'!AI74</f>
        <v>Chauffage de base</v>
      </c>
      <c r="AL74" s="191" t="str">
        <f>'1_BD questio brut'!AJ74</f>
        <v>Pas de réponse</v>
      </c>
      <c r="AM74" s="191" t="str">
        <f>'1_BD questio brut'!AK74</f>
        <v>5</v>
      </c>
      <c r="AN74" s="191" t="str">
        <f>'1_BD questio brut'!AL74</f>
        <v/>
      </c>
      <c r="AO74" s="191" t="str">
        <f>'1_BD questio brut'!AM74</f>
        <v>5</v>
      </c>
      <c r="AP74" s="191" t="str">
        <f>'1_BD questio brut'!AN74</f>
        <v/>
      </c>
      <c r="AQ74" s="191" t="str">
        <f>'1_BD questio brut'!AO74</f>
        <v/>
      </c>
    </row>
    <row r="75" spans="1:43" ht="43.5" hidden="1">
      <c r="A75" s="98">
        <f>INDEX('3_BD instruction total'!A:A,MATCH(C75,'3_BD instruction total'!F:F,0))</f>
        <v>2020</v>
      </c>
      <c r="B75" s="98" t="str">
        <f>INDEX('3_BD instruction total'!C:C,MATCH(C75,'3_BD instruction total'!F:F,0))</f>
        <v>non</v>
      </c>
      <c r="C75" s="191" t="str">
        <f>'1_BD questio brut'!A75</f>
        <v>VRB0080</v>
      </c>
      <c r="D75" s="191" t="str">
        <f t="array" ref="D75">INDEX('Données 1_BD questio'!C:C,MATCH('1_BD questio brut'!$B$1&amp;'1_BD questio brut'!B75,'Données 1_BD questio'!A:A&amp;'Données 1_BD questio'!B:B,0))</f>
        <v>CAPV</v>
      </c>
      <c r="E75" s="191" t="str">
        <f t="array" ref="E75">INDEX('Données 1_BD questio'!C:C,MATCH('1_BD questio brut'!$C$1&amp;'1_BD questio brut'!C75,'Données 1_BD questio'!A:A&amp;'Données 1_BD questio'!B:B,0))</f>
        <v>Cadre</v>
      </c>
      <c r="F75" s="191" t="str">
        <f t="array" ref="F75">INDEX('Données 1_BD questio'!C:C,MATCH('1_BD questio brut'!$D$1&amp;'1_BD questio brut'!D75,'Données 1_BD questio'!A:A&amp;'Données 1_BD questio'!B:B,0))</f>
        <v>Cadre</v>
      </c>
      <c r="G75" s="191" t="str">
        <f>'1_BD questio brut'!E75</f>
        <v>25 à 34 ans</v>
      </c>
      <c r="H75" s="191">
        <f>'1_BD questio brut'!F75</f>
        <v>2</v>
      </c>
      <c r="I75" s="191" t="str">
        <f>'1_BD questio brut'!G75</f>
        <v>Pas de réponse</v>
      </c>
      <c r="J75" s="191" t="str">
        <f t="array" ref="J75">INDEX('Données 1_BD questio'!C:C,MATCH('1_BD questio brut'!$H$1&amp;'1_BD questio brut'!H75,'Données 1_BD questio'!A:A&amp;'Données 1_BD questio'!B:B,0))</f>
        <v>Maison avec jardin</v>
      </c>
      <c r="K75" s="191">
        <f>'1_BD questio brut'!I75</f>
        <v>170</v>
      </c>
      <c r="L75" s="191" t="str">
        <f>'1_BD questio brut'!J75</f>
        <v>1949-1975</v>
      </c>
      <c r="M75" s="191" t="str">
        <f>'1_BD questio brut'!K75</f>
        <v>1; 3; 4</v>
      </c>
      <c r="N75" s="191" t="str">
        <f>'1_BD questio brut'!L75</f>
        <v>Pas de réponse</v>
      </c>
      <c r="O75" s="191" t="str">
        <f>'1_BD questio brut'!M75</f>
        <v>Propriétaire occupant</v>
      </c>
      <c r="P75" s="191" t="str">
        <f>'1_BD questio brut'!N75</f>
        <v>Poêle</v>
      </c>
      <c r="Q75" s="191" t="str">
        <f>'1_BD questio brut'!O75</f>
        <v>Chauffage d'apoint</v>
      </c>
      <c r="R75" s="191" t="str">
        <f>'1_BD questio brut'!P75</f>
        <v>Moins de 15 fois par an</v>
      </c>
      <c r="S75" s="191" t="str">
        <f>'1_BD questio brut'!Q75</f>
        <v>6</v>
      </c>
      <c r="T75" s="191" t="str">
        <f>'1_BD questio brut'!R75</f>
        <v>Avant 1990</v>
      </c>
      <c r="U75" s="191" t="str">
        <f>'1_BD questio brut'!S75</f>
        <v>Bois bûche</v>
      </c>
      <c r="V75" s="191" t="str">
        <f>'1_BD questio brut'!T75</f>
        <v/>
      </c>
      <c r="W75" s="191" t="str">
        <f>'1_BD questio brut'!U75</f>
        <v/>
      </c>
      <c r="X75" s="191" t="str">
        <f>'1_BD questio brut'!V75</f>
        <v/>
      </c>
      <c r="Y75" s="191" t="str">
        <f>'1_BD questio brut'!W75</f>
        <v>1</v>
      </c>
      <c r="Z75" s="191" t="str">
        <f>'1_BD questio brut'!X75</f>
        <v/>
      </c>
      <c r="AA75" s="191" t="str">
        <f t="array" ref="AA75">INDEX('Données 1_BD questio'!C:C,MATCH('1_BD questio brut'!$Y$1&amp;'1_BD questio brut'!Y75,'Données 1_BD questio'!A:A&amp;'Données 1_BD questio'!B:B,0))</f>
        <v>Ne sait pas</v>
      </c>
      <c r="AB75" s="191" t="str">
        <f>'1_BD questio brut'!Z75</f>
        <v>1</v>
      </c>
      <c r="AC75" s="191" t="str">
        <f>'1_BD questio brut'!AA75</f>
        <v>&lt; 1 an</v>
      </c>
      <c r="AD75" s="191" t="str">
        <f>'1_BD questio brut'!AB75</f>
        <v>Les deux</v>
      </c>
      <c r="AE75" s="191" t="str">
        <f t="array" ref="AE75">INDEX('Données 1_BD questio'!C:C,MATCH('1_BD questio brut'!$AC$1&amp;'1_BD questio brut'!AC75,'Données 1_BD questio'!A:A&amp;'Données 1_BD questio'!B:B,0))</f>
        <v>un professionnel</v>
      </c>
      <c r="AF75" s="191" t="str">
        <f>'1_BD questio brut'!AD75</f>
        <v>1 fois par an</v>
      </c>
      <c r="AG75" s="191" t="str">
        <f>'1_BD questio brut'!AE75</f>
        <v/>
      </c>
      <c r="AH75" s="191" t="str">
        <f>'1_BD questio brut'!AF75</f>
        <v>Poêle</v>
      </c>
      <c r="AI75" s="191" t="str">
        <f>'1_BD questio brut'!AG75</f>
        <v>1</v>
      </c>
      <c r="AJ75" s="191" t="str">
        <f>'1_BD questio brut'!AH75</f>
        <v/>
      </c>
      <c r="AK75" s="191" t="str">
        <f>'1_BD questio brut'!AI75</f>
        <v>Chauffage d'appoint</v>
      </c>
      <c r="AL75" s="191" t="str">
        <f>'1_BD questio brut'!AJ75</f>
        <v>Pas de réponse</v>
      </c>
      <c r="AM75" s="191" t="str">
        <f>'1_BD questio brut'!AK75</f>
        <v>1</v>
      </c>
      <c r="AN75" s="191" t="str">
        <f>'1_BD questio brut'!AL75</f>
        <v/>
      </c>
      <c r="AO75" s="191" t="str">
        <f>'1_BD questio brut'!AM75</f>
        <v>5</v>
      </c>
      <c r="AP75" s="191" t="str">
        <f>'1_BD questio brut'!AN75</f>
        <v/>
      </c>
      <c r="AQ75" s="191" t="str">
        <f>'1_BD questio brut'!AO75</f>
        <v/>
      </c>
    </row>
    <row r="76" spans="1:43" ht="43.5" hidden="1">
      <c r="A76" s="98">
        <f>INDEX('3_BD instruction total'!A:A,MATCH(C76,'3_BD instruction total'!F:F,0))</f>
        <v>2020</v>
      </c>
      <c r="B76" s="98" t="str">
        <f>INDEX('3_BD instruction total'!C:C,MATCH(C76,'3_BD instruction total'!F:F,0))</f>
        <v>région</v>
      </c>
      <c r="C76" s="191" t="str">
        <f>'1_BD questio brut'!A76</f>
        <v>VRB0081</v>
      </c>
      <c r="D76" s="191" t="str">
        <f t="array" ref="D76">INDEX('Données 1_BD questio'!C:C,MATCH('1_BD questio brut'!$B$1&amp;'1_BD questio brut'!B76,'Données 1_BD questio'!A:A&amp;'Données 1_BD questio'!B:B,0))</f>
        <v>CAPV</v>
      </c>
      <c r="E76" s="191" t="str">
        <f t="array" ref="E76">INDEX('Données 1_BD questio'!C:C,MATCH('1_BD questio brut'!$C$1&amp;'1_BD questio brut'!C76,'Données 1_BD questio'!A:A&amp;'Données 1_BD questio'!B:B,0))</f>
        <v>Ouvrier</v>
      </c>
      <c r="F76" s="191" t="str">
        <f t="array" ref="F76">INDEX('Données 1_BD questio'!C:C,MATCH('1_BD questio brut'!$D$1&amp;'1_BD questio brut'!D76,'Données 1_BD questio'!A:A&amp;'Données 1_BD questio'!B:B,0))</f>
        <v>Autre,sans activité</v>
      </c>
      <c r="G76" s="191" t="str">
        <f>'1_BD questio brut'!E76</f>
        <v>25 à 34 ans</v>
      </c>
      <c r="H76" s="191">
        <f>'1_BD questio brut'!F76</f>
        <v>4</v>
      </c>
      <c r="I76" s="191" t="str">
        <f>'1_BD questio brut'!G76</f>
        <v>Pas de réponse</v>
      </c>
      <c r="J76" s="191" t="str">
        <f t="array" ref="J76">INDEX('Données 1_BD questio'!C:C,MATCH('1_BD questio brut'!$H$1&amp;'1_BD questio brut'!H76,'Données 1_BD questio'!A:A&amp;'Données 1_BD questio'!B:B,0))</f>
        <v>Maison avec jardin</v>
      </c>
      <c r="K76" s="191">
        <f>'1_BD questio brut'!I76</f>
        <v>180</v>
      </c>
      <c r="L76" s="191" t="str">
        <f>'1_BD questio brut'!J76</f>
        <v>Avant 1949</v>
      </c>
      <c r="M76" s="191" t="str">
        <f>'1_BD questio brut'!K76</f>
        <v>4</v>
      </c>
      <c r="N76" s="191" t="str">
        <f>'1_BD questio brut'!L76</f>
        <v>Pas de réponse</v>
      </c>
      <c r="O76" s="191" t="str">
        <f>'1_BD questio brut'!M76</f>
        <v>Propriétaire occupant</v>
      </c>
      <c r="P76" s="191" t="str">
        <f>'1_BD questio brut'!N76</f>
        <v>Poêle</v>
      </c>
      <c r="Q76" s="191" t="str">
        <f>'1_BD questio brut'!O76</f>
        <v>Chauffage d'apoint</v>
      </c>
      <c r="R76" s="191" t="str">
        <f>'1_BD questio brut'!P76</f>
        <v>3 à 4 jours/semaine</v>
      </c>
      <c r="S76" s="191" t="str">
        <f>'1_BD questio brut'!Q76</f>
        <v>3</v>
      </c>
      <c r="T76" s="191" t="str">
        <f>'1_BD questio brut'!R76</f>
        <v>Avant 1990</v>
      </c>
      <c r="U76" s="191" t="str">
        <f>'1_BD questio brut'!S76</f>
        <v>Bois bûche</v>
      </c>
      <c r="V76" s="191" t="str">
        <f>'1_BD questio brut'!T76</f>
        <v/>
      </c>
      <c r="W76" s="191" t="str">
        <f>'1_BD questio brut'!U76</f>
        <v>3</v>
      </c>
      <c r="X76" s="191" t="str">
        <f>'1_BD questio brut'!V76</f>
        <v>stères</v>
      </c>
      <c r="Y76" s="191" t="str">
        <f>'1_BD questio brut'!W76</f>
        <v>1</v>
      </c>
      <c r="Z76" s="191" t="str">
        <f>'1_BD questio brut'!X76</f>
        <v/>
      </c>
      <c r="AA76" s="191" t="str">
        <f t="array" ref="AA76">INDEX('Données 1_BD questio'!C:C,MATCH('1_BD questio brut'!$Y$1&amp;'1_BD questio brut'!Y76,'Données 1_BD questio'!A:A&amp;'Données 1_BD questio'!B:B,0))</f>
        <v>Ne sait pas</v>
      </c>
      <c r="AB76" s="191" t="str">
        <f>'1_BD questio brut'!Z76</f>
        <v>1</v>
      </c>
      <c r="AC76" s="191" t="str">
        <f>'1_BD questio brut'!AA76</f>
        <v>&gt; 2 ans</v>
      </c>
      <c r="AD76" s="191" t="str">
        <f>'1_BD questio brut'!AB76</f>
        <v>Feuillus</v>
      </c>
      <c r="AE76" s="191" t="str">
        <f t="array" ref="AE76">INDEX('Données 1_BD questio'!C:C,MATCH('1_BD questio brut'!$AC$1&amp;'1_BD questio brut'!AC76,'Données 1_BD questio'!A:A&amp;'Données 1_BD questio'!B:B,0))</f>
        <v>vous-même</v>
      </c>
      <c r="AF76" s="191" t="str">
        <f>'1_BD questio brut'!AD76</f>
        <v>1 fois par an</v>
      </c>
      <c r="AG76" s="191" t="str">
        <f>'1_BD questio brut'!AE76</f>
        <v/>
      </c>
      <c r="AH76" s="191" t="str">
        <f>'1_BD questio brut'!AF76</f>
        <v>Poêle</v>
      </c>
      <c r="AI76" s="191" t="str">
        <f>'1_BD questio brut'!AG76</f>
        <v>1</v>
      </c>
      <c r="AJ76" s="191" t="str">
        <f>'1_BD questio brut'!AH76</f>
        <v/>
      </c>
      <c r="AK76" s="191" t="str">
        <f>'1_BD questio brut'!AI76</f>
        <v>Chauffage d'appoint</v>
      </c>
      <c r="AL76" s="191" t="str">
        <f>'1_BD questio brut'!AJ76</f>
        <v>Pas de réponse</v>
      </c>
      <c r="AM76" s="191" t="str">
        <f>'1_BD questio brut'!AK76</f>
        <v>5</v>
      </c>
      <c r="AN76" s="191" t="str">
        <f>'1_BD questio brut'!AL76</f>
        <v/>
      </c>
      <c r="AO76" s="191" t="str">
        <f>'1_BD questio brut'!AM76</f>
        <v>7</v>
      </c>
      <c r="AP76" s="191" t="str">
        <f>'1_BD questio brut'!AN76</f>
        <v/>
      </c>
      <c r="AQ76" s="191" t="str">
        <f>'1_BD questio brut'!AO76</f>
        <v/>
      </c>
    </row>
    <row r="77" spans="1:43" ht="43.5" hidden="1">
      <c r="A77" s="98" t="e">
        <f>INDEX('3_BD instruction total'!A:A,MATCH(C77,'3_BD instruction total'!F:F,0))</f>
        <v>#VALUE!</v>
      </c>
      <c r="B77" s="98" t="str">
        <f>INDEX('3_BD instruction total'!C:C,MATCH(C77,'3_BD instruction total'!F:F,0))</f>
        <v>oui région</v>
      </c>
      <c r="C77" s="191" t="str">
        <f>'1_BD questio brut'!A77</f>
        <v>VRB0082</v>
      </c>
      <c r="D77" s="191" t="str">
        <f t="array" ref="D77">INDEX('Données 1_BD questio'!C:C,MATCH('1_BD questio brut'!$B$1&amp;'1_BD questio brut'!B77,'Données 1_BD questio'!A:A&amp;'Données 1_BD questio'!B:B,0))</f>
        <v>CAPV</v>
      </c>
      <c r="E77" s="191" t="str">
        <f t="array" ref="E77">INDEX('Données 1_BD questio'!C:C,MATCH('1_BD questio brut'!$C$1&amp;'1_BD questio brut'!C77,'Données 1_BD questio'!A:A&amp;'Données 1_BD questio'!B:B,0))</f>
        <v>Cadre</v>
      </c>
      <c r="F77" s="191" t="str">
        <f t="array" ref="F77">INDEX('Données 1_BD questio'!C:C,MATCH('1_BD questio brut'!$D$1&amp;'1_BD questio brut'!D77,'Données 1_BD questio'!A:A&amp;'Données 1_BD questio'!B:B,0))</f>
        <v>Employé</v>
      </c>
      <c r="G77" s="191" t="str">
        <f>'1_BD questio brut'!E77</f>
        <v>35 à 49 ans</v>
      </c>
      <c r="H77" s="191">
        <f>'1_BD questio brut'!F77</f>
        <v>5</v>
      </c>
      <c r="I77" s="191" t="str">
        <f>'1_BD questio brut'!G77</f>
        <v>Pas de réponse</v>
      </c>
      <c r="J77" s="191" t="str">
        <f t="array" ref="J77">INDEX('Données 1_BD questio'!C:C,MATCH('1_BD questio brut'!$H$1&amp;'1_BD questio brut'!H77,'Données 1_BD questio'!A:A&amp;'Données 1_BD questio'!B:B,0))</f>
        <v>Maison avec jardin</v>
      </c>
      <c r="K77" s="191">
        <f>'1_BD questio brut'!I77</f>
        <v>1</v>
      </c>
      <c r="L77" s="191" t="str">
        <f>'1_BD questio brut'!J77</f>
        <v>1975-1990</v>
      </c>
      <c r="M77" s="191" t="str">
        <f>'1_BD questio brut'!K77</f>
        <v>5</v>
      </c>
      <c r="N77" s="191" t="str">
        <f>'1_BD questio brut'!L77</f>
        <v>F</v>
      </c>
      <c r="O77" s="191" t="str">
        <f>'1_BD questio brut'!M77</f>
        <v>Propriétaire occupant</v>
      </c>
      <c r="P77" s="191" t="str">
        <f>'1_BD questio brut'!N77</f>
        <v>Insert / foyer fermé</v>
      </c>
      <c r="Q77" s="191" t="str">
        <f>'1_BD questio brut'!O77</f>
        <v>Chauffage de base</v>
      </c>
      <c r="R77" s="191" t="str">
        <f>'1_BD questio brut'!P77</f>
        <v>3 à 4 jours/semaine</v>
      </c>
      <c r="S77" s="191" t="str">
        <f>'1_BD questio brut'!Q77</f>
        <v>1; 2; 4; 6</v>
      </c>
      <c r="T77" s="191" t="str">
        <f>'1_BD questio brut'!R77</f>
        <v>1996-2002</v>
      </c>
      <c r="U77" s="191" t="str">
        <f>'1_BD questio brut'!S77</f>
        <v>Bois bûche</v>
      </c>
      <c r="V77" s="191" t="str">
        <f>'1_BD questio brut'!T77</f>
        <v/>
      </c>
      <c r="W77" s="191" t="str">
        <f>'1_BD questio brut'!U77</f>
        <v>13</v>
      </c>
      <c r="X77" s="191" t="str">
        <f>'1_BD questio brut'!V77</f>
        <v>stères</v>
      </c>
      <c r="Y77" s="191" t="str">
        <f>'1_BD questio brut'!W77</f>
        <v>2</v>
      </c>
      <c r="Z77" s="191" t="str">
        <f>'1_BD questio brut'!X77</f>
        <v/>
      </c>
      <c r="AA77" s="191" t="str">
        <f t="array" ref="AA77">INDEX('Données 1_BD questio'!C:C,MATCH('1_BD questio brut'!$Y$1&amp;'1_BD questio brut'!Y77,'Données 1_BD questio'!A:A&amp;'Données 1_BD questio'!B:B,0))</f>
        <v>RA2B</v>
      </c>
      <c r="AB77" s="191" t="str">
        <f>'1_BD questio brut'!Z77</f>
        <v>2</v>
      </c>
      <c r="AC77" s="191" t="str">
        <f>'1_BD questio brut'!AA77</f>
        <v>&gt; 2 ans</v>
      </c>
      <c r="AD77" s="191" t="str">
        <f>'1_BD questio brut'!AB77</f>
        <v>Les deux</v>
      </c>
      <c r="AE77" s="191" t="str">
        <f t="array" ref="AE77">INDEX('Données 1_BD questio'!C:C,MATCH('1_BD questio brut'!$AC$1&amp;'1_BD questio brut'!AC77,'Données 1_BD questio'!A:A&amp;'Données 1_BD questio'!B:B,0))</f>
        <v>vous-même</v>
      </c>
      <c r="AF77" s="191" t="str">
        <f>'1_BD questio brut'!AD77</f>
        <v>2 fois par an</v>
      </c>
      <c r="AG77" s="191" t="str">
        <f>'1_BD questio brut'!AE77</f>
        <v/>
      </c>
      <c r="AH77" s="191" t="str">
        <f>'1_BD questio brut'!AF77</f>
        <v>Poêle</v>
      </c>
      <c r="AI77" s="191" t="str">
        <f>'1_BD questio brut'!AG77</f>
        <v>2</v>
      </c>
      <c r="AJ77" s="191" t="str">
        <f>'1_BD questio brut'!AH77</f>
        <v/>
      </c>
      <c r="AK77" s="191" t="str">
        <f>'1_BD questio brut'!AI77</f>
        <v>Chauffage de base</v>
      </c>
      <c r="AL77" s="191" t="str">
        <f>'1_BD questio brut'!AJ77</f>
        <v>Pas de réponse</v>
      </c>
      <c r="AM77" s="191" t="str">
        <f>'1_BD questio brut'!AK77</f>
        <v>1; 5</v>
      </c>
      <c r="AN77" s="191" t="str">
        <f>'1_BD questio brut'!AL77</f>
        <v/>
      </c>
      <c r="AO77" s="191" t="str">
        <f>'1_BD questio brut'!AM77</f>
        <v>1</v>
      </c>
      <c r="AP77" s="191" t="str">
        <f>'1_BD questio brut'!AN77</f>
        <v/>
      </c>
      <c r="AQ77" s="191" t="str">
        <f>'1_BD questio brut'!AO77</f>
        <v/>
      </c>
    </row>
    <row r="78" spans="1:43" ht="43.5" hidden="1">
      <c r="A78" s="98">
        <f>INDEX('3_BD instruction total'!A:A,MATCH(C78,'3_BD instruction total'!F:F,0))</f>
        <v>2020</v>
      </c>
      <c r="B78" s="98" t="str">
        <f>INDEX('3_BD instruction total'!C:C,MATCH(C78,'3_BD instruction total'!F:F,0))</f>
        <v>région</v>
      </c>
      <c r="C78" s="191" t="str">
        <f>'1_BD questio brut'!A78</f>
        <v>VRB0083</v>
      </c>
      <c r="D78" s="191" t="str">
        <f t="array" ref="D78">INDEX('Données 1_BD questio'!C:C,MATCH('1_BD questio brut'!$B$1&amp;'1_BD questio brut'!B78,'Données 1_BD questio'!A:A&amp;'Données 1_BD questio'!B:B,0))</f>
        <v>CAPV</v>
      </c>
      <c r="E78" s="191" t="str">
        <f t="array" ref="E78">INDEX('Données 1_BD questio'!C:C,MATCH('1_BD questio brut'!$C$1&amp;'1_BD questio brut'!C78,'Données 1_BD questio'!A:A&amp;'Données 1_BD questio'!B:B,0))</f>
        <v>Ouvrier</v>
      </c>
      <c r="F78" s="191" t="str">
        <f t="array" ref="F78">INDEX('Données 1_BD questio'!C:C,MATCH('1_BD questio brut'!$D$1&amp;'1_BD questio brut'!D78,'Données 1_BD questio'!A:A&amp;'Données 1_BD questio'!B:B,0))</f>
        <v>Ouvrier</v>
      </c>
      <c r="G78" s="191" t="str">
        <f>'1_BD questio brut'!E78</f>
        <v>50 à 64 ans</v>
      </c>
      <c r="H78" s="191">
        <f>'1_BD questio brut'!F78</f>
        <v>2</v>
      </c>
      <c r="I78" s="191" t="str">
        <f>'1_BD questio brut'!G78</f>
        <v>Pas de réponse</v>
      </c>
      <c r="J78" s="191" t="str">
        <f t="array" ref="J78">INDEX('Données 1_BD questio'!C:C,MATCH('1_BD questio brut'!$H$1&amp;'1_BD questio brut'!H78,'Données 1_BD questio'!A:A&amp;'Données 1_BD questio'!B:B,0))</f>
        <v>Maison avec jardin</v>
      </c>
      <c r="K78" s="191">
        <f>'1_BD questio brut'!I78</f>
        <v>96</v>
      </c>
      <c r="L78" s="191" t="str">
        <f>'1_BD questio brut'!J78</f>
        <v>1975-1990</v>
      </c>
      <c r="M78" s="191" t="str">
        <f>'1_BD questio brut'!K78</f>
        <v>7</v>
      </c>
      <c r="N78" s="191" t="str">
        <f>'1_BD questio brut'!L78</f>
        <v>Ne sait pas</v>
      </c>
      <c r="O78" s="191" t="str">
        <f>'1_BD questio brut'!M78</f>
        <v>Propriétaire occupant</v>
      </c>
      <c r="P78" s="191" t="str">
        <f>'1_BD questio brut'!N78</f>
        <v>Insert / foyer fermé</v>
      </c>
      <c r="Q78" s="191" t="str">
        <f>'1_BD questio brut'!O78</f>
        <v>Chauffage d'apoint</v>
      </c>
      <c r="R78" s="191" t="str">
        <f>'1_BD questio brut'!P78</f>
        <v>1 à 2 jours/semaine</v>
      </c>
      <c r="S78" s="191" t="str">
        <f>'1_BD questio brut'!Q78</f>
        <v>2; 3</v>
      </c>
      <c r="T78" s="191" t="str">
        <f>'1_BD questio brut'!R78</f>
        <v>1990-1995</v>
      </c>
      <c r="U78" s="191" t="str">
        <f>'1_BD questio brut'!S78</f>
        <v>Bois bûche</v>
      </c>
      <c r="V78" s="191" t="str">
        <f>'1_BD questio brut'!T78</f>
        <v/>
      </c>
      <c r="W78" s="191" t="str">
        <f>'1_BD questio brut'!U78</f>
        <v>10</v>
      </c>
      <c r="X78" s="191" t="str">
        <f>'1_BD questio brut'!V78</f>
        <v>stères</v>
      </c>
      <c r="Y78" s="191" t="str">
        <f>'1_BD questio brut'!W78</f>
        <v>2</v>
      </c>
      <c r="Z78" s="191" t="str">
        <f>'1_BD questio brut'!X78</f>
        <v/>
      </c>
      <c r="AA78" s="191" t="str">
        <f t="array" ref="AA78">INDEX('Données 1_BD questio'!C:C,MATCH('1_BD questio brut'!$Y$1&amp;'1_BD questio brut'!Y78,'Données 1_BD questio'!A:A&amp;'Données 1_BD questio'!B:B,0))</f>
        <v>Rhône-Alpes hors RA2B</v>
      </c>
      <c r="AB78" s="191" t="str">
        <f>'1_BD questio brut'!Z78</f>
        <v>2</v>
      </c>
      <c r="AC78" s="191" t="str">
        <f>'1_BD questio brut'!AA78</f>
        <v>&gt; 2 ans</v>
      </c>
      <c r="AD78" s="191" t="str">
        <f>'1_BD questio brut'!AB78</f>
        <v>Les deux</v>
      </c>
      <c r="AE78" s="191" t="str">
        <f t="array" ref="AE78">INDEX('Données 1_BD questio'!C:C,MATCH('1_BD questio brut'!$AC$1&amp;'1_BD questio brut'!AC78,'Données 1_BD questio'!A:A&amp;'Données 1_BD questio'!B:B,0))</f>
        <v>un professionnel</v>
      </c>
      <c r="AF78" s="191" t="str">
        <f>'1_BD questio brut'!AD78</f>
        <v>2 fois par an</v>
      </c>
      <c r="AG78" s="191" t="str">
        <f>'1_BD questio brut'!AE78</f>
        <v/>
      </c>
      <c r="AH78" s="191" t="str">
        <f>'1_BD questio brut'!AF78</f>
        <v>Poêle</v>
      </c>
      <c r="AI78" s="191" t="str">
        <f>'1_BD questio brut'!AG78</f>
        <v>2</v>
      </c>
      <c r="AJ78" s="191" t="str">
        <f>'1_BD questio brut'!AH78</f>
        <v/>
      </c>
      <c r="AK78" s="191" t="str">
        <f>'1_BD questio brut'!AI78</f>
        <v>Chauffage de base</v>
      </c>
      <c r="AL78" s="191" t="str">
        <f>'1_BD questio brut'!AJ78</f>
        <v>Pas de réponse</v>
      </c>
      <c r="AM78" s="191" t="str">
        <f>'1_BD questio brut'!AK78</f>
        <v>1; 2; 4; 5</v>
      </c>
      <c r="AN78" s="191" t="str">
        <f>'1_BD questio brut'!AL78</f>
        <v/>
      </c>
      <c r="AO78" s="191" t="str">
        <f>'1_BD questio brut'!AM78</f>
        <v>2</v>
      </c>
      <c r="AP78" s="191" t="str">
        <f>'1_BD questio brut'!AN78</f>
        <v/>
      </c>
      <c r="AQ78" s="191" t="str">
        <f>'1_BD questio brut'!AO78</f>
        <v/>
      </c>
    </row>
    <row r="79" spans="1:43" ht="43.5" hidden="1">
      <c r="A79" s="98">
        <f>INDEX('3_BD instruction total'!A:A,MATCH(C79,'3_BD instruction total'!F:F,0))</f>
        <v>2020</v>
      </c>
      <c r="B79" s="98" t="str">
        <f>INDEX('3_BD instruction total'!C:C,MATCH(C79,'3_BD instruction total'!F:F,0))</f>
        <v>région</v>
      </c>
      <c r="C79" s="191" t="str">
        <f>'1_BD questio brut'!A79</f>
        <v>VRB0084</v>
      </c>
      <c r="D79" s="191" t="str">
        <f t="array" ref="D79">INDEX('Données 1_BD questio'!C:C,MATCH('1_BD questio brut'!$B$1&amp;'1_BD questio brut'!B79,'Données 1_BD questio'!A:A&amp;'Données 1_BD questio'!B:B,0))</f>
        <v>CAPV</v>
      </c>
      <c r="E79" s="191" t="str">
        <f t="array" ref="E79">INDEX('Données 1_BD questio'!C:C,MATCH('1_BD questio brut'!$C$1&amp;'1_BD questio brut'!C79,'Données 1_BD questio'!A:A&amp;'Données 1_BD questio'!B:B,0))</f>
        <v>Cadre</v>
      </c>
      <c r="F79" s="191" t="str">
        <f t="array" ref="F79">INDEX('Données 1_BD questio'!C:C,MATCH('1_BD questio brut'!$D$1&amp;'1_BD questio brut'!D79,'Données 1_BD questio'!A:A&amp;'Données 1_BD questio'!B:B,0))</f>
        <v>Cadre</v>
      </c>
      <c r="G79" s="191" t="str">
        <f>'1_BD questio brut'!E79</f>
        <v>35 à 49 ans</v>
      </c>
      <c r="H79" s="191">
        <f>'1_BD questio brut'!F79</f>
        <v>4</v>
      </c>
      <c r="I79" s="191" t="str">
        <f>'1_BD questio brut'!G79</f>
        <v>Pas de réponse</v>
      </c>
      <c r="J79" s="191" t="str">
        <f t="array" ref="J79">INDEX('Données 1_BD questio'!C:C,MATCH('1_BD questio brut'!$H$1&amp;'1_BD questio brut'!H79,'Données 1_BD questio'!A:A&amp;'Données 1_BD questio'!B:B,0))</f>
        <v>Maison avec jardin</v>
      </c>
      <c r="K79" s="191">
        <f>'1_BD questio brut'!I79</f>
        <v>148</v>
      </c>
      <c r="L79" s="191" t="str">
        <f>'1_BD questio brut'!J79</f>
        <v>1990-2005</v>
      </c>
      <c r="M79" s="191" t="str">
        <f>'1_BD questio brut'!K79</f>
        <v>6</v>
      </c>
      <c r="N79" s="191" t="str">
        <f>'1_BD questio brut'!L79</f>
        <v>Pas de réponse</v>
      </c>
      <c r="O79" s="191" t="str">
        <f>'1_BD questio brut'!M79</f>
        <v>Propriétaire occupant</v>
      </c>
      <c r="P79" s="191" t="str">
        <f>'1_BD questio brut'!N79</f>
        <v>Insert / foyer fermé</v>
      </c>
      <c r="Q79" s="191" t="str">
        <f>'1_BD questio brut'!O79</f>
        <v>Chauffage d'apoint</v>
      </c>
      <c r="R79" s="191" t="str">
        <f>'1_BD questio brut'!P79</f>
        <v>3 à 4 jours/semaine</v>
      </c>
      <c r="S79" s="191" t="str">
        <f>'1_BD questio brut'!Q79</f>
        <v>2; 3</v>
      </c>
      <c r="T79" s="191" t="str">
        <f>'1_BD questio brut'!R79</f>
        <v>1996-2002</v>
      </c>
      <c r="U79" s="191" t="str">
        <f>'1_BD questio brut'!S79</f>
        <v>Bois bûche</v>
      </c>
      <c r="V79" s="191" t="str">
        <f>'1_BD questio brut'!T79</f>
        <v/>
      </c>
      <c r="W79" s="191" t="str">
        <f>'1_BD questio brut'!U79</f>
        <v>4</v>
      </c>
      <c r="X79" s="191" t="str">
        <f>'1_BD questio brut'!V79</f>
        <v>stères</v>
      </c>
      <c r="Y79" s="191" t="str">
        <f>'1_BD questio brut'!W79</f>
        <v>2</v>
      </c>
      <c r="Z79" s="191" t="str">
        <f>'1_BD questio brut'!X79</f>
        <v/>
      </c>
      <c r="AA79" s="191" t="str">
        <f t="array" ref="AA79">INDEX('Données 1_BD questio'!C:C,MATCH('1_BD questio brut'!$Y$1&amp;'1_BD questio brut'!Y79,'Données 1_BD questio'!A:A&amp;'Données 1_BD questio'!B:B,0))</f>
        <v>Ne sait pas</v>
      </c>
      <c r="AB79" s="191" t="str">
        <f>'1_BD questio brut'!Z79</f>
        <v>3</v>
      </c>
      <c r="AC79" s="191" t="str">
        <f>'1_BD questio brut'!AA79</f>
        <v>1 à 2 ans</v>
      </c>
      <c r="AD79" s="191" t="str">
        <f>'1_BD questio brut'!AB79</f>
        <v>Feuillus</v>
      </c>
      <c r="AE79" s="191" t="str">
        <f t="array" ref="AE79">INDEX('Données 1_BD questio'!C:C,MATCH('1_BD questio brut'!$AC$1&amp;'1_BD questio brut'!AC79,'Données 1_BD questio'!A:A&amp;'Données 1_BD questio'!B:B,0))</f>
        <v>un professionnel</v>
      </c>
      <c r="AF79" s="191" t="str">
        <f>'1_BD questio brut'!AD79</f>
        <v>1 fois par an</v>
      </c>
      <c r="AG79" s="191" t="str">
        <f>'1_BD questio brut'!AE79</f>
        <v/>
      </c>
      <c r="AH79" s="191" t="str">
        <f>'1_BD questio brut'!AF79</f>
        <v>Insert cheminée</v>
      </c>
      <c r="AI79" s="191" t="str">
        <f>'1_BD questio brut'!AG79</f>
        <v>1</v>
      </c>
      <c r="AJ79" s="191" t="str">
        <f>'1_BD questio brut'!AH79</f>
        <v/>
      </c>
      <c r="AK79" s="191" t="str">
        <f>'1_BD questio brut'!AI79</f>
        <v>Chauffage d'appoint</v>
      </c>
      <c r="AL79" s="191" t="str">
        <f>'1_BD questio brut'!AJ79</f>
        <v>Pas de réponse</v>
      </c>
      <c r="AM79" s="191" t="str">
        <f>'1_BD questio brut'!AK79</f>
        <v>2; 4; 5</v>
      </c>
      <c r="AN79" s="191" t="str">
        <f>'1_BD questio brut'!AL79</f>
        <v/>
      </c>
      <c r="AO79" s="191" t="str">
        <f>'1_BD questio brut'!AM79</f>
        <v>5</v>
      </c>
      <c r="AP79" s="191" t="str">
        <f>'1_BD questio brut'!AN79</f>
        <v/>
      </c>
      <c r="AQ79" s="191" t="str">
        <f>'1_BD questio brut'!AO79</f>
        <v/>
      </c>
    </row>
    <row r="80" spans="1:43" ht="43.5" hidden="1">
      <c r="A80" s="98">
        <f>INDEX('3_BD instruction total'!A:A,MATCH(C80,'3_BD instruction total'!F:F,0))</f>
        <v>2020</v>
      </c>
      <c r="B80" s="98" t="str">
        <f>INDEX('3_BD instruction total'!C:C,MATCH(C80,'3_BD instruction total'!F:F,0))</f>
        <v>région</v>
      </c>
      <c r="C80" s="191" t="str">
        <f>'1_BD questio brut'!A80</f>
        <v>VRB0085</v>
      </c>
      <c r="D80" s="191" t="str">
        <f t="array" ref="D80">INDEX('Données 1_BD questio'!C:C,MATCH('1_BD questio brut'!$B$1&amp;'1_BD questio brut'!B80,'Données 1_BD questio'!A:A&amp;'Données 1_BD questio'!B:B,0))</f>
        <v>CAPV</v>
      </c>
      <c r="E80" s="191" t="str">
        <f t="array" ref="E80">INDEX('Données 1_BD questio'!C:C,MATCH('1_BD questio brut'!$C$1&amp;'1_BD questio brut'!C80,'Données 1_BD questio'!A:A&amp;'Données 1_BD questio'!B:B,0))</f>
        <v>Retraité</v>
      </c>
      <c r="F80" s="191" t="str">
        <f t="array" ref="F80">INDEX('Données 1_BD questio'!C:C,MATCH('1_BD questio brut'!$D$1&amp;'1_BD questio brut'!D80,'Données 1_BD questio'!A:A&amp;'Données 1_BD questio'!B:B,0))</f>
        <v>Pas de réponse</v>
      </c>
      <c r="G80" s="191" t="str">
        <f>'1_BD questio brut'!E80</f>
        <v>65 ans et plus</v>
      </c>
      <c r="H80" s="191">
        <f>'1_BD questio brut'!F80</f>
        <v>1</v>
      </c>
      <c r="I80" s="191" t="str">
        <f>'1_BD questio brut'!G80</f>
        <v>Pas de réponse</v>
      </c>
      <c r="J80" s="191" t="str">
        <f t="array" ref="J80">INDEX('Données 1_BD questio'!C:C,MATCH('1_BD questio brut'!$H$1&amp;'1_BD questio brut'!H80,'Données 1_BD questio'!A:A&amp;'Données 1_BD questio'!B:B,0))</f>
        <v>Maison avec jardin</v>
      </c>
      <c r="K80" s="191">
        <f>'1_BD questio brut'!I80</f>
        <v>90</v>
      </c>
      <c r="L80" s="191" t="str">
        <f>'1_BD questio brut'!J80</f>
        <v>1990-2005</v>
      </c>
      <c r="M80" s="191" t="str">
        <f>'1_BD questio brut'!K80</f>
        <v>1</v>
      </c>
      <c r="N80" s="191" t="str">
        <f>'1_BD questio brut'!L80</f>
        <v>Pas de réponse</v>
      </c>
      <c r="O80" s="191" t="str">
        <f>'1_BD questio brut'!M80</f>
        <v>Propriétaire occupant</v>
      </c>
      <c r="P80" s="191" t="str">
        <f>'1_BD questio brut'!N80</f>
        <v>Insert / foyer fermé</v>
      </c>
      <c r="Q80" s="191" t="str">
        <f>'1_BD questio brut'!O80</f>
        <v>Chauffage de base</v>
      </c>
      <c r="R80" s="191" t="str">
        <f>'1_BD questio brut'!P80</f>
        <v>Tous les jours</v>
      </c>
      <c r="S80" s="191" t="str">
        <f>'1_BD questio brut'!Q80</f>
        <v>4; 5</v>
      </c>
      <c r="T80" s="191" t="str">
        <f>'1_BD questio brut'!R80</f>
        <v>1996-2002</v>
      </c>
      <c r="U80" s="191" t="str">
        <f>'1_BD questio brut'!S80</f>
        <v>Bois bûche</v>
      </c>
      <c r="V80" s="191" t="str">
        <f>'1_BD questio brut'!T80</f>
        <v/>
      </c>
      <c r="W80" s="191" t="str">
        <f>'1_BD questio brut'!U80</f>
        <v>10</v>
      </c>
      <c r="X80" s="191" t="str">
        <f>'1_BD questio brut'!V80</f>
        <v>stères</v>
      </c>
      <c r="Y80" s="191" t="str">
        <f>'1_BD questio brut'!W80</f>
        <v>2</v>
      </c>
      <c r="Z80" s="191" t="str">
        <f>'1_BD questio brut'!X80</f>
        <v/>
      </c>
      <c r="AA80" s="191" t="str">
        <f t="array" ref="AA80">INDEX('Données 1_BD questio'!C:C,MATCH('1_BD questio brut'!$Y$1&amp;'1_BD questio brut'!Y80,'Données 1_BD questio'!A:A&amp;'Données 1_BD questio'!B:B,0))</f>
        <v>Ne sait pas</v>
      </c>
      <c r="AB80" s="191" t="str">
        <f>'1_BD questio brut'!Z80</f>
        <v>2</v>
      </c>
      <c r="AC80" s="191" t="str">
        <f>'1_BD questio brut'!AA80</f>
        <v>1 à 2 ans</v>
      </c>
      <c r="AD80" s="191" t="str">
        <f>'1_BD questio brut'!AB80</f>
        <v>Les deux</v>
      </c>
      <c r="AE80" s="191" t="str">
        <f t="array" ref="AE80">INDEX('Données 1_BD questio'!C:C,MATCH('1_BD questio brut'!$AC$1&amp;'1_BD questio brut'!AC80,'Données 1_BD questio'!A:A&amp;'Données 1_BD questio'!B:B,0))</f>
        <v>un professionnel</v>
      </c>
      <c r="AF80" s="191" t="str">
        <f>'1_BD questio brut'!AD80</f>
        <v>1 fois par an</v>
      </c>
      <c r="AG80" s="191" t="str">
        <f>'1_BD questio brut'!AE80</f>
        <v/>
      </c>
      <c r="AH80" s="191" t="str">
        <f>'1_BD questio brut'!AF80</f>
        <v>Insert cheminée</v>
      </c>
      <c r="AI80" s="191" t="str">
        <f>'1_BD questio brut'!AG80</f>
        <v>2</v>
      </c>
      <c r="AJ80" s="191" t="str">
        <f>'1_BD questio brut'!AH80</f>
        <v/>
      </c>
      <c r="AK80" s="191" t="str">
        <f>'1_BD questio brut'!AI80</f>
        <v>Chauffage de base</v>
      </c>
      <c r="AL80" s="191" t="str">
        <f>'1_BD questio brut'!AJ80</f>
        <v>Pas de réponse</v>
      </c>
      <c r="AM80" s="191" t="str">
        <f>'1_BD questio brut'!AK80</f>
        <v>1; 2; 4; 5</v>
      </c>
      <c r="AN80" s="191" t="str">
        <f>'1_BD questio brut'!AL80</f>
        <v/>
      </c>
      <c r="AO80" s="191" t="str">
        <f>'1_BD questio brut'!AM80</f>
        <v>5</v>
      </c>
      <c r="AP80" s="191" t="str">
        <f>'1_BD questio brut'!AN80</f>
        <v/>
      </c>
      <c r="AQ80" s="191" t="str">
        <f>'1_BD questio brut'!AO80</f>
        <v/>
      </c>
    </row>
    <row r="81" spans="1:43" ht="43.5" hidden="1">
      <c r="A81" s="98">
        <f>INDEX('3_BD instruction total'!A:A,MATCH(C81,'3_BD instruction total'!F:F,0))</f>
        <v>2020</v>
      </c>
      <c r="B81" s="98" t="str">
        <f>INDEX('3_BD instruction total'!C:C,MATCH(C81,'3_BD instruction total'!F:F,0))</f>
        <v>région</v>
      </c>
      <c r="C81" s="191" t="str">
        <f>'1_BD questio brut'!A81</f>
        <v>VRB0086</v>
      </c>
      <c r="D81" s="191" t="str">
        <f t="array" ref="D81">INDEX('Données 1_BD questio'!C:C,MATCH('1_BD questio brut'!$B$1&amp;'1_BD questio brut'!B81,'Données 1_BD questio'!A:A&amp;'Données 1_BD questio'!B:B,0))</f>
        <v>CAPV</v>
      </c>
      <c r="E81" s="191" t="str">
        <f t="array" ref="E81">INDEX('Données 1_BD questio'!C:C,MATCH('1_BD questio brut'!$C$1&amp;'1_BD questio brut'!C81,'Données 1_BD questio'!A:A&amp;'Données 1_BD questio'!B:B,0))</f>
        <v>Ouvrier</v>
      </c>
      <c r="F81" s="191" t="str">
        <f t="array" ref="F81">INDEX('Données 1_BD questio'!C:C,MATCH('1_BD questio brut'!$D$1&amp;'1_BD questio brut'!D81,'Données 1_BD questio'!A:A&amp;'Données 1_BD questio'!B:B,0))</f>
        <v>Autre,sans activité</v>
      </c>
      <c r="G81" s="191" t="str">
        <f>'1_BD questio brut'!E81</f>
        <v>50 à 64 ans</v>
      </c>
      <c r="H81" s="191">
        <f>'1_BD questio brut'!F81</f>
        <v>4</v>
      </c>
      <c r="I81" s="191" t="str">
        <f>'1_BD questio brut'!G81</f>
        <v>Pas de réponse</v>
      </c>
      <c r="J81" s="191" t="str">
        <f t="array" ref="J81">INDEX('Données 1_BD questio'!C:C,MATCH('1_BD questio brut'!$H$1&amp;'1_BD questio brut'!H81,'Données 1_BD questio'!A:A&amp;'Données 1_BD questio'!B:B,0))</f>
        <v>Maison avec jardin</v>
      </c>
      <c r="K81" s="191">
        <f>'1_BD questio brut'!I81</f>
        <v>120</v>
      </c>
      <c r="L81" s="191" t="str">
        <f>'1_BD questio brut'!J81</f>
        <v>Avant 1949</v>
      </c>
      <c r="M81" s="191" t="str">
        <f>'1_BD questio brut'!K81</f>
        <v>1; 3; 4</v>
      </c>
      <c r="N81" s="191" t="str">
        <f>'1_BD questio brut'!L81</f>
        <v>Pas de réponse</v>
      </c>
      <c r="O81" s="191" t="str">
        <f>'1_BD questio brut'!M81</f>
        <v>Propriétaire occupant</v>
      </c>
      <c r="P81" s="191" t="str">
        <f>'1_BD questio brut'!N81</f>
        <v>Poêle</v>
      </c>
      <c r="Q81" s="191" t="str">
        <f>'1_BD questio brut'!O81</f>
        <v>Chauffage de base</v>
      </c>
      <c r="R81" s="191" t="str">
        <f>'1_BD questio brut'!P81</f>
        <v>Tous les jours</v>
      </c>
      <c r="S81" s="191" t="str">
        <f>'1_BD questio brut'!Q81</f>
        <v>4; 5; 6</v>
      </c>
      <c r="T81" s="191" t="str">
        <f>'1_BD questio brut'!R81</f>
        <v>1996-2002</v>
      </c>
      <c r="U81" s="191" t="str">
        <f>'1_BD questio brut'!S81</f>
        <v>Bois bûche</v>
      </c>
      <c r="V81" s="191" t="str">
        <f>'1_BD questio brut'!T81</f>
        <v/>
      </c>
      <c r="W81" s="191" t="str">
        <f>'1_BD questio brut'!U81</f>
        <v>8</v>
      </c>
      <c r="X81" s="191" t="str">
        <f>'1_BD questio brut'!V81</f>
        <v>tonnes</v>
      </c>
      <c r="Y81" s="191" t="str">
        <f>'1_BD questio brut'!W81</f>
        <v>2</v>
      </c>
      <c r="Z81" s="191" t="str">
        <f>'1_BD questio brut'!X81</f>
        <v/>
      </c>
      <c r="AA81" s="191" t="str">
        <f t="array" ref="AA81">INDEX('Données 1_BD questio'!C:C,MATCH('1_BD questio brut'!$Y$1&amp;'1_BD questio brut'!Y81,'Données 1_BD questio'!A:A&amp;'Données 1_BD questio'!B:B,0))</f>
        <v>Ne sait pas</v>
      </c>
      <c r="AB81" s="191" t="str">
        <f>'1_BD questio brut'!Z81</f>
        <v>3</v>
      </c>
      <c r="AC81" s="191" t="str">
        <f>'1_BD questio brut'!AA81</f>
        <v>1 à 2 ans</v>
      </c>
      <c r="AD81" s="191" t="str">
        <f>'1_BD questio brut'!AB81</f>
        <v>Les deux</v>
      </c>
      <c r="AE81" s="191" t="str">
        <f t="array" ref="AE81">INDEX('Données 1_BD questio'!C:C,MATCH('1_BD questio brut'!$AC$1&amp;'1_BD questio brut'!AC81,'Données 1_BD questio'!A:A&amp;'Données 1_BD questio'!B:B,0))</f>
        <v>un professionnel</v>
      </c>
      <c r="AF81" s="191" t="str">
        <f>'1_BD questio brut'!AD81</f>
        <v>1 fois par an</v>
      </c>
      <c r="AG81" s="191" t="str">
        <f>'1_BD questio brut'!AE81</f>
        <v/>
      </c>
      <c r="AH81" s="191" t="str">
        <f>'1_BD questio brut'!AF81</f>
        <v>Poêle</v>
      </c>
      <c r="AI81" s="191" t="str">
        <f>'1_BD questio brut'!AG81</f>
        <v>2</v>
      </c>
      <c r="AJ81" s="191" t="str">
        <f>'1_BD questio brut'!AH81</f>
        <v/>
      </c>
      <c r="AK81" s="191" t="str">
        <f>'1_BD questio brut'!AI81</f>
        <v>Chauffage de base</v>
      </c>
      <c r="AL81" s="191" t="str">
        <f>'1_BD questio brut'!AJ81</f>
        <v>Pas de réponse</v>
      </c>
      <c r="AM81" s="191" t="str">
        <f>'1_BD questio brut'!AK81</f>
        <v>4; 5</v>
      </c>
      <c r="AN81" s="191" t="str">
        <f>'1_BD questio brut'!AL81</f>
        <v/>
      </c>
      <c r="AO81" s="191" t="str">
        <f>'1_BD questio brut'!AM81</f>
        <v>5</v>
      </c>
      <c r="AP81" s="191" t="str">
        <f>'1_BD questio brut'!AN81</f>
        <v/>
      </c>
      <c r="AQ81" s="191" t="str">
        <f>'1_BD questio brut'!AO81</f>
        <v/>
      </c>
    </row>
    <row r="82" spans="1:43" ht="43.5" hidden="1">
      <c r="A82" s="98">
        <f>INDEX('3_BD instruction total'!A:A,MATCH(C82,'3_BD instruction total'!F:F,0))</f>
        <v>2020</v>
      </c>
      <c r="B82" s="98" t="str">
        <f>INDEX('3_BD instruction total'!C:C,MATCH(C82,'3_BD instruction total'!F:F,0))</f>
        <v>région</v>
      </c>
      <c r="C82" s="191" t="str">
        <f>'1_BD questio brut'!A82</f>
        <v>VRB0087</v>
      </c>
      <c r="D82" s="191" t="str">
        <f t="array" ref="D82">INDEX('Données 1_BD questio'!C:C,MATCH('1_BD questio brut'!$B$1&amp;'1_BD questio brut'!B82,'Données 1_BD questio'!A:A&amp;'Données 1_BD questio'!B:B,0))</f>
        <v>CAPV</v>
      </c>
      <c r="E82" s="191" t="str">
        <f t="array" ref="E82">INDEX('Données 1_BD questio'!C:C,MATCH('1_BD questio brut'!$C$1&amp;'1_BD questio brut'!C82,'Données 1_BD questio'!A:A&amp;'Données 1_BD questio'!B:B,0))</f>
        <v>Retraité</v>
      </c>
      <c r="F82" s="191" t="str">
        <f t="array" ref="F82">INDEX('Données 1_BD questio'!C:C,MATCH('1_BD questio brut'!$D$1&amp;'1_BD questio brut'!D82,'Données 1_BD questio'!A:A&amp;'Données 1_BD questio'!B:B,0))</f>
        <v>Retraité</v>
      </c>
      <c r="G82" s="191" t="str">
        <f>'1_BD questio brut'!E82</f>
        <v>65 ans et plus</v>
      </c>
      <c r="H82" s="191">
        <f>'1_BD questio brut'!F82</f>
        <v>2</v>
      </c>
      <c r="I82" s="191" t="str">
        <f>'1_BD questio brut'!G82</f>
        <v>Pas de réponse</v>
      </c>
      <c r="J82" s="191" t="str">
        <f t="array" ref="J82">INDEX('Données 1_BD questio'!C:C,MATCH('1_BD questio brut'!$H$1&amp;'1_BD questio brut'!H82,'Données 1_BD questio'!A:A&amp;'Données 1_BD questio'!B:B,0))</f>
        <v>Maison avec jardin</v>
      </c>
      <c r="K82" s="191">
        <f>'1_BD questio brut'!I82</f>
        <v>146</v>
      </c>
      <c r="L82" s="191" t="str">
        <f>'1_BD questio brut'!J82</f>
        <v>1975-1990</v>
      </c>
      <c r="M82" s="191" t="str">
        <f>'1_BD questio brut'!K82</f>
        <v>4</v>
      </c>
      <c r="N82" s="191" t="str">
        <f>'1_BD questio brut'!L82</f>
        <v>E</v>
      </c>
      <c r="O82" s="191" t="str">
        <f>'1_BD questio brut'!M82</f>
        <v>Propriétaire occupant</v>
      </c>
      <c r="P82" s="191" t="str">
        <f>'1_BD questio brut'!N82</f>
        <v>Cuisinière</v>
      </c>
      <c r="Q82" s="191" t="str">
        <f>'1_BD questio brut'!O82</f>
        <v>Chauffage de base</v>
      </c>
      <c r="R82" s="191" t="str">
        <f>'1_BD questio brut'!P82</f>
        <v>Tous les jours</v>
      </c>
      <c r="S82" s="191" t="str">
        <f>'1_BD questio brut'!Q82</f>
        <v>4; 5</v>
      </c>
      <c r="T82" s="191" t="str">
        <f>'1_BD questio brut'!R82</f>
        <v>Avant 1990</v>
      </c>
      <c r="U82" s="191" t="str">
        <f>'1_BD questio brut'!S82</f>
        <v>Bois bûche</v>
      </c>
      <c r="V82" s="191" t="str">
        <f>'1_BD questio brut'!T82</f>
        <v/>
      </c>
      <c r="W82" s="191" t="str">
        <f>'1_BD questio brut'!U82</f>
        <v>400</v>
      </c>
      <c r="X82" s="191" t="str">
        <f>'1_BD questio brut'!V82</f>
        <v>kg</v>
      </c>
      <c r="Y82" s="191" t="str">
        <f>'1_BD questio brut'!W82</f>
        <v>4</v>
      </c>
      <c r="Z82" s="191" t="str">
        <f>'1_BD questio brut'!X82</f>
        <v/>
      </c>
      <c r="AA82" s="191" t="str">
        <f t="array" ref="AA82">INDEX('Données 1_BD questio'!C:C,MATCH('1_BD questio brut'!$Y$1&amp;'1_BD questio brut'!Y82,'Données 1_BD questio'!A:A&amp;'Données 1_BD questio'!B:B,0))</f>
        <v>Pas de réponse</v>
      </c>
      <c r="AB82" s="191" t="str">
        <f>'1_BD questio brut'!Z82</f>
        <v>4</v>
      </c>
      <c r="AC82" s="191" t="str">
        <f>'1_BD questio brut'!AA82</f>
        <v>Pas de réponse</v>
      </c>
      <c r="AD82" s="191" t="str">
        <f>'1_BD questio brut'!AB82</f>
        <v>Pas de réponse</v>
      </c>
      <c r="AE82" s="191" t="str">
        <f t="array" ref="AE82">INDEX('Données 1_BD questio'!C:C,MATCH('1_BD questio brut'!$AC$1&amp;'1_BD questio brut'!AC82,'Données 1_BD questio'!A:A&amp;'Données 1_BD questio'!B:B,0))</f>
        <v>un professionnel</v>
      </c>
      <c r="AF82" s="191" t="str">
        <f>'1_BD questio brut'!AD82</f>
        <v>2 fois par an</v>
      </c>
      <c r="AG82" s="191" t="str">
        <f>'1_BD questio brut'!AE82</f>
        <v/>
      </c>
      <c r="AH82" s="191" t="str">
        <f>'1_BD questio brut'!AF82</f>
        <v>Poêle</v>
      </c>
      <c r="AI82" s="191" t="str">
        <f>'1_BD questio brut'!AG82</f>
        <v>2</v>
      </c>
      <c r="AJ82" s="191" t="str">
        <f>'1_BD questio brut'!AH82</f>
        <v/>
      </c>
      <c r="AK82" s="191" t="str">
        <f>'1_BD questio brut'!AI82</f>
        <v>Chauffage de base</v>
      </c>
      <c r="AL82" s="191" t="str">
        <f>'1_BD questio brut'!AJ82</f>
        <v>Pas de réponse</v>
      </c>
      <c r="AM82" s="191" t="str">
        <f>'1_BD questio brut'!AK82</f>
        <v>1; 4; 5</v>
      </c>
      <c r="AN82" s="191" t="str">
        <f>'1_BD questio brut'!AL82</f>
        <v/>
      </c>
      <c r="AO82" s="191" t="str">
        <f>'1_BD questio brut'!AM82</f>
        <v>2</v>
      </c>
      <c r="AP82" s="191" t="str">
        <f>'1_BD questio brut'!AN82</f>
        <v/>
      </c>
      <c r="AQ82" s="191" t="str">
        <f>'1_BD questio brut'!AO82</f>
        <v/>
      </c>
    </row>
    <row r="83" spans="1:43" ht="43.5" hidden="1">
      <c r="A83" s="98">
        <f>INDEX('3_BD instruction total'!A:A,MATCH(C83,'3_BD instruction total'!F:F,0))</f>
        <v>2020</v>
      </c>
      <c r="B83" s="98" t="str">
        <f>INDEX('3_BD instruction total'!C:C,MATCH(C83,'3_BD instruction total'!F:F,0))</f>
        <v>région</v>
      </c>
      <c r="C83" s="191" t="str">
        <f>'1_BD questio brut'!A83</f>
        <v>VRB0088</v>
      </c>
      <c r="D83" s="191" t="str">
        <f t="array" ref="D83">INDEX('Données 1_BD questio'!C:C,MATCH('1_BD questio brut'!$B$1&amp;'1_BD questio brut'!B83,'Données 1_BD questio'!A:A&amp;'Données 1_BD questio'!B:B,0))</f>
        <v>CAPV</v>
      </c>
      <c r="E83" s="191" t="str">
        <f t="array" ref="E83">INDEX('Données 1_BD questio'!C:C,MATCH('1_BD questio brut'!$C$1&amp;'1_BD questio brut'!C83,'Données 1_BD questio'!A:A&amp;'Données 1_BD questio'!B:B,0))</f>
        <v>Retraité</v>
      </c>
      <c r="F83" s="191" t="str">
        <f t="array" ref="F83">INDEX('Données 1_BD questio'!C:C,MATCH('1_BD questio brut'!$D$1&amp;'1_BD questio brut'!D83,'Données 1_BD questio'!A:A&amp;'Données 1_BD questio'!B:B,0))</f>
        <v>Retraité</v>
      </c>
      <c r="G83" s="191" t="str">
        <f>'1_BD questio brut'!E83</f>
        <v>65 ans et plus</v>
      </c>
      <c r="H83" s="191">
        <f>'1_BD questio brut'!F83</f>
        <v>2</v>
      </c>
      <c r="I83" s="191" t="str">
        <f>'1_BD questio brut'!G83</f>
        <v>Pas de réponse</v>
      </c>
      <c r="J83" s="191" t="str">
        <f t="array" ref="J83">INDEX('Données 1_BD questio'!C:C,MATCH('1_BD questio brut'!$H$1&amp;'1_BD questio brut'!H83,'Données 1_BD questio'!A:A&amp;'Données 1_BD questio'!B:B,0))</f>
        <v>Maison avec jardin</v>
      </c>
      <c r="K83" s="191">
        <f>'1_BD questio brut'!I83</f>
        <v>160</v>
      </c>
      <c r="L83" s="191" t="str">
        <f>'1_BD questio brut'!J83</f>
        <v>1949-1975</v>
      </c>
      <c r="M83" s="191" t="str">
        <f>'1_BD questio brut'!K83</f>
        <v>4</v>
      </c>
      <c r="N83" s="191" t="str">
        <f>'1_BD questio brut'!L83</f>
        <v>Ne sait pas</v>
      </c>
      <c r="O83" s="191" t="str">
        <f>'1_BD questio brut'!M83</f>
        <v>Propriétaire occupant</v>
      </c>
      <c r="P83" s="191" t="str">
        <f>'1_BD questio brut'!N83</f>
        <v>Foyer ouvert</v>
      </c>
      <c r="Q83" s="191" t="str">
        <f>'1_BD questio brut'!O83</f>
        <v>Chauffage d'apoint</v>
      </c>
      <c r="R83" s="191" t="str">
        <f>'1_BD questio brut'!P83</f>
        <v>3 à 4 jours/semaine</v>
      </c>
      <c r="S83" s="191" t="str">
        <f>'1_BD questio brut'!Q83</f>
        <v>3; 4; 5; 6</v>
      </c>
      <c r="T83" s="191" t="str">
        <f>'1_BD questio brut'!R83</f>
        <v>Avant 1990</v>
      </c>
      <c r="U83" s="191" t="str">
        <f>'1_BD questio brut'!S83</f>
        <v>Bois bûche</v>
      </c>
      <c r="V83" s="191" t="str">
        <f>'1_BD questio brut'!T83</f>
        <v/>
      </c>
      <c r="W83" s="191" t="str">
        <f>'1_BD questio brut'!U83</f>
        <v/>
      </c>
      <c r="X83" s="191" t="str">
        <f>'1_BD questio brut'!V83</f>
        <v/>
      </c>
      <c r="Y83" s="191" t="str">
        <f>'1_BD questio brut'!W83</f>
        <v>1</v>
      </c>
      <c r="Z83" s="191" t="str">
        <f>'1_BD questio brut'!X83</f>
        <v/>
      </c>
      <c r="AA83" s="191" t="str">
        <f t="array" ref="AA83">INDEX('Données 1_BD questio'!C:C,MATCH('1_BD questio brut'!$Y$1&amp;'1_BD questio brut'!Y83,'Données 1_BD questio'!A:A&amp;'Données 1_BD questio'!B:B,0))</f>
        <v>Pas de réponse</v>
      </c>
      <c r="AB83" s="191" t="str">
        <f>'1_BD questio brut'!Z83</f>
        <v>2</v>
      </c>
      <c r="AC83" s="191" t="str">
        <f>'1_BD questio brut'!AA83</f>
        <v>&gt; 2 ans</v>
      </c>
      <c r="AD83" s="191" t="str">
        <f>'1_BD questio brut'!AB83</f>
        <v>Les deux</v>
      </c>
      <c r="AE83" s="191" t="str">
        <f t="array" ref="AE83">INDEX('Données 1_BD questio'!C:C,MATCH('1_BD questio brut'!$AC$1&amp;'1_BD questio brut'!AC83,'Données 1_BD questio'!A:A&amp;'Données 1_BD questio'!B:B,0))</f>
        <v>vous-même</v>
      </c>
      <c r="AF83" s="191" t="str">
        <f>'1_BD questio brut'!AD83</f>
        <v>1 fois par an</v>
      </c>
      <c r="AG83" s="191" t="str">
        <f>'1_BD questio brut'!AE83</f>
        <v/>
      </c>
      <c r="AH83" s="191" t="str">
        <f>'1_BD questio brut'!AF83</f>
        <v>Poêle</v>
      </c>
      <c r="AI83" s="191" t="str">
        <f>'1_BD questio brut'!AG83</f>
        <v>1</v>
      </c>
      <c r="AJ83" s="191" t="str">
        <f>'1_BD questio brut'!AH83</f>
        <v/>
      </c>
      <c r="AK83" s="191" t="str">
        <f>'1_BD questio brut'!AI83</f>
        <v>Chauffage d'appoint</v>
      </c>
      <c r="AL83" s="191" t="str">
        <f>'1_BD questio brut'!AJ83</f>
        <v>Pas de réponse</v>
      </c>
      <c r="AM83" s="191" t="str">
        <f>'1_BD questio brut'!AK83</f>
        <v>1; 4; 5</v>
      </c>
      <c r="AN83" s="191" t="str">
        <f>'1_BD questio brut'!AL83</f>
        <v/>
      </c>
      <c r="AO83" s="191" t="str">
        <f>'1_BD questio brut'!AM83</f>
        <v>5; 7</v>
      </c>
      <c r="AP83" s="191" t="str">
        <f>'1_BD questio brut'!AN83</f>
        <v/>
      </c>
      <c r="AQ83" s="191" t="str">
        <f>'1_BD questio brut'!AO83</f>
        <v/>
      </c>
    </row>
    <row r="84" spans="1:43" ht="43.5" hidden="1">
      <c r="A84" s="98">
        <f>INDEX('3_BD instruction total'!A:A,MATCH(C84,'3_BD instruction total'!F:F,0))</f>
        <v>2020</v>
      </c>
      <c r="B84" s="98" t="str">
        <f>INDEX('3_BD instruction total'!C:C,MATCH(C84,'3_BD instruction total'!F:F,0))</f>
        <v>non</v>
      </c>
      <c r="C84" s="191" t="str">
        <f>'1_BD questio brut'!A84</f>
        <v>VRB0089</v>
      </c>
      <c r="D84" s="191" t="str">
        <f t="array" ref="D84">INDEX('Données 1_BD questio'!C:C,MATCH('1_BD questio brut'!$B$1&amp;'1_BD questio brut'!B84,'Données 1_BD questio'!A:A&amp;'Données 1_BD questio'!B:B,0))</f>
        <v>CAPV</v>
      </c>
      <c r="E84" s="191" t="str">
        <f t="array" ref="E84">INDEX('Données 1_BD questio'!C:C,MATCH('1_BD questio brut'!$C$1&amp;'1_BD questio brut'!C84,'Données 1_BD questio'!A:A&amp;'Données 1_BD questio'!B:B,0))</f>
        <v>Employé</v>
      </c>
      <c r="F84" s="191" t="str">
        <f t="array" ref="F84">INDEX('Données 1_BD questio'!C:C,MATCH('1_BD questio brut'!$D$1&amp;'1_BD questio brut'!D84,'Données 1_BD questio'!A:A&amp;'Données 1_BD questio'!B:B,0))</f>
        <v>Employé</v>
      </c>
      <c r="G84" s="191" t="str">
        <f>'1_BD questio brut'!E84</f>
        <v>35 à 49 ans</v>
      </c>
      <c r="H84" s="191">
        <f>'1_BD questio brut'!F84</f>
        <v>3</v>
      </c>
      <c r="I84" s="191" t="str">
        <f>'1_BD questio brut'!G84</f>
        <v>Pas de réponse</v>
      </c>
      <c r="J84" s="191" t="str">
        <f t="array" ref="J84">INDEX('Données 1_BD questio'!C:C,MATCH('1_BD questio brut'!$H$1&amp;'1_BD questio brut'!H84,'Données 1_BD questio'!A:A&amp;'Données 1_BD questio'!B:B,0))</f>
        <v>Maison avec jardin</v>
      </c>
      <c r="K84" s="191">
        <f>'1_BD questio brut'!I84</f>
        <v>85</v>
      </c>
      <c r="L84" s="191" t="str">
        <f>'1_BD questio brut'!J84</f>
        <v>1990-2005</v>
      </c>
      <c r="M84" s="191" t="str">
        <f>'1_BD questio brut'!K84</f>
        <v>7</v>
      </c>
      <c r="N84" s="191" t="str">
        <f>'1_BD questio brut'!L84</f>
        <v>D</v>
      </c>
      <c r="O84" s="191" t="str">
        <f>'1_BD questio brut'!M84</f>
        <v>Propriétaire occupant</v>
      </c>
      <c r="P84" s="191" t="str">
        <f>'1_BD questio brut'!N84</f>
        <v>Poêle</v>
      </c>
      <c r="Q84" s="191" t="str">
        <f>'1_BD questio brut'!O84</f>
        <v>Chauffage d'apoint</v>
      </c>
      <c r="R84" s="191" t="str">
        <f>'1_BD questio brut'!P84</f>
        <v>Tous les jours</v>
      </c>
      <c r="S84" s="191" t="str">
        <f>'1_BD questio brut'!Q84</f>
        <v>4</v>
      </c>
      <c r="T84" s="191" t="str">
        <f>'1_BD questio brut'!R84</f>
        <v>1996-2002</v>
      </c>
      <c r="U84" s="191" t="str">
        <f>'1_BD questio brut'!S84</f>
        <v>Bois bûche</v>
      </c>
      <c r="V84" s="191" t="str">
        <f>'1_BD questio brut'!T84</f>
        <v/>
      </c>
      <c r="W84" s="191" t="str">
        <f>'1_BD questio brut'!U84</f>
        <v>7</v>
      </c>
      <c r="X84" s="191" t="str">
        <f>'1_BD questio brut'!V84</f>
        <v>Stères</v>
      </c>
      <c r="Y84" s="191" t="str">
        <f>'1_BD questio brut'!W84</f>
        <v>2</v>
      </c>
      <c r="Z84" s="191" t="str">
        <f>'1_BD questio brut'!X84</f>
        <v/>
      </c>
      <c r="AA84" s="191" t="str">
        <f t="array" ref="AA84">INDEX('Données 1_BD questio'!C:C,MATCH('1_BD questio brut'!$Y$1&amp;'1_BD questio brut'!Y84,'Données 1_BD questio'!A:A&amp;'Données 1_BD questio'!B:B,0))</f>
        <v>Rhône-Alpes hors RA2B</v>
      </c>
      <c r="AB84" s="191" t="str">
        <f>'1_BD questio brut'!Z84</f>
        <v>3</v>
      </c>
      <c r="AC84" s="191" t="str">
        <f>'1_BD questio brut'!AA84</f>
        <v>1 à 2 ans</v>
      </c>
      <c r="AD84" s="191" t="str">
        <f>'1_BD questio brut'!AB84</f>
        <v>Les deux</v>
      </c>
      <c r="AE84" s="191" t="str">
        <f t="array" ref="AE84">INDEX('Données 1_BD questio'!C:C,MATCH('1_BD questio brut'!$AC$1&amp;'1_BD questio brut'!AC84,'Données 1_BD questio'!A:A&amp;'Données 1_BD questio'!B:B,0))</f>
        <v>un professionnel</v>
      </c>
      <c r="AF84" s="191" t="str">
        <f>'1_BD questio brut'!AD84</f>
        <v>1 fois par an</v>
      </c>
      <c r="AG84" s="191" t="str">
        <f>'1_BD questio brut'!AE84</f>
        <v/>
      </c>
      <c r="AH84" s="191" t="str">
        <f>'1_BD questio brut'!AF84</f>
        <v>Poêle</v>
      </c>
      <c r="AI84" s="191" t="str">
        <f>'1_BD questio brut'!AG84</f>
        <v>2</v>
      </c>
      <c r="AJ84" s="191" t="str">
        <f>'1_BD questio brut'!AH84</f>
        <v/>
      </c>
      <c r="AK84" s="191" t="str">
        <f>'1_BD questio brut'!AI84</f>
        <v>Chauffage de base</v>
      </c>
      <c r="AL84" s="191" t="str">
        <f>'1_BD questio brut'!AJ84</f>
        <v>Pas de réponse</v>
      </c>
      <c r="AM84" s="191" t="str">
        <f>'1_BD questio brut'!AK84</f>
        <v>4</v>
      </c>
      <c r="AN84" s="191" t="str">
        <f>'1_BD questio brut'!AL84</f>
        <v/>
      </c>
      <c r="AO84" s="191" t="str">
        <f>'1_BD questio brut'!AM84</f>
        <v>1</v>
      </c>
      <c r="AP84" s="191" t="str">
        <f>'1_BD questio brut'!AN84</f>
        <v/>
      </c>
      <c r="AQ84" s="191" t="str">
        <f>'1_BD questio brut'!AO84</f>
        <v/>
      </c>
    </row>
    <row r="85" spans="1:43" ht="43.5" hidden="1">
      <c r="A85" s="98">
        <f>INDEX('3_BD instruction total'!A:A,MATCH(C85,'3_BD instruction total'!F:F,0))</f>
        <v>2020</v>
      </c>
      <c r="B85" s="98" t="str">
        <f>INDEX('3_BD instruction total'!C:C,MATCH(C85,'3_BD instruction total'!F:F,0))</f>
        <v>non</v>
      </c>
      <c r="C85" s="191" t="str">
        <f>'1_BD questio brut'!A85</f>
        <v>VRB0090</v>
      </c>
      <c r="D85" s="191" t="str">
        <f t="array" ref="D85">INDEX('Données 1_BD questio'!C:C,MATCH('1_BD questio brut'!$B$1&amp;'1_BD questio brut'!B85,'Données 1_BD questio'!A:A&amp;'Données 1_BD questio'!B:B,0))</f>
        <v>CAPV</v>
      </c>
      <c r="E85" s="191" t="str">
        <f t="array" ref="E85">INDEX('Données 1_BD questio'!C:C,MATCH('1_BD questio brut'!$C$1&amp;'1_BD questio brut'!C85,'Données 1_BD questio'!A:A&amp;'Données 1_BD questio'!B:B,0))</f>
        <v>Retraité</v>
      </c>
      <c r="F85" s="191" t="str">
        <f t="array" ref="F85">INDEX('Données 1_BD questio'!C:C,MATCH('1_BD questio brut'!$D$1&amp;'1_BD questio brut'!D85,'Données 1_BD questio'!A:A&amp;'Données 1_BD questio'!B:B,0))</f>
        <v>Pas de réponse</v>
      </c>
      <c r="G85" s="191" t="str">
        <f>'1_BD questio brut'!E85</f>
        <v>65 ans et plus</v>
      </c>
      <c r="H85" s="191">
        <f>'1_BD questio brut'!F85</f>
        <v>1</v>
      </c>
      <c r="I85" s="191" t="str">
        <f>'1_BD questio brut'!G85</f>
        <v>Pas de réponse</v>
      </c>
      <c r="J85" s="191" t="str">
        <f t="array" ref="J85">INDEX('Données 1_BD questio'!C:C,MATCH('1_BD questio brut'!$H$1&amp;'1_BD questio brut'!H85,'Données 1_BD questio'!A:A&amp;'Données 1_BD questio'!B:B,0))</f>
        <v>Maison avec jardin</v>
      </c>
      <c r="K85" s="191">
        <f>'1_BD questio brut'!I85</f>
        <v>70</v>
      </c>
      <c r="L85" s="191" t="str">
        <f>'1_BD questio brut'!J85</f>
        <v>Avant 1949</v>
      </c>
      <c r="M85" s="191" t="str">
        <f>'1_BD questio brut'!K85</f>
        <v>1; 3; 4</v>
      </c>
      <c r="N85" s="191" t="str">
        <f>'1_BD questio brut'!L85</f>
        <v>Ne sait pas</v>
      </c>
      <c r="O85" s="191" t="str">
        <f>'1_BD questio brut'!M85</f>
        <v>Propriétaire occupant</v>
      </c>
      <c r="P85" s="191" t="str">
        <f>'1_BD questio brut'!N85</f>
        <v>Cuisinière</v>
      </c>
      <c r="Q85" s="191" t="str">
        <f>'1_BD questio brut'!O85</f>
        <v>Chauffage d'apoint</v>
      </c>
      <c r="R85" s="191" t="str">
        <f>'1_BD questio brut'!P85</f>
        <v>Tous les jours</v>
      </c>
      <c r="S85" s="191" t="str">
        <f>'1_BD questio brut'!Q85</f>
        <v>4</v>
      </c>
      <c r="T85" s="191" t="str">
        <f>'1_BD questio brut'!R85</f>
        <v>Avant 1990</v>
      </c>
      <c r="U85" s="191" t="str">
        <f>'1_BD questio brut'!S85</f>
        <v>Bois bûche</v>
      </c>
      <c r="V85" s="191" t="str">
        <f>'1_BD questio brut'!T85</f>
        <v/>
      </c>
      <c r="W85" s="191" t="str">
        <f>'1_BD questio brut'!U85</f>
        <v/>
      </c>
      <c r="X85" s="191" t="str">
        <f>'1_BD questio brut'!V85</f>
        <v/>
      </c>
      <c r="Y85" s="191" t="str">
        <f>'1_BD questio brut'!W85</f>
        <v>1</v>
      </c>
      <c r="Z85" s="191" t="str">
        <f>'1_BD questio brut'!X85</f>
        <v/>
      </c>
      <c r="AA85" s="191" t="str">
        <f t="array" ref="AA85">INDEX('Données 1_BD questio'!C:C,MATCH('1_BD questio brut'!$Y$1&amp;'1_BD questio brut'!Y85,'Données 1_BD questio'!A:A&amp;'Données 1_BD questio'!B:B,0))</f>
        <v>RA2B</v>
      </c>
      <c r="AB85" s="191" t="str">
        <f>'1_BD questio brut'!Z85</f>
        <v>2</v>
      </c>
      <c r="AC85" s="191" t="str">
        <f>'1_BD questio brut'!AA85</f>
        <v>1 à 2 ans</v>
      </c>
      <c r="AD85" s="191" t="str">
        <f>'1_BD questio brut'!AB85</f>
        <v>Les deux</v>
      </c>
      <c r="AE85" s="191" t="str">
        <f t="array" ref="AE85">INDEX('Données 1_BD questio'!C:C,MATCH('1_BD questio brut'!$AC$1&amp;'1_BD questio brut'!AC85,'Données 1_BD questio'!A:A&amp;'Données 1_BD questio'!B:B,0))</f>
        <v>un professionnel</v>
      </c>
      <c r="AF85" s="191" t="str">
        <f>'1_BD questio brut'!AD85</f>
        <v>1 fois par an</v>
      </c>
      <c r="AG85" s="191" t="str">
        <f>'1_BD questio brut'!AE85</f>
        <v/>
      </c>
      <c r="AH85" s="191" t="str">
        <f>'1_BD questio brut'!AF85</f>
        <v>Poêle</v>
      </c>
      <c r="AI85" s="191" t="str">
        <f>'1_BD questio brut'!AG85</f>
        <v>1</v>
      </c>
      <c r="AJ85" s="191" t="str">
        <f>'1_BD questio brut'!AH85</f>
        <v/>
      </c>
      <c r="AK85" s="191" t="str">
        <f>'1_BD questio brut'!AI85</f>
        <v>Chauffage d'appoint</v>
      </c>
      <c r="AL85" s="191" t="str">
        <f>'1_BD questio brut'!AJ85</f>
        <v>Pas de réponse</v>
      </c>
      <c r="AM85" s="191" t="str">
        <f>'1_BD questio brut'!AK85</f>
        <v>2; 4; 5</v>
      </c>
      <c r="AN85" s="191" t="str">
        <f>'1_BD questio brut'!AL85</f>
        <v/>
      </c>
      <c r="AO85" s="191" t="str">
        <f>'1_BD questio brut'!AM85</f>
        <v>5</v>
      </c>
      <c r="AP85" s="191" t="str">
        <f>'1_BD questio brut'!AN85</f>
        <v/>
      </c>
      <c r="AQ85" s="191" t="str">
        <f>'1_BD questio brut'!AO85</f>
        <v/>
      </c>
    </row>
    <row r="86" spans="1:43" ht="43.5" hidden="1">
      <c r="A86" s="98">
        <f>INDEX('3_BD instruction total'!A:A,MATCH(C86,'3_BD instruction total'!F:F,0))</f>
        <v>2021</v>
      </c>
      <c r="B86" s="98" t="str">
        <f>INDEX('3_BD instruction total'!C:C,MATCH(C86,'3_BD instruction total'!F:F,0))</f>
        <v>non</v>
      </c>
      <c r="C86" s="191" t="str">
        <f>'1_BD questio brut'!A86</f>
        <v>VRB0091</v>
      </c>
      <c r="D86" s="191" t="str">
        <f t="array" ref="D86">INDEX('Données 1_BD questio'!C:C,MATCH('1_BD questio brut'!$B$1&amp;'1_BD questio brut'!B86,'Données 1_BD questio'!A:A&amp;'Données 1_BD questio'!B:B,0))</f>
        <v>CAPV</v>
      </c>
      <c r="E86" s="191" t="str">
        <f t="array" ref="E86">INDEX('Données 1_BD questio'!C:C,MATCH('1_BD questio brut'!$C$1&amp;'1_BD questio brut'!C86,'Données 1_BD questio'!A:A&amp;'Données 1_BD questio'!B:B,0))</f>
        <v>Employé</v>
      </c>
      <c r="F86" s="191" t="str">
        <f t="array" ref="F86">INDEX('Données 1_BD questio'!C:C,MATCH('1_BD questio brut'!$D$1&amp;'1_BD questio brut'!D86,'Données 1_BD questio'!A:A&amp;'Données 1_BD questio'!B:B,0))</f>
        <v>Artisan,commerçant,chef d'entreprise</v>
      </c>
      <c r="G86" s="191" t="str">
        <f>'1_BD questio brut'!E86</f>
        <v>35 à 49 ans</v>
      </c>
      <c r="H86" s="191">
        <f>'1_BD questio brut'!F86</f>
        <v>5</v>
      </c>
      <c r="I86" s="191" t="str">
        <f>'1_BD questio brut'!G86</f>
        <v>Pas de réponse</v>
      </c>
      <c r="J86" s="191" t="str">
        <f t="array" ref="J86">INDEX('Données 1_BD questio'!C:C,MATCH('1_BD questio brut'!$H$1&amp;'1_BD questio brut'!H86,'Données 1_BD questio'!A:A&amp;'Données 1_BD questio'!B:B,0))</f>
        <v>Maison avec jardin</v>
      </c>
      <c r="K86" s="191">
        <f>'1_BD questio brut'!I86</f>
        <v>210</v>
      </c>
      <c r="L86" s="191" t="str">
        <f>'1_BD questio brut'!J86</f>
        <v>1949-1975</v>
      </c>
      <c r="M86" s="191" t="str">
        <f>'1_BD questio brut'!K86</f>
        <v>6</v>
      </c>
      <c r="N86" s="191" t="str">
        <f>'1_BD questio brut'!L86</f>
        <v>G</v>
      </c>
      <c r="O86" s="191" t="str">
        <f>'1_BD questio brut'!M86</f>
        <v>Propriétaire occupant</v>
      </c>
      <c r="P86" s="191" t="str">
        <f>'1_BD questio brut'!N86</f>
        <v>Foyer ouvert</v>
      </c>
      <c r="Q86" s="191" t="str">
        <f>'1_BD questio brut'!O86</f>
        <v>Chauffage d'apoint</v>
      </c>
      <c r="R86" s="191" t="str">
        <f>'1_BD questio brut'!P86</f>
        <v>Tous les jours</v>
      </c>
      <c r="S86" s="191" t="str">
        <f>'1_BD questio brut'!Q86</f>
        <v>2; 6</v>
      </c>
      <c r="T86" s="191" t="str">
        <f>'1_BD questio brut'!R86</f>
        <v>Avant 1990</v>
      </c>
      <c r="U86" s="191" t="str">
        <f>'1_BD questio brut'!S86</f>
        <v>Bois bûche</v>
      </c>
      <c r="V86" s="191" t="str">
        <f>'1_BD questio brut'!T86</f>
        <v/>
      </c>
      <c r="W86" s="191" t="str">
        <f>'1_BD questio brut'!U86</f>
        <v>10</v>
      </c>
      <c r="X86" s="191" t="str">
        <f>'1_BD questio brut'!V86</f>
        <v>stères</v>
      </c>
      <c r="Y86" s="191" t="str">
        <f>'1_BD questio brut'!W86</f>
        <v>4</v>
      </c>
      <c r="Z86" s="191" t="str">
        <f>'1_BD questio brut'!X86</f>
        <v>agriculteur</v>
      </c>
      <c r="AA86" s="191" t="str">
        <f t="array" ref="AA86">INDEX('Données 1_BD questio'!C:C,MATCH('1_BD questio brut'!$Y$1&amp;'1_BD questio brut'!Y86,'Données 1_BD questio'!A:A&amp;'Données 1_BD questio'!B:B,0))</f>
        <v>Rhône-Alpes hors RA2B</v>
      </c>
      <c r="AB86" s="191" t="str">
        <f>'1_BD questio brut'!Z86</f>
        <v>2</v>
      </c>
      <c r="AC86" s="191" t="str">
        <f>'1_BD questio brut'!AA86</f>
        <v>&gt; 2 ans</v>
      </c>
      <c r="AD86" s="191" t="str">
        <f>'1_BD questio brut'!AB86</f>
        <v>Feuillus</v>
      </c>
      <c r="AE86" s="191" t="str">
        <f t="array" ref="AE86">INDEX('Données 1_BD questio'!C:C,MATCH('1_BD questio brut'!$AC$1&amp;'1_BD questio brut'!AC86,'Données 1_BD questio'!A:A&amp;'Données 1_BD questio'!B:B,0))</f>
        <v>un professionnel</v>
      </c>
      <c r="AF86" s="191" t="str">
        <f>'1_BD questio brut'!AD86</f>
        <v>1 fois par an</v>
      </c>
      <c r="AG86" s="191" t="str">
        <f>'1_BD questio brut'!AE86</f>
        <v/>
      </c>
      <c r="AH86" s="191" t="str">
        <f>'1_BD questio brut'!AF86</f>
        <v>Insert cheminée</v>
      </c>
      <c r="AI86" s="191" t="str">
        <f>'1_BD questio brut'!AG86</f>
        <v>1</v>
      </c>
      <c r="AJ86" s="191" t="str">
        <f>'1_BD questio brut'!AH86</f>
        <v/>
      </c>
      <c r="AK86" s="191" t="str">
        <f>'1_BD questio brut'!AI86</f>
        <v>Chauffage d'appoint</v>
      </c>
      <c r="AL86" s="191" t="str">
        <f>'1_BD questio brut'!AJ86</f>
        <v>Pas de réponse</v>
      </c>
      <c r="AM86" s="191" t="str">
        <f>'1_BD questio brut'!AK86</f>
        <v>4</v>
      </c>
      <c r="AN86" s="191" t="str">
        <f>'1_BD questio brut'!AL86</f>
        <v/>
      </c>
      <c r="AO86" s="191" t="str">
        <f>'1_BD questio brut'!AM86</f>
        <v>7</v>
      </c>
      <c r="AP86" s="191" t="str">
        <f>'1_BD questio brut'!AN86</f>
        <v/>
      </c>
      <c r="AQ86" s="191" t="str">
        <f>'1_BD questio brut'!AO86</f>
        <v/>
      </c>
    </row>
    <row r="87" spans="1:43" ht="29" hidden="1">
      <c r="A87" s="98">
        <f>INDEX('3_BD instruction total'!A:A,MATCH(C87,'3_BD instruction total'!F:F,0))</f>
        <v>2021</v>
      </c>
      <c r="B87" s="98" t="str">
        <f>INDEX('3_BD instruction total'!C:C,MATCH(C87,'3_BD instruction total'!F:F,0))</f>
        <v>non</v>
      </c>
      <c r="C87" s="191" t="str">
        <f>'1_BD questio brut'!A87</f>
        <v>VRB0092</v>
      </c>
      <c r="D87" s="191" t="str">
        <f t="array" ref="D87">INDEX('Données 1_BD questio'!C:C,MATCH('1_BD questio brut'!$B$1&amp;'1_BD questio brut'!B87,'Données 1_BD questio'!A:A&amp;'Données 1_BD questio'!B:B,0))</f>
        <v>CAPV</v>
      </c>
      <c r="E87" s="191" t="str">
        <f t="array" ref="E87">INDEX('Données 1_BD questio'!C:C,MATCH('1_BD questio brut'!$C$1&amp;'1_BD questio brut'!C87,'Données 1_BD questio'!A:A&amp;'Données 1_BD questio'!B:B,0))</f>
        <v>Employé</v>
      </c>
      <c r="F87" s="191" t="str">
        <f t="array" ref="F87">INDEX('Données 1_BD questio'!C:C,MATCH('1_BD questio brut'!$D$1&amp;'1_BD questio brut'!D87,'Données 1_BD questio'!A:A&amp;'Données 1_BD questio'!B:B,0))</f>
        <v>Pas de réponse</v>
      </c>
      <c r="G87" s="191" t="str">
        <f>'1_BD questio brut'!E87</f>
        <v>35 à 49 ans</v>
      </c>
      <c r="H87" s="191">
        <f>'1_BD questio brut'!F87</f>
        <v>2</v>
      </c>
      <c r="I87" s="191" t="str">
        <f>'1_BD questio brut'!G87</f>
        <v>Pas de réponse</v>
      </c>
      <c r="J87" s="191" t="str">
        <f t="array" ref="J87">INDEX('Données 1_BD questio'!C:C,MATCH('1_BD questio brut'!$H$1&amp;'1_BD questio brut'!H87,'Données 1_BD questio'!A:A&amp;'Données 1_BD questio'!B:B,0))</f>
        <v>Maison avec jardin</v>
      </c>
      <c r="K87" s="191">
        <f>'1_BD questio brut'!I87</f>
        <v>100</v>
      </c>
      <c r="L87" s="191" t="str">
        <f>'1_BD questio brut'!J87</f>
        <v>Avant 1949</v>
      </c>
      <c r="M87" s="191" t="str">
        <f>'1_BD questio brut'!K87</f>
        <v>1; 2</v>
      </c>
      <c r="N87" s="191" t="str">
        <f>'1_BD questio brut'!L87</f>
        <v>Pas de réponse</v>
      </c>
      <c r="O87" s="191" t="str">
        <f>'1_BD questio brut'!M87</f>
        <v>Propriétaire occupant</v>
      </c>
      <c r="P87" s="191" t="str">
        <f>'1_BD questio brut'!N87</f>
        <v>Insert / foyer fermé</v>
      </c>
      <c r="Q87" s="191" t="str">
        <f>'1_BD questio brut'!O87</f>
        <v>Chauffage d'apoint</v>
      </c>
      <c r="R87" s="191" t="str">
        <f>'1_BD questio brut'!P87</f>
        <v>Pas de réponse</v>
      </c>
      <c r="S87" s="191" t="str">
        <f>'1_BD questio brut'!Q87</f>
        <v>7</v>
      </c>
      <c r="T87" s="191" t="str">
        <f>'1_BD questio brut'!R87</f>
        <v>Avant 1990</v>
      </c>
      <c r="U87" s="191" t="str">
        <f>'1_BD questio brut'!S87</f>
        <v>Bois bûche</v>
      </c>
      <c r="V87" s="191" t="str">
        <f>'1_BD questio brut'!T87</f>
        <v/>
      </c>
      <c r="W87" s="191" t="str">
        <f>'1_BD questio brut'!U87</f>
        <v/>
      </c>
      <c r="X87" s="191" t="str">
        <f>'1_BD questio brut'!V87</f>
        <v/>
      </c>
      <c r="Y87" s="191" t="str">
        <f>'1_BD questio brut'!W87</f>
        <v>5</v>
      </c>
      <c r="Z87" s="191" t="str">
        <f>'1_BD questio brut'!X87</f>
        <v/>
      </c>
      <c r="AA87" s="191" t="str">
        <f t="array" ref="AA87">INDEX('Données 1_BD questio'!C:C,MATCH('1_BD questio brut'!$Y$1&amp;'1_BD questio brut'!Y87,'Données 1_BD questio'!A:A&amp;'Données 1_BD questio'!B:B,0))</f>
        <v>Pas de réponse</v>
      </c>
      <c r="AB87" s="191" t="str">
        <f>'1_BD questio brut'!Z87</f>
        <v>4</v>
      </c>
      <c r="AC87" s="191" t="str">
        <f>'1_BD questio brut'!AA87</f>
        <v>Pas de réponse</v>
      </c>
      <c r="AD87" s="191" t="str">
        <f>'1_BD questio brut'!AB87</f>
        <v>Pas de réponse</v>
      </c>
      <c r="AE87" s="191" t="str">
        <f t="array" ref="AE87">INDEX('Données 1_BD questio'!C:C,MATCH('1_BD questio brut'!$AC$1&amp;'1_BD questio brut'!AC87,'Données 1_BD questio'!A:A&amp;'Données 1_BD questio'!B:B,0))</f>
        <v>Pas de réponse</v>
      </c>
      <c r="AF87" s="191" t="str">
        <f>'1_BD questio brut'!AD87</f>
        <v>Pas de réponse</v>
      </c>
      <c r="AG87" s="191" t="str">
        <f>'1_BD questio brut'!AE87</f>
        <v/>
      </c>
      <c r="AH87" s="191" t="str">
        <f>'1_BD questio brut'!AF87</f>
        <v>Poêle</v>
      </c>
      <c r="AI87" s="191" t="str">
        <f>'1_BD questio brut'!AG87</f>
        <v>1</v>
      </c>
      <c r="AJ87" s="191" t="str">
        <f>'1_BD questio brut'!AH87</f>
        <v/>
      </c>
      <c r="AK87" s="191" t="str">
        <f>'1_BD questio brut'!AI87</f>
        <v>Chauffage de base</v>
      </c>
      <c r="AL87" s="191" t="str">
        <f>'1_BD questio brut'!AJ87</f>
        <v>Pas de réponse</v>
      </c>
      <c r="AM87" s="191" t="str">
        <f>'1_BD questio brut'!AK87</f>
        <v>2; 4</v>
      </c>
      <c r="AN87" s="191" t="str">
        <f>'1_BD questio brut'!AL87</f>
        <v/>
      </c>
      <c r="AO87" s="191" t="str">
        <f>'1_BD questio brut'!AM87</f>
        <v>7</v>
      </c>
      <c r="AP87" s="191" t="str">
        <f>'1_BD questio brut'!AN87</f>
        <v/>
      </c>
      <c r="AQ87" s="191" t="str">
        <f>'1_BD questio brut'!AO87</f>
        <v/>
      </c>
    </row>
    <row r="88" spans="1:43" ht="43.5" hidden="1">
      <c r="A88" s="98">
        <f>INDEX('3_BD instruction total'!A:A,MATCH(C88,'3_BD instruction total'!F:F,0))</f>
        <v>2021</v>
      </c>
      <c r="B88" s="98" t="str">
        <f>INDEX('3_BD instruction total'!C:C,MATCH(C88,'3_BD instruction total'!F:F,0))</f>
        <v>région</v>
      </c>
      <c r="C88" s="191" t="str">
        <f>'1_BD questio brut'!A88</f>
        <v>VRB0093</v>
      </c>
      <c r="D88" s="191" t="str">
        <f t="array" ref="D88">INDEX('Données 1_BD questio'!C:C,MATCH('1_BD questio brut'!$B$1&amp;'1_BD questio brut'!B88,'Données 1_BD questio'!A:A&amp;'Données 1_BD questio'!B:B,0))</f>
        <v>CAPV</v>
      </c>
      <c r="E88" s="191" t="str">
        <f t="array" ref="E88">INDEX('Données 1_BD questio'!C:C,MATCH('1_BD questio brut'!$C$1&amp;'1_BD questio brut'!C88,'Données 1_BD questio'!A:A&amp;'Données 1_BD questio'!B:B,0))</f>
        <v>Retraité</v>
      </c>
      <c r="F88" s="191" t="str">
        <f t="array" ref="F88">INDEX('Données 1_BD questio'!C:C,MATCH('1_BD questio brut'!$D$1&amp;'1_BD questio brut'!D88,'Données 1_BD questio'!A:A&amp;'Données 1_BD questio'!B:B,0))</f>
        <v>Retraité</v>
      </c>
      <c r="G88" s="191" t="str">
        <f>'1_BD questio brut'!E88</f>
        <v>65 ans et plus</v>
      </c>
      <c r="H88" s="191">
        <f>'1_BD questio brut'!F88</f>
        <v>2</v>
      </c>
      <c r="I88" s="191" t="str">
        <f>'1_BD questio brut'!G88</f>
        <v>Pas de réponse</v>
      </c>
      <c r="J88" s="191" t="str">
        <f t="array" ref="J88">INDEX('Données 1_BD questio'!C:C,MATCH('1_BD questio brut'!$H$1&amp;'1_BD questio brut'!H88,'Données 1_BD questio'!A:A&amp;'Données 1_BD questio'!B:B,0))</f>
        <v>Maison avec jardin</v>
      </c>
      <c r="K88" s="191">
        <f>'1_BD questio brut'!I88</f>
        <v>145</v>
      </c>
      <c r="L88" s="191" t="str">
        <f>'1_BD questio brut'!J88</f>
        <v>1975-1990</v>
      </c>
      <c r="M88" s="191" t="str">
        <f>'1_BD questio brut'!K88</f>
        <v>6</v>
      </c>
      <c r="N88" s="191" t="str">
        <f>'1_BD questio brut'!L88</f>
        <v>Pas de réponse</v>
      </c>
      <c r="O88" s="191" t="str">
        <f>'1_BD questio brut'!M88</f>
        <v>Propriétaire occupant</v>
      </c>
      <c r="P88" s="191" t="str">
        <f>'1_BD questio brut'!N88</f>
        <v>Foyer ouvert</v>
      </c>
      <c r="Q88" s="191" t="str">
        <f>'1_BD questio brut'!O88</f>
        <v>Plaisir/agrément</v>
      </c>
      <c r="R88" s="191" t="str">
        <f>'1_BD questio brut'!P88</f>
        <v>1 à 2 jours/semaine</v>
      </c>
      <c r="S88" s="191" t="str">
        <f>'1_BD questio brut'!Q88</f>
        <v>2; 4</v>
      </c>
      <c r="T88" s="191" t="str">
        <f>'1_BD questio brut'!R88</f>
        <v>Avant 1990</v>
      </c>
      <c r="U88" s="191" t="str">
        <f>'1_BD questio brut'!S88</f>
        <v>Bois bûche</v>
      </c>
      <c r="V88" s="191" t="str">
        <f>'1_BD questio brut'!T88</f>
        <v/>
      </c>
      <c r="W88" s="191" t="str">
        <f>'1_BD questio brut'!U88</f>
        <v>8</v>
      </c>
      <c r="X88" s="191" t="str">
        <f>'1_BD questio brut'!V88</f>
        <v>m3</v>
      </c>
      <c r="Y88" s="191" t="str">
        <f>'1_BD questio brut'!W88</f>
        <v>2</v>
      </c>
      <c r="Z88" s="191" t="str">
        <f>'1_BD questio brut'!X88</f>
        <v/>
      </c>
      <c r="AA88" s="191" t="str">
        <f t="array" ref="AA88">INDEX('Données 1_BD questio'!C:C,MATCH('1_BD questio brut'!$Y$1&amp;'1_BD questio brut'!Y88,'Données 1_BD questio'!A:A&amp;'Données 1_BD questio'!B:B,0))</f>
        <v>Rhône-Alpes hors RA2B</v>
      </c>
      <c r="AB88" s="191" t="str">
        <f>'1_BD questio brut'!Z88</f>
        <v>2</v>
      </c>
      <c r="AC88" s="191" t="str">
        <f>'1_BD questio brut'!AA88</f>
        <v>1 à 2 ans</v>
      </c>
      <c r="AD88" s="191" t="str">
        <f>'1_BD questio brut'!AB88</f>
        <v>Les deux</v>
      </c>
      <c r="AE88" s="191" t="str">
        <f t="array" ref="AE88">INDEX('Données 1_BD questio'!C:C,MATCH('1_BD questio brut'!$AC$1&amp;'1_BD questio brut'!AC88,'Données 1_BD questio'!A:A&amp;'Données 1_BD questio'!B:B,0))</f>
        <v>un professionnel</v>
      </c>
      <c r="AF88" s="191" t="str">
        <f>'1_BD questio brut'!AD88</f>
        <v>1 fois par an</v>
      </c>
      <c r="AG88" s="191" t="str">
        <f>'1_BD questio brut'!AE88</f>
        <v/>
      </c>
      <c r="AH88" s="191" t="str">
        <f>'1_BD questio brut'!AF88</f>
        <v>Insert cheminée</v>
      </c>
      <c r="AI88" s="191" t="str">
        <f>'1_BD questio brut'!AG88</f>
        <v>1</v>
      </c>
      <c r="AJ88" s="191" t="str">
        <f>'1_BD questio brut'!AH88</f>
        <v/>
      </c>
      <c r="AK88" s="191" t="str">
        <f>'1_BD questio brut'!AI88</f>
        <v>Chauffage de base</v>
      </c>
      <c r="AL88" s="191" t="str">
        <f>'1_BD questio brut'!AJ88</f>
        <v>Pas de réponse</v>
      </c>
      <c r="AM88" s="191" t="str">
        <f>'1_BD questio brut'!AK88</f>
        <v>4</v>
      </c>
      <c r="AN88" s="191" t="str">
        <f>'1_BD questio brut'!AL88</f>
        <v/>
      </c>
      <c r="AO88" s="191" t="str">
        <f>'1_BD questio brut'!AM88</f>
        <v>5</v>
      </c>
      <c r="AP88" s="191" t="str">
        <f>'1_BD questio brut'!AN88</f>
        <v/>
      </c>
      <c r="AQ88" s="191" t="str">
        <f>'1_BD questio brut'!AO88</f>
        <v/>
      </c>
    </row>
    <row r="89" spans="1:43" ht="43.5" hidden="1">
      <c r="A89" s="98">
        <f>INDEX('3_BD instruction total'!A:A,MATCH(C89,'3_BD instruction total'!F:F,0))</f>
        <v>2021</v>
      </c>
      <c r="B89" s="98" t="str">
        <f>INDEX('3_BD instruction total'!C:C,MATCH(C89,'3_BD instruction total'!F:F,0))</f>
        <v>région</v>
      </c>
      <c r="C89" s="191" t="str">
        <f>'1_BD questio brut'!A89</f>
        <v>VRB0094</v>
      </c>
      <c r="D89" s="191" t="str">
        <f t="array" ref="D89">INDEX('Données 1_BD questio'!C:C,MATCH('1_BD questio brut'!$B$1&amp;'1_BD questio brut'!B89,'Données 1_BD questio'!A:A&amp;'Données 1_BD questio'!B:B,0))</f>
        <v>CAPV</v>
      </c>
      <c r="E89" s="191" t="str">
        <f t="array" ref="E89">INDEX('Données 1_BD questio'!C:C,MATCH('1_BD questio brut'!$C$1&amp;'1_BD questio brut'!C89,'Données 1_BD questio'!A:A&amp;'Données 1_BD questio'!B:B,0))</f>
        <v>Artisan,commerçant,chef d'entreprise</v>
      </c>
      <c r="F89" s="191" t="str">
        <f t="array" ref="F89">INDEX('Données 1_BD questio'!C:C,MATCH('1_BD questio brut'!$D$1&amp;'1_BD questio brut'!D89,'Données 1_BD questio'!A:A&amp;'Données 1_BD questio'!B:B,0))</f>
        <v>Employé</v>
      </c>
      <c r="G89" s="191" t="str">
        <f>'1_BD questio brut'!E89</f>
        <v>35 à 49 ans</v>
      </c>
      <c r="H89" s="191">
        <f>'1_BD questio brut'!F89</f>
        <v>6</v>
      </c>
      <c r="I89" s="191" t="str">
        <f>'1_BD questio brut'!G89</f>
        <v>Pas de réponse</v>
      </c>
      <c r="J89" s="191" t="str">
        <f t="array" ref="J89">INDEX('Données 1_BD questio'!C:C,MATCH('1_BD questio brut'!$H$1&amp;'1_BD questio brut'!H89,'Données 1_BD questio'!A:A&amp;'Données 1_BD questio'!B:B,0))</f>
        <v>Maison avec jardin</v>
      </c>
      <c r="K89" s="191">
        <f>'1_BD questio brut'!I89</f>
        <v>130</v>
      </c>
      <c r="L89" s="191" t="str">
        <f>'1_BD questio brut'!J89</f>
        <v>1975-1990</v>
      </c>
      <c r="M89" s="191" t="str">
        <f>'1_BD questio brut'!K89</f>
        <v>1</v>
      </c>
      <c r="N89" s="191" t="str">
        <f>'1_BD questio brut'!L89</f>
        <v>Ne sait pas</v>
      </c>
      <c r="O89" s="191" t="str">
        <f>'1_BD questio brut'!M89</f>
        <v>Propriétaire occupant</v>
      </c>
      <c r="P89" s="191" t="str">
        <f>'1_BD questio brut'!N89</f>
        <v>Foyer ouvert</v>
      </c>
      <c r="Q89" s="191" t="str">
        <f>'1_BD questio brut'!O89</f>
        <v>Chauffage d'apoint</v>
      </c>
      <c r="R89" s="191" t="str">
        <f>'1_BD questio brut'!P89</f>
        <v>3 à 4 jours/semaine</v>
      </c>
      <c r="S89" s="191" t="str">
        <f>'1_BD questio brut'!Q89</f>
        <v>2; 3</v>
      </c>
      <c r="T89" s="191" t="str">
        <f>'1_BD questio brut'!R89</f>
        <v>Avant 1990</v>
      </c>
      <c r="U89" s="191" t="str">
        <f>'1_BD questio brut'!S89</f>
        <v>Bois bûche</v>
      </c>
      <c r="V89" s="191" t="str">
        <f>'1_BD questio brut'!T89</f>
        <v/>
      </c>
      <c r="W89" s="191" t="str">
        <f>'1_BD questio brut'!U89</f>
        <v>5</v>
      </c>
      <c r="X89" s="191" t="str">
        <f>'1_BD questio brut'!V89</f>
        <v>stères</v>
      </c>
      <c r="Y89" s="191" t="str">
        <f>'1_BD questio brut'!W89</f>
        <v>1; 2</v>
      </c>
      <c r="Z89" s="191" t="str">
        <f>'1_BD questio brut'!X89</f>
        <v/>
      </c>
      <c r="AA89" s="191" t="str">
        <f t="array" ref="AA89">INDEX('Données 1_BD questio'!C:C,MATCH('1_BD questio brut'!$Y$1&amp;'1_BD questio brut'!Y89,'Données 1_BD questio'!A:A&amp;'Données 1_BD questio'!B:B,0))</f>
        <v>Rhône-Alpes hors RA2B</v>
      </c>
      <c r="AB89" s="191" t="str">
        <f>'1_BD questio brut'!Z89</f>
        <v>1</v>
      </c>
      <c r="AC89" s="191" t="str">
        <f>'1_BD questio brut'!AA89</f>
        <v>1 à 2 ans</v>
      </c>
      <c r="AD89" s="191" t="str">
        <f>'1_BD questio brut'!AB89</f>
        <v>Les deux</v>
      </c>
      <c r="AE89" s="191" t="str">
        <f t="array" ref="AE89">INDEX('Données 1_BD questio'!C:C,MATCH('1_BD questio brut'!$AC$1&amp;'1_BD questio brut'!AC89,'Données 1_BD questio'!A:A&amp;'Données 1_BD questio'!B:B,0))</f>
        <v>vous-même</v>
      </c>
      <c r="AF89" s="191" t="str">
        <f>'1_BD questio brut'!AD89</f>
        <v>1 fois par an</v>
      </c>
      <c r="AG89" s="191" t="str">
        <f>'1_BD questio brut'!AE89</f>
        <v/>
      </c>
      <c r="AH89" s="191" t="str">
        <f>'1_BD questio brut'!AF89</f>
        <v>Poêle</v>
      </c>
      <c r="AI89" s="191" t="str">
        <f>'1_BD questio brut'!AG89</f>
        <v>2</v>
      </c>
      <c r="AJ89" s="191" t="str">
        <f>'1_BD questio brut'!AH89</f>
        <v/>
      </c>
      <c r="AK89" s="191" t="str">
        <f>'1_BD questio brut'!AI89</f>
        <v>Chauffage d'appoint</v>
      </c>
      <c r="AL89" s="191" t="str">
        <f>'1_BD questio brut'!AJ89</f>
        <v>Pas de réponse</v>
      </c>
      <c r="AM89" s="191" t="str">
        <f>'1_BD questio brut'!AK89</f>
        <v>2</v>
      </c>
      <c r="AN89" s="191" t="str">
        <f>'1_BD questio brut'!AL89</f>
        <v/>
      </c>
      <c r="AO89" s="191" t="str">
        <f>'1_BD questio brut'!AM89</f>
        <v>5</v>
      </c>
      <c r="AP89" s="191" t="str">
        <f>'1_BD questio brut'!AN89</f>
        <v/>
      </c>
      <c r="AQ89" s="191" t="str">
        <f>'1_BD questio brut'!AO89</f>
        <v/>
      </c>
    </row>
    <row r="90" spans="1:43" ht="43.5" hidden="1">
      <c r="A90" s="98">
        <f>INDEX('3_BD instruction total'!A:A,MATCH(C90,'3_BD instruction total'!F:F,0))</f>
        <v>2021</v>
      </c>
      <c r="B90" s="98" t="str">
        <f>INDEX('3_BD instruction total'!C:C,MATCH(C90,'3_BD instruction total'!F:F,0))</f>
        <v>non</v>
      </c>
      <c r="C90" s="191" t="str">
        <f>'1_BD questio brut'!A90</f>
        <v>VRB0095</v>
      </c>
      <c r="D90" s="191" t="str">
        <f t="array" ref="D90">INDEX('Données 1_BD questio'!C:C,MATCH('1_BD questio brut'!$B$1&amp;'1_BD questio brut'!B90,'Données 1_BD questio'!A:A&amp;'Données 1_BD questio'!B:B,0))</f>
        <v>CAPV</v>
      </c>
      <c r="E90" s="191" t="str">
        <f t="array" ref="E90">INDEX('Données 1_BD questio'!C:C,MATCH('1_BD questio brut'!$C$1&amp;'1_BD questio brut'!C90,'Données 1_BD questio'!A:A&amp;'Données 1_BD questio'!B:B,0))</f>
        <v>Retraité</v>
      </c>
      <c r="F90" s="191" t="str">
        <f t="array" ref="F90">INDEX('Données 1_BD questio'!C:C,MATCH('1_BD questio brut'!$D$1&amp;'1_BD questio brut'!D90,'Données 1_BD questio'!A:A&amp;'Données 1_BD questio'!B:B,0))</f>
        <v>Retraité</v>
      </c>
      <c r="G90" s="191" t="str">
        <f>'1_BD questio brut'!E90</f>
        <v>65 ans et plus</v>
      </c>
      <c r="H90" s="191">
        <f>'1_BD questio brut'!F90</f>
        <v>3</v>
      </c>
      <c r="I90" s="191" t="str">
        <f>'1_BD questio brut'!G90</f>
        <v>Pas de réponse</v>
      </c>
      <c r="J90" s="191" t="str">
        <f t="array" ref="J90">INDEX('Données 1_BD questio'!C:C,MATCH('1_BD questio brut'!$H$1&amp;'1_BD questio brut'!H90,'Données 1_BD questio'!A:A&amp;'Données 1_BD questio'!B:B,0))</f>
        <v>Maison avec jardin</v>
      </c>
      <c r="K90" s="191">
        <f>'1_BD questio brut'!I90</f>
        <v>107</v>
      </c>
      <c r="L90" s="191" t="str">
        <f>'1_BD questio brut'!J90</f>
        <v>1975-1990</v>
      </c>
      <c r="M90" s="191" t="str">
        <f>'1_BD questio brut'!K90</f>
        <v>1</v>
      </c>
      <c r="N90" s="191" t="str">
        <f>'1_BD questio brut'!L90</f>
        <v>Pas de réponse</v>
      </c>
      <c r="O90" s="191" t="str">
        <f>'1_BD questio brut'!M90</f>
        <v>Propriétaire occupant</v>
      </c>
      <c r="P90" s="191" t="str">
        <f>'1_BD questio brut'!N90</f>
        <v>Insert / foyer fermé</v>
      </c>
      <c r="Q90" s="191" t="str">
        <f>'1_BD questio brut'!O90</f>
        <v>Chauffage de base</v>
      </c>
      <c r="R90" s="191" t="str">
        <f>'1_BD questio brut'!P90</f>
        <v>Tous les jours</v>
      </c>
      <c r="S90" s="191" t="str">
        <f>'1_BD questio brut'!Q90</f>
        <v>4</v>
      </c>
      <c r="T90" s="191" t="str">
        <f>'1_BD questio brut'!R90</f>
        <v>Avant 1990</v>
      </c>
      <c r="U90" s="191" t="str">
        <f>'1_BD questio brut'!S90</f>
        <v>Bois bûche</v>
      </c>
      <c r="V90" s="191" t="str">
        <f>'1_BD questio brut'!T90</f>
        <v/>
      </c>
      <c r="W90" s="191" t="str">
        <f>'1_BD questio brut'!U90</f>
        <v>10</v>
      </c>
      <c r="X90" s="191" t="str">
        <f>'1_BD questio brut'!V90</f>
        <v>stères</v>
      </c>
      <c r="Y90" s="191" t="str">
        <f>'1_BD questio brut'!W90</f>
        <v>2</v>
      </c>
      <c r="Z90" s="191" t="str">
        <f>'1_BD questio brut'!X90</f>
        <v/>
      </c>
      <c r="AA90" s="191" t="str">
        <f t="array" ref="AA90">INDEX('Données 1_BD questio'!C:C,MATCH('1_BD questio brut'!$Y$1&amp;'1_BD questio brut'!Y90,'Données 1_BD questio'!A:A&amp;'Données 1_BD questio'!B:B,0))</f>
        <v>Ne sait pas</v>
      </c>
      <c r="AB90" s="191" t="str">
        <f>'1_BD questio brut'!Z90</f>
        <v>2</v>
      </c>
      <c r="AC90" s="191" t="str">
        <f>'1_BD questio brut'!AA90</f>
        <v>1 à 2 ans</v>
      </c>
      <c r="AD90" s="191" t="str">
        <f>'1_BD questio brut'!AB90</f>
        <v>Les deux</v>
      </c>
      <c r="AE90" s="191" t="str">
        <f t="array" ref="AE90">INDEX('Données 1_BD questio'!C:C,MATCH('1_BD questio brut'!$AC$1&amp;'1_BD questio brut'!AC90,'Données 1_BD questio'!A:A&amp;'Données 1_BD questio'!B:B,0))</f>
        <v>un professionnel</v>
      </c>
      <c r="AF90" s="191" t="str">
        <f>'1_BD questio brut'!AD90</f>
        <v>1 fois tous les 2 ans</v>
      </c>
      <c r="AG90" s="191" t="str">
        <f>'1_BD questio brut'!AE90</f>
        <v/>
      </c>
      <c r="AH90" s="191" t="str">
        <f>'1_BD questio brut'!AF90</f>
        <v>Poêle</v>
      </c>
      <c r="AI90" s="191" t="str">
        <f>'1_BD questio brut'!AG90</f>
        <v>2</v>
      </c>
      <c r="AJ90" s="191" t="str">
        <f>'1_BD questio brut'!AH90</f>
        <v/>
      </c>
      <c r="AK90" s="191" t="str">
        <f>'1_BD questio brut'!AI90</f>
        <v>Chauffage de base</v>
      </c>
      <c r="AL90" s="191" t="str">
        <f>'1_BD questio brut'!AJ90</f>
        <v>Pas de réponse</v>
      </c>
      <c r="AM90" s="191" t="str">
        <f>'1_BD questio brut'!AK90</f>
        <v>1; 2</v>
      </c>
      <c r="AN90" s="191" t="str">
        <f>'1_BD questio brut'!AL90</f>
        <v/>
      </c>
      <c r="AO90" s="191" t="str">
        <f>'1_BD questio brut'!AM90</f>
        <v>5; 7</v>
      </c>
      <c r="AP90" s="191" t="str">
        <f>'1_BD questio brut'!AN90</f>
        <v/>
      </c>
      <c r="AQ90" s="191" t="str">
        <f>'1_BD questio brut'!AO90</f>
        <v/>
      </c>
    </row>
    <row r="91" spans="1:43" ht="43.5" hidden="1">
      <c r="A91" s="98">
        <f>INDEX('3_BD instruction total'!A:A,MATCH(C91,'3_BD instruction total'!F:F,0))</f>
        <v>2021</v>
      </c>
      <c r="B91" s="98" t="str">
        <f>INDEX('3_BD instruction total'!C:C,MATCH(C91,'3_BD instruction total'!F:F,0))</f>
        <v>non</v>
      </c>
      <c r="C91" s="191" t="str">
        <f>'1_BD questio brut'!A91</f>
        <v>VRB0096</v>
      </c>
      <c r="D91" s="191" t="str">
        <f t="array" ref="D91">INDEX('Données 1_BD questio'!C:C,MATCH('1_BD questio brut'!$B$1&amp;'1_BD questio brut'!B91,'Données 1_BD questio'!A:A&amp;'Données 1_BD questio'!B:B,0))</f>
        <v>CAPV</v>
      </c>
      <c r="E91" s="191" t="str">
        <f t="array" ref="E91">INDEX('Données 1_BD questio'!C:C,MATCH('1_BD questio brut'!$C$1&amp;'1_BD questio brut'!C91,'Données 1_BD questio'!A:A&amp;'Données 1_BD questio'!B:B,0))</f>
        <v>Retraité</v>
      </c>
      <c r="F91" s="191" t="str">
        <f t="array" ref="F91">INDEX('Données 1_BD questio'!C:C,MATCH('1_BD questio brut'!$D$1&amp;'1_BD questio brut'!D91,'Données 1_BD questio'!A:A&amp;'Données 1_BD questio'!B:B,0))</f>
        <v>Retraité</v>
      </c>
      <c r="G91" s="191" t="str">
        <f>'1_BD questio brut'!E91</f>
        <v>65 ans et plus</v>
      </c>
      <c r="H91" s="191">
        <f>'1_BD questio brut'!F91</f>
        <v>2</v>
      </c>
      <c r="I91" s="191" t="str">
        <f>'1_BD questio brut'!G91</f>
        <v>Pas de réponse</v>
      </c>
      <c r="J91" s="191" t="str">
        <f t="array" ref="J91">INDEX('Données 1_BD questio'!C:C,MATCH('1_BD questio brut'!$H$1&amp;'1_BD questio brut'!H91,'Données 1_BD questio'!A:A&amp;'Données 1_BD questio'!B:B,0))</f>
        <v>Maison avec jardin</v>
      </c>
      <c r="K91" s="191">
        <f>'1_BD questio brut'!I91</f>
        <v>120</v>
      </c>
      <c r="L91" s="191" t="str">
        <f>'1_BD questio brut'!J91</f>
        <v>Avant 1949</v>
      </c>
      <c r="M91" s="191" t="str">
        <f>'1_BD questio brut'!K91</f>
        <v>4</v>
      </c>
      <c r="N91" s="191" t="str">
        <f>'1_BD questio brut'!L91</f>
        <v>Ne sait pas</v>
      </c>
      <c r="O91" s="191" t="str">
        <f>'1_BD questio brut'!M91</f>
        <v>Propriétaire occupant</v>
      </c>
      <c r="P91" s="191" t="str">
        <f>'1_BD questio brut'!N91</f>
        <v>Poêle</v>
      </c>
      <c r="Q91" s="191" t="str">
        <f>'1_BD questio brut'!O91</f>
        <v>Chauffage d'apoint</v>
      </c>
      <c r="R91" s="191" t="str">
        <f>'1_BD questio brut'!P91</f>
        <v>3 à 4 jours/semaine</v>
      </c>
      <c r="S91" s="191" t="str">
        <f>'1_BD questio brut'!Q91</f>
        <v>4; 6</v>
      </c>
      <c r="T91" s="191" t="str">
        <f>'1_BD questio brut'!R91</f>
        <v>1996-2002</v>
      </c>
      <c r="U91" s="191" t="str">
        <f>'1_BD questio brut'!S91</f>
        <v>Bois bûche</v>
      </c>
      <c r="V91" s="191" t="str">
        <f>'1_BD questio brut'!T91</f>
        <v/>
      </c>
      <c r="W91" s="191" t="str">
        <f>'1_BD questio brut'!U91</f>
        <v/>
      </c>
      <c r="X91" s="191" t="str">
        <f>'1_BD questio brut'!V91</f>
        <v/>
      </c>
      <c r="Y91" s="191" t="str">
        <f>'1_BD questio brut'!W91</f>
        <v>1</v>
      </c>
      <c r="Z91" s="191" t="str">
        <f>'1_BD questio brut'!X91</f>
        <v/>
      </c>
      <c r="AA91" s="191" t="str">
        <f t="array" ref="AA91">INDEX('Données 1_BD questio'!C:C,MATCH('1_BD questio brut'!$Y$1&amp;'1_BD questio brut'!Y91,'Données 1_BD questio'!A:A&amp;'Données 1_BD questio'!B:B,0))</f>
        <v>Ne sait pas</v>
      </c>
      <c r="AB91" s="191" t="str">
        <f>'1_BD questio brut'!Z91</f>
        <v>2</v>
      </c>
      <c r="AC91" s="191" t="str">
        <f>'1_BD questio brut'!AA91</f>
        <v>&gt; 2 ans</v>
      </c>
      <c r="AD91" s="191" t="str">
        <f>'1_BD questio brut'!AB91</f>
        <v>Les deux</v>
      </c>
      <c r="AE91" s="191" t="str">
        <f t="array" ref="AE91">INDEX('Données 1_BD questio'!C:C,MATCH('1_BD questio brut'!$AC$1&amp;'1_BD questio brut'!AC91,'Données 1_BD questio'!A:A&amp;'Données 1_BD questio'!B:B,0))</f>
        <v>un professionnel</v>
      </c>
      <c r="AF91" s="191" t="str">
        <f>'1_BD questio brut'!AD91</f>
        <v>1 fois par an</v>
      </c>
      <c r="AG91" s="191" t="str">
        <f>'1_BD questio brut'!AE91</f>
        <v/>
      </c>
      <c r="AH91" s="191" t="str">
        <f>'1_BD questio brut'!AF91</f>
        <v>Poêle</v>
      </c>
      <c r="AI91" s="191" t="str">
        <f>'1_BD questio brut'!AG91</f>
        <v>2</v>
      </c>
      <c r="AJ91" s="191" t="str">
        <f>'1_BD questio brut'!AH91</f>
        <v/>
      </c>
      <c r="AK91" s="191" t="str">
        <f>'1_BD questio brut'!AI91</f>
        <v>Chauffage de base</v>
      </c>
      <c r="AL91" s="191" t="str">
        <f>'1_BD questio brut'!AJ91</f>
        <v>Pas de réponse</v>
      </c>
      <c r="AM91" s="191" t="str">
        <f>'1_BD questio brut'!AK91</f>
        <v>1; 2; 5</v>
      </c>
      <c r="AN91" s="191" t="str">
        <f>'1_BD questio brut'!AL91</f>
        <v/>
      </c>
      <c r="AO91" s="191" t="str">
        <f>'1_BD questio brut'!AM91</f>
        <v>5</v>
      </c>
      <c r="AP91" s="191" t="str">
        <f>'1_BD questio brut'!AN91</f>
        <v/>
      </c>
      <c r="AQ91" s="191" t="str">
        <f>'1_BD questio brut'!AO91</f>
        <v/>
      </c>
    </row>
    <row r="92" spans="1:43" ht="43.5" hidden="1">
      <c r="A92" s="98">
        <f>INDEX('3_BD instruction total'!A:A,MATCH(C92,'3_BD instruction total'!F:F,0))</f>
        <v>2021</v>
      </c>
      <c r="B92" s="98" t="str">
        <f>INDEX('3_BD instruction total'!C:C,MATCH(C92,'3_BD instruction total'!F:F,0))</f>
        <v>non</v>
      </c>
      <c r="C92" s="191" t="str">
        <f>'1_BD questio brut'!A92</f>
        <v>VRB0097</v>
      </c>
      <c r="D92" s="191" t="str">
        <f t="array" ref="D92">INDEX('Données 1_BD questio'!C:C,MATCH('1_BD questio brut'!$B$1&amp;'1_BD questio brut'!B92,'Données 1_BD questio'!A:A&amp;'Données 1_BD questio'!B:B,0))</f>
        <v>CAPV</v>
      </c>
      <c r="E92" s="191" t="str">
        <f t="array" ref="E92">INDEX('Données 1_BD questio'!C:C,MATCH('1_BD questio brut'!$C$1&amp;'1_BD questio brut'!C92,'Données 1_BD questio'!A:A&amp;'Données 1_BD questio'!B:B,0))</f>
        <v>Retraité</v>
      </c>
      <c r="F92" s="191" t="str">
        <f t="array" ref="F92">INDEX('Données 1_BD questio'!C:C,MATCH('1_BD questio brut'!$D$1&amp;'1_BD questio brut'!D92,'Données 1_BD questio'!A:A&amp;'Données 1_BD questio'!B:B,0))</f>
        <v>Pas de réponse</v>
      </c>
      <c r="G92" s="191" t="str">
        <f>'1_BD questio brut'!E92</f>
        <v>65 ans et plus</v>
      </c>
      <c r="H92" s="191">
        <f>'1_BD questio brut'!F92</f>
        <v>1</v>
      </c>
      <c r="I92" s="191" t="str">
        <f>'1_BD questio brut'!G92</f>
        <v>Pas de réponse</v>
      </c>
      <c r="J92" s="191" t="str">
        <f t="array" ref="J92">INDEX('Données 1_BD questio'!C:C,MATCH('1_BD questio brut'!$H$1&amp;'1_BD questio brut'!H92,'Données 1_BD questio'!A:A&amp;'Données 1_BD questio'!B:B,0))</f>
        <v>Maison avec jardin</v>
      </c>
      <c r="K92" s="191">
        <f>'1_BD questio brut'!I92</f>
        <v>10</v>
      </c>
      <c r="L92" s="191" t="str">
        <f>'1_BD questio brut'!J92</f>
        <v>1990-2005</v>
      </c>
      <c r="M92" s="191" t="str">
        <f>'1_BD questio brut'!K92</f>
        <v>3</v>
      </c>
      <c r="N92" s="191" t="str">
        <f>'1_BD questio brut'!L92</f>
        <v>Pas de réponse</v>
      </c>
      <c r="O92" s="191" t="str">
        <f>'1_BD questio brut'!M92</f>
        <v>Propriétaire occupant</v>
      </c>
      <c r="P92" s="191" t="str">
        <f>'1_BD questio brut'!N92</f>
        <v>Poêle</v>
      </c>
      <c r="Q92" s="191" t="str">
        <f>'1_BD questio brut'!O92</f>
        <v>Chauffage de base</v>
      </c>
      <c r="R92" s="191" t="str">
        <f>'1_BD questio brut'!P92</f>
        <v>Tous les jours</v>
      </c>
      <c r="S92" s="191" t="str">
        <f>'1_BD questio brut'!Q92</f>
        <v>4; 5; 6</v>
      </c>
      <c r="T92" s="191" t="str">
        <f>'1_BD questio brut'!R92</f>
        <v>1996-2002</v>
      </c>
      <c r="U92" s="191" t="str">
        <f>'1_BD questio brut'!S92</f>
        <v>Bois bûche</v>
      </c>
      <c r="V92" s="191" t="str">
        <f>'1_BD questio brut'!T92</f>
        <v/>
      </c>
      <c r="W92" s="191" t="str">
        <f>'1_BD questio brut'!U92</f>
        <v>9</v>
      </c>
      <c r="X92" s="191" t="str">
        <f>'1_BD questio brut'!V92</f>
        <v>stères</v>
      </c>
      <c r="Y92" s="191" t="str">
        <f>'1_BD questio brut'!W92</f>
        <v>2</v>
      </c>
      <c r="Z92" s="191" t="str">
        <f>'1_BD questio brut'!X92</f>
        <v/>
      </c>
      <c r="AA92" s="191" t="str">
        <f t="array" ref="AA92">INDEX('Données 1_BD questio'!C:C,MATCH('1_BD questio brut'!$Y$1&amp;'1_BD questio brut'!Y92,'Données 1_BD questio'!A:A&amp;'Données 1_BD questio'!B:B,0))</f>
        <v>Ne sait pas</v>
      </c>
      <c r="AB92" s="191" t="str">
        <f>'1_BD questio brut'!Z92</f>
        <v>2</v>
      </c>
      <c r="AC92" s="191" t="str">
        <f>'1_BD questio brut'!AA92</f>
        <v>&gt; 2 ans</v>
      </c>
      <c r="AD92" s="191" t="str">
        <f>'1_BD questio brut'!AB92</f>
        <v>Les deux</v>
      </c>
      <c r="AE92" s="191" t="str">
        <f t="array" ref="AE92">INDEX('Données 1_BD questio'!C:C,MATCH('1_BD questio brut'!$AC$1&amp;'1_BD questio brut'!AC92,'Données 1_BD questio'!A:A&amp;'Données 1_BD questio'!B:B,0))</f>
        <v>un professionnel</v>
      </c>
      <c r="AF92" s="191" t="str">
        <f>'1_BD questio brut'!AD92</f>
        <v>1 fois par an</v>
      </c>
      <c r="AG92" s="191" t="str">
        <f>'1_BD questio brut'!AE92</f>
        <v/>
      </c>
      <c r="AH92" s="191" t="str">
        <f>'1_BD questio brut'!AF92</f>
        <v>Poêle</v>
      </c>
      <c r="AI92" s="191" t="str">
        <f>'1_BD questio brut'!AG92</f>
        <v>1</v>
      </c>
      <c r="AJ92" s="191" t="str">
        <f>'1_BD questio brut'!AH92</f>
        <v/>
      </c>
      <c r="AK92" s="191" t="str">
        <f>'1_BD questio brut'!AI92</f>
        <v>Chauffage de base</v>
      </c>
      <c r="AL92" s="191" t="str">
        <f>'1_BD questio brut'!AJ92</f>
        <v>Pas de réponse</v>
      </c>
      <c r="AM92" s="191" t="str">
        <f>'1_BD questio brut'!AK92</f>
        <v>2; 4; 5</v>
      </c>
      <c r="AN92" s="191" t="str">
        <f>'1_BD questio brut'!AL92</f>
        <v/>
      </c>
      <c r="AO92" s="191" t="str">
        <f>'1_BD questio brut'!AM92</f>
        <v>7</v>
      </c>
      <c r="AP92" s="191" t="str">
        <f>'1_BD questio brut'!AN92</f>
        <v/>
      </c>
      <c r="AQ92" s="191" t="str">
        <f>'1_BD questio brut'!AO92</f>
        <v/>
      </c>
    </row>
    <row r="93" spans="1:43" ht="43.5" hidden="1">
      <c r="A93" s="98">
        <f>INDEX('3_BD instruction total'!A:A,MATCH(C93,'3_BD instruction total'!F:F,0))</f>
        <v>2021</v>
      </c>
      <c r="B93" s="98" t="str">
        <f>INDEX('3_BD instruction total'!C:C,MATCH(C93,'3_BD instruction total'!F:F,0))</f>
        <v>non</v>
      </c>
      <c r="C93" s="191" t="str">
        <f>'1_BD questio brut'!A93</f>
        <v>VRB0098</v>
      </c>
      <c r="D93" s="191" t="str">
        <f t="array" ref="D93">INDEX('Données 1_BD questio'!C:C,MATCH('1_BD questio brut'!$B$1&amp;'1_BD questio brut'!B93,'Données 1_BD questio'!A:A&amp;'Données 1_BD questio'!B:B,0))</f>
        <v>CAPV</v>
      </c>
      <c r="E93" s="191" t="str">
        <f t="array" ref="E93">INDEX('Données 1_BD questio'!C:C,MATCH('1_BD questio brut'!$C$1&amp;'1_BD questio brut'!C93,'Données 1_BD questio'!A:A&amp;'Données 1_BD questio'!B:B,0))</f>
        <v>Cadre</v>
      </c>
      <c r="F93" s="191" t="str">
        <f t="array" ref="F93">INDEX('Données 1_BD questio'!C:C,MATCH('1_BD questio brut'!$D$1&amp;'1_BD questio brut'!D93,'Données 1_BD questio'!A:A&amp;'Données 1_BD questio'!B:B,0))</f>
        <v>Profession intermédiaire</v>
      </c>
      <c r="G93" s="191" t="str">
        <f>'1_BD questio brut'!E93</f>
        <v>50 à 64 ans</v>
      </c>
      <c r="H93" s="191">
        <f>'1_BD questio brut'!F93</f>
        <v>6</v>
      </c>
      <c r="I93" s="191" t="str">
        <f>'1_BD questio brut'!G93</f>
        <v>Pas de réponse</v>
      </c>
      <c r="J93" s="191" t="str">
        <f t="array" ref="J93">INDEX('Données 1_BD questio'!C:C,MATCH('1_BD questio brut'!$H$1&amp;'1_BD questio brut'!H93,'Données 1_BD questio'!A:A&amp;'Données 1_BD questio'!B:B,0))</f>
        <v>Maison avec jardin</v>
      </c>
      <c r="K93" s="191">
        <f>'1_BD questio brut'!I93</f>
        <v>240</v>
      </c>
      <c r="L93" s="191" t="str">
        <f>'1_BD questio brut'!J93</f>
        <v>1949-1975</v>
      </c>
      <c r="M93" s="191" t="str">
        <f>'1_BD questio brut'!K93</f>
        <v>4</v>
      </c>
      <c r="N93" s="191" t="str">
        <f>'1_BD questio brut'!L93</f>
        <v>Ne sait pas</v>
      </c>
      <c r="O93" s="191" t="str">
        <f>'1_BD questio brut'!M93</f>
        <v>Propriétaire occupant</v>
      </c>
      <c r="P93" s="191" t="str">
        <f>'1_BD questio brut'!N93</f>
        <v>Foyer ouvert</v>
      </c>
      <c r="Q93" s="191" t="str">
        <f>'1_BD questio brut'!O93</f>
        <v>Chauffage d'apoint</v>
      </c>
      <c r="R93" s="191" t="str">
        <f>'1_BD questio brut'!P93</f>
        <v>1 à 3 jours/mois</v>
      </c>
      <c r="S93" s="191" t="str">
        <f>'1_BD questio brut'!Q93</f>
        <v>3; 6</v>
      </c>
      <c r="T93" s="191" t="str">
        <f>'1_BD questio brut'!R93</f>
        <v>Avant 1990</v>
      </c>
      <c r="U93" s="191" t="str">
        <f>'1_BD questio brut'!S93</f>
        <v>Bois bûche</v>
      </c>
      <c r="V93" s="191" t="str">
        <f>'1_BD questio brut'!T93</f>
        <v/>
      </c>
      <c r="W93" s="191" t="str">
        <f>'1_BD questio brut'!U93</f>
        <v>3</v>
      </c>
      <c r="X93" s="191" t="str">
        <f>'1_BD questio brut'!V93</f>
        <v>stères</v>
      </c>
      <c r="Y93" s="191" t="str">
        <f>'1_BD questio brut'!W93</f>
        <v>1</v>
      </c>
      <c r="Z93" s="191" t="str">
        <f>'1_BD questio brut'!X93</f>
        <v/>
      </c>
      <c r="AA93" s="191" t="str">
        <f t="array" ref="AA93">INDEX('Données 1_BD questio'!C:C,MATCH('1_BD questio brut'!$Y$1&amp;'1_BD questio brut'!Y93,'Données 1_BD questio'!A:A&amp;'Données 1_BD questio'!B:B,0))</f>
        <v>Ne sait pas</v>
      </c>
      <c r="AB93" s="191" t="str">
        <f>'1_BD questio brut'!Z93</f>
        <v>2</v>
      </c>
      <c r="AC93" s="191" t="str">
        <f>'1_BD questio brut'!AA93</f>
        <v>&gt; 2 ans</v>
      </c>
      <c r="AD93" s="191" t="str">
        <f>'1_BD questio brut'!AB93</f>
        <v>Feuillus</v>
      </c>
      <c r="AE93" s="191" t="str">
        <f t="array" ref="AE93">INDEX('Données 1_BD questio'!C:C,MATCH('1_BD questio brut'!$AC$1&amp;'1_BD questio brut'!AC93,'Données 1_BD questio'!A:A&amp;'Données 1_BD questio'!B:B,0))</f>
        <v>un professionnel</v>
      </c>
      <c r="AF93" s="191" t="str">
        <f>'1_BD questio brut'!AD93</f>
        <v>1 fois tous les 2 ans</v>
      </c>
      <c r="AG93" s="191" t="str">
        <f>'1_BD questio brut'!AE93</f>
        <v/>
      </c>
      <c r="AH93" s="191" t="str">
        <f>'1_BD questio brut'!AF93</f>
        <v>Poêle</v>
      </c>
      <c r="AI93" s="191" t="str">
        <f>'1_BD questio brut'!AG93</f>
        <v>1</v>
      </c>
      <c r="AJ93" s="191" t="str">
        <f>'1_BD questio brut'!AH93</f>
        <v/>
      </c>
      <c r="AK93" s="191" t="str">
        <f>'1_BD questio brut'!AI93</f>
        <v>Chauffage d'appoint</v>
      </c>
      <c r="AL93" s="191" t="str">
        <f>'1_BD questio brut'!AJ93</f>
        <v>Pas de réponse</v>
      </c>
      <c r="AM93" s="191" t="str">
        <f>'1_BD questio brut'!AK93</f>
        <v>1; 4; 5</v>
      </c>
      <c r="AN93" s="191" t="str">
        <f>'1_BD questio brut'!AL93</f>
        <v/>
      </c>
      <c r="AO93" s="191" t="str">
        <f>'1_BD questio brut'!AM93</f>
        <v>1; 5</v>
      </c>
      <c r="AP93" s="191" t="str">
        <f>'1_BD questio brut'!AN93</f>
        <v/>
      </c>
      <c r="AQ93" s="191" t="str">
        <f>'1_BD questio brut'!AO93</f>
        <v/>
      </c>
    </row>
    <row r="94" spans="1:43" ht="29" hidden="1">
      <c r="A94" s="98">
        <f>INDEX('3_BD instruction total'!A:A,MATCH(C94,'3_BD instruction total'!F:F,0))</f>
        <v>2021</v>
      </c>
      <c r="B94" s="98" t="str">
        <f>INDEX('3_BD instruction total'!C:C,MATCH(C94,'3_BD instruction total'!F:F,0))</f>
        <v>non</v>
      </c>
      <c r="C94" s="191" t="str">
        <f>'1_BD questio brut'!A94</f>
        <v>VRB0099</v>
      </c>
      <c r="D94" s="191" t="str">
        <f t="array" ref="D94">INDEX('Données 1_BD questio'!C:C,MATCH('1_BD questio brut'!$B$1&amp;'1_BD questio brut'!B94,'Données 1_BD questio'!A:A&amp;'Données 1_BD questio'!B:B,0))</f>
        <v>CAPV</v>
      </c>
      <c r="E94" s="191" t="str">
        <f t="array" ref="E94">INDEX('Données 1_BD questio'!C:C,MATCH('1_BD questio brut'!$C$1&amp;'1_BD questio brut'!C94,'Données 1_BD questio'!A:A&amp;'Données 1_BD questio'!B:B,0))</f>
        <v>Employé</v>
      </c>
      <c r="F94" s="191" t="str">
        <f t="array" ref="F94">INDEX('Données 1_BD questio'!C:C,MATCH('1_BD questio brut'!$D$1&amp;'1_BD questio brut'!D94,'Données 1_BD questio'!A:A&amp;'Données 1_BD questio'!B:B,0))</f>
        <v>Employé</v>
      </c>
      <c r="G94" s="191" t="str">
        <f>'1_BD questio brut'!E94</f>
        <v>25 à 34 ans</v>
      </c>
      <c r="H94" s="191">
        <f>'1_BD questio brut'!F94</f>
        <v>2</v>
      </c>
      <c r="I94" s="191" t="str">
        <f>'1_BD questio brut'!G94</f>
        <v>Pas de réponse</v>
      </c>
      <c r="J94" s="191" t="str">
        <f t="array" ref="J94">INDEX('Données 1_BD questio'!C:C,MATCH('1_BD questio brut'!$H$1&amp;'1_BD questio brut'!H94,'Données 1_BD questio'!A:A&amp;'Données 1_BD questio'!B:B,0))</f>
        <v>Maison avec jardin</v>
      </c>
      <c r="K94" s="191">
        <f>'1_BD questio brut'!I94</f>
        <v>160</v>
      </c>
      <c r="L94" s="191" t="str">
        <f>'1_BD questio brut'!J94</f>
        <v>Avant 1949</v>
      </c>
      <c r="M94" s="191" t="str">
        <f>'1_BD questio brut'!K94</f>
        <v>3; 4</v>
      </c>
      <c r="N94" s="191" t="str">
        <f>'1_BD questio brut'!L94</f>
        <v>Pas de réponse</v>
      </c>
      <c r="O94" s="191" t="str">
        <f>'1_BD questio brut'!M94</f>
        <v>Propriétaire occupant</v>
      </c>
      <c r="P94" s="191" t="str">
        <f>'1_BD questio brut'!N94</f>
        <v>Foyer ouvert</v>
      </c>
      <c r="Q94" s="191" t="str">
        <f>'1_BD questio brut'!O94</f>
        <v>Chauffage d'apoint</v>
      </c>
      <c r="R94" s="191" t="str">
        <f>'1_BD questio brut'!P94</f>
        <v>1 à 3 jours/mois</v>
      </c>
      <c r="S94" s="191" t="str">
        <f>'1_BD questio brut'!Q94</f>
        <v>3; 6</v>
      </c>
      <c r="T94" s="191" t="str">
        <f>'1_BD questio brut'!R94</f>
        <v>Avant 1990</v>
      </c>
      <c r="U94" s="191" t="str">
        <f>'1_BD questio brut'!S94</f>
        <v>Bois bûche</v>
      </c>
      <c r="V94" s="191" t="str">
        <f>'1_BD questio brut'!T94</f>
        <v/>
      </c>
      <c r="W94" s="191" t="str">
        <f>'1_BD questio brut'!U94</f>
        <v>2</v>
      </c>
      <c r="X94" s="191" t="str">
        <f>'1_BD questio brut'!V94</f>
        <v>stères</v>
      </c>
      <c r="Y94" s="191" t="str">
        <f>'1_BD questio brut'!W94</f>
        <v>1</v>
      </c>
      <c r="Z94" s="191" t="str">
        <f>'1_BD questio brut'!X94</f>
        <v/>
      </c>
      <c r="AA94" s="191" t="str">
        <f t="array" ref="AA94">INDEX('Données 1_BD questio'!C:C,MATCH('1_BD questio brut'!$Y$1&amp;'1_BD questio brut'!Y94,'Données 1_BD questio'!A:A&amp;'Données 1_BD questio'!B:B,0))</f>
        <v>Ne sait pas</v>
      </c>
      <c r="AB94" s="191" t="str">
        <f>'1_BD questio brut'!Z94</f>
        <v>1</v>
      </c>
      <c r="AC94" s="191" t="str">
        <f>'1_BD questio brut'!AA94</f>
        <v>&gt; 2 ans</v>
      </c>
      <c r="AD94" s="191" t="str">
        <f>'1_BD questio brut'!AB94</f>
        <v>Feuillus</v>
      </c>
      <c r="AE94" s="191" t="str">
        <f t="array" ref="AE94">INDEX('Données 1_BD questio'!C:C,MATCH('1_BD questio brut'!$AC$1&amp;'1_BD questio brut'!AC94,'Données 1_BD questio'!A:A&amp;'Données 1_BD questio'!B:B,0))</f>
        <v>vous-même</v>
      </c>
      <c r="AF94" s="191" t="str">
        <f>'1_BD questio brut'!AD94</f>
        <v>2 fois par an</v>
      </c>
      <c r="AG94" s="191" t="str">
        <f>'1_BD questio brut'!AE94</f>
        <v/>
      </c>
      <c r="AH94" s="191" t="str">
        <f>'1_BD questio brut'!AF94</f>
        <v>Poêle</v>
      </c>
      <c r="AI94" s="191" t="str">
        <f>'1_BD questio brut'!AG94</f>
        <v>1</v>
      </c>
      <c r="AJ94" s="191" t="str">
        <f>'1_BD questio brut'!AH94</f>
        <v/>
      </c>
      <c r="AK94" s="191" t="str">
        <f>'1_BD questio brut'!AI94</f>
        <v>Chauffage d'appoint</v>
      </c>
      <c r="AL94" s="191" t="str">
        <f>'1_BD questio brut'!AJ94</f>
        <v>Pas de réponse</v>
      </c>
      <c r="AM94" s="191" t="str">
        <f>'1_BD questio brut'!AK94</f>
        <v>1; 5</v>
      </c>
      <c r="AN94" s="191" t="str">
        <f>'1_BD questio brut'!AL94</f>
        <v/>
      </c>
      <c r="AO94" s="191" t="str">
        <f>'1_BD questio brut'!AM94</f>
        <v>7</v>
      </c>
      <c r="AP94" s="191" t="str">
        <f>'1_BD questio brut'!AN94</f>
        <v/>
      </c>
      <c r="AQ94" s="191" t="str">
        <f>'1_BD questio brut'!AO94</f>
        <v/>
      </c>
    </row>
    <row r="95" spans="1:43" ht="29" hidden="1">
      <c r="A95" s="98">
        <f>INDEX('3_BD instruction total'!A:A,MATCH(C95,'3_BD instruction total'!F:F,0))</f>
        <v>2021</v>
      </c>
      <c r="B95" s="98" t="str">
        <f>INDEX('3_BD instruction total'!C:C,MATCH(C95,'3_BD instruction total'!F:F,0))</f>
        <v>non</v>
      </c>
      <c r="C95" s="191" t="str">
        <f>'1_BD questio brut'!A95</f>
        <v>VRB0100</v>
      </c>
      <c r="D95" s="191" t="str">
        <f t="array" ref="D95">INDEX('Données 1_BD questio'!C:C,MATCH('1_BD questio brut'!$B$1&amp;'1_BD questio brut'!B95,'Données 1_BD questio'!A:A&amp;'Données 1_BD questio'!B:B,0))</f>
        <v>CAPV</v>
      </c>
      <c r="E95" s="191" t="str">
        <f t="array" ref="E95">INDEX('Données 1_BD questio'!C:C,MATCH('1_BD questio brut'!$C$1&amp;'1_BD questio brut'!C95,'Données 1_BD questio'!A:A&amp;'Données 1_BD questio'!B:B,0))</f>
        <v>Employé</v>
      </c>
      <c r="F95" s="191" t="str">
        <f t="array" ref="F95">INDEX('Données 1_BD questio'!C:C,MATCH('1_BD questio brut'!$D$1&amp;'1_BD questio brut'!D95,'Données 1_BD questio'!A:A&amp;'Données 1_BD questio'!B:B,0))</f>
        <v>Cadre</v>
      </c>
      <c r="G95" s="191" t="str">
        <f>'1_BD questio brut'!E95</f>
        <v>Pas de réponse</v>
      </c>
      <c r="H95" s="191">
        <f>'1_BD questio brut'!F95</f>
        <v>4</v>
      </c>
      <c r="I95" s="191" t="str">
        <f>'1_BD questio brut'!G95</f>
        <v>Pas de réponse</v>
      </c>
      <c r="J95" s="191" t="str">
        <f t="array" ref="J95">INDEX('Données 1_BD questio'!C:C,MATCH('1_BD questio brut'!$H$1&amp;'1_BD questio brut'!H95,'Données 1_BD questio'!A:A&amp;'Données 1_BD questio'!B:B,0))</f>
        <v>Maison avec jardin</v>
      </c>
      <c r="K95" s="191">
        <f>'1_BD questio brut'!I95</f>
        <v>90</v>
      </c>
      <c r="L95" s="191" t="str">
        <f>'1_BD questio brut'!J95</f>
        <v>1975-1990</v>
      </c>
      <c r="M95" s="191" t="str">
        <f>'1_BD questio brut'!K95</f>
        <v>1</v>
      </c>
      <c r="N95" s="191" t="str">
        <f>'1_BD questio brut'!L95</f>
        <v>D</v>
      </c>
      <c r="O95" s="191" t="str">
        <f>'1_BD questio brut'!M95</f>
        <v>Propriétaire occupant</v>
      </c>
      <c r="P95" s="191" t="str">
        <f>'1_BD questio brut'!N95</f>
        <v>Foyer ouvert</v>
      </c>
      <c r="Q95" s="191" t="str">
        <f>'1_BD questio brut'!O95</f>
        <v>Chauffage d'apoint</v>
      </c>
      <c r="R95" s="191" t="str">
        <f>'1_BD questio brut'!P95</f>
        <v>Pas de réponse</v>
      </c>
      <c r="S95" s="191" t="str">
        <f>'1_BD questio brut'!Q95</f>
        <v>7</v>
      </c>
      <c r="T95" s="191" t="str">
        <f>'1_BD questio brut'!R95</f>
        <v>Avant 1990</v>
      </c>
      <c r="U95" s="191" t="str">
        <f>'1_BD questio brut'!S95</f>
        <v>Bois bûche</v>
      </c>
      <c r="V95" s="191" t="str">
        <f>'1_BD questio brut'!T95</f>
        <v/>
      </c>
      <c r="W95" s="191" t="str">
        <f>'1_BD questio brut'!U95</f>
        <v/>
      </c>
      <c r="X95" s="191" t="str">
        <f>'1_BD questio brut'!V95</f>
        <v/>
      </c>
      <c r="Y95" s="191" t="str">
        <f>'1_BD questio brut'!W95</f>
        <v>5</v>
      </c>
      <c r="Z95" s="191" t="str">
        <f>'1_BD questio brut'!X95</f>
        <v/>
      </c>
      <c r="AA95" s="191" t="str">
        <f t="array" ref="AA95">INDEX('Données 1_BD questio'!C:C,MATCH('1_BD questio brut'!$Y$1&amp;'1_BD questio brut'!Y95,'Données 1_BD questio'!A:A&amp;'Données 1_BD questio'!B:B,0))</f>
        <v>Pas de réponse</v>
      </c>
      <c r="AB95" s="191" t="str">
        <f>'1_BD questio brut'!Z95</f>
        <v>4</v>
      </c>
      <c r="AC95" s="191" t="str">
        <f>'1_BD questio brut'!AA95</f>
        <v>Pas de réponse</v>
      </c>
      <c r="AD95" s="191" t="str">
        <f>'1_BD questio brut'!AB95</f>
        <v>Pas de réponse</v>
      </c>
      <c r="AE95" s="191" t="str">
        <f t="array" ref="AE95">INDEX('Données 1_BD questio'!C:C,MATCH('1_BD questio brut'!$AC$1&amp;'1_BD questio brut'!AC95,'Données 1_BD questio'!A:A&amp;'Données 1_BD questio'!B:B,0))</f>
        <v>Pas de réponse</v>
      </c>
      <c r="AF95" s="191" t="str">
        <f>'1_BD questio brut'!AD95</f>
        <v>Pas de réponse</v>
      </c>
      <c r="AG95" s="191" t="str">
        <f>'1_BD questio brut'!AE95</f>
        <v/>
      </c>
      <c r="AH95" s="191" t="str">
        <f>'1_BD questio brut'!AF95</f>
        <v>Poêle</v>
      </c>
      <c r="AI95" s="191" t="str">
        <f>'1_BD questio brut'!AG95</f>
        <v>1</v>
      </c>
      <c r="AJ95" s="191" t="str">
        <f>'1_BD questio brut'!AH95</f>
        <v/>
      </c>
      <c r="AK95" s="191" t="str">
        <f>'1_BD questio brut'!AI95</f>
        <v>Chauffage d'appoint</v>
      </c>
      <c r="AL95" s="191" t="str">
        <f>'1_BD questio brut'!AJ95</f>
        <v>Pas de réponse</v>
      </c>
      <c r="AM95" s="191" t="str">
        <f>'1_BD questio brut'!AK95</f>
        <v>4</v>
      </c>
      <c r="AN95" s="191" t="str">
        <f>'1_BD questio brut'!AL95</f>
        <v/>
      </c>
      <c r="AO95" s="191" t="str">
        <f>'1_BD questio brut'!AM95</f>
        <v>5</v>
      </c>
      <c r="AP95" s="191" t="str">
        <f>'1_BD questio brut'!AN95</f>
        <v/>
      </c>
      <c r="AQ95" s="191" t="str">
        <f>'1_BD questio brut'!AO95</f>
        <v/>
      </c>
    </row>
    <row r="96" spans="1:43" ht="29" hidden="1">
      <c r="A96" s="98">
        <f>INDEX('3_BD instruction total'!A:A,MATCH(C96,'3_BD instruction total'!F:F,0))</f>
        <v>2021</v>
      </c>
      <c r="B96" s="98" t="str">
        <f>INDEX('3_BD instruction total'!C:C,MATCH(C96,'3_BD instruction total'!F:F,0))</f>
        <v>non</v>
      </c>
      <c r="C96" s="191" t="str">
        <f>'1_BD questio brut'!A96</f>
        <v>VRB0101</v>
      </c>
      <c r="D96" s="191" t="str">
        <f t="array" ref="D96">INDEX('Données 1_BD questio'!C:C,MATCH('1_BD questio brut'!$B$1&amp;'1_BD questio brut'!B96,'Données 1_BD questio'!A:A&amp;'Données 1_BD questio'!B:B,0))</f>
        <v>CAPV</v>
      </c>
      <c r="E96" s="191" t="str">
        <f t="array" ref="E96">INDEX('Données 1_BD questio'!C:C,MATCH('1_BD questio brut'!$C$1&amp;'1_BD questio brut'!C96,'Données 1_BD questio'!A:A&amp;'Données 1_BD questio'!B:B,0))</f>
        <v>Retraité</v>
      </c>
      <c r="F96" s="191" t="str">
        <f t="array" ref="F96">INDEX('Données 1_BD questio'!C:C,MATCH('1_BD questio brut'!$D$1&amp;'1_BD questio brut'!D96,'Données 1_BD questio'!A:A&amp;'Données 1_BD questio'!B:B,0))</f>
        <v>Pas de réponse</v>
      </c>
      <c r="G96" s="191" t="str">
        <f>'1_BD questio brut'!E96</f>
        <v>65 ans et plus</v>
      </c>
      <c r="H96" s="191">
        <f>'1_BD questio brut'!F96</f>
        <v>1</v>
      </c>
      <c r="I96" s="191" t="str">
        <f>'1_BD questio brut'!G96</f>
        <v>Pas de réponse</v>
      </c>
      <c r="J96" s="191" t="str">
        <f t="array" ref="J96">INDEX('Données 1_BD questio'!C:C,MATCH('1_BD questio brut'!$H$1&amp;'1_BD questio brut'!H96,'Données 1_BD questio'!A:A&amp;'Données 1_BD questio'!B:B,0))</f>
        <v>Maison avec jardin</v>
      </c>
      <c r="K96" s="191">
        <f>'1_BD questio brut'!I96</f>
        <v>100</v>
      </c>
      <c r="L96" s="191" t="str">
        <f>'1_BD questio brut'!J96</f>
        <v>1975-1990</v>
      </c>
      <c r="M96" s="191" t="str">
        <f>'1_BD questio brut'!K96</f>
        <v>6</v>
      </c>
      <c r="N96" s="191" t="str">
        <f>'1_BD questio brut'!L96</f>
        <v>Pas de réponse</v>
      </c>
      <c r="O96" s="191" t="str">
        <f>'1_BD questio brut'!M96</f>
        <v>Propriétaire occupant</v>
      </c>
      <c r="P96" s="191" t="str">
        <f>'1_BD questio brut'!N96</f>
        <v>Insert / foyer fermé</v>
      </c>
      <c r="Q96" s="191" t="str">
        <f>'1_BD questio brut'!O96</f>
        <v>Chauffage d'apoint</v>
      </c>
      <c r="R96" s="191" t="str">
        <f>'1_BD questio brut'!P96</f>
        <v>Tous les jours</v>
      </c>
      <c r="S96" s="191" t="str">
        <f>'1_BD questio brut'!Q96</f>
        <v>3</v>
      </c>
      <c r="T96" s="191" t="str">
        <f>'1_BD questio brut'!R96</f>
        <v>Avant 1990</v>
      </c>
      <c r="U96" s="191" t="str">
        <f>'1_BD questio brut'!S96</f>
        <v>Bois bûche</v>
      </c>
      <c r="V96" s="191" t="str">
        <f>'1_BD questio brut'!T96</f>
        <v/>
      </c>
      <c r="W96" s="191" t="str">
        <f>'1_BD questio brut'!U96</f>
        <v>6</v>
      </c>
      <c r="X96" s="191" t="str">
        <f>'1_BD questio brut'!V96</f>
        <v>stères</v>
      </c>
      <c r="Y96" s="191" t="str">
        <f>'1_BD questio brut'!W96</f>
        <v>1</v>
      </c>
      <c r="Z96" s="191" t="str">
        <f>'1_BD questio brut'!X96</f>
        <v/>
      </c>
      <c r="AA96" s="191" t="str">
        <f t="array" ref="AA96">INDEX('Données 1_BD questio'!C:C,MATCH('1_BD questio brut'!$Y$1&amp;'1_BD questio brut'!Y96,'Données 1_BD questio'!A:A&amp;'Données 1_BD questio'!B:B,0))</f>
        <v>RA2B</v>
      </c>
      <c r="AB96" s="191" t="str">
        <f>'1_BD questio brut'!Z96</f>
        <v>2</v>
      </c>
      <c r="AC96" s="191" t="str">
        <f>'1_BD questio brut'!AA96</f>
        <v>&gt; 2 ans</v>
      </c>
      <c r="AD96" s="191" t="str">
        <f>'1_BD questio brut'!AB96</f>
        <v>Feuillus</v>
      </c>
      <c r="AE96" s="191" t="str">
        <f t="array" ref="AE96">INDEX('Données 1_BD questio'!C:C,MATCH('1_BD questio brut'!$AC$1&amp;'1_BD questio brut'!AC96,'Données 1_BD questio'!A:A&amp;'Données 1_BD questio'!B:B,0))</f>
        <v>vous-même</v>
      </c>
      <c r="AF96" s="191" t="str">
        <f>'1_BD questio brut'!AD96</f>
        <v>1 fois par an</v>
      </c>
      <c r="AG96" s="191" t="str">
        <f>'1_BD questio brut'!AE96</f>
        <v/>
      </c>
      <c r="AH96" s="191" t="str">
        <f>'1_BD questio brut'!AF96</f>
        <v>Insert cheminée</v>
      </c>
      <c r="AI96" s="191" t="str">
        <f>'1_BD questio brut'!AG96</f>
        <v>1</v>
      </c>
      <c r="AJ96" s="191" t="str">
        <f>'1_BD questio brut'!AH96</f>
        <v/>
      </c>
      <c r="AK96" s="191" t="str">
        <f>'1_BD questio brut'!AI96</f>
        <v>Chauffage d'appoint</v>
      </c>
      <c r="AL96" s="191" t="str">
        <f>'1_BD questio brut'!AJ96</f>
        <v>Pas de réponse</v>
      </c>
      <c r="AM96" s="191" t="str">
        <f>'1_BD questio brut'!AK96</f>
        <v>2; 4; 5</v>
      </c>
      <c r="AN96" s="191" t="str">
        <f>'1_BD questio brut'!AL96</f>
        <v/>
      </c>
      <c r="AO96" s="191" t="str">
        <f>'1_BD questio brut'!AM96</f>
        <v>2; 7</v>
      </c>
      <c r="AP96" s="191" t="str">
        <f>'1_BD questio brut'!AN96</f>
        <v/>
      </c>
      <c r="AQ96" s="191" t="str">
        <f>'1_BD questio brut'!AO96</f>
        <v/>
      </c>
    </row>
    <row r="97" spans="1:43" ht="29" hidden="1">
      <c r="A97" s="98">
        <f>INDEX('3_BD instruction total'!A:A,MATCH(C97,'3_BD instruction total'!F:F,0))</f>
        <v>2021</v>
      </c>
      <c r="B97" s="98" t="str">
        <f>INDEX('3_BD instruction total'!C:C,MATCH(C97,'3_BD instruction total'!F:F,0))</f>
        <v>non</v>
      </c>
      <c r="C97" s="191" t="str">
        <f>'1_BD questio brut'!A97</f>
        <v>VRB0102</v>
      </c>
      <c r="D97" s="191" t="str">
        <f t="array" ref="D97">INDEX('Données 1_BD questio'!C:C,MATCH('1_BD questio brut'!$B$1&amp;'1_BD questio brut'!B97,'Données 1_BD questio'!A:A&amp;'Données 1_BD questio'!B:B,0))</f>
        <v>CAPV</v>
      </c>
      <c r="E97" s="191" t="str">
        <f t="array" ref="E97">INDEX('Données 1_BD questio'!C:C,MATCH('1_BD questio brut'!$C$1&amp;'1_BD questio brut'!C97,'Données 1_BD questio'!A:A&amp;'Données 1_BD questio'!B:B,0))</f>
        <v>Retraité</v>
      </c>
      <c r="F97" s="191" t="str">
        <f t="array" ref="F97">INDEX('Données 1_BD questio'!C:C,MATCH('1_BD questio brut'!$D$1&amp;'1_BD questio brut'!D97,'Données 1_BD questio'!A:A&amp;'Données 1_BD questio'!B:B,0))</f>
        <v>Employé</v>
      </c>
      <c r="G97" s="191" t="str">
        <f>'1_BD questio brut'!E97</f>
        <v>50 à 64 ans</v>
      </c>
      <c r="H97" s="191">
        <f>'1_BD questio brut'!F97</f>
        <v>2</v>
      </c>
      <c r="I97" s="191" t="str">
        <f>'1_BD questio brut'!G97</f>
        <v>Pas de réponse</v>
      </c>
      <c r="J97" s="191" t="str">
        <f t="array" ref="J97">INDEX('Données 1_BD questio'!C:C,MATCH('1_BD questio brut'!$H$1&amp;'1_BD questio brut'!H97,'Données 1_BD questio'!A:A&amp;'Données 1_BD questio'!B:B,0))</f>
        <v>Maison avec jardin</v>
      </c>
      <c r="K97" s="191">
        <f>'1_BD questio brut'!I97</f>
        <v>99</v>
      </c>
      <c r="L97" s="191" t="str">
        <f>'1_BD questio brut'!J97</f>
        <v>1990-2005</v>
      </c>
      <c r="M97" s="191" t="str">
        <f>'1_BD questio brut'!K97</f>
        <v>4</v>
      </c>
      <c r="N97" s="191" t="str">
        <f>'1_BD questio brut'!L97</f>
        <v>Pas de réponse</v>
      </c>
      <c r="O97" s="191" t="str">
        <f>'1_BD questio brut'!M97</f>
        <v>Propriétaire occupant</v>
      </c>
      <c r="P97" s="191" t="str">
        <f>'1_BD questio brut'!N97</f>
        <v>Poêle</v>
      </c>
      <c r="Q97" s="191" t="str">
        <f>'1_BD questio brut'!O97</f>
        <v>Chauffage de base</v>
      </c>
      <c r="R97" s="191" t="str">
        <f>'1_BD questio brut'!P97</f>
        <v>Tous les jours</v>
      </c>
      <c r="S97" s="191" t="str">
        <f>'1_BD questio brut'!Q97</f>
        <v>4; 5</v>
      </c>
      <c r="T97" s="191" t="str">
        <f>'1_BD questio brut'!R97</f>
        <v>Avant 1990</v>
      </c>
      <c r="U97" s="191" t="str">
        <f>'1_BD questio brut'!S97</f>
        <v>Bois bûche</v>
      </c>
      <c r="V97" s="191" t="str">
        <f>'1_BD questio brut'!T97</f>
        <v/>
      </c>
      <c r="W97" s="191" t="str">
        <f>'1_BD questio brut'!U97</f>
        <v>12</v>
      </c>
      <c r="X97" s="191" t="str">
        <f>'1_BD questio brut'!V97</f>
        <v>stères</v>
      </c>
      <c r="Y97" s="191" t="str">
        <f>'1_BD questio brut'!W97</f>
        <v>2</v>
      </c>
      <c r="Z97" s="191" t="str">
        <f>'1_BD questio brut'!X97</f>
        <v/>
      </c>
      <c r="AA97" s="191" t="str">
        <f t="array" ref="AA97">INDEX('Données 1_BD questio'!C:C,MATCH('1_BD questio brut'!$Y$1&amp;'1_BD questio brut'!Y97,'Données 1_BD questio'!A:A&amp;'Données 1_BD questio'!B:B,0))</f>
        <v>RA2B</v>
      </c>
      <c r="AB97" s="191" t="str">
        <f>'1_BD questio brut'!Z97</f>
        <v>2</v>
      </c>
      <c r="AC97" s="191" t="str">
        <f>'1_BD questio brut'!AA97</f>
        <v>&gt; 2 ans</v>
      </c>
      <c r="AD97" s="191" t="str">
        <f>'1_BD questio brut'!AB97</f>
        <v>Les deux</v>
      </c>
      <c r="AE97" s="191" t="str">
        <f t="array" ref="AE97">INDEX('Données 1_BD questio'!C:C,MATCH('1_BD questio brut'!$AC$1&amp;'1_BD questio brut'!AC97,'Données 1_BD questio'!A:A&amp;'Données 1_BD questio'!B:B,0))</f>
        <v>vous-même</v>
      </c>
      <c r="AF97" s="191" t="str">
        <f>'1_BD questio brut'!AD97</f>
        <v>1 fois par an</v>
      </c>
      <c r="AG97" s="191" t="str">
        <f>'1_BD questio brut'!AE97</f>
        <v/>
      </c>
      <c r="AH97" s="191" t="str">
        <f>'1_BD questio brut'!AF97</f>
        <v>Poêle</v>
      </c>
      <c r="AI97" s="191" t="str">
        <f>'1_BD questio brut'!AG97</f>
        <v>2</v>
      </c>
      <c r="AJ97" s="191" t="str">
        <f>'1_BD questio brut'!AH97</f>
        <v/>
      </c>
      <c r="AK97" s="191" t="str">
        <f>'1_BD questio brut'!AI97</f>
        <v>Chauffage de base</v>
      </c>
      <c r="AL97" s="191" t="str">
        <f>'1_BD questio brut'!AJ97</f>
        <v>Pas de réponse</v>
      </c>
      <c r="AM97" s="191" t="str">
        <f>'1_BD questio brut'!AK97</f>
        <v>5</v>
      </c>
      <c r="AN97" s="191" t="str">
        <f>'1_BD questio brut'!AL97</f>
        <v/>
      </c>
      <c r="AO97" s="191" t="str">
        <f>'1_BD questio brut'!AM97</f>
        <v>1</v>
      </c>
      <c r="AP97" s="191" t="str">
        <f>'1_BD questio brut'!AN97</f>
        <v/>
      </c>
      <c r="AQ97" s="191" t="str">
        <f>'1_BD questio brut'!AO97</f>
        <v/>
      </c>
    </row>
    <row r="98" spans="1:43" ht="43.5" hidden="1">
      <c r="A98" s="98">
        <f>INDEX('3_BD instruction total'!A:A,MATCH(C98,'3_BD instruction total'!F:F,0))</f>
        <v>2021</v>
      </c>
      <c r="B98" s="98" t="str">
        <f>INDEX('3_BD instruction total'!C:C,MATCH(C98,'3_BD instruction total'!F:F,0))</f>
        <v>non</v>
      </c>
      <c r="C98" s="191" t="str">
        <f>'1_BD questio brut'!A98</f>
        <v>VRB0103</v>
      </c>
      <c r="D98" s="191" t="str">
        <f t="array" ref="D98">INDEX('Données 1_BD questio'!C:C,MATCH('1_BD questio brut'!$B$1&amp;'1_BD questio brut'!B98,'Données 1_BD questio'!A:A&amp;'Données 1_BD questio'!B:B,0))</f>
        <v>CAPV</v>
      </c>
      <c r="E98" s="191" t="str">
        <f t="array" ref="E98">INDEX('Données 1_BD questio'!C:C,MATCH('1_BD questio brut'!$C$1&amp;'1_BD questio brut'!C98,'Données 1_BD questio'!A:A&amp;'Données 1_BD questio'!B:B,0))</f>
        <v>Retraité</v>
      </c>
      <c r="F98" s="191" t="str">
        <f t="array" ref="F98">INDEX('Données 1_BD questio'!C:C,MATCH('1_BD questio brut'!$D$1&amp;'1_BD questio brut'!D98,'Données 1_BD questio'!A:A&amp;'Données 1_BD questio'!B:B,0))</f>
        <v>Autre,sans activité</v>
      </c>
      <c r="G98" s="191" t="str">
        <f>'1_BD questio brut'!E98</f>
        <v>50 à 64 ans</v>
      </c>
      <c r="H98" s="191">
        <f>'1_BD questio brut'!F98</f>
        <v>2</v>
      </c>
      <c r="I98" s="191" t="str">
        <f>'1_BD questio brut'!G98</f>
        <v>Pas de réponse</v>
      </c>
      <c r="J98" s="191" t="str">
        <f t="array" ref="J98">INDEX('Données 1_BD questio'!C:C,MATCH('1_BD questio brut'!$H$1&amp;'1_BD questio brut'!H98,'Données 1_BD questio'!A:A&amp;'Données 1_BD questio'!B:B,0))</f>
        <v>Maison avec jardin</v>
      </c>
      <c r="K98" s="191">
        <f>'1_BD questio brut'!I98</f>
        <v>130</v>
      </c>
      <c r="L98" s="191" t="str">
        <f>'1_BD questio brut'!J98</f>
        <v>1975-1990</v>
      </c>
      <c r="M98" s="191" t="str">
        <f>'1_BD questio brut'!K98</f>
        <v>4</v>
      </c>
      <c r="N98" s="191" t="str">
        <f>'1_BD questio brut'!L98</f>
        <v>Ne sait pas</v>
      </c>
      <c r="O98" s="191" t="str">
        <f>'1_BD questio brut'!M98</f>
        <v>Propriétaire occupant</v>
      </c>
      <c r="P98" s="191" t="str">
        <f>'1_BD questio brut'!N98</f>
        <v>Insert / foyer fermé</v>
      </c>
      <c r="Q98" s="191" t="str">
        <f>'1_BD questio brut'!O98</f>
        <v>Chauffage d'apoint</v>
      </c>
      <c r="R98" s="191" t="str">
        <f>'1_BD questio brut'!P98</f>
        <v>1 à 2 jours/semaine</v>
      </c>
      <c r="S98" s="191" t="str">
        <f>'1_BD questio brut'!Q98</f>
        <v>4; 6</v>
      </c>
      <c r="T98" s="191" t="str">
        <f>'1_BD questio brut'!R98</f>
        <v>Avant 1990</v>
      </c>
      <c r="U98" s="191" t="str">
        <f>'1_BD questio brut'!S98</f>
        <v>Bois bûche</v>
      </c>
      <c r="V98" s="191" t="str">
        <f>'1_BD questio brut'!T98</f>
        <v/>
      </c>
      <c r="W98" s="191" t="str">
        <f>'1_BD questio brut'!U98</f>
        <v>3,2</v>
      </c>
      <c r="X98" s="191" t="str">
        <f>'1_BD questio brut'!V98</f>
        <v>stères</v>
      </c>
      <c r="Y98" s="191" t="str">
        <f>'1_BD questio brut'!W98</f>
        <v>2</v>
      </c>
      <c r="Z98" s="191" t="str">
        <f>'1_BD questio brut'!X98</f>
        <v/>
      </c>
      <c r="AA98" s="191" t="str">
        <f t="array" ref="AA98">INDEX('Données 1_BD questio'!C:C,MATCH('1_BD questio brut'!$Y$1&amp;'1_BD questio brut'!Y98,'Données 1_BD questio'!A:A&amp;'Données 1_BD questio'!B:B,0))</f>
        <v>Ne sait pas</v>
      </c>
      <c r="AB98" s="191" t="str">
        <f>'1_BD questio brut'!Z98</f>
        <v>2</v>
      </c>
      <c r="AC98" s="191" t="str">
        <f>'1_BD questio brut'!AA98</f>
        <v>&gt; 2 ans</v>
      </c>
      <c r="AD98" s="191" t="str">
        <f>'1_BD questio brut'!AB98</f>
        <v>Feuillus</v>
      </c>
      <c r="AE98" s="191" t="str">
        <f t="array" ref="AE98">INDEX('Données 1_BD questio'!C:C,MATCH('1_BD questio brut'!$AC$1&amp;'1_BD questio brut'!AC98,'Données 1_BD questio'!A:A&amp;'Données 1_BD questio'!B:B,0))</f>
        <v>un professionnel</v>
      </c>
      <c r="AF98" s="191" t="str">
        <f>'1_BD questio brut'!AD98</f>
        <v>1 fois par an</v>
      </c>
      <c r="AG98" s="191" t="str">
        <f>'1_BD questio brut'!AE98</f>
        <v/>
      </c>
      <c r="AH98" s="191" t="str">
        <f>'1_BD questio brut'!AF98</f>
        <v>Poêle</v>
      </c>
      <c r="AI98" s="191" t="str">
        <f>'1_BD questio brut'!AG98</f>
        <v>1</v>
      </c>
      <c r="AJ98" s="191" t="str">
        <f>'1_BD questio brut'!AH98</f>
        <v/>
      </c>
      <c r="AK98" s="191" t="str">
        <f>'1_BD questio brut'!AI98</f>
        <v>Chauffage de base</v>
      </c>
      <c r="AL98" s="191" t="str">
        <f>'1_BD questio brut'!AJ98</f>
        <v>Pas de réponse</v>
      </c>
      <c r="AM98" s="191" t="str">
        <f>'1_BD questio brut'!AK98</f>
        <v>2; 4</v>
      </c>
      <c r="AN98" s="191" t="str">
        <f>'1_BD questio brut'!AL98</f>
        <v/>
      </c>
      <c r="AO98" s="191" t="str">
        <f>'1_BD questio brut'!AM98</f>
        <v>5; 7</v>
      </c>
      <c r="AP98" s="191" t="str">
        <f>'1_BD questio brut'!AN98</f>
        <v/>
      </c>
      <c r="AQ98" s="191" t="str">
        <f>'1_BD questio brut'!AO98</f>
        <v/>
      </c>
    </row>
    <row r="99" spans="1:43" ht="43.5" hidden="1">
      <c r="A99" s="98">
        <f>INDEX('3_BD instruction total'!A:A,MATCH(C99,'3_BD instruction total'!F:F,0))</f>
        <v>2021</v>
      </c>
      <c r="B99" s="98" t="str">
        <f>INDEX('3_BD instruction total'!C:C,MATCH(C99,'3_BD instruction total'!F:F,0))</f>
        <v>non</v>
      </c>
      <c r="C99" s="191" t="str">
        <f>'1_BD questio brut'!A99</f>
        <v>VRB0104</v>
      </c>
      <c r="D99" s="191" t="str">
        <f t="array" ref="D99">INDEX('Données 1_BD questio'!C:C,MATCH('1_BD questio brut'!$B$1&amp;'1_BD questio brut'!B99,'Données 1_BD questio'!A:A&amp;'Données 1_BD questio'!B:B,0))</f>
        <v>CAPV</v>
      </c>
      <c r="E99" s="191" t="str">
        <f t="array" ref="E99">INDEX('Données 1_BD questio'!C:C,MATCH('1_BD questio brut'!$C$1&amp;'1_BD questio brut'!C99,'Données 1_BD questio'!A:A&amp;'Données 1_BD questio'!B:B,0))</f>
        <v>Retraité</v>
      </c>
      <c r="F99" s="191" t="str">
        <f t="array" ref="F99">INDEX('Données 1_BD questio'!C:C,MATCH('1_BD questio brut'!$D$1&amp;'1_BD questio brut'!D99,'Données 1_BD questio'!A:A&amp;'Données 1_BD questio'!B:B,0))</f>
        <v>Pas de réponse</v>
      </c>
      <c r="G99" s="191" t="str">
        <f>'1_BD questio brut'!E99</f>
        <v>65 ans et plus</v>
      </c>
      <c r="H99" s="191">
        <f>'1_BD questio brut'!F99</f>
        <v>1</v>
      </c>
      <c r="I99" s="191" t="str">
        <f>'1_BD questio brut'!G99</f>
        <v>Pas de réponse</v>
      </c>
      <c r="J99" s="191" t="str">
        <f t="array" ref="J99">INDEX('Données 1_BD questio'!C:C,MATCH('1_BD questio brut'!$H$1&amp;'1_BD questio brut'!H99,'Données 1_BD questio'!A:A&amp;'Données 1_BD questio'!B:B,0))</f>
        <v>Maison avec jardin</v>
      </c>
      <c r="K99" s="191">
        <f>'1_BD questio brut'!I99</f>
        <v>130</v>
      </c>
      <c r="L99" s="191" t="str">
        <f>'1_BD questio brut'!J99</f>
        <v>1975-1990</v>
      </c>
      <c r="M99" s="191" t="str">
        <f>'1_BD questio brut'!K99</f>
        <v>1; 4</v>
      </c>
      <c r="N99" s="191" t="str">
        <f>'1_BD questio brut'!L99</f>
        <v>Pas de réponse</v>
      </c>
      <c r="O99" s="191" t="str">
        <f>'1_BD questio brut'!M99</f>
        <v>Propriétaire occupant</v>
      </c>
      <c r="P99" s="191" t="str">
        <f>'1_BD questio brut'!N99</f>
        <v>Foyer ouvert</v>
      </c>
      <c r="Q99" s="191" t="str">
        <f>'1_BD questio brut'!O99</f>
        <v>Chauffage d'apoint</v>
      </c>
      <c r="R99" s="191" t="str">
        <f>'1_BD questio brut'!P99</f>
        <v>3 à 4 jours/semaine</v>
      </c>
      <c r="S99" s="191" t="str">
        <f>'1_BD questio brut'!Q99</f>
        <v>3</v>
      </c>
      <c r="T99" s="191" t="str">
        <f>'1_BD questio brut'!R99</f>
        <v>Avant 1990</v>
      </c>
      <c r="U99" s="191" t="str">
        <f>'1_BD questio brut'!S99</f>
        <v>Bois bûche</v>
      </c>
      <c r="V99" s="191" t="str">
        <f>'1_BD questio brut'!T99</f>
        <v/>
      </c>
      <c r="W99" s="191" t="str">
        <f>'1_BD questio brut'!U99</f>
        <v>3</v>
      </c>
      <c r="X99" s="191" t="str">
        <f>'1_BD questio brut'!V99</f>
        <v>stères</v>
      </c>
      <c r="Y99" s="191" t="str">
        <f>'1_BD questio brut'!W99</f>
        <v>1; 2</v>
      </c>
      <c r="Z99" s="191" t="str">
        <f>'1_BD questio brut'!X99</f>
        <v/>
      </c>
      <c r="AA99" s="191" t="str">
        <f t="array" ref="AA99">INDEX('Données 1_BD questio'!C:C,MATCH('1_BD questio brut'!$Y$1&amp;'1_BD questio brut'!Y99,'Données 1_BD questio'!A:A&amp;'Données 1_BD questio'!B:B,0))</f>
        <v>Ne sait pas</v>
      </c>
      <c r="AB99" s="191" t="str">
        <f>'1_BD questio brut'!Z99</f>
        <v>2</v>
      </c>
      <c r="AC99" s="191" t="str">
        <f>'1_BD questio brut'!AA99</f>
        <v>&gt; 2 ans</v>
      </c>
      <c r="AD99" s="191" t="str">
        <f>'1_BD questio brut'!AB99</f>
        <v>Feuillus</v>
      </c>
      <c r="AE99" s="191" t="str">
        <f t="array" ref="AE99">INDEX('Données 1_BD questio'!C:C,MATCH('1_BD questio brut'!$AC$1&amp;'1_BD questio brut'!AC99,'Données 1_BD questio'!A:A&amp;'Données 1_BD questio'!B:B,0))</f>
        <v>un professionnel</v>
      </c>
      <c r="AF99" s="191" t="str">
        <f>'1_BD questio brut'!AD99</f>
        <v>1 fois par an</v>
      </c>
      <c r="AG99" s="191" t="str">
        <f>'1_BD questio brut'!AE99</f>
        <v/>
      </c>
      <c r="AH99" s="191" t="str">
        <f>'1_BD questio brut'!AF99</f>
        <v>Insert cheminée</v>
      </c>
      <c r="AI99" s="191" t="str">
        <f>'1_BD questio brut'!AG99</f>
        <v>1</v>
      </c>
      <c r="AJ99" s="191" t="str">
        <f>'1_BD questio brut'!AH99</f>
        <v/>
      </c>
      <c r="AK99" s="191" t="str">
        <f>'1_BD questio brut'!AI99</f>
        <v>Chauffage d'appoint</v>
      </c>
      <c r="AL99" s="191" t="str">
        <f>'1_BD questio brut'!AJ99</f>
        <v>Pas de réponse</v>
      </c>
      <c r="AM99" s="191" t="str">
        <f>'1_BD questio brut'!AK99</f>
        <v>1; 5</v>
      </c>
      <c r="AN99" s="191" t="str">
        <f>'1_BD questio brut'!AL99</f>
        <v/>
      </c>
      <c r="AO99" s="191" t="str">
        <f>'1_BD questio brut'!AM99</f>
        <v>7</v>
      </c>
      <c r="AP99" s="191" t="str">
        <f>'1_BD questio brut'!AN99</f>
        <v/>
      </c>
      <c r="AQ99" s="191" t="str">
        <f>'1_BD questio brut'!AO99</f>
        <v/>
      </c>
    </row>
    <row r="100" spans="1:43" ht="29" hidden="1">
      <c r="A100" s="98">
        <f>INDEX('3_BD instruction total'!A:A,MATCH(C100,'3_BD instruction total'!F:F,0))</f>
        <v>2021</v>
      </c>
      <c r="B100" s="98" t="str">
        <f>INDEX('3_BD instruction total'!C:C,MATCH(C100,'3_BD instruction total'!F:F,0))</f>
        <v>non</v>
      </c>
      <c r="C100" s="191" t="str">
        <f>'1_BD questio brut'!A100</f>
        <v>VRB0106</v>
      </c>
      <c r="D100" s="191" t="str">
        <f t="array" ref="D100">INDEX('Données 1_BD questio'!C:C,MATCH('1_BD questio brut'!$B$1&amp;'1_BD questio brut'!B100,'Données 1_BD questio'!A:A&amp;'Données 1_BD questio'!B:B,0))</f>
        <v>CAPV</v>
      </c>
      <c r="E100" s="191" t="str">
        <f t="array" ref="E100">INDEX('Données 1_BD questio'!C:C,MATCH('1_BD questio brut'!$C$1&amp;'1_BD questio brut'!C100,'Données 1_BD questio'!A:A&amp;'Données 1_BD questio'!B:B,0))</f>
        <v>Cadre</v>
      </c>
      <c r="F100" s="191" t="str">
        <f t="array" ref="F100">INDEX('Données 1_BD questio'!C:C,MATCH('1_BD questio brut'!$D$1&amp;'1_BD questio brut'!D100,'Données 1_BD questio'!A:A&amp;'Données 1_BD questio'!B:B,0))</f>
        <v>Cadre</v>
      </c>
      <c r="G100" s="191" t="str">
        <f>'1_BD questio brut'!E100</f>
        <v>35 à 49 ans</v>
      </c>
      <c r="H100" s="191">
        <f>'1_BD questio brut'!F100</f>
        <v>4</v>
      </c>
      <c r="I100" s="191" t="str">
        <f>'1_BD questio brut'!G100</f>
        <v>Pas de réponse</v>
      </c>
      <c r="J100" s="191" t="str">
        <f t="array" ref="J100">INDEX('Données 1_BD questio'!C:C,MATCH('1_BD questio brut'!$H$1&amp;'1_BD questio brut'!H100,'Données 1_BD questio'!A:A&amp;'Données 1_BD questio'!B:B,0))</f>
        <v>Maison avec jardin</v>
      </c>
      <c r="K100" s="191">
        <f>'1_BD questio brut'!I100</f>
        <v>250</v>
      </c>
      <c r="L100" s="191" t="str">
        <f>'1_BD questio brut'!J100</f>
        <v>1949-1975</v>
      </c>
      <c r="M100" s="191" t="str">
        <f>'1_BD questio brut'!K100</f>
        <v>1</v>
      </c>
      <c r="N100" s="191" t="str">
        <f>'1_BD questio brut'!L100</f>
        <v>Pas de réponse</v>
      </c>
      <c r="O100" s="191" t="str">
        <f>'1_BD questio brut'!M100</f>
        <v>Propriétaire occupant</v>
      </c>
      <c r="P100" s="191" t="str">
        <f>'1_BD questio brut'!N100</f>
        <v>Foyer ouvert</v>
      </c>
      <c r="Q100" s="191" t="str">
        <f>'1_BD questio brut'!O100</f>
        <v>Chauffage d'apoint</v>
      </c>
      <c r="R100" s="191" t="str">
        <f>'1_BD questio brut'!P100</f>
        <v>Tous les jours</v>
      </c>
      <c r="S100" s="191" t="str">
        <f>'1_BD questio brut'!Q100</f>
        <v>2</v>
      </c>
      <c r="T100" s="191" t="str">
        <f>'1_BD questio brut'!R100</f>
        <v>Avant 1990</v>
      </c>
      <c r="U100" s="191" t="str">
        <f>'1_BD questio brut'!S100</f>
        <v>Bois bûche</v>
      </c>
      <c r="V100" s="191" t="str">
        <f>'1_BD questio brut'!T100</f>
        <v/>
      </c>
      <c r="W100" s="191" t="str">
        <f>'1_BD questio brut'!U100</f>
        <v>6</v>
      </c>
      <c r="X100" s="191" t="str">
        <f>'1_BD questio brut'!V100</f>
        <v>stères</v>
      </c>
      <c r="Y100" s="191" t="str">
        <f>'1_BD questio brut'!W100</f>
        <v>2</v>
      </c>
      <c r="Z100" s="191" t="str">
        <f>'1_BD questio brut'!X100</f>
        <v/>
      </c>
      <c r="AA100" s="191" t="str">
        <f t="array" ref="AA100">INDEX('Données 1_BD questio'!C:C,MATCH('1_BD questio brut'!$Y$1&amp;'1_BD questio brut'!Y100,'Données 1_BD questio'!A:A&amp;'Données 1_BD questio'!B:B,0))</f>
        <v>Rhône-Alpes hors RA2B</v>
      </c>
      <c r="AB100" s="191" t="str">
        <f>'1_BD questio brut'!Z100</f>
        <v>2</v>
      </c>
      <c r="AC100" s="191" t="str">
        <f>'1_BD questio brut'!AA100</f>
        <v>&gt; 2 ans</v>
      </c>
      <c r="AD100" s="191" t="str">
        <f>'1_BD questio brut'!AB100</f>
        <v>Feuillus</v>
      </c>
      <c r="AE100" s="191" t="e">
        <f t="array" ref="AE100">INDEX('Données 1_BD questio'!C:C,MATCH('1_BD questio brut'!$AC$1&amp;'1_BD questio brut'!AC100,'Données 1_BD questio'!A:A&amp;'Données 1_BD questio'!B:B,0))</f>
        <v>#N/A</v>
      </c>
      <c r="AF100" s="191" t="str">
        <f>'1_BD questio brut'!AD100</f>
        <v>2 fois par an</v>
      </c>
      <c r="AG100" s="191" t="str">
        <f>'1_BD questio brut'!AE100</f>
        <v/>
      </c>
      <c r="AH100" s="191" t="str">
        <f>'1_BD questio brut'!AF100</f>
        <v>Poêle</v>
      </c>
      <c r="AI100" s="191" t="str">
        <f>'1_BD questio brut'!AG100</f>
        <v>1</v>
      </c>
      <c r="AJ100" s="191" t="str">
        <f>'1_BD questio brut'!AH100</f>
        <v/>
      </c>
      <c r="AK100" s="191" t="str">
        <f>'1_BD questio brut'!AI100</f>
        <v>Chauffage de base</v>
      </c>
      <c r="AL100" s="191" t="str">
        <f>'1_BD questio brut'!AJ100</f>
        <v>Pas de réponse</v>
      </c>
      <c r="AM100" s="191" t="str">
        <f>'1_BD questio brut'!AK100</f>
        <v>1; 2; 4; 5</v>
      </c>
      <c r="AN100" s="191" t="str">
        <f>'1_BD questio brut'!AL100</f>
        <v/>
      </c>
      <c r="AO100" s="191" t="str">
        <f>'1_BD questio brut'!AM100</f>
        <v>5; 7</v>
      </c>
      <c r="AP100" s="191" t="str">
        <f>'1_BD questio brut'!AN100</f>
        <v/>
      </c>
      <c r="AQ100" s="191" t="str">
        <f>'1_BD questio brut'!AO100</f>
        <v/>
      </c>
    </row>
    <row r="101" spans="1:43" ht="43.5" hidden="1">
      <c r="A101" s="98">
        <f>INDEX('3_BD instruction total'!A:A,MATCH(C101,'3_BD instruction total'!F:F,0))</f>
        <v>2021</v>
      </c>
      <c r="B101" s="98" t="str">
        <f>INDEX('3_BD instruction total'!C:C,MATCH(C101,'3_BD instruction total'!F:F,0))</f>
        <v>non</v>
      </c>
      <c r="C101" s="191" t="str">
        <f>'1_BD questio brut'!A101</f>
        <v>VRB0107</v>
      </c>
      <c r="D101" s="191" t="str">
        <f t="array" ref="D101">INDEX('Données 1_BD questio'!C:C,MATCH('1_BD questio brut'!$B$1&amp;'1_BD questio brut'!B101,'Données 1_BD questio'!A:A&amp;'Données 1_BD questio'!B:B,0))</f>
        <v>CAPV</v>
      </c>
      <c r="E101" s="191" t="str">
        <f t="array" ref="E101">INDEX('Données 1_BD questio'!C:C,MATCH('1_BD questio brut'!$C$1&amp;'1_BD questio brut'!C101,'Données 1_BD questio'!A:A&amp;'Données 1_BD questio'!B:B,0))</f>
        <v>Cadre</v>
      </c>
      <c r="F101" s="191" t="str">
        <f t="array" ref="F101">INDEX('Données 1_BD questio'!C:C,MATCH('1_BD questio brut'!$D$1&amp;'1_BD questio brut'!D101,'Données 1_BD questio'!A:A&amp;'Données 1_BD questio'!B:B,0))</f>
        <v>Employé</v>
      </c>
      <c r="G101" s="191" t="str">
        <f>'1_BD questio brut'!E101</f>
        <v>50 à 64 ans</v>
      </c>
      <c r="H101" s="191">
        <f>'1_BD questio brut'!F101</f>
        <v>4</v>
      </c>
      <c r="I101" s="191" t="str">
        <f>'1_BD questio brut'!G101</f>
        <v>Pas de réponse</v>
      </c>
      <c r="J101" s="191" t="str">
        <f t="array" ref="J101">INDEX('Données 1_BD questio'!C:C,MATCH('1_BD questio brut'!$H$1&amp;'1_BD questio brut'!H101,'Données 1_BD questio'!A:A&amp;'Données 1_BD questio'!B:B,0))</f>
        <v>Maison avec jardin</v>
      </c>
      <c r="K101" s="191">
        <f>'1_BD questio brut'!I101</f>
        <v>150</v>
      </c>
      <c r="L101" s="191" t="str">
        <f>'1_BD questio brut'!J101</f>
        <v>1975-1990</v>
      </c>
      <c r="M101" s="191" t="str">
        <f>'1_BD questio brut'!K101</f>
        <v>4</v>
      </c>
      <c r="N101" s="191" t="str">
        <f>'1_BD questio brut'!L101</f>
        <v>Ne sait pas</v>
      </c>
      <c r="O101" s="191" t="str">
        <f>'1_BD questio brut'!M101</f>
        <v>Propriétaire occupant</v>
      </c>
      <c r="P101" s="191" t="str">
        <f>'1_BD questio brut'!N101</f>
        <v>Foyer ouvert</v>
      </c>
      <c r="Q101" s="191" t="str">
        <f>'1_BD questio brut'!O101</f>
        <v>Chauffage d'apoint</v>
      </c>
      <c r="R101" s="191" t="str">
        <f>'1_BD questio brut'!P101</f>
        <v>3 à 4 jours/semaine</v>
      </c>
      <c r="S101" s="191" t="str">
        <f>'1_BD questio brut'!Q101</f>
        <v>2; 4; 6</v>
      </c>
      <c r="T101" s="191" t="str">
        <f>'1_BD questio brut'!R101</f>
        <v>1990-1995</v>
      </c>
      <c r="U101" s="191" t="str">
        <f>'1_BD questio brut'!S101</f>
        <v>Bois bûche</v>
      </c>
      <c r="V101" s="191" t="str">
        <f>'1_BD questio brut'!T101</f>
        <v/>
      </c>
      <c r="W101" s="191" t="str">
        <f>'1_BD questio brut'!U101</f>
        <v>5</v>
      </c>
      <c r="X101" s="191" t="str">
        <f>'1_BD questio brut'!V101</f>
        <v>stères</v>
      </c>
      <c r="Y101" s="191" t="str">
        <f>'1_BD questio brut'!W101</f>
        <v>2</v>
      </c>
      <c r="Z101" s="191" t="str">
        <f>'1_BD questio brut'!X101</f>
        <v/>
      </c>
      <c r="AA101" s="191" t="str">
        <f t="array" ref="AA101">INDEX('Données 1_BD questio'!C:C,MATCH('1_BD questio brut'!$Y$1&amp;'1_BD questio brut'!Y101,'Données 1_BD questio'!A:A&amp;'Données 1_BD questio'!B:B,0))</f>
        <v>Rhône-Alpes hors RA2B</v>
      </c>
      <c r="AB101" s="191" t="str">
        <f>'1_BD questio brut'!Z101</f>
        <v>2</v>
      </c>
      <c r="AC101" s="191" t="str">
        <f>'1_BD questio brut'!AA101</f>
        <v>1 à 2 ans</v>
      </c>
      <c r="AD101" s="191" t="str">
        <f>'1_BD questio brut'!AB101</f>
        <v>Les deux</v>
      </c>
      <c r="AE101" s="191" t="str">
        <f t="array" ref="AE101">INDEX('Données 1_BD questio'!C:C,MATCH('1_BD questio brut'!$AC$1&amp;'1_BD questio brut'!AC101,'Données 1_BD questio'!A:A&amp;'Données 1_BD questio'!B:B,0))</f>
        <v>un professionnel</v>
      </c>
      <c r="AF101" s="191" t="str">
        <f>'1_BD questio brut'!AD101</f>
        <v>1 fois par an</v>
      </c>
      <c r="AG101" s="191" t="str">
        <f>'1_BD questio brut'!AE101</f>
        <v/>
      </c>
      <c r="AH101" s="191" t="str">
        <f>'1_BD questio brut'!AF101</f>
        <v>Poêle</v>
      </c>
      <c r="AI101" s="191" t="str">
        <f>'1_BD questio brut'!AG101</f>
        <v>2</v>
      </c>
      <c r="AJ101" s="191" t="str">
        <f>'1_BD questio brut'!AH101</f>
        <v/>
      </c>
      <c r="AK101" s="191" t="str">
        <f>'1_BD questio brut'!AI101</f>
        <v>Chauffage de base</v>
      </c>
      <c r="AL101" s="191" t="str">
        <f>'1_BD questio brut'!AJ101</f>
        <v>Pas de réponse</v>
      </c>
      <c r="AM101" s="191" t="str">
        <f>'1_BD questio brut'!AK101</f>
        <v>1; 4; 5</v>
      </c>
      <c r="AN101" s="191" t="str">
        <f>'1_BD questio brut'!AL101</f>
        <v/>
      </c>
      <c r="AO101" s="191" t="str">
        <f>'1_BD questio brut'!AM101</f>
        <v>7</v>
      </c>
      <c r="AP101" s="191" t="str">
        <f>'1_BD questio brut'!AN101</f>
        <v/>
      </c>
      <c r="AQ101" s="191" t="str">
        <f>'1_BD questio brut'!AO101</f>
        <v/>
      </c>
    </row>
    <row r="102" spans="1:43" ht="43.5" hidden="1">
      <c r="A102" s="98">
        <f>INDEX('3_BD instruction total'!A:A,MATCH(C102,'3_BD instruction total'!F:F,0))</f>
        <v>2021</v>
      </c>
      <c r="B102" s="98" t="str">
        <f>INDEX('3_BD instruction total'!C:C,MATCH(C102,'3_BD instruction total'!F:F,0))</f>
        <v>non</v>
      </c>
      <c r="C102" s="191" t="str">
        <f>'1_BD questio brut'!A102</f>
        <v>VRB0108</v>
      </c>
      <c r="D102" s="191" t="str">
        <f t="array" ref="D102">INDEX('Données 1_BD questio'!C:C,MATCH('1_BD questio brut'!$B$1&amp;'1_BD questio brut'!B102,'Données 1_BD questio'!A:A&amp;'Données 1_BD questio'!B:B,0))</f>
        <v>CAPV</v>
      </c>
      <c r="E102" s="191" t="str">
        <f t="array" ref="E102">INDEX('Données 1_BD questio'!C:C,MATCH('1_BD questio brut'!$C$1&amp;'1_BD questio brut'!C102,'Données 1_BD questio'!A:A&amp;'Données 1_BD questio'!B:B,0))</f>
        <v>Employé</v>
      </c>
      <c r="F102" s="191" t="str">
        <f t="array" ref="F102">INDEX('Données 1_BD questio'!C:C,MATCH('1_BD questio brut'!$D$1&amp;'1_BD questio brut'!D102,'Données 1_BD questio'!A:A&amp;'Données 1_BD questio'!B:B,0))</f>
        <v>Employé</v>
      </c>
      <c r="G102" s="191" t="str">
        <f>'1_BD questio brut'!E102</f>
        <v>50 à 64 ans</v>
      </c>
      <c r="H102" s="191">
        <f>'1_BD questio brut'!F102</f>
        <v>2</v>
      </c>
      <c r="I102" s="191" t="str">
        <f>'1_BD questio brut'!G102</f>
        <v>Pas de réponse</v>
      </c>
      <c r="J102" s="191" t="str">
        <f t="array" ref="J102">INDEX('Données 1_BD questio'!C:C,MATCH('1_BD questio brut'!$H$1&amp;'1_BD questio brut'!H102,'Données 1_BD questio'!A:A&amp;'Données 1_BD questio'!B:B,0))</f>
        <v>Maison avec jardin</v>
      </c>
      <c r="K102" s="191">
        <f>'1_BD questio brut'!I102</f>
        <v>130</v>
      </c>
      <c r="L102" s="191" t="str">
        <f>'1_BD questio brut'!J102</f>
        <v>1990-2005</v>
      </c>
      <c r="M102" s="191" t="str">
        <f>'1_BD questio brut'!K102</f>
        <v>5</v>
      </c>
      <c r="N102" s="191" t="str">
        <f>'1_BD questio brut'!L102</f>
        <v>Ne sait pas</v>
      </c>
      <c r="O102" s="191" t="str">
        <f>'1_BD questio brut'!M102</f>
        <v>Propriétaire occupant</v>
      </c>
      <c r="P102" s="191" t="str">
        <f>'1_BD questio brut'!N102</f>
        <v>Foyer ouvert</v>
      </c>
      <c r="Q102" s="191" t="str">
        <f>'1_BD questio brut'!O102</f>
        <v>Chauffage d'apoint</v>
      </c>
      <c r="R102" s="191" t="str">
        <f>'1_BD questio brut'!P102</f>
        <v>1 à 2 jours/semaine</v>
      </c>
      <c r="S102" s="191" t="str">
        <f>'1_BD questio brut'!Q102</f>
        <v>2</v>
      </c>
      <c r="T102" s="191" t="str">
        <f>'1_BD questio brut'!R102</f>
        <v>1996-2002</v>
      </c>
      <c r="U102" s="191" t="str">
        <f>'1_BD questio brut'!S102</f>
        <v>Bois bûche</v>
      </c>
      <c r="V102" s="191" t="str">
        <f>'1_BD questio brut'!T102</f>
        <v/>
      </c>
      <c r="W102" s="191" t="str">
        <f>'1_BD questio brut'!U102</f>
        <v>3</v>
      </c>
      <c r="X102" s="191" t="str">
        <f>'1_BD questio brut'!V102</f>
        <v>stères</v>
      </c>
      <c r="Y102" s="191" t="str">
        <f>'1_BD questio brut'!W102</f>
        <v>2</v>
      </c>
      <c r="Z102" s="191" t="str">
        <f>'1_BD questio brut'!X102</f>
        <v/>
      </c>
      <c r="AA102" s="191" t="str">
        <f t="array" ref="AA102">INDEX('Données 1_BD questio'!C:C,MATCH('1_BD questio brut'!$Y$1&amp;'1_BD questio brut'!Y102,'Données 1_BD questio'!A:A&amp;'Données 1_BD questio'!B:B,0))</f>
        <v>Ne sait pas</v>
      </c>
      <c r="AB102" s="191" t="str">
        <f>'1_BD questio brut'!Z102</f>
        <v>2</v>
      </c>
      <c r="AC102" s="191" t="str">
        <f>'1_BD questio brut'!AA102</f>
        <v>1 à 2 ans</v>
      </c>
      <c r="AD102" s="191" t="str">
        <f>'1_BD questio brut'!AB102</f>
        <v>Feuillus</v>
      </c>
      <c r="AE102" s="191" t="str">
        <f t="array" ref="AE102">INDEX('Données 1_BD questio'!C:C,MATCH('1_BD questio brut'!$AC$1&amp;'1_BD questio brut'!AC102,'Données 1_BD questio'!A:A&amp;'Données 1_BD questio'!B:B,0))</f>
        <v>un professionnel</v>
      </c>
      <c r="AF102" s="191" t="str">
        <f>'1_BD questio brut'!AD102</f>
        <v>1 fois tous les 2 ans</v>
      </c>
      <c r="AG102" s="191" t="str">
        <f>'1_BD questio brut'!AE102</f>
        <v/>
      </c>
      <c r="AH102" s="191" t="str">
        <f>'1_BD questio brut'!AF102</f>
        <v>Poêle</v>
      </c>
      <c r="AI102" s="191" t="str">
        <f>'1_BD questio brut'!AG102</f>
        <v>2</v>
      </c>
      <c r="AJ102" s="191" t="str">
        <f>'1_BD questio brut'!AH102</f>
        <v/>
      </c>
      <c r="AK102" s="191" t="str">
        <f>'1_BD questio brut'!AI102</f>
        <v>Chauffage d'appoint</v>
      </c>
      <c r="AL102" s="191" t="str">
        <f>'1_BD questio brut'!AJ102</f>
        <v>Pas de réponse</v>
      </c>
      <c r="AM102" s="191" t="str">
        <f>'1_BD questio brut'!AK102</f>
        <v>2; 5</v>
      </c>
      <c r="AN102" s="191" t="str">
        <f>'1_BD questio brut'!AL102</f>
        <v/>
      </c>
      <c r="AO102" s="191" t="str">
        <f>'1_BD questio brut'!AM102</f>
        <v>5</v>
      </c>
      <c r="AP102" s="191" t="str">
        <f>'1_BD questio brut'!AN102</f>
        <v/>
      </c>
      <c r="AQ102" s="191" t="str">
        <f>'1_BD questio brut'!AO102</f>
        <v/>
      </c>
    </row>
    <row r="103" spans="1:43" ht="43.5" hidden="1">
      <c r="A103" s="98">
        <f>INDEX('3_BD instruction total'!A:A,MATCH(C103,'3_BD instruction total'!F:F,0))</f>
        <v>2021</v>
      </c>
      <c r="B103" s="98" t="str">
        <f>INDEX('3_BD instruction total'!C:C,MATCH(C103,'3_BD instruction total'!F:F,0))</f>
        <v>non</v>
      </c>
      <c r="C103" s="191" t="str">
        <f>'1_BD questio brut'!A103</f>
        <v>VRB0109</v>
      </c>
      <c r="D103" s="191" t="str">
        <f t="array" ref="D103">INDEX('Données 1_BD questio'!C:C,MATCH('1_BD questio brut'!$B$1&amp;'1_BD questio brut'!B103,'Données 1_BD questio'!A:A&amp;'Données 1_BD questio'!B:B,0))</f>
        <v>CAPV</v>
      </c>
      <c r="E103" s="191" t="str">
        <f t="array" ref="E103">INDEX('Données 1_BD questio'!C:C,MATCH('1_BD questio brut'!$C$1&amp;'1_BD questio brut'!C103,'Données 1_BD questio'!A:A&amp;'Données 1_BD questio'!B:B,0))</f>
        <v>Cadre</v>
      </c>
      <c r="F103" s="191" t="str">
        <f t="array" ref="F103">INDEX('Données 1_BD questio'!C:C,MATCH('1_BD questio brut'!$D$1&amp;'1_BD questio brut'!D103,'Données 1_BD questio'!A:A&amp;'Données 1_BD questio'!B:B,0))</f>
        <v>Employé</v>
      </c>
      <c r="G103" s="191" t="str">
        <f>'1_BD questio brut'!E103</f>
        <v>25 à 34 ans</v>
      </c>
      <c r="H103" s="191">
        <f>'1_BD questio brut'!F103</f>
        <v>51</v>
      </c>
      <c r="I103" s="191" t="str">
        <f>'1_BD questio brut'!G103</f>
        <v>Pas de réponse</v>
      </c>
      <c r="J103" s="191" t="str">
        <f t="array" ref="J103">INDEX('Données 1_BD questio'!C:C,MATCH('1_BD questio brut'!$H$1&amp;'1_BD questio brut'!H103,'Données 1_BD questio'!A:A&amp;'Données 1_BD questio'!B:B,0))</f>
        <v>Maison avec jardin</v>
      </c>
      <c r="K103" s="191">
        <f>'1_BD questio brut'!I103</f>
        <v>130</v>
      </c>
      <c r="L103" s="191" t="str">
        <f>'1_BD questio brut'!J103</f>
        <v>1975-1990</v>
      </c>
      <c r="M103" s="191" t="str">
        <f>'1_BD questio brut'!K103</f>
        <v>6</v>
      </c>
      <c r="N103" s="191" t="str">
        <f>'1_BD questio brut'!L103</f>
        <v>D</v>
      </c>
      <c r="O103" s="191" t="str">
        <f>'1_BD questio brut'!M103</f>
        <v>Propriétaire occupant</v>
      </c>
      <c r="P103" s="191" t="str">
        <f>'1_BD questio brut'!N103</f>
        <v>Insert / foyer fermé</v>
      </c>
      <c r="Q103" s="191" t="str">
        <f>'1_BD questio brut'!O103</f>
        <v>Chauffage de base</v>
      </c>
      <c r="R103" s="191" t="str">
        <f>'1_BD questio brut'!P103</f>
        <v>3 à 4 jours/semaine</v>
      </c>
      <c r="S103" s="191" t="str">
        <f>'1_BD questio brut'!Q103</f>
        <v>1; 2; 4</v>
      </c>
      <c r="T103" s="191" t="str">
        <f>'1_BD questio brut'!R103</f>
        <v>1996-2002</v>
      </c>
      <c r="U103" s="191" t="str">
        <f>'1_BD questio brut'!S103</f>
        <v>Bois bûche</v>
      </c>
      <c r="V103" s="191" t="str">
        <f>'1_BD questio brut'!T103</f>
        <v/>
      </c>
      <c r="W103" s="191" t="str">
        <f>'1_BD questio brut'!U103</f>
        <v/>
      </c>
      <c r="X103" s="191" t="str">
        <f>'1_BD questio brut'!V103</f>
        <v/>
      </c>
      <c r="Y103" s="191" t="str">
        <f>'1_BD questio brut'!W103</f>
        <v>5</v>
      </c>
      <c r="Z103" s="191" t="str">
        <f>'1_BD questio brut'!X103</f>
        <v/>
      </c>
      <c r="AA103" s="191" t="str">
        <f t="array" ref="AA103">INDEX('Données 1_BD questio'!C:C,MATCH('1_BD questio brut'!$Y$1&amp;'1_BD questio brut'!Y103,'Données 1_BD questio'!A:A&amp;'Données 1_BD questio'!B:B,0))</f>
        <v>Ne sait pas</v>
      </c>
      <c r="AB103" s="191" t="str">
        <f>'1_BD questio brut'!Z103</f>
        <v>2</v>
      </c>
      <c r="AC103" s="191" t="str">
        <f>'1_BD questio brut'!AA103</f>
        <v>Ne sait pas</v>
      </c>
      <c r="AD103" s="191" t="str">
        <f>'1_BD questio brut'!AB103</f>
        <v>Ne sait pas</v>
      </c>
      <c r="AE103" s="191" t="str">
        <f t="array" ref="AE103">INDEX('Données 1_BD questio'!C:C,MATCH('1_BD questio brut'!$AC$1&amp;'1_BD questio brut'!AC103,'Données 1_BD questio'!A:A&amp;'Données 1_BD questio'!B:B,0))</f>
        <v>un professionnel</v>
      </c>
      <c r="AF103" s="191" t="str">
        <f>'1_BD questio brut'!AD103</f>
        <v>1 fois par an</v>
      </c>
      <c r="AG103" s="191" t="str">
        <f>'1_BD questio brut'!AE103</f>
        <v/>
      </c>
      <c r="AH103" s="191" t="str">
        <f>'1_BD questio brut'!AF103</f>
        <v>Poêle</v>
      </c>
      <c r="AI103" s="191" t="str">
        <f>'1_BD questio brut'!AG103</f>
        <v>1</v>
      </c>
      <c r="AJ103" s="191" t="str">
        <f>'1_BD questio brut'!AH103</f>
        <v/>
      </c>
      <c r="AK103" s="191" t="str">
        <f>'1_BD questio brut'!AI103</f>
        <v>Chauffage de base</v>
      </c>
      <c r="AL103" s="191" t="str">
        <f>'1_BD questio brut'!AJ103</f>
        <v>Pas de réponse</v>
      </c>
      <c r="AM103" s="191" t="str">
        <f>'1_BD questio brut'!AK103</f>
        <v>2; 5</v>
      </c>
      <c r="AN103" s="191" t="str">
        <f>'1_BD questio brut'!AL103</f>
        <v/>
      </c>
      <c r="AO103" s="191" t="str">
        <f>'1_BD questio brut'!AM103</f>
        <v>5</v>
      </c>
      <c r="AP103" s="191" t="str">
        <f>'1_BD questio brut'!AN103</f>
        <v/>
      </c>
      <c r="AQ103" s="191" t="str">
        <f>'1_BD questio brut'!AO103</f>
        <v/>
      </c>
    </row>
    <row r="104" spans="1:43" ht="43.5" hidden="1">
      <c r="A104" s="98">
        <f>INDEX('3_BD instruction total'!A:A,MATCH(C104,'3_BD instruction total'!F:F,0))</f>
        <v>2021</v>
      </c>
      <c r="B104" s="98" t="str">
        <f>INDEX('3_BD instruction total'!C:C,MATCH(C104,'3_BD instruction total'!F:F,0))</f>
        <v>non</v>
      </c>
      <c r="C104" s="191" t="str">
        <f>'1_BD questio brut'!A104</f>
        <v>VRB0110</v>
      </c>
      <c r="D104" s="191" t="str">
        <f t="array" ref="D104">INDEX('Données 1_BD questio'!C:C,MATCH('1_BD questio brut'!$B$1&amp;'1_BD questio brut'!B104,'Données 1_BD questio'!A:A&amp;'Données 1_BD questio'!B:B,0))</f>
        <v>CAPV</v>
      </c>
      <c r="E104" s="191" t="str">
        <f t="array" ref="E104">INDEX('Données 1_BD questio'!C:C,MATCH('1_BD questio brut'!$C$1&amp;'1_BD questio brut'!C104,'Données 1_BD questio'!A:A&amp;'Données 1_BD questio'!B:B,0))</f>
        <v>Cadre</v>
      </c>
      <c r="F104" s="191" t="str">
        <f t="array" ref="F104">INDEX('Données 1_BD questio'!C:C,MATCH('1_BD questio brut'!$D$1&amp;'1_BD questio brut'!D104,'Données 1_BD questio'!A:A&amp;'Données 1_BD questio'!B:B,0))</f>
        <v>Pas de réponse</v>
      </c>
      <c r="G104" s="191" t="str">
        <f>'1_BD questio brut'!E104</f>
        <v>35 à 49 ans</v>
      </c>
      <c r="H104" s="191">
        <f>'1_BD questio brut'!F104</f>
        <v>1</v>
      </c>
      <c r="I104" s="191" t="str">
        <f>'1_BD questio brut'!G104</f>
        <v>Pas de réponse</v>
      </c>
      <c r="J104" s="191" t="str">
        <f t="array" ref="J104">INDEX('Données 1_BD questio'!C:C,MATCH('1_BD questio brut'!$H$1&amp;'1_BD questio brut'!H104,'Données 1_BD questio'!A:A&amp;'Données 1_BD questio'!B:B,0))</f>
        <v>Maison avec jardin</v>
      </c>
      <c r="K104" s="191">
        <f>'1_BD questio brut'!I104</f>
        <v>110</v>
      </c>
      <c r="L104" s="191" t="str">
        <f>'1_BD questio brut'!J104</f>
        <v>1975-1990</v>
      </c>
      <c r="M104" s="191" t="str">
        <f>'1_BD questio brut'!K104</f>
        <v>7</v>
      </c>
      <c r="N104" s="191" t="str">
        <f>'1_BD questio brut'!L104</f>
        <v>Pas de réponse</v>
      </c>
      <c r="O104" s="191" t="str">
        <f>'1_BD questio brut'!M104</f>
        <v>Propriétaire occupant</v>
      </c>
      <c r="P104" s="191" t="str">
        <f>'1_BD questio brut'!N104</f>
        <v>Insert / foyer fermé</v>
      </c>
      <c r="Q104" s="191" t="str">
        <f>'1_BD questio brut'!O104</f>
        <v>Chauffage d'apoint</v>
      </c>
      <c r="R104" s="191" t="str">
        <f>'1_BD questio brut'!P104</f>
        <v>1 à 2 jours/semaine</v>
      </c>
      <c r="S104" s="191" t="str">
        <f>'1_BD questio brut'!Q104</f>
        <v>2</v>
      </c>
      <c r="T104" s="191" t="str">
        <f>'1_BD questio brut'!R104</f>
        <v>Avant 1990</v>
      </c>
      <c r="U104" s="191" t="str">
        <f>'1_BD questio brut'!S104</f>
        <v>Bois bûche</v>
      </c>
      <c r="V104" s="191" t="str">
        <f>'1_BD questio brut'!T104</f>
        <v/>
      </c>
      <c r="W104" s="191" t="str">
        <f>'1_BD questio brut'!U104</f>
        <v>2</v>
      </c>
      <c r="X104" s="191" t="str">
        <f>'1_BD questio brut'!V104</f>
        <v>stères</v>
      </c>
      <c r="Y104" s="191" t="str">
        <f>'1_BD questio brut'!W104</f>
        <v>2</v>
      </c>
      <c r="Z104" s="191" t="str">
        <f>'1_BD questio brut'!X104</f>
        <v/>
      </c>
      <c r="AA104" s="191" t="str">
        <f t="array" ref="AA104">INDEX('Données 1_BD questio'!C:C,MATCH('1_BD questio brut'!$Y$1&amp;'1_BD questio brut'!Y104,'Données 1_BD questio'!A:A&amp;'Données 1_BD questio'!B:B,0))</f>
        <v>Ne sait pas</v>
      </c>
      <c r="AB104" s="191" t="str">
        <f>'1_BD questio brut'!Z104</f>
        <v>2</v>
      </c>
      <c r="AC104" s="191" t="str">
        <f>'1_BD questio brut'!AA104</f>
        <v>1 à 2 ans</v>
      </c>
      <c r="AD104" s="191" t="str">
        <f>'1_BD questio brut'!AB104</f>
        <v>Feuillus</v>
      </c>
      <c r="AE104" s="191" t="str">
        <f t="array" ref="AE104">INDEX('Données 1_BD questio'!C:C,MATCH('1_BD questio brut'!$AC$1&amp;'1_BD questio brut'!AC104,'Données 1_BD questio'!A:A&amp;'Données 1_BD questio'!B:B,0))</f>
        <v>un professionnel</v>
      </c>
      <c r="AF104" s="191" t="str">
        <f>'1_BD questio brut'!AD104</f>
        <v>1 fois par an</v>
      </c>
      <c r="AG104" s="191" t="str">
        <f>'1_BD questio brut'!AE104</f>
        <v/>
      </c>
      <c r="AH104" s="191" t="str">
        <f>'1_BD questio brut'!AF104</f>
        <v>Poêle</v>
      </c>
      <c r="AI104" s="191" t="str">
        <f>'1_BD questio brut'!AG104</f>
        <v>1</v>
      </c>
      <c r="AJ104" s="191" t="str">
        <f>'1_BD questio brut'!AH104</f>
        <v/>
      </c>
      <c r="AK104" s="191" t="str">
        <f>'1_BD questio brut'!AI104</f>
        <v>Chauffage d'appoint</v>
      </c>
      <c r="AL104" s="191" t="str">
        <f>'1_BD questio brut'!AJ104</f>
        <v>Pas de réponse</v>
      </c>
      <c r="AM104" s="191" t="str">
        <f>'1_BD questio brut'!AK104</f>
        <v>2</v>
      </c>
      <c r="AN104" s="191" t="str">
        <f>'1_BD questio brut'!AL104</f>
        <v/>
      </c>
      <c r="AO104" s="191" t="str">
        <f>'1_BD questio brut'!AM104</f>
        <v>7</v>
      </c>
      <c r="AP104" s="191" t="str">
        <f>'1_BD questio brut'!AN104</f>
        <v/>
      </c>
      <c r="AQ104" s="191" t="str">
        <f>'1_BD questio brut'!AO104</f>
        <v/>
      </c>
    </row>
    <row r="105" spans="1:43" ht="43.5" hidden="1">
      <c r="A105" s="98" t="e">
        <f>INDEX('3_BD instruction total'!A:A,MATCH(C105,'3_BD instruction total'!F:F,0))</f>
        <v>#VALUE!</v>
      </c>
      <c r="B105" s="98" t="str">
        <f>INDEX('3_BD instruction total'!C:C,MATCH(C105,'3_BD instruction total'!F:F,0))</f>
        <v>oui</v>
      </c>
      <c r="C105" s="191" t="str">
        <f>'1_BD questio brut'!A105</f>
        <v>VRB0111</v>
      </c>
      <c r="D105" s="191" t="str">
        <f t="array" ref="D105">INDEX('Données 1_BD questio'!C:C,MATCH('1_BD questio brut'!$B$1&amp;'1_BD questio brut'!B105,'Données 1_BD questio'!A:A&amp;'Données 1_BD questio'!B:B,0))</f>
        <v>CAPV</v>
      </c>
      <c r="E105" s="191" t="str">
        <f t="array" ref="E105">INDEX('Données 1_BD questio'!C:C,MATCH('1_BD questio brut'!$C$1&amp;'1_BD questio brut'!C105,'Données 1_BD questio'!A:A&amp;'Données 1_BD questio'!B:B,0))</f>
        <v>Cadre</v>
      </c>
      <c r="F105" s="191" t="str">
        <f t="array" ref="F105">INDEX('Données 1_BD questio'!C:C,MATCH('1_BD questio brut'!$D$1&amp;'1_BD questio brut'!D105,'Données 1_BD questio'!A:A&amp;'Données 1_BD questio'!B:B,0))</f>
        <v>Cadre</v>
      </c>
      <c r="G105" s="191" t="str">
        <f>'1_BD questio brut'!E105</f>
        <v>50 à 64 ans</v>
      </c>
      <c r="H105" s="191">
        <f>'1_BD questio brut'!F105</f>
        <v>5</v>
      </c>
      <c r="I105" s="191" t="str">
        <f>'1_BD questio brut'!G105</f>
        <v>Pas de réponse</v>
      </c>
      <c r="J105" s="191" t="str">
        <f t="array" ref="J105">INDEX('Données 1_BD questio'!C:C,MATCH('1_BD questio brut'!$H$1&amp;'1_BD questio brut'!H105,'Données 1_BD questio'!A:A&amp;'Données 1_BD questio'!B:B,0))</f>
        <v>Maison avec jardin</v>
      </c>
      <c r="K105" s="191">
        <f>'1_BD questio brut'!I105</f>
        <v>150</v>
      </c>
      <c r="L105" s="191" t="str">
        <f>'1_BD questio brut'!J105</f>
        <v>1975-1990</v>
      </c>
      <c r="M105" s="191" t="str">
        <f>'1_BD questio brut'!K105</f>
        <v>6</v>
      </c>
      <c r="N105" s="191" t="str">
        <f>'1_BD questio brut'!L105</f>
        <v>Ne sait pas</v>
      </c>
      <c r="O105" s="191" t="str">
        <f>'1_BD questio brut'!M105</f>
        <v>Propriétaire occupant</v>
      </c>
      <c r="P105" s="191" t="str">
        <f>'1_BD questio brut'!N105</f>
        <v>Poêle</v>
      </c>
      <c r="Q105" s="191" t="str">
        <f>'1_BD questio brut'!O105</f>
        <v>Chauffage d'apoint</v>
      </c>
      <c r="R105" s="191" t="str">
        <f>'1_BD questio brut'!P105</f>
        <v>3 à 4 jours/semaine</v>
      </c>
      <c r="S105" s="191" t="str">
        <f>'1_BD questio brut'!Q105</f>
        <v>2; 3</v>
      </c>
      <c r="T105" s="191" t="str">
        <f>'1_BD questio brut'!R105</f>
        <v>Avant 1990</v>
      </c>
      <c r="U105" s="191" t="str">
        <f>'1_BD questio brut'!S105</f>
        <v>Bois bûche</v>
      </c>
      <c r="V105" s="191" t="str">
        <f>'1_BD questio brut'!T105</f>
        <v/>
      </c>
      <c r="W105" s="191" t="str">
        <f>'1_BD questio brut'!U105</f>
        <v>3</v>
      </c>
      <c r="X105" s="191" t="str">
        <f>'1_BD questio brut'!V105</f>
        <v>stères</v>
      </c>
      <c r="Y105" s="191" t="str">
        <f>'1_BD questio brut'!W105</f>
        <v>2</v>
      </c>
      <c r="Z105" s="191" t="str">
        <f>'1_BD questio brut'!X105</f>
        <v/>
      </c>
      <c r="AA105" s="191" t="str">
        <f t="array" ref="AA105">INDEX('Données 1_BD questio'!C:C,MATCH('1_BD questio brut'!$Y$1&amp;'1_BD questio brut'!Y105,'Données 1_BD questio'!A:A&amp;'Données 1_BD questio'!B:B,0))</f>
        <v>RA2B</v>
      </c>
      <c r="AB105" s="191" t="str">
        <f>'1_BD questio brut'!Z105</f>
        <v>2</v>
      </c>
      <c r="AC105" s="191" t="str">
        <f>'1_BD questio brut'!AA105</f>
        <v>&gt; 2 ans</v>
      </c>
      <c r="AD105" s="191" t="str">
        <f>'1_BD questio brut'!AB105</f>
        <v>Les deux</v>
      </c>
      <c r="AE105" s="191" t="str">
        <f t="array" ref="AE105">INDEX('Données 1_BD questio'!C:C,MATCH('1_BD questio brut'!$AC$1&amp;'1_BD questio brut'!AC105,'Données 1_BD questio'!A:A&amp;'Données 1_BD questio'!B:B,0))</f>
        <v>vous-même</v>
      </c>
      <c r="AF105" s="191" t="str">
        <f>'1_BD questio brut'!AD105</f>
        <v>2 fois par an</v>
      </c>
      <c r="AG105" s="191" t="str">
        <f>'1_BD questio brut'!AE105</f>
        <v/>
      </c>
      <c r="AH105" s="191" t="str">
        <f>'1_BD questio brut'!AF105</f>
        <v>Poêle</v>
      </c>
      <c r="AI105" s="191" t="str">
        <f>'1_BD questio brut'!AG105</f>
        <v>1</v>
      </c>
      <c r="AJ105" s="191" t="str">
        <f>'1_BD questio brut'!AH105</f>
        <v/>
      </c>
      <c r="AK105" s="191" t="str">
        <f>'1_BD questio brut'!AI105</f>
        <v>Chauffage d'appoint</v>
      </c>
      <c r="AL105" s="191" t="str">
        <f>'1_BD questio brut'!AJ105</f>
        <v>Pas de réponse</v>
      </c>
      <c r="AM105" s="191" t="str">
        <f>'1_BD questio brut'!AK105</f>
        <v>2; 4; 5; 6</v>
      </c>
      <c r="AN105" s="191" t="str">
        <f>'1_BD questio brut'!AL105</f>
        <v>sécurité</v>
      </c>
      <c r="AO105" s="191" t="str">
        <f>'1_BD questio brut'!AM105</f>
        <v>1; 5</v>
      </c>
      <c r="AP105" s="191" t="str">
        <f>'1_BD questio brut'!AN105</f>
        <v/>
      </c>
      <c r="AQ105" s="191" t="str">
        <f>'1_BD questio brut'!AO105</f>
        <v/>
      </c>
    </row>
    <row r="106" spans="1:43" ht="43.5" hidden="1">
      <c r="A106" s="98">
        <f>INDEX('3_BD instruction total'!A:A,MATCH(C106,'3_BD instruction total'!F:F,0))</f>
        <v>2021</v>
      </c>
      <c r="B106" s="98" t="str">
        <f>INDEX('3_BD instruction total'!C:C,MATCH(C106,'3_BD instruction total'!F:F,0))</f>
        <v>non</v>
      </c>
      <c r="C106" s="191" t="str">
        <f>'1_BD questio brut'!A106</f>
        <v>VRB0112</v>
      </c>
      <c r="D106" s="191" t="str">
        <f t="array" ref="D106">INDEX('Données 1_BD questio'!C:C,MATCH('1_BD questio brut'!$B$1&amp;'1_BD questio brut'!B106,'Données 1_BD questio'!A:A&amp;'Données 1_BD questio'!B:B,0))</f>
        <v>CAPV</v>
      </c>
      <c r="E106" s="191" t="str">
        <f t="array" ref="E106">INDEX('Données 1_BD questio'!C:C,MATCH('1_BD questio brut'!$C$1&amp;'1_BD questio brut'!C106,'Données 1_BD questio'!A:A&amp;'Données 1_BD questio'!B:B,0))</f>
        <v>Ouvrier</v>
      </c>
      <c r="F106" s="191" t="str">
        <f t="array" ref="F106">INDEX('Données 1_BD questio'!C:C,MATCH('1_BD questio brut'!$D$1&amp;'1_BD questio brut'!D106,'Données 1_BD questio'!A:A&amp;'Données 1_BD questio'!B:B,0))</f>
        <v>Employé</v>
      </c>
      <c r="G106" s="191" t="str">
        <f>'1_BD questio brut'!E106</f>
        <v>35 à 49 ans</v>
      </c>
      <c r="H106" s="191">
        <f>'1_BD questio brut'!F106</f>
        <v>4</v>
      </c>
      <c r="I106" s="191" t="str">
        <f>'1_BD questio brut'!G106</f>
        <v>Pas de réponse</v>
      </c>
      <c r="J106" s="191" t="str">
        <f t="array" ref="J106">INDEX('Données 1_BD questio'!C:C,MATCH('1_BD questio brut'!$H$1&amp;'1_BD questio brut'!H106,'Données 1_BD questio'!A:A&amp;'Données 1_BD questio'!B:B,0))</f>
        <v>Maison sans jardin</v>
      </c>
      <c r="K106" s="191">
        <f>'1_BD questio brut'!I106</f>
        <v>72</v>
      </c>
      <c r="L106" s="191" t="str">
        <f>'1_BD questio brut'!J106</f>
        <v>Avant 1949</v>
      </c>
      <c r="M106" s="191" t="str">
        <f>'1_BD questio brut'!K106</f>
        <v>4</v>
      </c>
      <c r="N106" s="191" t="str">
        <f>'1_BD questio brut'!L106</f>
        <v>Pas de réponse</v>
      </c>
      <c r="O106" s="191" t="str">
        <f>'1_BD questio brut'!M106</f>
        <v>Propriétaire occupant</v>
      </c>
      <c r="P106" s="191" t="str">
        <f>'1_BD questio brut'!N106</f>
        <v>Insert / foyer fermé</v>
      </c>
      <c r="Q106" s="191" t="str">
        <f>'1_BD questio brut'!O106</f>
        <v>Chauffage d'apoint</v>
      </c>
      <c r="R106" s="191" t="str">
        <f>'1_BD questio brut'!P106</f>
        <v>3 à 4 jours/semaine</v>
      </c>
      <c r="S106" s="191" t="str">
        <f>'1_BD questio brut'!Q106</f>
        <v>2</v>
      </c>
      <c r="T106" s="191" t="str">
        <f>'1_BD questio brut'!R106</f>
        <v>Avant 1990</v>
      </c>
      <c r="U106" s="191" t="str">
        <f>'1_BD questio brut'!S106</f>
        <v>Bois bûche</v>
      </c>
      <c r="V106" s="191" t="str">
        <f>'1_BD questio brut'!T106</f>
        <v/>
      </c>
      <c r="W106" s="191" t="str">
        <f>'1_BD questio brut'!U106</f>
        <v>8</v>
      </c>
      <c r="X106" s="191" t="str">
        <f>'1_BD questio brut'!V106</f>
        <v>stères</v>
      </c>
      <c r="Y106" s="191" t="str">
        <f>'1_BD questio brut'!W106</f>
        <v>2</v>
      </c>
      <c r="Z106" s="191" t="str">
        <f>'1_BD questio brut'!X106</f>
        <v/>
      </c>
      <c r="AA106" s="191" t="str">
        <f t="array" ref="AA106">INDEX('Données 1_BD questio'!C:C,MATCH('1_BD questio brut'!$Y$1&amp;'1_BD questio brut'!Y106,'Données 1_BD questio'!A:A&amp;'Données 1_BD questio'!B:B,0))</f>
        <v>France hors Rhône-Alpes</v>
      </c>
      <c r="AB106" s="191" t="str">
        <f>'1_BD questio brut'!Z106</f>
        <v>1</v>
      </c>
      <c r="AC106" s="191" t="str">
        <f>'1_BD questio brut'!AA106</f>
        <v>1 à 2 ans</v>
      </c>
      <c r="AD106" s="191" t="str">
        <f>'1_BD questio brut'!AB106</f>
        <v>Les deux</v>
      </c>
      <c r="AE106" s="191" t="str">
        <f t="array" ref="AE106">INDEX('Données 1_BD questio'!C:C,MATCH('1_BD questio brut'!$AC$1&amp;'1_BD questio brut'!AC106,'Données 1_BD questio'!A:A&amp;'Données 1_BD questio'!B:B,0))</f>
        <v>un professionnel</v>
      </c>
      <c r="AF106" s="191" t="str">
        <f>'1_BD questio brut'!AD106</f>
        <v>1 fois par an</v>
      </c>
      <c r="AG106" s="191" t="str">
        <f>'1_BD questio brut'!AE106</f>
        <v/>
      </c>
      <c r="AH106" s="191" t="str">
        <f>'1_BD questio brut'!AF106</f>
        <v>Poêle</v>
      </c>
      <c r="AI106" s="191" t="str">
        <f>'1_BD questio brut'!AG106</f>
        <v>2</v>
      </c>
      <c r="AJ106" s="191" t="str">
        <f>'1_BD questio brut'!AH106</f>
        <v/>
      </c>
      <c r="AK106" s="191" t="str">
        <f>'1_BD questio brut'!AI106</f>
        <v>Chauffage de base</v>
      </c>
      <c r="AL106" s="191" t="str">
        <f>'1_BD questio brut'!AJ106</f>
        <v>Pas de réponse</v>
      </c>
      <c r="AM106" s="191" t="str">
        <f>'1_BD questio brut'!AK106</f>
        <v>2; 3; 5</v>
      </c>
      <c r="AN106" s="191" t="str">
        <f>'1_BD questio brut'!AL106</f>
        <v/>
      </c>
      <c r="AO106" s="191" t="str">
        <f>'1_BD questio brut'!AM106</f>
        <v>12</v>
      </c>
      <c r="AP106" s="191" t="str">
        <f>'1_BD questio brut'!AN106</f>
        <v>facebook</v>
      </c>
      <c r="AQ106" s="191" t="str">
        <f>'1_BD questio brut'!AO106</f>
        <v/>
      </c>
    </row>
    <row r="107" spans="1:43" ht="29" hidden="1">
      <c r="A107" s="98">
        <f>INDEX('3_BD instruction total'!A:A,MATCH(C107,'3_BD instruction total'!F:F,0))</f>
        <v>2021</v>
      </c>
      <c r="B107" s="98" t="str">
        <f>INDEX('3_BD instruction total'!C:C,MATCH(C107,'3_BD instruction total'!F:F,0))</f>
        <v>non</v>
      </c>
      <c r="C107" s="191" t="str">
        <f>'1_BD questio brut'!A107</f>
        <v>VRB0113</v>
      </c>
      <c r="D107" s="191" t="str">
        <f t="array" ref="D107">INDEX('Données 1_BD questio'!C:C,MATCH('1_BD questio brut'!$B$1&amp;'1_BD questio brut'!B107,'Données 1_BD questio'!A:A&amp;'Données 1_BD questio'!B:B,0))</f>
        <v>CAPV</v>
      </c>
      <c r="E107" s="191" t="str">
        <f t="array" ref="E107">INDEX('Données 1_BD questio'!C:C,MATCH('1_BD questio brut'!$C$1&amp;'1_BD questio brut'!C107,'Données 1_BD questio'!A:A&amp;'Données 1_BD questio'!B:B,0))</f>
        <v>Profession intermédiaire</v>
      </c>
      <c r="F107" s="191" t="str">
        <f t="array" ref="F107">INDEX('Données 1_BD questio'!C:C,MATCH('1_BD questio brut'!$D$1&amp;'1_BD questio brut'!D107,'Données 1_BD questio'!A:A&amp;'Données 1_BD questio'!B:B,0))</f>
        <v>Retraité</v>
      </c>
      <c r="G107" s="191" t="str">
        <f>'1_BD questio brut'!E107</f>
        <v>50 à 64 ans</v>
      </c>
      <c r="H107" s="191">
        <f>'1_BD questio brut'!F107</f>
        <v>3</v>
      </c>
      <c r="I107" s="191" t="str">
        <f>'1_BD questio brut'!G107</f>
        <v>Pas de réponse</v>
      </c>
      <c r="J107" s="191" t="str">
        <f t="array" ref="J107">INDEX('Données 1_BD questio'!C:C,MATCH('1_BD questio brut'!$H$1&amp;'1_BD questio brut'!H107,'Données 1_BD questio'!A:A&amp;'Données 1_BD questio'!B:B,0))</f>
        <v>Maison avec jardin</v>
      </c>
      <c r="K107" s="191">
        <f>'1_BD questio brut'!I107</f>
        <v>140</v>
      </c>
      <c r="L107" s="191" t="str">
        <f>'1_BD questio brut'!J107</f>
        <v>1975-1990</v>
      </c>
      <c r="M107" s="191" t="str">
        <f>'1_BD questio brut'!K107</f>
        <v>4</v>
      </c>
      <c r="N107" s="191" t="str">
        <f>'1_BD questio brut'!L107</f>
        <v>Pas de réponse</v>
      </c>
      <c r="O107" s="191" t="str">
        <f>'1_BD questio brut'!M107</f>
        <v>Propriétaire occupant</v>
      </c>
      <c r="P107" s="191" t="str">
        <f>'1_BD questio brut'!N107</f>
        <v>Poêle</v>
      </c>
      <c r="Q107" s="191" t="str">
        <f>'1_BD questio brut'!O107</f>
        <v>Chauffage de base</v>
      </c>
      <c r="R107" s="191" t="str">
        <f>'1_BD questio brut'!P107</f>
        <v>Tous les jours</v>
      </c>
      <c r="S107" s="191" t="str">
        <f>'1_BD questio brut'!Q107</f>
        <v>4; 5</v>
      </c>
      <c r="T107" s="191" t="str">
        <f>'1_BD questio brut'!R107</f>
        <v>1990-1995</v>
      </c>
      <c r="U107" s="191" t="str">
        <f>'1_BD questio brut'!S107</f>
        <v>Bois bûche</v>
      </c>
      <c r="V107" s="191" t="str">
        <f>'1_BD questio brut'!T107</f>
        <v/>
      </c>
      <c r="W107" s="191" t="str">
        <f>'1_BD questio brut'!U107</f>
        <v>9</v>
      </c>
      <c r="X107" s="191" t="str">
        <f>'1_BD questio brut'!V107</f>
        <v>stères</v>
      </c>
      <c r="Y107" s="191" t="str">
        <f>'1_BD questio brut'!W107</f>
        <v>2</v>
      </c>
      <c r="Z107" s="191" t="str">
        <f>'1_BD questio brut'!X107</f>
        <v/>
      </c>
      <c r="AA107" s="191" t="str">
        <f t="array" ref="AA107">INDEX('Données 1_BD questio'!C:C,MATCH('1_BD questio brut'!$Y$1&amp;'1_BD questio brut'!Y107,'Données 1_BD questio'!A:A&amp;'Données 1_BD questio'!B:B,0))</f>
        <v>Rhône-Alpes hors RA2B</v>
      </c>
      <c r="AB107" s="191" t="str">
        <f>'1_BD questio brut'!Z107</f>
        <v>2</v>
      </c>
      <c r="AC107" s="191" t="str">
        <f>'1_BD questio brut'!AA107</f>
        <v>1 à 2 ans</v>
      </c>
      <c r="AD107" s="191" t="str">
        <f>'1_BD questio brut'!AB107</f>
        <v>Feuillus</v>
      </c>
      <c r="AE107" s="191" t="str">
        <f t="array" ref="AE107">INDEX('Données 1_BD questio'!C:C,MATCH('1_BD questio brut'!$AC$1&amp;'1_BD questio brut'!AC107,'Données 1_BD questio'!A:A&amp;'Données 1_BD questio'!B:B,0))</f>
        <v>vous-même</v>
      </c>
      <c r="AF107" s="191" t="str">
        <f>'1_BD questio brut'!AD107</f>
        <v>2 fois par an</v>
      </c>
      <c r="AG107" s="191" t="str">
        <f>'1_BD questio brut'!AE107</f>
        <v/>
      </c>
      <c r="AH107" s="191" t="str">
        <f>'1_BD questio brut'!AF107</f>
        <v>Poêle</v>
      </c>
      <c r="AI107" s="191" t="str">
        <f>'1_BD questio brut'!AG107</f>
        <v>2</v>
      </c>
      <c r="AJ107" s="191" t="str">
        <f>'1_BD questio brut'!AH107</f>
        <v/>
      </c>
      <c r="AK107" s="191" t="str">
        <f>'1_BD questio brut'!AI107</f>
        <v>Chauffage de base</v>
      </c>
      <c r="AL107" s="191" t="str">
        <f>'1_BD questio brut'!AJ107</f>
        <v>Pas de réponse</v>
      </c>
      <c r="AM107" s="191" t="str">
        <f>'1_BD questio brut'!AK107</f>
        <v>4; 5</v>
      </c>
      <c r="AN107" s="191" t="str">
        <f>'1_BD questio brut'!AL107</f>
        <v/>
      </c>
      <c r="AO107" s="191" t="str">
        <f>'1_BD questio brut'!AM107</f>
        <v>7</v>
      </c>
      <c r="AP107" s="191" t="str">
        <f>'1_BD questio brut'!AN107</f>
        <v/>
      </c>
      <c r="AQ107" s="191" t="str">
        <f>'1_BD questio brut'!AO107</f>
        <v/>
      </c>
    </row>
    <row r="108" spans="1:43" ht="43.5" hidden="1">
      <c r="A108" s="98">
        <f>INDEX('3_BD instruction total'!A:A,MATCH(C108,'3_BD instruction total'!F:F,0))</f>
        <v>2021</v>
      </c>
      <c r="B108" s="98" t="str">
        <f>INDEX('3_BD instruction total'!C:C,MATCH(C108,'3_BD instruction total'!F:F,0))</f>
        <v>non</v>
      </c>
      <c r="C108" s="191" t="str">
        <f>'1_BD questio brut'!A108</f>
        <v>VRB0114</v>
      </c>
      <c r="D108" s="191" t="str">
        <f t="array" ref="D108">INDEX('Données 1_BD questio'!C:C,MATCH('1_BD questio brut'!$B$1&amp;'1_BD questio brut'!B108,'Données 1_BD questio'!A:A&amp;'Données 1_BD questio'!B:B,0))</f>
        <v>CAPV</v>
      </c>
      <c r="E108" s="191" t="str">
        <f t="array" ref="E108">INDEX('Données 1_BD questio'!C:C,MATCH('1_BD questio brut'!$C$1&amp;'1_BD questio brut'!C108,'Données 1_BD questio'!A:A&amp;'Données 1_BD questio'!B:B,0))</f>
        <v>Cadre</v>
      </c>
      <c r="F108" s="191" t="str">
        <f t="array" ref="F108">INDEX('Données 1_BD questio'!C:C,MATCH('1_BD questio brut'!$D$1&amp;'1_BD questio brut'!D108,'Données 1_BD questio'!A:A&amp;'Données 1_BD questio'!B:B,0))</f>
        <v>Pas de réponse</v>
      </c>
      <c r="G108" s="191" t="str">
        <f>'1_BD questio brut'!E108</f>
        <v>50 à 64 ans</v>
      </c>
      <c r="H108" s="191">
        <f>'1_BD questio brut'!F108</f>
        <v>1</v>
      </c>
      <c r="I108" s="191" t="str">
        <f>'1_BD questio brut'!G108</f>
        <v>Pas de réponse</v>
      </c>
      <c r="J108" s="191" t="str">
        <f t="array" ref="J108">INDEX('Données 1_BD questio'!C:C,MATCH('1_BD questio brut'!$H$1&amp;'1_BD questio brut'!H108,'Données 1_BD questio'!A:A&amp;'Données 1_BD questio'!B:B,0))</f>
        <v>Maison avec jardin</v>
      </c>
      <c r="K108" s="191">
        <f>'1_BD questio brut'!I108</f>
        <v>84</v>
      </c>
      <c r="L108" s="191" t="str">
        <f>'1_BD questio brut'!J108</f>
        <v>1975-1990</v>
      </c>
      <c r="M108" s="191" t="str">
        <f>'1_BD questio brut'!K108</f>
        <v>1</v>
      </c>
      <c r="N108" s="191" t="str">
        <f>'1_BD questio brut'!L108</f>
        <v>Ne sait pas</v>
      </c>
      <c r="O108" s="191" t="str">
        <f>'1_BD questio brut'!M108</f>
        <v>Propriétaire occupant</v>
      </c>
      <c r="P108" s="191" t="str">
        <f>'1_BD questio brut'!N108</f>
        <v>Insert / foyer fermé</v>
      </c>
      <c r="Q108" s="191" t="str">
        <f>'1_BD questio brut'!O108</f>
        <v>Chauffage de base</v>
      </c>
      <c r="R108" s="191" t="str">
        <f>'1_BD questio brut'!P108</f>
        <v>Tous les jours</v>
      </c>
      <c r="S108" s="191" t="str">
        <f>'1_BD questio brut'!Q108</f>
        <v>2; 4</v>
      </c>
      <c r="T108" s="191" t="str">
        <f>'1_BD questio brut'!R108</f>
        <v>1996-2002</v>
      </c>
      <c r="U108" s="191" t="str">
        <f>'1_BD questio brut'!S108</f>
        <v>Bois bûche</v>
      </c>
      <c r="V108" s="191" t="str">
        <f>'1_BD questio brut'!T108</f>
        <v/>
      </c>
      <c r="W108" s="191" t="str">
        <f>'1_BD questio brut'!U108</f>
        <v>10</v>
      </c>
      <c r="X108" s="191" t="str">
        <f>'1_BD questio brut'!V108</f>
        <v>stères</v>
      </c>
      <c r="Y108" s="191" t="str">
        <f>'1_BD questio brut'!W108</f>
        <v>2</v>
      </c>
      <c r="Z108" s="191" t="str">
        <f>'1_BD questio brut'!X108</f>
        <v/>
      </c>
      <c r="AA108" s="191" t="str">
        <f t="array" ref="AA108">INDEX('Données 1_BD questio'!C:C,MATCH('1_BD questio brut'!$Y$1&amp;'1_BD questio brut'!Y108,'Données 1_BD questio'!A:A&amp;'Données 1_BD questio'!B:B,0))</f>
        <v>Ne sait pas</v>
      </c>
      <c r="AB108" s="191" t="str">
        <f>'1_BD questio brut'!Z108</f>
        <v>2</v>
      </c>
      <c r="AC108" s="191" t="str">
        <f>'1_BD questio brut'!AA108</f>
        <v>&gt; 2 ans</v>
      </c>
      <c r="AD108" s="191" t="str">
        <f>'1_BD questio brut'!AB108</f>
        <v>Les deux</v>
      </c>
      <c r="AE108" s="191" t="str">
        <f t="array" ref="AE108">INDEX('Données 1_BD questio'!C:C,MATCH('1_BD questio brut'!$AC$1&amp;'1_BD questio brut'!AC108,'Données 1_BD questio'!A:A&amp;'Données 1_BD questio'!B:B,0))</f>
        <v>un professionnel</v>
      </c>
      <c r="AF108" s="191" t="str">
        <f>'1_BD questio brut'!AD108</f>
        <v>1 fois par an</v>
      </c>
      <c r="AG108" s="191" t="str">
        <f>'1_BD questio brut'!AE108</f>
        <v/>
      </c>
      <c r="AH108" s="191" t="str">
        <f>'1_BD questio brut'!AF108</f>
        <v>Poêle</v>
      </c>
      <c r="AI108" s="191" t="str">
        <f>'1_BD questio brut'!AG108</f>
        <v>1</v>
      </c>
      <c r="AJ108" s="191" t="str">
        <f>'1_BD questio brut'!AH108</f>
        <v/>
      </c>
      <c r="AK108" s="191" t="str">
        <f>'1_BD questio brut'!AI108</f>
        <v>Chauffage de base</v>
      </c>
      <c r="AL108" s="191" t="str">
        <f>'1_BD questio brut'!AJ108</f>
        <v>Pas de réponse</v>
      </c>
      <c r="AM108" s="191" t="str">
        <f>'1_BD questio brut'!AK108</f>
        <v>2; 4; 5</v>
      </c>
      <c r="AN108" s="191" t="str">
        <f>'1_BD questio brut'!AL108</f>
        <v/>
      </c>
      <c r="AO108" s="191" t="str">
        <f>'1_BD questio brut'!AM108</f>
        <v>5</v>
      </c>
      <c r="AP108" s="191" t="str">
        <f>'1_BD questio brut'!AN108</f>
        <v/>
      </c>
      <c r="AQ108" s="191" t="str">
        <f>'1_BD questio brut'!AO108</f>
        <v/>
      </c>
    </row>
    <row r="109" spans="1:43" ht="43.5" hidden="1">
      <c r="A109" s="98">
        <f>INDEX('3_BD instruction total'!A:A,MATCH(C109,'3_BD instruction total'!F:F,0))</f>
        <v>2021</v>
      </c>
      <c r="B109" s="98" t="str">
        <f>INDEX('3_BD instruction total'!C:C,MATCH(C109,'3_BD instruction total'!F:F,0))</f>
        <v>oui</v>
      </c>
      <c r="C109" s="191" t="str">
        <f>'1_BD questio brut'!A109</f>
        <v>VRB0115</v>
      </c>
      <c r="D109" s="191" t="str">
        <f t="array" ref="D109">INDEX('Données 1_BD questio'!C:C,MATCH('1_BD questio brut'!$B$1&amp;'1_BD questio brut'!B109,'Données 1_BD questio'!A:A&amp;'Données 1_BD questio'!B:B,0))</f>
        <v>CAPV</v>
      </c>
      <c r="E109" s="191" t="str">
        <f t="array" ref="E109">INDEX('Données 1_BD questio'!C:C,MATCH('1_BD questio brut'!$C$1&amp;'1_BD questio brut'!C109,'Données 1_BD questio'!A:A&amp;'Données 1_BD questio'!B:B,0))</f>
        <v>Cadre</v>
      </c>
      <c r="F109" s="191" t="str">
        <f t="array" ref="F109">INDEX('Données 1_BD questio'!C:C,MATCH('1_BD questio brut'!$D$1&amp;'1_BD questio brut'!D109,'Données 1_BD questio'!A:A&amp;'Données 1_BD questio'!B:B,0))</f>
        <v>Employé</v>
      </c>
      <c r="G109" s="191" t="str">
        <f>'1_BD questio brut'!E109</f>
        <v>35 à 49 ans</v>
      </c>
      <c r="H109" s="191">
        <f>'1_BD questio brut'!F109</f>
        <v>4</v>
      </c>
      <c r="I109" s="191" t="str">
        <f>'1_BD questio brut'!G109</f>
        <v>Pas de réponse</v>
      </c>
      <c r="J109" s="191" t="str">
        <f t="array" ref="J109">INDEX('Données 1_BD questio'!C:C,MATCH('1_BD questio brut'!$H$1&amp;'1_BD questio brut'!H109,'Données 1_BD questio'!A:A&amp;'Données 1_BD questio'!B:B,0))</f>
        <v>Maison avec jardin</v>
      </c>
      <c r="K109" s="191">
        <f>'1_BD questio brut'!I109</f>
        <v>104</v>
      </c>
      <c r="L109" s="191" t="str">
        <f>'1_BD questio brut'!J109</f>
        <v>1975-1990</v>
      </c>
      <c r="M109" s="191" t="str">
        <f>'1_BD questio brut'!K109</f>
        <v>6</v>
      </c>
      <c r="N109" s="191" t="str">
        <f>'1_BD questio brut'!L109</f>
        <v>E</v>
      </c>
      <c r="O109" s="191" t="str">
        <f>'1_BD questio brut'!M109</f>
        <v>Propriétaire occupant</v>
      </c>
      <c r="P109" s="191" t="str">
        <f>'1_BD questio brut'!N109</f>
        <v>Foyer ouvert</v>
      </c>
      <c r="Q109" s="191" t="str">
        <f>'1_BD questio brut'!O109</f>
        <v>Chauffage d'apoint</v>
      </c>
      <c r="R109" s="191" t="str">
        <f>'1_BD questio brut'!P109</f>
        <v>1 à 2 jours/semaine</v>
      </c>
      <c r="S109" s="191" t="str">
        <f>'1_BD questio brut'!Q109</f>
        <v>6</v>
      </c>
      <c r="T109" s="191" t="str">
        <f>'1_BD questio brut'!R109</f>
        <v>Avant 1990</v>
      </c>
      <c r="U109" s="191" t="str">
        <f>'1_BD questio brut'!S109</f>
        <v>Bois bûche</v>
      </c>
      <c r="V109" s="191" t="str">
        <f>'1_BD questio brut'!T109</f>
        <v/>
      </c>
      <c r="W109" s="191" t="str">
        <f>'1_BD questio brut'!U109</f>
        <v>8</v>
      </c>
      <c r="X109" s="191" t="str">
        <f>'1_BD questio brut'!V109</f>
        <v>stères</v>
      </c>
      <c r="Y109" s="191" t="str">
        <f>'1_BD questio brut'!W109</f>
        <v>2</v>
      </c>
      <c r="Z109" s="191" t="str">
        <f>'1_BD questio brut'!X109</f>
        <v/>
      </c>
      <c r="AA109" s="191" t="str">
        <f t="array" ref="AA109">INDEX('Données 1_BD questio'!C:C,MATCH('1_BD questio brut'!$Y$1&amp;'1_BD questio brut'!Y109,'Données 1_BD questio'!A:A&amp;'Données 1_BD questio'!B:B,0))</f>
        <v>Ne sait pas</v>
      </c>
      <c r="AB109" s="191" t="str">
        <f>'1_BD questio brut'!Z109</f>
        <v>2</v>
      </c>
      <c r="AC109" s="191" t="str">
        <f>'1_BD questio brut'!AA109</f>
        <v>&gt; 2 ans</v>
      </c>
      <c r="AD109" s="191" t="str">
        <f>'1_BD questio brut'!AB109</f>
        <v>Les deux</v>
      </c>
      <c r="AE109" s="191" t="str">
        <f t="array" ref="AE109">INDEX('Données 1_BD questio'!C:C,MATCH('1_BD questio brut'!$AC$1&amp;'1_BD questio brut'!AC109,'Données 1_BD questio'!A:A&amp;'Données 1_BD questio'!B:B,0))</f>
        <v>un professionnel</v>
      </c>
      <c r="AF109" s="191" t="str">
        <f>'1_BD questio brut'!AD109</f>
        <v>1 fois par an</v>
      </c>
      <c r="AG109" s="191" t="str">
        <f>'1_BD questio brut'!AE109</f>
        <v/>
      </c>
      <c r="AH109" s="191" t="str">
        <f>'1_BD questio brut'!AF109</f>
        <v>Poêle</v>
      </c>
      <c r="AI109" s="191" t="str">
        <f>'1_BD questio brut'!AG109</f>
        <v>1; 2</v>
      </c>
      <c r="AJ109" s="191" t="str">
        <f>'1_BD questio brut'!AH109</f>
        <v/>
      </c>
      <c r="AK109" s="191" t="str">
        <f>'1_BD questio brut'!AI109</f>
        <v>Chauffage de base</v>
      </c>
      <c r="AL109" s="191" t="str">
        <f>'1_BD questio brut'!AJ109</f>
        <v>Pas de réponse</v>
      </c>
      <c r="AM109" s="191" t="str">
        <f>'1_BD questio brut'!AK109</f>
        <v>2; 3; 4; 5</v>
      </c>
      <c r="AN109" s="191" t="str">
        <f>'1_BD questio brut'!AL109</f>
        <v/>
      </c>
      <c r="AO109" s="191" t="str">
        <f>'1_BD questio brut'!AM109</f>
        <v>12</v>
      </c>
      <c r="AP109" s="191" t="str">
        <f>'1_BD questio brut'!AN109</f>
        <v/>
      </c>
      <c r="AQ109" s="191" t="str">
        <f>'1_BD questio brut'!AO109</f>
        <v/>
      </c>
    </row>
    <row r="110" spans="1:43" ht="29" hidden="1">
      <c r="A110" s="98">
        <f>INDEX('3_BD instruction total'!A:A,MATCH(C110,'3_BD instruction total'!F:F,0))</f>
        <v>2021</v>
      </c>
      <c r="B110" s="98" t="str">
        <f>INDEX('3_BD instruction total'!C:C,MATCH(C110,'3_BD instruction total'!F:F,0))</f>
        <v>non</v>
      </c>
      <c r="C110" s="191" t="str">
        <f>'1_BD questio brut'!A110</f>
        <v>VRB0116</v>
      </c>
      <c r="D110" s="191" t="str">
        <f t="array" ref="D110">INDEX('Données 1_BD questio'!C:C,MATCH('1_BD questio brut'!$B$1&amp;'1_BD questio brut'!B110,'Données 1_BD questio'!A:A&amp;'Données 1_BD questio'!B:B,0))</f>
        <v>CAPV</v>
      </c>
      <c r="E110" s="191" t="str">
        <f t="array" ref="E110">INDEX('Données 1_BD questio'!C:C,MATCH('1_BD questio brut'!$C$1&amp;'1_BD questio brut'!C110,'Données 1_BD questio'!A:A&amp;'Données 1_BD questio'!B:B,0))</f>
        <v>Employé</v>
      </c>
      <c r="F110" s="191" t="str">
        <f t="array" ref="F110">INDEX('Données 1_BD questio'!C:C,MATCH('1_BD questio brut'!$D$1&amp;'1_BD questio brut'!D110,'Données 1_BD questio'!A:A&amp;'Données 1_BD questio'!B:B,0))</f>
        <v>Ouvrier</v>
      </c>
      <c r="G110" s="191" t="str">
        <f>'1_BD questio brut'!E110</f>
        <v>50 à 64 ans</v>
      </c>
      <c r="H110" s="191">
        <f>'1_BD questio brut'!F110</f>
        <v>3</v>
      </c>
      <c r="I110" s="191" t="str">
        <f>'1_BD questio brut'!G110</f>
        <v>Pas de réponse</v>
      </c>
      <c r="J110" s="191" t="str">
        <f t="array" ref="J110">INDEX('Données 1_BD questio'!C:C,MATCH('1_BD questio brut'!$H$1&amp;'1_BD questio brut'!H110,'Données 1_BD questio'!A:A&amp;'Données 1_BD questio'!B:B,0))</f>
        <v>Maison avec jardin</v>
      </c>
      <c r="K110" s="191">
        <f>'1_BD questio brut'!I110</f>
        <v>0</v>
      </c>
      <c r="L110" s="191" t="str">
        <f>'1_BD questio brut'!J110</f>
        <v>1949-1975</v>
      </c>
      <c r="M110" s="191" t="str">
        <f>'1_BD questio brut'!K110</f>
        <v>1</v>
      </c>
      <c r="N110" s="191" t="str">
        <f>'1_BD questio brut'!L110</f>
        <v>Ne sait pas</v>
      </c>
      <c r="O110" s="191" t="str">
        <f>'1_BD questio brut'!M110</f>
        <v>Propriétaire occupant</v>
      </c>
      <c r="P110" s="191" t="str">
        <f>'1_BD questio brut'!N110</f>
        <v>Insert / foyer fermé</v>
      </c>
      <c r="Q110" s="191" t="str">
        <f>'1_BD questio brut'!O110</f>
        <v>Chauffage de base</v>
      </c>
      <c r="R110" s="191" t="str">
        <f>'1_BD questio brut'!P110</f>
        <v>Tous les jours</v>
      </c>
      <c r="S110" s="191" t="str">
        <f>'1_BD questio brut'!Q110</f>
        <v>1; 2</v>
      </c>
      <c r="T110" s="191" t="str">
        <f>'1_BD questio brut'!R110</f>
        <v>1990-1995</v>
      </c>
      <c r="U110" s="191" t="str">
        <f>'1_BD questio brut'!S110</f>
        <v>Bois bûche</v>
      </c>
      <c r="V110" s="191" t="str">
        <f>'1_BD questio brut'!T110</f>
        <v/>
      </c>
      <c r="W110" s="191" t="str">
        <f>'1_BD questio brut'!U110</f>
        <v>10</v>
      </c>
      <c r="X110" s="191" t="str">
        <f>'1_BD questio brut'!V110</f>
        <v>stères</v>
      </c>
      <c r="Y110" s="191" t="str">
        <f>'1_BD questio brut'!W110</f>
        <v>2</v>
      </c>
      <c r="Z110" s="191" t="str">
        <f>'1_BD questio brut'!X110</f>
        <v/>
      </c>
      <c r="AA110" s="191" t="str">
        <f t="array" ref="AA110">INDEX('Données 1_BD questio'!C:C,MATCH('1_BD questio brut'!$Y$1&amp;'1_BD questio brut'!Y110,'Données 1_BD questio'!A:A&amp;'Données 1_BD questio'!B:B,0))</f>
        <v>Ne sait pas</v>
      </c>
      <c r="AB110" s="191" t="str">
        <f>'1_BD questio brut'!Z110</f>
        <v>2</v>
      </c>
      <c r="AC110" s="191" t="str">
        <f>'1_BD questio brut'!AA110</f>
        <v>1 à 2 ans</v>
      </c>
      <c r="AD110" s="191" t="str">
        <f>'1_BD questio brut'!AB110</f>
        <v>Les deux</v>
      </c>
      <c r="AE110" s="191" t="str">
        <f t="array" ref="AE110">INDEX('Données 1_BD questio'!C:C,MATCH('1_BD questio brut'!$AC$1&amp;'1_BD questio brut'!AC110,'Données 1_BD questio'!A:A&amp;'Données 1_BD questio'!B:B,0))</f>
        <v>vous-même</v>
      </c>
      <c r="AF110" s="191" t="str">
        <f>'1_BD questio brut'!AD110</f>
        <v>1 fois par an</v>
      </c>
      <c r="AG110" s="191" t="str">
        <f>'1_BD questio brut'!AE110</f>
        <v/>
      </c>
      <c r="AH110" s="191" t="str">
        <f>'1_BD questio brut'!AF110</f>
        <v>Poêle</v>
      </c>
      <c r="AI110" s="191" t="str">
        <f>'1_BD questio brut'!AG110</f>
        <v>2</v>
      </c>
      <c r="AJ110" s="191" t="str">
        <f>'1_BD questio brut'!AH110</f>
        <v/>
      </c>
      <c r="AK110" s="191" t="str">
        <f>'1_BD questio brut'!AI110</f>
        <v>Chauffage de base</v>
      </c>
      <c r="AL110" s="191" t="str">
        <f>'1_BD questio brut'!AJ110</f>
        <v>Pas de réponse</v>
      </c>
      <c r="AM110" s="191" t="str">
        <f>'1_BD questio brut'!AK110</f>
        <v>1; 2</v>
      </c>
      <c r="AN110" s="191" t="str">
        <f>'1_BD questio brut'!AL110</f>
        <v/>
      </c>
      <c r="AO110" s="191" t="str">
        <f>'1_BD questio brut'!AM110</f>
        <v>5</v>
      </c>
      <c r="AP110" s="191" t="str">
        <f>'1_BD questio brut'!AN110</f>
        <v/>
      </c>
      <c r="AQ110" s="191" t="str">
        <f>'1_BD questio brut'!AO110</f>
        <v/>
      </c>
    </row>
    <row r="111" spans="1:43" ht="29" hidden="1">
      <c r="A111" s="98">
        <f>INDEX('3_BD instruction total'!A:A,MATCH(C111,'3_BD instruction total'!F:F,0))</f>
        <v>2021</v>
      </c>
      <c r="B111" s="98" t="str">
        <f>INDEX('3_BD instruction total'!C:C,MATCH(C111,'3_BD instruction total'!F:F,0))</f>
        <v>non</v>
      </c>
      <c r="C111" s="191" t="str">
        <f>'1_BD questio brut'!A111</f>
        <v>VRB0117</v>
      </c>
      <c r="D111" s="191" t="str">
        <f t="array" ref="D111">INDEX('Données 1_BD questio'!C:C,MATCH('1_BD questio brut'!$B$1&amp;'1_BD questio brut'!B111,'Données 1_BD questio'!A:A&amp;'Données 1_BD questio'!B:B,0))</f>
        <v>CAPV</v>
      </c>
      <c r="E111" s="191" t="str">
        <f t="array" ref="E111">INDEX('Données 1_BD questio'!C:C,MATCH('1_BD questio brut'!$C$1&amp;'1_BD questio brut'!C111,'Données 1_BD questio'!A:A&amp;'Données 1_BD questio'!B:B,0))</f>
        <v>Retraité</v>
      </c>
      <c r="F111" s="191" t="str">
        <f t="array" ref="F111">INDEX('Données 1_BD questio'!C:C,MATCH('1_BD questio brut'!$D$1&amp;'1_BD questio brut'!D111,'Données 1_BD questio'!A:A&amp;'Données 1_BD questio'!B:B,0))</f>
        <v>Autre,sans activité</v>
      </c>
      <c r="G111" s="191" t="str">
        <f>'1_BD questio brut'!E111</f>
        <v>65 ans et plus</v>
      </c>
      <c r="H111" s="191">
        <f>'1_BD questio brut'!F111</f>
        <v>2</v>
      </c>
      <c r="I111" s="191" t="str">
        <f>'1_BD questio brut'!G111</f>
        <v>Pas de réponse</v>
      </c>
      <c r="J111" s="191" t="str">
        <f t="array" ref="J111">INDEX('Données 1_BD questio'!C:C,MATCH('1_BD questio brut'!$H$1&amp;'1_BD questio brut'!H111,'Données 1_BD questio'!A:A&amp;'Données 1_BD questio'!B:B,0))</f>
        <v>Maison avec jardin</v>
      </c>
      <c r="K111" s="191">
        <f>'1_BD questio brut'!I111</f>
        <v>155</v>
      </c>
      <c r="L111" s="191" t="str">
        <f>'1_BD questio brut'!J111</f>
        <v>1975-1990</v>
      </c>
      <c r="M111" s="191" t="str">
        <f>'1_BD questio brut'!K111</f>
        <v>4</v>
      </c>
      <c r="N111" s="191" t="str">
        <f>'1_BD questio brut'!L111</f>
        <v>Pas de réponse</v>
      </c>
      <c r="O111" s="191" t="str">
        <f>'1_BD questio brut'!M111</f>
        <v>Propriétaire occupant</v>
      </c>
      <c r="P111" s="191" t="str">
        <f>'1_BD questio brut'!N111</f>
        <v>Insert / foyer fermé</v>
      </c>
      <c r="Q111" s="191" t="str">
        <f>'1_BD questio brut'!O111</f>
        <v>Chauffage de base</v>
      </c>
      <c r="R111" s="191" t="str">
        <f>'1_BD questio brut'!P111</f>
        <v>Tous les jours</v>
      </c>
      <c r="S111" s="191" t="str">
        <f>'1_BD questio brut'!Q111</f>
        <v>4; 5</v>
      </c>
      <c r="T111" s="191" t="str">
        <f>'1_BD questio brut'!R111</f>
        <v>Avant 1990</v>
      </c>
      <c r="U111" s="191" t="str">
        <f>'1_BD questio brut'!S111</f>
        <v>Bois bûche</v>
      </c>
      <c r="V111" s="191" t="str">
        <f>'1_BD questio brut'!T111</f>
        <v/>
      </c>
      <c r="W111" s="191" t="str">
        <f>'1_BD questio brut'!U111</f>
        <v>7</v>
      </c>
      <c r="X111" s="191" t="str">
        <f>'1_BD questio brut'!V111</f>
        <v>stères</v>
      </c>
      <c r="Y111" s="191" t="str">
        <f>'1_BD questio brut'!W111</f>
        <v>2</v>
      </c>
      <c r="Z111" s="191" t="str">
        <f>'1_BD questio brut'!X111</f>
        <v/>
      </c>
      <c r="AA111" s="191" t="str">
        <f t="array" ref="AA111">INDEX('Données 1_BD questio'!C:C,MATCH('1_BD questio brut'!$Y$1&amp;'1_BD questio brut'!Y111,'Données 1_BD questio'!A:A&amp;'Données 1_BD questio'!B:B,0))</f>
        <v>Rhône-Alpes hors RA2B</v>
      </c>
      <c r="AB111" s="191" t="str">
        <f>'1_BD questio brut'!Z111</f>
        <v>2</v>
      </c>
      <c r="AC111" s="191" t="str">
        <f>'1_BD questio brut'!AA111</f>
        <v>1 à 2 ans</v>
      </c>
      <c r="AD111" s="191" t="str">
        <f>'1_BD questio brut'!AB111</f>
        <v>Feuillus</v>
      </c>
      <c r="AE111" s="191" t="str">
        <f t="array" ref="AE111">INDEX('Données 1_BD questio'!C:C,MATCH('1_BD questio brut'!$AC$1&amp;'1_BD questio brut'!AC111,'Données 1_BD questio'!A:A&amp;'Données 1_BD questio'!B:B,0))</f>
        <v>vous-même</v>
      </c>
      <c r="AF111" s="191" t="str">
        <f>'1_BD questio brut'!AD111</f>
        <v>1 fois par an</v>
      </c>
      <c r="AG111" s="191" t="str">
        <f>'1_BD questio brut'!AE111</f>
        <v/>
      </c>
      <c r="AH111" s="191" t="str">
        <f>'1_BD questio brut'!AF111</f>
        <v>Poêle</v>
      </c>
      <c r="AI111" s="191" t="str">
        <f>'1_BD questio brut'!AG111</f>
        <v>2</v>
      </c>
      <c r="AJ111" s="191" t="str">
        <f>'1_BD questio brut'!AH111</f>
        <v/>
      </c>
      <c r="AK111" s="191" t="str">
        <f>'1_BD questio brut'!AI111</f>
        <v>Chauffage de base</v>
      </c>
      <c r="AL111" s="191" t="str">
        <f>'1_BD questio brut'!AJ111</f>
        <v>Pas de réponse</v>
      </c>
      <c r="AM111" s="191" t="str">
        <f>'1_BD questio brut'!AK111</f>
        <v>2; 4; 5</v>
      </c>
      <c r="AN111" s="191" t="str">
        <f>'1_BD questio brut'!AL111</f>
        <v/>
      </c>
      <c r="AO111" s="191" t="str">
        <f>'1_BD questio brut'!AM111</f>
        <v>7</v>
      </c>
      <c r="AP111" s="191" t="str">
        <f>'1_BD questio brut'!AN111</f>
        <v/>
      </c>
      <c r="AQ111" s="191" t="str">
        <f>'1_BD questio brut'!AO111</f>
        <v/>
      </c>
    </row>
    <row r="112" spans="1:43" ht="43.5" hidden="1">
      <c r="A112" s="98">
        <f>INDEX('3_BD instruction total'!A:A,MATCH(C112,'3_BD instruction total'!F:F,0))</f>
        <v>2021</v>
      </c>
      <c r="B112" s="98" t="str">
        <f>INDEX('3_BD instruction total'!C:C,MATCH(C112,'3_BD instruction total'!F:F,0))</f>
        <v>non</v>
      </c>
      <c r="C112" s="191" t="str">
        <f>'1_BD questio brut'!A112</f>
        <v>VRB0118</v>
      </c>
      <c r="D112" s="191" t="str">
        <f t="array" ref="D112">INDEX('Données 1_BD questio'!C:C,MATCH('1_BD questio brut'!$B$1&amp;'1_BD questio brut'!B112,'Données 1_BD questio'!A:A&amp;'Données 1_BD questio'!B:B,0))</f>
        <v>CAPV</v>
      </c>
      <c r="E112" s="191" t="str">
        <f t="array" ref="E112">INDEX('Données 1_BD questio'!C:C,MATCH('1_BD questio brut'!$C$1&amp;'1_BD questio brut'!C112,'Données 1_BD questio'!A:A&amp;'Données 1_BD questio'!B:B,0))</f>
        <v>Cadre</v>
      </c>
      <c r="F112" s="191" t="str">
        <f t="array" ref="F112">INDEX('Données 1_BD questio'!C:C,MATCH('1_BD questio brut'!$D$1&amp;'1_BD questio brut'!D112,'Données 1_BD questio'!A:A&amp;'Données 1_BD questio'!B:B,0))</f>
        <v>Cadre</v>
      </c>
      <c r="G112" s="191" t="str">
        <f>'1_BD questio brut'!E112</f>
        <v>35 à 49 ans</v>
      </c>
      <c r="H112" s="191">
        <f>'1_BD questio brut'!F112</f>
        <v>2</v>
      </c>
      <c r="I112" s="191" t="str">
        <f>'1_BD questio brut'!G112</f>
        <v>Pas de réponse</v>
      </c>
      <c r="J112" s="191" t="str">
        <f t="array" ref="J112">INDEX('Données 1_BD questio'!C:C,MATCH('1_BD questio brut'!$H$1&amp;'1_BD questio brut'!H112,'Données 1_BD questio'!A:A&amp;'Données 1_BD questio'!B:B,0))</f>
        <v>Maison avec jardin</v>
      </c>
      <c r="K112" s="191">
        <f>'1_BD questio brut'!I112</f>
        <v>100</v>
      </c>
      <c r="L112" s="191" t="str">
        <f>'1_BD questio brut'!J112</f>
        <v>1990-2005</v>
      </c>
      <c r="M112" s="191" t="str">
        <f>'1_BD questio brut'!K112</f>
        <v>1</v>
      </c>
      <c r="N112" s="191" t="str">
        <f>'1_BD questio brut'!L112</f>
        <v>F</v>
      </c>
      <c r="O112" s="191" t="str">
        <f>'1_BD questio brut'!M112</f>
        <v>Propriétaire occupant</v>
      </c>
      <c r="P112" s="191" t="str">
        <f>'1_BD questio brut'!N112</f>
        <v>Insert / foyer fermé</v>
      </c>
      <c r="Q112" s="191" t="str">
        <f>'1_BD questio brut'!O112</f>
        <v>Chauffage d'apoint</v>
      </c>
      <c r="R112" s="191" t="str">
        <f>'1_BD questio brut'!P112</f>
        <v>3 à 4 jours/semaine</v>
      </c>
      <c r="S112" s="191" t="str">
        <f>'1_BD questio brut'!Q112</f>
        <v>2</v>
      </c>
      <c r="T112" s="191" t="str">
        <f>'1_BD questio brut'!R112</f>
        <v>1990-1995</v>
      </c>
      <c r="U112" s="191" t="str">
        <f>'1_BD questio brut'!S112</f>
        <v>Bois bûche</v>
      </c>
      <c r="V112" s="191" t="str">
        <f>'1_BD questio brut'!T112</f>
        <v/>
      </c>
      <c r="W112" s="191" t="str">
        <f>'1_BD questio brut'!U112</f>
        <v>5</v>
      </c>
      <c r="X112" s="191" t="str">
        <f>'1_BD questio brut'!V112</f>
        <v>stères</v>
      </c>
      <c r="Y112" s="191" t="str">
        <f>'1_BD questio brut'!W112</f>
        <v>2</v>
      </c>
      <c r="Z112" s="191" t="str">
        <f>'1_BD questio brut'!X112</f>
        <v/>
      </c>
      <c r="AA112" s="191" t="str">
        <f t="array" ref="AA112">INDEX('Données 1_BD questio'!C:C,MATCH('1_BD questio brut'!$Y$1&amp;'1_BD questio brut'!Y112,'Données 1_BD questio'!A:A&amp;'Données 1_BD questio'!B:B,0))</f>
        <v>Ne sait pas</v>
      </c>
      <c r="AB112" s="191" t="str">
        <f>'1_BD questio brut'!Z112</f>
        <v>2</v>
      </c>
      <c r="AC112" s="191" t="str">
        <f>'1_BD questio brut'!AA112</f>
        <v>1 à 2 ans</v>
      </c>
      <c r="AD112" s="191" t="str">
        <f>'1_BD questio brut'!AB112</f>
        <v>Feuillus</v>
      </c>
      <c r="AE112" s="191" t="str">
        <f t="array" ref="AE112">INDEX('Données 1_BD questio'!C:C,MATCH('1_BD questio brut'!$AC$1&amp;'1_BD questio brut'!AC112,'Données 1_BD questio'!A:A&amp;'Données 1_BD questio'!B:B,0))</f>
        <v>vous-même</v>
      </c>
      <c r="AF112" s="191" t="str">
        <f>'1_BD questio brut'!AD112</f>
        <v>1 fois par an</v>
      </c>
      <c r="AG112" s="191" t="str">
        <f>'1_BD questio brut'!AE112</f>
        <v/>
      </c>
      <c r="AH112" s="191" t="str">
        <f>'1_BD questio brut'!AF112</f>
        <v>Insert cheminée</v>
      </c>
      <c r="AI112" s="191" t="str">
        <f>'1_BD questio brut'!AG112</f>
        <v>1</v>
      </c>
      <c r="AJ112" s="191" t="str">
        <f>'1_BD questio brut'!AH112</f>
        <v/>
      </c>
      <c r="AK112" s="191" t="str">
        <f>'1_BD questio brut'!AI112</f>
        <v>Chauffage de base</v>
      </c>
      <c r="AL112" s="191" t="str">
        <f>'1_BD questio brut'!AJ112</f>
        <v>Pas de réponse</v>
      </c>
      <c r="AM112" s="191" t="str">
        <f>'1_BD questio brut'!AK112</f>
        <v>1; 2; 3; 4; 5; 6</v>
      </c>
      <c r="AN112" s="191" t="str">
        <f>'1_BD questio brut'!AL112</f>
        <v>sécuriré</v>
      </c>
      <c r="AO112" s="191" t="str">
        <f>'1_BD questio brut'!AM112</f>
        <v>8</v>
      </c>
      <c r="AP112" s="191" t="str">
        <f>'1_BD questio brut'!AN112</f>
        <v/>
      </c>
      <c r="AQ112" s="191" t="str">
        <f>'1_BD questio brut'!AO112</f>
        <v/>
      </c>
    </row>
    <row r="113" spans="1:43" ht="43.5" hidden="1">
      <c r="A113" s="98">
        <f>INDEX('3_BD instruction total'!A:A,MATCH(C113,'3_BD instruction total'!F:F,0))</f>
        <v>2021</v>
      </c>
      <c r="B113" s="98" t="str">
        <f>INDEX('3_BD instruction total'!C:C,MATCH(C113,'3_BD instruction total'!F:F,0))</f>
        <v>non</v>
      </c>
      <c r="C113" s="191" t="str">
        <f>'1_BD questio brut'!A113</f>
        <v>VRB0119</v>
      </c>
      <c r="D113" s="191" t="str">
        <f t="array" ref="D113">INDEX('Données 1_BD questio'!C:C,MATCH('1_BD questio brut'!$B$1&amp;'1_BD questio brut'!B113,'Données 1_BD questio'!A:A&amp;'Données 1_BD questio'!B:B,0))</f>
        <v>CAPV</v>
      </c>
      <c r="E113" s="191" t="str">
        <f t="array" ref="E113">INDEX('Données 1_BD questio'!C:C,MATCH('1_BD questio brut'!$C$1&amp;'1_BD questio brut'!C113,'Données 1_BD questio'!A:A&amp;'Données 1_BD questio'!B:B,0))</f>
        <v>Profession intermédiaire</v>
      </c>
      <c r="F113" s="191" t="str">
        <f t="array" ref="F113">INDEX('Données 1_BD questio'!C:C,MATCH('1_BD questio brut'!$D$1&amp;'1_BD questio brut'!D113,'Données 1_BD questio'!A:A&amp;'Données 1_BD questio'!B:B,0))</f>
        <v>Employé</v>
      </c>
      <c r="G113" s="191" t="str">
        <f>'1_BD questio brut'!E113</f>
        <v>50 à 64 ans</v>
      </c>
      <c r="H113" s="191">
        <f>'1_BD questio brut'!F113</f>
        <v>2</v>
      </c>
      <c r="I113" s="191" t="str">
        <f>'1_BD questio brut'!G113</f>
        <v>Pas de réponse</v>
      </c>
      <c r="J113" s="191" t="str">
        <f t="array" ref="J113">INDEX('Données 1_BD questio'!C:C,MATCH('1_BD questio brut'!$H$1&amp;'1_BD questio brut'!H113,'Données 1_BD questio'!A:A&amp;'Données 1_BD questio'!B:B,0))</f>
        <v>Maison avec jardin</v>
      </c>
      <c r="K113" s="191">
        <f>'1_BD questio brut'!I113</f>
        <v>160</v>
      </c>
      <c r="L113" s="191" t="str">
        <f>'1_BD questio brut'!J113</f>
        <v>1990-2005</v>
      </c>
      <c r="M113" s="191" t="str">
        <f>'1_BD questio brut'!K113</f>
        <v>6</v>
      </c>
      <c r="N113" s="191" t="str">
        <f>'1_BD questio brut'!L113</f>
        <v>D</v>
      </c>
      <c r="O113" s="191" t="str">
        <f>'1_BD questio brut'!M113</f>
        <v>Propriétaire occupant</v>
      </c>
      <c r="P113" s="191" t="str">
        <f>'1_BD questio brut'!N113</f>
        <v>Insert / foyer fermé</v>
      </c>
      <c r="Q113" s="191" t="str">
        <f>'1_BD questio brut'!O113</f>
        <v>Chauffage d'apoint</v>
      </c>
      <c r="R113" s="191" t="str">
        <f>'1_BD questio brut'!P113</f>
        <v>3 à 4 jours/semaine</v>
      </c>
      <c r="S113" s="191" t="str">
        <f>'1_BD questio brut'!Q113</f>
        <v>2; 3</v>
      </c>
      <c r="T113" s="191" t="str">
        <f>'1_BD questio brut'!R113</f>
        <v>1990-1995</v>
      </c>
      <c r="U113" s="191" t="str">
        <f>'1_BD questio brut'!S113</f>
        <v>Bois bûche</v>
      </c>
      <c r="V113" s="191" t="str">
        <f>'1_BD questio brut'!T113</f>
        <v/>
      </c>
      <c r="W113" s="191" t="str">
        <f>'1_BD questio brut'!U113</f>
        <v>3</v>
      </c>
      <c r="X113" s="191" t="str">
        <f>'1_BD questio brut'!V113</f>
        <v>stères</v>
      </c>
      <c r="Y113" s="191" t="str">
        <f>'1_BD questio brut'!W113</f>
        <v>2</v>
      </c>
      <c r="Z113" s="191" t="str">
        <f>'1_BD questio brut'!X113</f>
        <v/>
      </c>
      <c r="AA113" s="191" t="str">
        <f t="array" ref="AA113">INDEX('Données 1_BD questio'!C:C,MATCH('1_BD questio brut'!$Y$1&amp;'1_BD questio brut'!Y113,'Données 1_BD questio'!A:A&amp;'Données 1_BD questio'!B:B,0))</f>
        <v>Rhône-Alpes hors RA2B</v>
      </c>
      <c r="AB113" s="191" t="str">
        <f>'1_BD questio brut'!Z113</f>
        <v>2</v>
      </c>
      <c r="AC113" s="191" t="str">
        <f>'1_BD questio brut'!AA113</f>
        <v>1 à 2 ans</v>
      </c>
      <c r="AD113" s="191" t="str">
        <f>'1_BD questio brut'!AB113</f>
        <v>Feuillus</v>
      </c>
      <c r="AE113" s="191" t="str">
        <f t="array" ref="AE113">INDEX('Données 1_BD questio'!C:C,MATCH('1_BD questio brut'!$AC$1&amp;'1_BD questio brut'!AC113,'Données 1_BD questio'!A:A&amp;'Données 1_BD questio'!B:B,0))</f>
        <v>un professionnel</v>
      </c>
      <c r="AF113" s="191" t="str">
        <f>'1_BD questio brut'!AD113</f>
        <v>Autre, à préciser</v>
      </c>
      <c r="AG113" s="191" t="str">
        <f>'1_BD questio brut'!AE113</f>
        <v>1 fois tous les 3 ans</v>
      </c>
      <c r="AH113" s="191" t="str">
        <f>'1_BD questio brut'!AF113</f>
        <v>Poêle</v>
      </c>
      <c r="AI113" s="191" t="str">
        <f>'1_BD questio brut'!AG113</f>
        <v>1</v>
      </c>
      <c r="AJ113" s="191" t="str">
        <f>'1_BD questio brut'!AH113</f>
        <v/>
      </c>
      <c r="AK113" s="191" t="str">
        <f>'1_BD questio brut'!AI113</f>
        <v>Chauffage d'appoint</v>
      </c>
      <c r="AL113" s="191" t="str">
        <f>'1_BD questio brut'!AJ113</f>
        <v>Pas de réponse</v>
      </c>
      <c r="AM113" s="191" t="str">
        <f>'1_BD questio brut'!AK113</f>
        <v>2</v>
      </c>
      <c r="AN113" s="191" t="str">
        <f>'1_BD questio brut'!AL113</f>
        <v/>
      </c>
      <c r="AO113" s="191" t="str">
        <f>'1_BD questio brut'!AM113</f>
        <v>2; 5</v>
      </c>
      <c r="AP113" s="191" t="str">
        <f>'1_BD questio brut'!AN113</f>
        <v/>
      </c>
      <c r="AQ113" s="191" t="str">
        <f>'1_BD questio brut'!AO113</f>
        <v/>
      </c>
    </row>
    <row r="114" spans="1:43" ht="43.5" hidden="1">
      <c r="A114" s="98">
        <f>INDEX('3_BD instruction total'!A:A,MATCH(C114,'3_BD instruction total'!F:F,0))</f>
        <v>2021</v>
      </c>
      <c r="B114" s="98" t="str">
        <f>INDEX('3_BD instruction total'!C:C,MATCH(C114,'3_BD instruction total'!F:F,0))</f>
        <v>non</v>
      </c>
      <c r="C114" s="191" t="str">
        <f>'1_BD questio brut'!A114</f>
        <v>VRB0120</v>
      </c>
      <c r="D114" s="191" t="str">
        <f t="array" ref="D114">INDEX('Données 1_BD questio'!C:C,MATCH('1_BD questio brut'!$B$1&amp;'1_BD questio brut'!B114,'Données 1_BD questio'!A:A&amp;'Données 1_BD questio'!B:B,0))</f>
        <v>CAPV</v>
      </c>
      <c r="E114" s="191" t="str">
        <f t="array" ref="E114">INDEX('Données 1_BD questio'!C:C,MATCH('1_BD questio brut'!$C$1&amp;'1_BD questio brut'!C114,'Données 1_BD questio'!A:A&amp;'Données 1_BD questio'!B:B,0))</f>
        <v>Cadre</v>
      </c>
      <c r="F114" s="191" t="str">
        <f t="array" ref="F114">INDEX('Données 1_BD questio'!C:C,MATCH('1_BD questio brut'!$D$1&amp;'1_BD questio brut'!D114,'Données 1_BD questio'!A:A&amp;'Données 1_BD questio'!B:B,0))</f>
        <v>Artisan,commerçant,chef d'entreprise</v>
      </c>
      <c r="G114" s="191" t="str">
        <f>'1_BD questio brut'!E114</f>
        <v>35 à 49 ans</v>
      </c>
      <c r="H114" s="191">
        <f>'1_BD questio brut'!F114</f>
        <v>6</v>
      </c>
      <c r="I114" s="191" t="str">
        <f>'1_BD questio brut'!G114</f>
        <v>Pas de réponse</v>
      </c>
      <c r="J114" s="191" t="str">
        <f t="array" ref="J114">INDEX('Données 1_BD questio'!C:C,MATCH('1_BD questio brut'!$H$1&amp;'1_BD questio brut'!H114,'Données 1_BD questio'!A:A&amp;'Données 1_BD questio'!B:B,0))</f>
        <v>Maison avec jardin</v>
      </c>
      <c r="K114" s="191">
        <f>'1_BD questio brut'!I114</f>
        <v>180</v>
      </c>
      <c r="L114" s="191" t="str">
        <f>'1_BD questio brut'!J114</f>
        <v>1975-1990</v>
      </c>
      <c r="M114" s="191" t="str">
        <f>'1_BD questio brut'!K114</f>
        <v>1; 4</v>
      </c>
      <c r="N114" s="191" t="str">
        <f>'1_BD questio brut'!L114</f>
        <v>Pas de réponse</v>
      </c>
      <c r="O114" s="191" t="str">
        <f>'1_BD questio brut'!M114</f>
        <v>Propriétaire occupant</v>
      </c>
      <c r="P114" s="191" t="str">
        <f>'1_BD questio brut'!N114</f>
        <v>Foyer ouvert</v>
      </c>
      <c r="Q114" s="191" t="str">
        <f>'1_BD questio brut'!O114</f>
        <v>Plaisir/agrément</v>
      </c>
      <c r="R114" s="191" t="str">
        <f>'1_BD questio brut'!P114</f>
        <v>1 à 2 jours/semaine</v>
      </c>
      <c r="S114" s="191" t="str">
        <f>'1_BD questio brut'!Q114</f>
        <v>2</v>
      </c>
      <c r="T114" s="191" t="str">
        <f>'1_BD questio brut'!R114</f>
        <v>Avant 1990</v>
      </c>
      <c r="U114" s="191" t="str">
        <f>'1_BD questio brut'!S114</f>
        <v>Bois bûche</v>
      </c>
      <c r="V114" s="191" t="str">
        <f>'1_BD questio brut'!T114</f>
        <v/>
      </c>
      <c r="W114" s="191" t="str">
        <f>'1_BD questio brut'!U114</f>
        <v>0,5</v>
      </c>
      <c r="X114" s="191" t="str">
        <f>'1_BD questio brut'!V114</f>
        <v>stères</v>
      </c>
      <c r="Y114" s="191" t="str">
        <f>'1_BD questio brut'!W114</f>
        <v>1</v>
      </c>
      <c r="Z114" s="191" t="str">
        <f>'1_BD questio brut'!X114</f>
        <v/>
      </c>
      <c r="AA114" s="191" t="str">
        <f t="array" ref="AA114">INDEX('Données 1_BD questio'!C:C,MATCH('1_BD questio brut'!$Y$1&amp;'1_BD questio brut'!Y114,'Données 1_BD questio'!A:A&amp;'Données 1_BD questio'!B:B,0))</f>
        <v>Rhône-Alpes hors RA2B</v>
      </c>
      <c r="AB114" s="191" t="str">
        <f>'1_BD questio brut'!Z114</f>
        <v>2</v>
      </c>
      <c r="AC114" s="191" t="str">
        <f>'1_BD questio brut'!AA114</f>
        <v>1 à 2 ans</v>
      </c>
      <c r="AD114" s="191" t="str">
        <f>'1_BD questio brut'!AB114</f>
        <v>Feuillus</v>
      </c>
      <c r="AE114" s="191" t="str">
        <f t="array" ref="AE114">INDEX('Données 1_BD questio'!C:C,MATCH('1_BD questio brut'!$AC$1&amp;'1_BD questio brut'!AC114,'Données 1_BD questio'!A:A&amp;'Données 1_BD questio'!B:B,0))</f>
        <v>un professionnel</v>
      </c>
      <c r="AF114" s="191" t="str">
        <f>'1_BD questio brut'!AD114</f>
        <v>1 fois par an</v>
      </c>
      <c r="AG114" s="191" t="str">
        <f>'1_BD questio brut'!AE114</f>
        <v/>
      </c>
      <c r="AH114" s="191" t="str">
        <f>'1_BD questio brut'!AF114</f>
        <v>Poêle</v>
      </c>
      <c r="AI114" s="191" t="str">
        <f>'1_BD questio brut'!AG114</f>
        <v>1</v>
      </c>
      <c r="AJ114" s="191" t="str">
        <f>'1_BD questio brut'!AH114</f>
        <v/>
      </c>
      <c r="AK114" s="191" t="str">
        <f>'1_BD questio brut'!AI114</f>
        <v>Chauffage d'appoint</v>
      </c>
      <c r="AL114" s="191" t="str">
        <f>'1_BD questio brut'!AJ114</f>
        <v>Pas de réponse</v>
      </c>
      <c r="AM114" s="191" t="str">
        <f>'1_BD questio brut'!AK114</f>
        <v>2; 4</v>
      </c>
      <c r="AN114" s="191" t="str">
        <f>'1_BD questio brut'!AL114</f>
        <v/>
      </c>
      <c r="AO114" s="191" t="str">
        <f>'1_BD questio brut'!AM114</f>
        <v>7</v>
      </c>
      <c r="AP114" s="191" t="str">
        <f>'1_BD questio brut'!AN114</f>
        <v/>
      </c>
      <c r="AQ114" s="191" t="str">
        <f>'1_BD questio brut'!AO114</f>
        <v/>
      </c>
    </row>
    <row r="115" spans="1:43" ht="29" hidden="1">
      <c r="A115" s="98" t="e">
        <f>INDEX('3_BD instruction total'!A:A,MATCH(C115,'3_BD instruction total'!F:F,0))</f>
        <v>#VALUE!</v>
      </c>
      <c r="B115" s="98" t="str">
        <f>INDEX('3_BD instruction total'!C:C,MATCH(C115,'3_BD instruction total'!F:F,0))</f>
        <v>oui</v>
      </c>
      <c r="C115" s="191" t="str">
        <f>'1_BD questio brut'!A115</f>
        <v>VRB0121</v>
      </c>
      <c r="D115" s="191" t="str">
        <f t="array" ref="D115">INDEX('Données 1_BD questio'!C:C,MATCH('1_BD questio brut'!$B$1&amp;'1_BD questio brut'!B115,'Données 1_BD questio'!A:A&amp;'Données 1_BD questio'!B:B,0))</f>
        <v>CAPV</v>
      </c>
      <c r="E115" s="191" t="str">
        <f t="array" ref="E115">INDEX('Données 1_BD questio'!C:C,MATCH('1_BD questio brut'!$C$1&amp;'1_BD questio brut'!C115,'Données 1_BD questio'!A:A&amp;'Données 1_BD questio'!B:B,0))</f>
        <v>Employé</v>
      </c>
      <c r="F115" s="191" t="str">
        <f t="array" ref="F115">INDEX('Données 1_BD questio'!C:C,MATCH('1_BD questio brut'!$D$1&amp;'1_BD questio brut'!D115,'Données 1_BD questio'!A:A&amp;'Données 1_BD questio'!B:B,0))</f>
        <v>Ouvrier</v>
      </c>
      <c r="G115" s="191" t="str">
        <f>'1_BD questio brut'!E115</f>
        <v>50 à 64 ans</v>
      </c>
      <c r="H115" s="191">
        <f>'1_BD questio brut'!F115</f>
        <v>4</v>
      </c>
      <c r="I115" s="191" t="str">
        <f>'1_BD questio brut'!G115</f>
        <v>Pas de réponse</v>
      </c>
      <c r="J115" s="191" t="str">
        <f t="array" ref="J115">INDEX('Données 1_BD questio'!C:C,MATCH('1_BD questio brut'!$H$1&amp;'1_BD questio brut'!H115,'Données 1_BD questio'!A:A&amp;'Données 1_BD questio'!B:B,0))</f>
        <v>Maison avec jardin</v>
      </c>
      <c r="K115" s="191">
        <f>'1_BD questio brut'!I115</f>
        <v>105</v>
      </c>
      <c r="L115" s="191" t="str">
        <f>'1_BD questio brut'!J115</f>
        <v>Après 2005</v>
      </c>
      <c r="M115" s="191" t="str">
        <f>'1_BD questio brut'!K115</f>
        <v>2</v>
      </c>
      <c r="N115" s="191" t="str">
        <f>'1_BD questio brut'!L115</f>
        <v>Ne sait pas</v>
      </c>
      <c r="O115" s="191" t="str">
        <f>'1_BD questio brut'!M115</f>
        <v>Propriétaire occupant</v>
      </c>
      <c r="P115" s="191" t="str">
        <f>'1_BD questio brut'!N115</f>
        <v>Poêle</v>
      </c>
      <c r="Q115" s="191" t="str">
        <f>'1_BD questio brut'!O115</f>
        <v>Chauffage de base</v>
      </c>
      <c r="R115" s="191" t="str">
        <f>'1_BD questio brut'!P115</f>
        <v>Tous les jours</v>
      </c>
      <c r="S115" s="191" t="str">
        <f>'1_BD questio brut'!Q115</f>
        <v>2</v>
      </c>
      <c r="T115" s="191" t="str">
        <f>'1_BD questio brut'!R115</f>
        <v>Après 2002</v>
      </c>
      <c r="U115" s="191" t="str">
        <f>'1_BD questio brut'!S115</f>
        <v>Bois bûche</v>
      </c>
      <c r="V115" s="191" t="str">
        <f>'1_BD questio brut'!T115</f>
        <v/>
      </c>
      <c r="W115" s="191" t="str">
        <f>'1_BD questio brut'!U115</f>
        <v>5</v>
      </c>
      <c r="X115" s="191" t="str">
        <f>'1_BD questio brut'!V115</f>
        <v>stères</v>
      </c>
      <c r="Y115" s="191" t="str">
        <f>'1_BD questio brut'!W115</f>
        <v>2</v>
      </c>
      <c r="Z115" s="191" t="str">
        <f>'1_BD questio brut'!X115</f>
        <v/>
      </c>
      <c r="AA115" s="191" t="str">
        <f t="array" ref="AA115">INDEX('Données 1_BD questio'!C:C,MATCH('1_BD questio brut'!$Y$1&amp;'1_BD questio brut'!Y115,'Données 1_BD questio'!A:A&amp;'Données 1_BD questio'!B:B,0))</f>
        <v>Ne sait pas</v>
      </c>
      <c r="AB115" s="191" t="str">
        <f>'1_BD questio brut'!Z115</f>
        <v>1</v>
      </c>
      <c r="AC115" s="191" t="str">
        <f>'1_BD questio brut'!AA115</f>
        <v>&gt; 2 ans</v>
      </c>
      <c r="AD115" s="191" t="str">
        <f>'1_BD questio brut'!AB115</f>
        <v>Feuillus</v>
      </c>
      <c r="AE115" s="191" t="str">
        <f t="array" ref="AE115">INDEX('Données 1_BD questio'!C:C,MATCH('1_BD questio brut'!$AC$1&amp;'1_BD questio brut'!AC115,'Données 1_BD questio'!A:A&amp;'Données 1_BD questio'!B:B,0))</f>
        <v>vous-même</v>
      </c>
      <c r="AF115" s="191" t="str">
        <f>'1_BD questio brut'!AD115</f>
        <v>2 fois par an</v>
      </c>
      <c r="AG115" s="191" t="str">
        <f>'1_BD questio brut'!AE115</f>
        <v/>
      </c>
      <c r="AH115" s="191" t="str">
        <f>'1_BD questio brut'!AF115</f>
        <v>poêle de masse</v>
      </c>
      <c r="AI115" s="191" t="str">
        <f>'1_BD questio brut'!AG115</f>
        <v>2</v>
      </c>
      <c r="AJ115" s="191" t="str">
        <f>'1_BD questio brut'!AH115</f>
        <v/>
      </c>
      <c r="AK115" s="191" t="str">
        <f>'1_BD questio brut'!AI115</f>
        <v>Chauffage de base</v>
      </c>
      <c r="AL115" s="191" t="str">
        <f>'1_BD questio brut'!AJ115</f>
        <v>Pas de réponse</v>
      </c>
      <c r="AM115" s="191" t="str">
        <f>'1_BD questio brut'!AK115</f>
        <v>2; 4; 5</v>
      </c>
      <c r="AN115" s="191" t="str">
        <f>'1_BD questio brut'!AL115</f>
        <v/>
      </c>
      <c r="AO115" s="191" t="str">
        <f>'1_BD questio brut'!AM115</f>
        <v>5</v>
      </c>
      <c r="AP115" s="191" t="str">
        <f>'1_BD questio brut'!AN115</f>
        <v/>
      </c>
      <c r="AQ115" s="191" t="str">
        <f>'1_BD questio brut'!AO115</f>
        <v/>
      </c>
    </row>
    <row r="116" spans="1:43" ht="43.5" hidden="1">
      <c r="A116" s="98">
        <f>INDEX('3_BD instruction total'!A:A,MATCH(C116,'3_BD instruction total'!F:F,0))</f>
        <v>2021</v>
      </c>
      <c r="B116" s="98" t="str">
        <f>INDEX('3_BD instruction total'!C:C,MATCH(C116,'3_BD instruction total'!F:F,0))</f>
        <v>non</v>
      </c>
      <c r="C116" s="191" t="str">
        <f>'1_BD questio brut'!A116</f>
        <v>VRB0122</v>
      </c>
      <c r="D116" s="191" t="str">
        <f t="array" ref="D116">INDEX('Données 1_BD questio'!C:C,MATCH('1_BD questio brut'!$B$1&amp;'1_BD questio brut'!B116,'Données 1_BD questio'!A:A&amp;'Données 1_BD questio'!B:B,0))</f>
        <v>CAPV</v>
      </c>
      <c r="E116" s="191" t="str">
        <f t="array" ref="E116">INDEX('Données 1_BD questio'!C:C,MATCH('1_BD questio brut'!$C$1&amp;'1_BD questio brut'!C116,'Données 1_BD questio'!A:A&amp;'Données 1_BD questio'!B:B,0))</f>
        <v>Ouvrier</v>
      </c>
      <c r="F116" s="191" t="str">
        <f t="array" ref="F116">INDEX('Données 1_BD questio'!C:C,MATCH('1_BD questio brut'!$D$1&amp;'1_BD questio brut'!D116,'Données 1_BD questio'!A:A&amp;'Données 1_BD questio'!B:B,0))</f>
        <v>Employé</v>
      </c>
      <c r="G116" s="191" t="str">
        <f>'1_BD questio brut'!E116</f>
        <v>35 à 49 ans</v>
      </c>
      <c r="H116" s="191">
        <f>'1_BD questio brut'!F116</f>
        <v>4</v>
      </c>
      <c r="I116" s="191" t="str">
        <f>'1_BD questio brut'!G116</f>
        <v>Pas de réponse</v>
      </c>
      <c r="J116" s="191" t="str">
        <f t="array" ref="J116">INDEX('Données 1_BD questio'!C:C,MATCH('1_BD questio brut'!$H$1&amp;'1_BD questio brut'!H116,'Données 1_BD questio'!A:A&amp;'Données 1_BD questio'!B:B,0))</f>
        <v>Maison avec jardin</v>
      </c>
      <c r="K116" s="191">
        <f>'1_BD questio brut'!I116</f>
        <v>107</v>
      </c>
      <c r="L116" s="191" t="str">
        <f>'1_BD questio brut'!J116</f>
        <v>1990-2005</v>
      </c>
      <c r="M116" s="191" t="str">
        <f>'1_BD questio brut'!K116</f>
        <v>6</v>
      </c>
      <c r="N116" s="191" t="str">
        <f>'1_BD questio brut'!L116</f>
        <v>D</v>
      </c>
      <c r="O116" s="191" t="str">
        <f>'1_BD questio brut'!M116</f>
        <v>Propriétaire occupant</v>
      </c>
      <c r="P116" s="191" t="str">
        <f>'1_BD questio brut'!N116</f>
        <v>Insert / foyer fermé</v>
      </c>
      <c r="Q116" s="191" t="str">
        <f>'1_BD questio brut'!O116</f>
        <v>Chauffage de base</v>
      </c>
      <c r="R116" s="191" t="str">
        <f>'1_BD questio brut'!P116</f>
        <v>Tous les jours</v>
      </c>
      <c r="S116" s="191" t="str">
        <f>'1_BD questio brut'!Q116</f>
        <v>1; 2; 3; 4; 5; 6</v>
      </c>
      <c r="T116" s="191" t="str">
        <f>'1_BD questio brut'!R116</f>
        <v>1990-1995</v>
      </c>
      <c r="U116" s="191" t="str">
        <f>'1_BD questio brut'!S116</f>
        <v>Bois bûche</v>
      </c>
      <c r="V116" s="191" t="str">
        <f>'1_BD questio brut'!T116</f>
        <v/>
      </c>
      <c r="W116" s="191" t="str">
        <f>'1_BD questio brut'!U116</f>
        <v>6</v>
      </c>
      <c r="X116" s="191" t="str">
        <f>'1_BD questio brut'!V116</f>
        <v>stères</v>
      </c>
      <c r="Y116" s="191" t="str">
        <f>'1_BD questio brut'!W116</f>
        <v>1</v>
      </c>
      <c r="Z116" s="191" t="str">
        <f>'1_BD questio brut'!X116</f>
        <v/>
      </c>
      <c r="AA116" s="191" t="str">
        <f t="array" ref="AA116">INDEX('Données 1_BD questio'!C:C,MATCH('1_BD questio brut'!$Y$1&amp;'1_BD questio brut'!Y116,'Données 1_BD questio'!A:A&amp;'Données 1_BD questio'!B:B,0))</f>
        <v>Ne sait pas</v>
      </c>
      <c r="AB116" s="191" t="str">
        <f>'1_BD questio brut'!Z116</f>
        <v>2</v>
      </c>
      <c r="AC116" s="191" t="str">
        <f>'1_BD questio brut'!AA116</f>
        <v>1 à 2 ans</v>
      </c>
      <c r="AD116" s="191" t="str">
        <f>'1_BD questio brut'!AB116</f>
        <v>Feuillus</v>
      </c>
      <c r="AE116" s="191" t="str">
        <f t="array" ref="AE116">INDEX('Données 1_BD questio'!C:C,MATCH('1_BD questio brut'!$AC$1&amp;'1_BD questio brut'!AC116,'Données 1_BD questio'!A:A&amp;'Données 1_BD questio'!B:B,0))</f>
        <v>un professionnel</v>
      </c>
      <c r="AF116" s="191" t="str">
        <f>'1_BD questio brut'!AD116</f>
        <v>1 fois par an</v>
      </c>
      <c r="AG116" s="191" t="str">
        <f>'1_BD questio brut'!AE116</f>
        <v/>
      </c>
      <c r="AH116" s="191" t="str">
        <f>'1_BD questio brut'!AF116</f>
        <v>Poêle</v>
      </c>
      <c r="AI116" s="191" t="str">
        <f>'1_BD questio brut'!AG116</f>
        <v>1</v>
      </c>
      <c r="AJ116" s="191" t="str">
        <f>'1_BD questio brut'!AH116</f>
        <v/>
      </c>
      <c r="AK116" s="191" t="str">
        <f>'1_BD questio brut'!AI116</f>
        <v>Chauffage de base</v>
      </c>
      <c r="AL116" s="191" t="str">
        <f>'1_BD questio brut'!AJ116</f>
        <v>Pas de réponse</v>
      </c>
      <c r="AM116" s="191" t="str">
        <f>'1_BD questio brut'!AK116</f>
        <v>1; 2; 4; 5</v>
      </c>
      <c r="AN116" s="191" t="str">
        <f>'1_BD questio brut'!AL116</f>
        <v/>
      </c>
      <c r="AO116" s="191" t="str">
        <f>'1_BD questio brut'!AM116</f>
        <v>1; 5; 7; 11</v>
      </c>
      <c r="AP116" s="191" t="str">
        <f>'1_BD questio brut'!AN116</f>
        <v/>
      </c>
      <c r="AQ116" s="191" t="str">
        <f>'1_BD questio brut'!AO116</f>
        <v/>
      </c>
    </row>
    <row r="117" spans="1:43" ht="29" hidden="1">
      <c r="A117" s="98">
        <f>INDEX('3_BD instruction total'!A:A,MATCH(C117,'3_BD instruction total'!F:F,0))</f>
        <v>2021</v>
      </c>
      <c r="B117" s="98" t="str">
        <f>INDEX('3_BD instruction total'!C:C,MATCH(C117,'3_BD instruction total'!F:F,0))</f>
        <v>non</v>
      </c>
      <c r="C117" s="191" t="str">
        <f>'1_BD questio brut'!A117</f>
        <v>VRB0123</v>
      </c>
      <c r="D117" s="191" t="str">
        <f t="array" ref="D117">INDEX('Données 1_BD questio'!C:C,MATCH('1_BD questio brut'!$B$1&amp;'1_BD questio brut'!B117,'Données 1_BD questio'!A:A&amp;'Données 1_BD questio'!B:B,0))</f>
        <v>CAPV</v>
      </c>
      <c r="E117" s="191" t="str">
        <f t="array" ref="E117">INDEX('Données 1_BD questio'!C:C,MATCH('1_BD questio brut'!$C$1&amp;'1_BD questio brut'!C117,'Données 1_BD questio'!A:A&amp;'Données 1_BD questio'!B:B,0))</f>
        <v>Employé</v>
      </c>
      <c r="F117" s="191" t="str">
        <f t="array" ref="F117">INDEX('Données 1_BD questio'!C:C,MATCH('1_BD questio brut'!$D$1&amp;'1_BD questio brut'!D117,'Données 1_BD questio'!A:A&amp;'Données 1_BD questio'!B:B,0))</f>
        <v>Employé</v>
      </c>
      <c r="G117" s="191" t="str">
        <f>'1_BD questio brut'!E117</f>
        <v>35 à 49 ans</v>
      </c>
      <c r="H117" s="191">
        <f>'1_BD questio brut'!F117</f>
        <v>3</v>
      </c>
      <c r="I117" s="191" t="str">
        <f>'1_BD questio brut'!G117</f>
        <v>Pas de réponse</v>
      </c>
      <c r="J117" s="191" t="str">
        <f t="array" ref="J117">INDEX('Données 1_BD questio'!C:C,MATCH('1_BD questio brut'!$H$1&amp;'1_BD questio brut'!H117,'Données 1_BD questio'!A:A&amp;'Données 1_BD questio'!B:B,0))</f>
        <v>Maison avec jardin</v>
      </c>
      <c r="K117" s="191">
        <f>'1_BD questio brut'!I117</f>
        <v>100</v>
      </c>
      <c r="L117" s="191" t="str">
        <f>'1_BD questio brut'!J117</f>
        <v>Avant 1949</v>
      </c>
      <c r="M117" s="191" t="str">
        <f>'1_BD questio brut'!K117</f>
        <v>1</v>
      </c>
      <c r="N117" s="191" t="str">
        <f>'1_BD questio brut'!L117</f>
        <v>E</v>
      </c>
      <c r="O117" s="191" t="str">
        <f>'1_BD questio brut'!M117</f>
        <v>Propriétaire occupant</v>
      </c>
      <c r="P117" s="191" t="str">
        <f>'1_BD questio brut'!N117</f>
        <v>Foyer ouvert</v>
      </c>
      <c r="Q117" s="191" t="str">
        <f>'1_BD questio brut'!O117</f>
        <v>Pas de réponse</v>
      </c>
      <c r="R117" s="191" t="str">
        <f>'1_BD questio brut'!P117</f>
        <v>Pas de réponse</v>
      </c>
      <c r="S117" s="191" t="str">
        <f>'1_BD questio brut'!Q117</f>
        <v/>
      </c>
      <c r="T117" s="191" t="str">
        <f>'1_BD questio brut'!R117</f>
        <v>Avant 1990</v>
      </c>
      <c r="U117" s="191" t="str">
        <f>'1_BD questio brut'!S117</f>
        <v>Bois bûche</v>
      </c>
      <c r="V117" s="191" t="str">
        <f>'1_BD questio brut'!T117</f>
        <v/>
      </c>
      <c r="W117" s="191" t="str">
        <f>'1_BD questio brut'!U117</f>
        <v/>
      </c>
      <c r="X117" s="191" t="str">
        <f>'1_BD questio brut'!V117</f>
        <v/>
      </c>
      <c r="Y117" s="191" t="str">
        <f>'1_BD questio brut'!W117</f>
        <v>5</v>
      </c>
      <c r="Z117" s="191" t="str">
        <f>'1_BD questio brut'!X117</f>
        <v/>
      </c>
      <c r="AA117" s="191" t="str">
        <f t="array" ref="AA117">INDEX('Données 1_BD questio'!C:C,MATCH('1_BD questio brut'!$Y$1&amp;'1_BD questio brut'!Y117,'Données 1_BD questio'!A:A&amp;'Données 1_BD questio'!B:B,0))</f>
        <v>Pas de réponse</v>
      </c>
      <c r="AB117" s="191" t="str">
        <f>'1_BD questio brut'!Z117</f>
        <v>4</v>
      </c>
      <c r="AC117" s="191" t="str">
        <f>'1_BD questio brut'!AA117</f>
        <v>Pas de réponse</v>
      </c>
      <c r="AD117" s="191" t="str">
        <f>'1_BD questio brut'!AB117</f>
        <v>Pas de réponse</v>
      </c>
      <c r="AE117" s="191" t="str">
        <f t="array" ref="AE117">INDEX('Données 1_BD questio'!C:C,MATCH('1_BD questio brut'!$AC$1&amp;'1_BD questio brut'!AC117,'Données 1_BD questio'!A:A&amp;'Données 1_BD questio'!B:B,0))</f>
        <v>Pas de réponse</v>
      </c>
      <c r="AF117" s="191" t="str">
        <f>'1_BD questio brut'!AD117</f>
        <v>Pas de réponse</v>
      </c>
      <c r="AG117" s="191" t="str">
        <f>'1_BD questio brut'!AE117</f>
        <v/>
      </c>
      <c r="AH117" s="191" t="str">
        <f>'1_BD questio brut'!AF117</f>
        <v>Poêle</v>
      </c>
      <c r="AI117" s="191" t="str">
        <f>'1_BD questio brut'!AG117</f>
        <v>2</v>
      </c>
      <c r="AJ117" s="191" t="str">
        <f>'1_BD questio brut'!AH117</f>
        <v/>
      </c>
      <c r="AK117" s="191" t="str">
        <f>'1_BD questio brut'!AI117</f>
        <v>Chauffage de base</v>
      </c>
      <c r="AL117" s="191" t="str">
        <f>'1_BD questio brut'!AJ117</f>
        <v>Pas de réponse</v>
      </c>
      <c r="AM117" s="191" t="str">
        <f>'1_BD questio brut'!AK117</f>
        <v>2; 4; 5</v>
      </c>
      <c r="AN117" s="191" t="str">
        <f>'1_BD questio brut'!AL117</f>
        <v/>
      </c>
      <c r="AO117" s="191" t="str">
        <f>'1_BD questio brut'!AM117</f>
        <v>7</v>
      </c>
      <c r="AP117" s="191" t="str">
        <f>'1_BD questio brut'!AN117</f>
        <v/>
      </c>
      <c r="AQ117" s="191" t="str">
        <f>'1_BD questio brut'!AO117</f>
        <v/>
      </c>
    </row>
    <row r="118" spans="1:43" ht="43.5" hidden="1">
      <c r="A118" s="98">
        <f>INDEX('3_BD instruction total'!A:A,MATCH(C118,'3_BD instruction total'!F:F,0))</f>
        <v>2021</v>
      </c>
      <c r="B118" s="98" t="str">
        <f>INDEX('3_BD instruction total'!C:C,MATCH(C118,'3_BD instruction total'!F:F,0))</f>
        <v>non</v>
      </c>
      <c r="C118" s="191" t="str">
        <f>'1_BD questio brut'!A118</f>
        <v>VRB0124</v>
      </c>
      <c r="D118" s="191" t="str">
        <f t="array" ref="D118">INDEX('Données 1_BD questio'!C:C,MATCH('1_BD questio brut'!$B$1&amp;'1_BD questio brut'!B118,'Données 1_BD questio'!A:A&amp;'Données 1_BD questio'!B:B,0))</f>
        <v>GAM</v>
      </c>
      <c r="E118" s="191" t="str">
        <f t="array" ref="E118">INDEX('Données 1_BD questio'!C:C,MATCH('1_BD questio brut'!$C$1&amp;'1_BD questio brut'!C118,'Données 1_BD questio'!A:A&amp;'Données 1_BD questio'!B:B,0))</f>
        <v>Retraité</v>
      </c>
      <c r="F118" s="191" t="str">
        <f t="array" ref="F118">INDEX('Données 1_BD questio'!C:C,MATCH('1_BD questio brut'!$D$1&amp;'1_BD questio brut'!D118,'Données 1_BD questio'!A:A&amp;'Données 1_BD questio'!B:B,0))</f>
        <v>Retraité</v>
      </c>
      <c r="G118" s="191" t="str">
        <f>'1_BD questio brut'!E118</f>
        <v>50 à 64 ans</v>
      </c>
      <c r="H118" s="191">
        <f>'1_BD questio brut'!F118</f>
        <v>2</v>
      </c>
      <c r="I118" s="191" t="str">
        <f>'1_BD questio brut'!G118</f>
        <v>Pas de réponse</v>
      </c>
      <c r="J118" s="191" t="str">
        <f t="array" ref="J118">INDEX('Données 1_BD questio'!C:C,MATCH('1_BD questio brut'!$H$1&amp;'1_BD questio brut'!H118,'Données 1_BD questio'!A:A&amp;'Données 1_BD questio'!B:B,0))</f>
        <v>Maison avec jardin</v>
      </c>
      <c r="K118" s="191">
        <f>'1_BD questio brut'!I118</f>
        <v>160</v>
      </c>
      <c r="L118" s="191" t="str">
        <f>'1_BD questio brut'!J118</f>
        <v>1949-1975</v>
      </c>
      <c r="M118" s="191" t="str">
        <f>'1_BD questio brut'!K118</f>
        <v>1</v>
      </c>
      <c r="N118" s="191" t="str">
        <f>'1_BD questio brut'!L118</f>
        <v>E</v>
      </c>
      <c r="O118" s="191" t="str">
        <f>'1_BD questio brut'!M118</f>
        <v>Propriétaire occupant</v>
      </c>
      <c r="P118" s="191" t="str">
        <f>'1_BD questio brut'!N118</f>
        <v>Foyer ouvert</v>
      </c>
      <c r="Q118" s="191" t="str">
        <f>'1_BD questio brut'!O118</f>
        <v>Chauffage d'apoint</v>
      </c>
      <c r="R118" s="191" t="str">
        <f>'1_BD questio brut'!P118</f>
        <v>3 à 4 jours/semaine</v>
      </c>
      <c r="S118" s="191" t="str">
        <f>'1_BD questio brut'!Q118</f>
        <v>3</v>
      </c>
      <c r="T118" s="191" t="str">
        <f>'1_BD questio brut'!R118</f>
        <v>Avant 1990</v>
      </c>
      <c r="U118" s="191" t="str">
        <f>'1_BD questio brut'!S118</f>
        <v>Bois bûche</v>
      </c>
      <c r="V118" s="191" t="str">
        <f>'1_BD questio brut'!T118</f>
        <v/>
      </c>
      <c r="W118" s="191" t="str">
        <f>'1_BD questio brut'!U118</f>
        <v>4</v>
      </c>
      <c r="X118" s="191" t="str">
        <f>'1_BD questio brut'!V118</f>
        <v>stères</v>
      </c>
      <c r="Y118" s="191" t="str">
        <f>'1_BD questio brut'!W118</f>
        <v>2</v>
      </c>
      <c r="Z118" s="191" t="str">
        <f>'1_BD questio brut'!X118</f>
        <v/>
      </c>
      <c r="AA118" s="191" t="str">
        <f t="array" ref="AA118">INDEX('Données 1_BD questio'!C:C,MATCH('1_BD questio brut'!$Y$1&amp;'1_BD questio brut'!Y118,'Données 1_BD questio'!A:A&amp;'Données 1_BD questio'!B:B,0))</f>
        <v>Ne sait pas</v>
      </c>
      <c r="AB118" s="191" t="str">
        <f>'1_BD questio brut'!Z118</f>
        <v>2</v>
      </c>
      <c r="AC118" s="191" t="str">
        <f>'1_BD questio brut'!AA118</f>
        <v>1 à 2 ans</v>
      </c>
      <c r="AD118" s="191" t="str">
        <f>'1_BD questio brut'!AB118</f>
        <v>Feuillus</v>
      </c>
      <c r="AE118" s="191" t="str">
        <f t="array" ref="AE118">INDEX('Données 1_BD questio'!C:C,MATCH('1_BD questio brut'!$AC$1&amp;'1_BD questio brut'!AC118,'Données 1_BD questio'!A:A&amp;'Données 1_BD questio'!B:B,0))</f>
        <v>vous-même</v>
      </c>
      <c r="AF118" s="191" t="str">
        <f>'1_BD questio brut'!AD118</f>
        <v>1 fois par an</v>
      </c>
      <c r="AG118" s="191" t="str">
        <f>'1_BD questio brut'!AE118</f>
        <v/>
      </c>
      <c r="AH118" s="191" t="str">
        <f>'1_BD questio brut'!AF118</f>
        <v>Insert cheminée</v>
      </c>
      <c r="AI118" s="191" t="str">
        <f>'1_BD questio brut'!AG118</f>
        <v>1</v>
      </c>
      <c r="AJ118" s="191" t="str">
        <f>'1_BD questio brut'!AH118</f>
        <v/>
      </c>
      <c r="AK118" s="191" t="str">
        <f>'1_BD questio brut'!AI118</f>
        <v>Chauffage d'appoint</v>
      </c>
      <c r="AL118" s="191" t="str">
        <f>'1_BD questio brut'!AJ118</f>
        <v>Pas de réponse</v>
      </c>
      <c r="AM118" s="191" t="str">
        <f>'1_BD questio brut'!AK118</f>
        <v>3; 4; 5</v>
      </c>
      <c r="AN118" s="191" t="str">
        <f>'1_BD questio brut'!AL118</f>
        <v/>
      </c>
      <c r="AO118" s="191" t="str">
        <f>'1_BD questio brut'!AM118</f>
        <v>2; 5; 7</v>
      </c>
      <c r="AP118" s="191" t="str">
        <f>'1_BD questio brut'!AN118</f>
        <v/>
      </c>
      <c r="AQ118" s="191" t="str">
        <f>'1_BD questio brut'!AO118</f>
        <v/>
      </c>
    </row>
    <row r="119" spans="1:43" ht="43.5" hidden="1">
      <c r="A119" s="98">
        <f>INDEX('3_BD instruction total'!A:A,MATCH(C119,'3_BD instruction total'!F:F,0))</f>
        <v>2021</v>
      </c>
      <c r="B119" s="98" t="str">
        <f>INDEX('3_BD instruction total'!C:C,MATCH(C119,'3_BD instruction total'!F:F,0))</f>
        <v>non</v>
      </c>
      <c r="C119" s="191" t="str">
        <f>'1_BD questio brut'!A119</f>
        <v>VRB0125</v>
      </c>
      <c r="D119" s="191" t="str">
        <f t="array" ref="D119">INDEX('Données 1_BD questio'!C:C,MATCH('1_BD questio brut'!$B$1&amp;'1_BD questio brut'!B119,'Données 1_BD questio'!A:A&amp;'Données 1_BD questio'!B:B,0))</f>
        <v>CAPV</v>
      </c>
      <c r="E119" s="191" t="str">
        <f t="array" ref="E119">INDEX('Données 1_BD questio'!C:C,MATCH('1_BD questio brut'!$C$1&amp;'1_BD questio brut'!C119,'Données 1_BD questio'!A:A&amp;'Données 1_BD questio'!B:B,0))</f>
        <v>Retraité</v>
      </c>
      <c r="F119" s="191" t="str">
        <f t="array" ref="F119">INDEX('Données 1_BD questio'!C:C,MATCH('1_BD questio brut'!$D$1&amp;'1_BD questio brut'!D119,'Données 1_BD questio'!A:A&amp;'Données 1_BD questio'!B:B,0))</f>
        <v>Retraité</v>
      </c>
      <c r="G119" s="191" t="str">
        <f>'1_BD questio brut'!E119</f>
        <v>65 ans et plus</v>
      </c>
      <c r="H119" s="191">
        <f>'1_BD questio brut'!F119</f>
        <v>2</v>
      </c>
      <c r="I119" s="191" t="str">
        <f>'1_BD questio brut'!G119</f>
        <v>Pas de réponse</v>
      </c>
      <c r="J119" s="191" t="str">
        <f t="array" ref="J119">INDEX('Données 1_BD questio'!C:C,MATCH('1_BD questio brut'!$H$1&amp;'1_BD questio brut'!H119,'Données 1_BD questio'!A:A&amp;'Données 1_BD questio'!B:B,0))</f>
        <v>Maison avec jardin</v>
      </c>
      <c r="K119" s="191">
        <f>'1_BD questio brut'!I119</f>
        <v>100</v>
      </c>
      <c r="L119" s="191" t="str">
        <f>'1_BD questio brut'!J119</f>
        <v>1975-1990</v>
      </c>
      <c r="M119" s="191" t="str">
        <f>'1_BD questio brut'!K119</f>
        <v>4</v>
      </c>
      <c r="N119" s="191" t="str">
        <f>'1_BD questio brut'!L119</f>
        <v>Ne sait pas</v>
      </c>
      <c r="O119" s="191" t="str">
        <f>'1_BD questio brut'!M119</f>
        <v>Propriétaire occupant</v>
      </c>
      <c r="P119" s="191" t="str">
        <f>'1_BD questio brut'!N119</f>
        <v>Insert / foyer fermé</v>
      </c>
      <c r="Q119" s="191" t="str">
        <f>'1_BD questio brut'!O119</f>
        <v>Chauffage d'apoint</v>
      </c>
      <c r="R119" s="191" t="str">
        <f>'1_BD questio brut'!P119</f>
        <v>3 à 4 jours/semaine</v>
      </c>
      <c r="S119" s="191" t="str">
        <f>'1_BD questio brut'!Q119</f>
        <v>2; 3; 4; 6</v>
      </c>
      <c r="T119" s="191" t="str">
        <f>'1_BD questio brut'!R119</f>
        <v>Avant 1990</v>
      </c>
      <c r="U119" s="191" t="str">
        <f>'1_BD questio brut'!S119</f>
        <v>Bois bûche</v>
      </c>
      <c r="V119" s="191" t="str">
        <f>'1_BD questio brut'!T119</f>
        <v/>
      </c>
      <c r="W119" s="191" t="str">
        <f>'1_BD questio brut'!U119</f>
        <v>4</v>
      </c>
      <c r="X119" s="191" t="str">
        <f>'1_BD questio brut'!V119</f>
        <v>stères</v>
      </c>
      <c r="Y119" s="191" t="str">
        <f>'1_BD questio brut'!W119</f>
        <v>1; 2</v>
      </c>
      <c r="Z119" s="191" t="str">
        <f>'1_BD questio brut'!X119</f>
        <v/>
      </c>
      <c r="AA119" s="191" t="str">
        <f t="array" ref="AA119">INDEX('Données 1_BD questio'!C:C,MATCH('1_BD questio brut'!$Y$1&amp;'1_BD questio brut'!Y119,'Données 1_BD questio'!A:A&amp;'Données 1_BD questio'!B:B,0))</f>
        <v>Pas de réponse</v>
      </c>
      <c r="AB119" s="191" t="str">
        <f>'1_BD questio brut'!Z119</f>
        <v>1</v>
      </c>
      <c r="AC119" s="191" t="str">
        <f>'1_BD questio brut'!AA119</f>
        <v>&gt; 2 ans</v>
      </c>
      <c r="AD119" s="191" t="str">
        <f>'1_BD questio brut'!AB119</f>
        <v>Feuillus</v>
      </c>
      <c r="AE119" s="191" t="str">
        <f t="array" ref="AE119">INDEX('Données 1_BD questio'!C:C,MATCH('1_BD questio brut'!$AC$1&amp;'1_BD questio brut'!AC119,'Données 1_BD questio'!A:A&amp;'Données 1_BD questio'!B:B,0))</f>
        <v>vous-même</v>
      </c>
      <c r="AF119" s="191" t="str">
        <f>'1_BD questio brut'!AD119</f>
        <v>1 fois par an</v>
      </c>
      <c r="AG119" s="191" t="str">
        <f>'1_BD questio brut'!AE119</f>
        <v/>
      </c>
      <c r="AH119" s="191" t="str">
        <f>'1_BD questio brut'!AF119</f>
        <v>Poêle</v>
      </c>
      <c r="AI119" s="191" t="str">
        <f>'1_BD questio brut'!AG119</f>
        <v>1</v>
      </c>
      <c r="AJ119" s="191" t="str">
        <f>'1_BD questio brut'!AH119</f>
        <v/>
      </c>
      <c r="AK119" s="191" t="str">
        <f>'1_BD questio brut'!AI119</f>
        <v>Chauffage de base</v>
      </c>
      <c r="AL119" s="191" t="str">
        <f>'1_BD questio brut'!AJ119</f>
        <v>Pas de réponse</v>
      </c>
      <c r="AM119" s="191" t="str">
        <f>'1_BD questio brut'!AK119</f>
        <v>1; 2; 3; 4; 5</v>
      </c>
      <c r="AN119" s="191" t="str">
        <f>'1_BD questio brut'!AL119</f>
        <v/>
      </c>
      <c r="AO119" s="191" t="str">
        <f>'1_BD questio brut'!AM119</f>
        <v>7; 11</v>
      </c>
      <c r="AP119" s="191" t="str">
        <f>'1_BD questio brut'!AN119</f>
        <v/>
      </c>
      <c r="AQ119" s="191" t="str">
        <f>'1_BD questio brut'!AO119</f>
        <v/>
      </c>
    </row>
    <row r="120" spans="1:43" ht="43.5" hidden="1">
      <c r="A120" s="98">
        <f>INDEX('3_BD instruction total'!A:A,MATCH(C120,'3_BD instruction total'!F:F,0))</f>
        <v>2021</v>
      </c>
      <c r="B120" s="98" t="str">
        <f>INDEX('3_BD instruction total'!C:C,MATCH(C120,'3_BD instruction total'!F:F,0))</f>
        <v>non</v>
      </c>
      <c r="C120" s="191" t="str">
        <f>'1_BD questio brut'!A120</f>
        <v>VRB0126</v>
      </c>
      <c r="D120" s="191" t="str">
        <f t="array" ref="D120">INDEX('Données 1_BD questio'!C:C,MATCH('1_BD questio brut'!$B$1&amp;'1_BD questio brut'!B120,'Données 1_BD questio'!A:A&amp;'Données 1_BD questio'!B:B,0))</f>
        <v>CAPV</v>
      </c>
      <c r="E120" s="191" t="str">
        <f t="array" ref="E120">INDEX('Données 1_BD questio'!C:C,MATCH('1_BD questio brut'!$C$1&amp;'1_BD questio brut'!C120,'Données 1_BD questio'!A:A&amp;'Données 1_BD questio'!B:B,0))</f>
        <v>Retraité</v>
      </c>
      <c r="F120" s="191" t="str">
        <f t="array" ref="F120">INDEX('Données 1_BD questio'!C:C,MATCH('1_BD questio brut'!$D$1&amp;'1_BD questio brut'!D120,'Données 1_BD questio'!A:A&amp;'Données 1_BD questio'!B:B,0))</f>
        <v>Autre,sans activité</v>
      </c>
      <c r="G120" s="191" t="str">
        <f>'1_BD questio brut'!E120</f>
        <v>65 ans et plus</v>
      </c>
      <c r="H120" s="191">
        <f>'1_BD questio brut'!F120</f>
        <v>2</v>
      </c>
      <c r="I120" s="191" t="str">
        <f>'1_BD questio brut'!G120</f>
        <v>Pas de réponse</v>
      </c>
      <c r="J120" s="191" t="str">
        <f t="array" ref="J120">INDEX('Données 1_BD questio'!C:C,MATCH('1_BD questio brut'!$H$1&amp;'1_BD questio brut'!H120,'Données 1_BD questio'!A:A&amp;'Données 1_BD questio'!B:B,0))</f>
        <v>Maison avec jardin</v>
      </c>
      <c r="K120" s="191">
        <f>'1_BD questio brut'!I120</f>
        <v>120</v>
      </c>
      <c r="L120" s="191" t="str">
        <f>'1_BD questio brut'!J120</f>
        <v>1975-1990</v>
      </c>
      <c r="M120" s="191" t="str">
        <f>'1_BD questio brut'!K120</f>
        <v>1</v>
      </c>
      <c r="N120" s="191" t="str">
        <f>'1_BD questio brut'!L120</f>
        <v>Pas de réponse</v>
      </c>
      <c r="O120" s="191" t="str">
        <f>'1_BD questio brut'!M120</f>
        <v>Propriétaire occupant</v>
      </c>
      <c r="P120" s="191" t="str">
        <f>'1_BD questio brut'!N120</f>
        <v>Insert / foyer fermé</v>
      </c>
      <c r="Q120" s="191" t="str">
        <f>'1_BD questio brut'!O120</f>
        <v>Chauffage de base</v>
      </c>
      <c r="R120" s="191" t="str">
        <f>'1_BD questio brut'!P120</f>
        <v>Tous les jours</v>
      </c>
      <c r="S120" s="191" t="str">
        <f>'1_BD questio brut'!Q120</f>
        <v>4</v>
      </c>
      <c r="T120" s="191" t="str">
        <f>'1_BD questio brut'!R120</f>
        <v>Avant 1990</v>
      </c>
      <c r="U120" s="191" t="str">
        <f>'1_BD questio brut'!S120</f>
        <v>Bois bûche</v>
      </c>
      <c r="V120" s="191" t="str">
        <f>'1_BD questio brut'!T120</f>
        <v/>
      </c>
      <c r="W120" s="191" t="str">
        <f>'1_BD questio brut'!U120</f>
        <v>10</v>
      </c>
      <c r="X120" s="191" t="str">
        <f>'1_BD questio brut'!V120</f>
        <v>stères</v>
      </c>
      <c r="Y120" s="191" t="str">
        <f>'1_BD questio brut'!W120</f>
        <v>2</v>
      </c>
      <c r="Z120" s="191" t="str">
        <f>'1_BD questio brut'!X120</f>
        <v/>
      </c>
      <c r="AA120" s="191" t="str">
        <f t="array" ref="AA120">INDEX('Données 1_BD questio'!C:C,MATCH('1_BD questio brut'!$Y$1&amp;'1_BD questio brut'!Y120,'Données 1_BD questio'!A:A&amp;'Données 1_BD questio'!B:B,0))</f>
        <v>RA2B</v>
      </c>
      <c r="AB120" s="191" t="str">
        <f>'1_BD questio brut'!Z120</f>
        <v>2</v>
      </c>
      <c r="AC120" s="191" t="str">
        <f>'1_BD questio brut'!AA120</f>
        <v>&gt; 2 ans</v>
      </c>
      <c r="AD120" s="191" t="str">
        <f>'1_BD questio brut'!AB120</f>
        <v>Feuillus</v>
      </c>
      <c r="AE120" s="191" t="str">
        <f t="array" ref="AE120">INDEX('Données 1_BD questio'!C:C,MATCH('1_BD questio brut'!$AC$1&amp;'1_BD questio brut'!AC120,'Données 1_BD questio'!A:A&amp;'Données 1_BD questio'!B:B,0))</f>
        <v>un professionnel</v>
      </c>
      <c r="AF120" s="191" t="str">
        <f>'1_BD questio brut'!AD120</f>
        <v>1 fois par an</v>
      </c>
      <c r="AG120" s="191" t="str">
        <f>'1_BD questio brut'!AE120</f>
        <v/>
      </c>
      <c r="AH120" s="191" t="str">
        <f>'1_BD questio brut'!AF120</f>
        <v>Poêle</v>
      </c>
      <c r="AI120" s="191" t="str">
        <f>'1_BD questio brut'!AG120</f>
        <v>1</v>
      </c>
      <c r="AJ120" s="191" t="str">
        <f>'1_BD questio brut'!AH120</f>
        <v/>
      </c>
      <c r="AK120" s="191" t="str">
        <f>'1_BD questio brut'!AI120</f>
        <v>Chauffage de base</v>
      </c>
      <c r="AL120" s="191" t="str">
        <f>'1_BD questio brut'!AJ120</f>
        <v>Pas de réponse</v>
      </c>
      <c r="AM120" s="191" t="str">
        <f>'1_BD questio brut'!AK120</f>
        <v>2; 4; 5</v>
      </c>
      <c r="AN120" s="191" t="str">
        <f>'1_BD questio brut'!AL120</f>
        <v/>
      </c>
      <c r="AO120" s="191" t="str">
        <f>'1_BD questio brut'!AM120</f>
        <v>5; 7</v>
      </c>
      <c r="AP120" s="191" t="str">
        <f>'1_BD questio brut'!AN120</f>
        <v/>
      </c>
      <c r="AQ120" s="191" t="str">
        <f>'1_BD questio brut'!AO120</f>
        <v/>
      </c>
    </row>
    <row r="121" spans="1:43" ht="43.5" hidden="1">
      <c r="A121" s="98">
        <f>INDEX('3_BD instruction total'!A:A,MATCH(C121,'3_BD instruction total'!F:F,0))</f>
        <v>2021</v>
      </c>
      <c r="B121" s="98" t="str">
        <f>INDEX('3_BD instruction total'!C:C,MATCH(C121,'3_BD instruction total'!F:F,0))</f>
        <v>non</v>
      </c>
      <c r="C121" s="191" t="str">
        <f>'1_BD questio brut'!A121</f>
        <v>VRB0127</v>
      </c>
      <c r="D121" s="191" t="str">
        <f t="array" ref="D121">INDEX('Données 1_BD questio'!C:C,MATCH('1_BD questio brut'!$B$1&amp;'1_BD questio brut'!B121,'Données 1_BD questio'!A:A&amp;'Données 1_BD questio'!B:B,0))</f>
        <v>CAPV</v>
      </c>
      <c r="E121" s="191" t="str">
        <f t="array" ref="E121">INDEX('Données 1_BD questio'!C:C,MATCH('1_BD questio brut'!$C$1&amp;'1_BD questio brut'!C121,'Données 1_BD questio'!A:A&amp;'Données 1_BD questio'!B:B,0))</f>
        <v>Retraité</v>
      </c>
      <c r="F121" s="191" t="str">
        <f t="array" ref="F121">INDEX('Données 1_BD questio'!C:C,MATCH('1_BD questio brut'!$D$1&amp;'1_BD questio brut'!D121,'Données 1_BD questio'!A:A&amp;'Données 1_BD questio'!B:B,0))</f>
        <v>Retraité</v>
      </c>
      <c r="G121" s="191" t="str">
        <f>'1_BD questio brut'!E121</f>
        <v>65 ans et plus</v>
      </c>
      <c r="H121" s="191">
        <f>'1_BD questio brut'!F121</f>
        <v>2</v>
      </c>
      <c r="I121" s="191" t="str">
        <f>'1_BD questio brut'!G121</f>
        <v>Pas de réponse</v>
      </c>
      <c r="J121" s="191" t="str">
        <f t="array" ref="J121">INDEX('Données 1_BD questio'!C:C,MATCH('1_BD questio brut'!$H$1&amp;'1_BD questio brut'!H121,'Données 1_BD questio'!A:A&amp;'Données 1_BD questio'!B:B,0))</f>
        <v>Maison avec jardin</v>
      </c>
      <c r="K121" s="191">
        <f>'1_BD questio brut'!I121</f>
        <v>97</v>
      </c>
      <c r="L121" s="191" t="str">
        <f>'1_BD questio brut'!J121</f>
        <v>1975-1990</v>
      </c>
      <c r="M121" s="191" t="str">
        <f>'1_BD questio brut'!K121</f>
        <v>1; 4</v>
      </c>
      <c r="N121" s="191" t="str">
        <f>'1_BD questio brut'!L121</f>
        <v>Ne sait pas</v>
      </c>
      <c r="O121" s="191" t="str">
        <f>'1_BD questio brut'!M121</f>
        <v>Propriétaire occupant</v>
      </c>
      <c r="P121" s="191" t="str">
        <f>'1_BD questio brut'!N121</f>
        <v>Insert / foyer fermé</v>
      </c>
      <c r="Q121" s="191" t="str">
        <f>'1_BD questio brut'!O121</f>
        <v>Chauffage d'apoint</v>
      </c>
      <c r="R121" s="191" t="str">
        <f>'1_BD questio brut'!P121</f>
        <v>1 à 2 jours/semaine</v>
      </c>
      <c r="S121" s="191" t="str">
        <f>'1_BD questio brut'!Q121</f>
        <v>2</v>
      </c>
      <c r="T121" s="191" t="str">
        <f>'1_BD questio brut'!R121</f>
        <v>1996-2002</v>
      </c>
      <c r="U121" s="191" t="str">
        <f>'1_BD questio brut'!S121</f>
        <v>Bois bûche</v>
      </c>
      <c r="V121" s="191" t="str">
        <f>'1_BD questio brut'!T121</f>
        <v/>
      </c>
      <c r="W121" s="191" t="str">
        <f>'1_BD questio brut'!U121</f>
        <v>3</v>
      </c>
      <c r="X121" s="191" t="str">
        <f>'1_BD questio brut'!V121</f>
        <v>stères</v>
      </c>
      <c r="Y121" s="191" t="str">
        <f>'1_BD questio brut'!W121</f>
        <v>2</v>
      </c>
      <c r="Z121" s="191" t="str">
        <f>'1_BD questio brut'!X121</f>
        <v/>
      </c>
      <c r="AA121" s="191" t="str">
        <f t="array" ref="AA121">INDEX('Données 1_BD questio'!C:C,MATCH('1_BD questio brut'!$Y$1&amp;'1_BD questio brut'!Y121,'Données 1_BD questio'!A:A&amp;'Données 1_BD questio'!B:B,0))</f>
        <v>Ne sait pas</v>
      </c>
      <c r="AB121" s="191" t="str">
        <f>'1_BD questio brut'!Z121</f>
        <v>1</v>
      </c>
      <c r="AC121" s="191" t="str">
        <f>'1_BD questio brut'!AA121</f>
        <v>1 à 2 ans</v>
      </c>
      <c r="AD121" s="191" t="str">
        <f>'1_BD questio brut'!AB121</f>
        <v>Feuillus</v>
      </c>
      <c r="AE121" s="191" t="str">
        <f t="array" ref="AE121">INDEX('Données 1_BD questio'!C:C,MATCH('1_BD questio brut'!$AC$1&amp;'1_BD questio brut'!AC121,'Données 1_BD questio'!A:A&amp;'Données 1_BD questio'!B:B,0))</f>
        <v>un professionnel</v>
      </c>
      <c r="AF121" s="191" t="str">
        <f>'1_BD questio brut'!AD121</f>
        <v>1 fois par an</v>
      </c>
      <c r="AG121" s="191" t="str">
        <f>'1_BD questio brut'!AE121</f>
        <v/>
      </c>
      <c r="AH121" s="191" t="str">
        <f>'1_BD questio brut'!AF121</f>
        <v>Poêle</v>
      </c>
      <c r="AI121" s="191" t="str">
        <f>'1_BD questio brut'!AG121</f>
        <v>2</v>
      </c>
      <c r="AJ121" s="191" t="str">
        <f>'1_BD questio brut'!AH121</f>
        <v/>
      </c>
      <c r="AK121" s="191" t="str">
        <f>'1_BD questio brut'!AI121</f>
        <v>Chauffage de base</v>
      </c>
      <c r="AL121" s="191" t="str">
        <f>'1_BD questio brut'!AJ121</f>
        <v>Pas de réponse</v>
      </c>
      <c r="AM121" s="191" t="str">
        <f>'1_BD questio brut'!AK121</f>
        <v>1; 2; 4; 5</v>
      </c>
      <c r="AN121" s="191" t="str">
        <f>'1_BD questio brut'!AL121</f>
        <v/>
      </c>
      <c r="AO121" s="191" t="str">
        <f>'1_BD questio brut'!AM121</f>
        <v>5</v>
      </c>
      <c r="AP121" s="191" t="str">
        <f>'1_BD questio brut'!AN121</f>
        <v/>
      </c>
      <c r="AQ121" s="191" t="str">
        <f>'1_BD questio brut'!AO121</f>
        <v/>
      </c>
    </row>
    <row r="122" spans="1:43" ht="29" hidden="1">
      <c r="A122" s="98">
        <f>INDEX('3_BD instruction total'!A:A,MATCH(C122,'3_BD instruction total'!F:F,0))</f>
        <v>2021</v>
      </c>
      <c r="B122" s="98" t="str">
        <f>INDEX('3_BD instruction total'!C:C,MATCH(C122,'3_BD instruction total'!F:F,0))</f>
        <v>non</v>
      </c>
      <c r="C122" s="191" t="str">
        <f>'1_BD questio brut'!A122</f>
        <v>VRB0128</v>
      </c>
      <c r="D122" s="191" t="str">
        <f t="array" ref="D122">INDEX('Données 1_BD questio'!C:C,MATCH('1_BD questio brut'!$B$1&amp;'1_BD questio brut'!B122,'Données 1_BD questio'!A:A&amp;'Données 1_BD questio'!B:B,0))</f>
        <v>CAPV</v>
      </c>
      <c r="E122" s="191" t="str">
        <f t="array" ref="E122">INDEX('Données 1_BD questio'!C:C,MATCH('1_BD questio brut'!$C$1&amp;'1_BD questio brut'!C122,'Données 1_BD questio'!A:A&amp;'Données 1_BD questio'!B:B,0))</f>
        <v>Retraité</v>
      </c>
      <c r="F122" s="191" t="str">
        <f t="array" ref="F122">INDEX('Données 1_BD questio'!C:C,MATCH('1_BD questio brut'!$D$1&amp;'1_BD questio brut'!D122,'Données 1_BD questio'!A:A&amp;'Données 1_BD questio'!B:B,0))</f>
        <v>Pas de réponse</v>
      </c>
      <c r="G122" s="191" t="str">
        <f>'1_BD questio brut'!E122</f>
        <v>65 ans et plus</v>
      </c>
      <c r="H122" s="191">
        <f>'1_BD questio brut'!F122</f>
        <v>2</v>
      </c>
      <c r="I122" s="191" t="str">
        <f>'1_BD questio brut'!G122</f>
        <v>Pas de réponse</v>
      </c>
      <c r="J122" s="191" t="str">
        <f t="array" ref="J122">INDEX('Données 1_BD questio'!C:C,MATCH('1_BD questio brut'!$H$1&amp;'1_BD questio brut'!H122,'Données 1_BD questio'!A:A&amp;'Données 1_BD questio'!B:B,0))</f>
        <v>Maison avec jardin</v>
      </c>
      <c r="K122" s="191">
        <f>'1_BD questio brut'!I122</f>
        <v>110</v>
      </c>
      <c r="L122" s="191" t="str">
        <f>'1_BD questio brut'!J122</f>
        <v>Avant 1949</v>
      </c>
      <c r="M122" s="191" t="str">
        <f>'1_BD questio brut'!K122</f>
        <v>6</v>
      </c>
      <c r="N122" s="191" t="str">
        <f>'1_BD questio brut'!L122</f>
        <v>Pas de réponse</v>
      </c>
      <c r="O122" s="191" t="str">
        <f>'1_BD questio brut'!M122</f>
        <v>Propriétaire occupant</v>
      </c>
      <c r="P122" s="191" t="str">
        <f>'1_BD questio brut'!N122</f>
        <v>Insert / foyer fermé</v>
      </c>
      <c r="Q122" s="191" t="str">
        <f>'1_BD questio brut'!O122</f>
        <v>Chauffage d'apoint</v>
      </c>
      <c r="R122" s="191" t="str">
        <f>'1_BD questio brut'!P122</f>
        <v>Tous les jours</v>
      </c>
      <c r="S122" s="191" t="str">
        <f>'1_BD questio brut'!Q122</f>
        <v>2; 3; 6</v>
      </c>
      <c r="T122" s="191" t="str">
        <f>'1_BD questio brut'!R122</f>
        <v>1996-2002</v>
      </c>
      <c r="U122" s="191" t="str">
        <f>'1_BD questio brut'!S122</f>
        <v>Bois bûche</v>
      </c>
      <c r="V122" s="191" t="str">
        <f>'1_BD questio brut'!T122</f>
        <v/>
      </c>
      <c r="W122" s="191" t="str">
        <f>'1_BD questio brut'!U122</f>
        <v>3</v>
      </c>
      <c r="X122" s="191" t="str">
        <f>'1_BD questio brut'!V122</f>
        <v>stères</v>
      </c>
      <c r="Y122" s="191" t="str">
        <f>'1_BD questio brut'!W122</f>
        <v>2</v>
      </c>
      <c r="Z122" s="191" t="str">
        <f>'1_BD questio brut'!X122</f>
        <v/>
      </c>
      <c r="AA122" s="191" t="str">
        <f t="array" ref="AA122">INDEX('Données 1_BD questio'!C:C,MATCH('1_BD questio brut'!$Y$1&amp;'1_BD questio brut'!Y122,'Données 1_BD questio'!A:A&amp;'Données 1_BD questio'!B:B,0))</f>
        <v>RA2B</v>
      </c>
      <c r="AB122" s="191" t="str">
        <f>'1_BD questio brut'!Z122</f>
        <v>2</v>
      </c>
      <c r="AC122" s="191" t="str">
        <f>'1_BD questio brut'!AA122</f>
        <v>1 à 2 ans</v>
      </c>
      <c r="AD122" s="191" t="str">
        <f>'1_BD questio brut'!AB122</f>
        <v>Feuillus</v>
      </c>
      <c r="AE122" s="191" t="str">
        <f t="array" ref="AE122">INDEX('Données 1_BD questio'!C:C,MATCH('1_BD questio brut'!$AC$1&amp;'1_BD questio brut'!AC122,'Données 1_BD questio'!A:A&amp;'Données 1_BD questio'!B:B,0))</f>
        <v>vous-même</v>
      </c>
      <c r="AF122" s="191" t="str">
        <f>'1_BD questio brut'!AD122</f>
        <v>1 fois par an</v>
      </c>
      <c r="AG122" s="191" t="str">
        <f>'1_BD questio brut'!AE122</f>
        <v/>
      </c>
      <c r="AH122" s="191" t="str">
        <f>'1_BD questio brut'!AF122</f>
        <v>Insert cheminée</v>
      </c>
      <c r="AI122" s="191" t="str">
        <f>'1_BD questio brut'!AG122</f>
        <v>1</v>
      </c>
      <c r="AJ122" s="191" t="str">
        <f>'1_BD questio brut'!AH122</f>
        <v/>
      </c>
      <c r="AK122" s="191" t="str">
        <f>'1_BD questio brut'!AI122</f>
        <v>Chauffage d'appoint</v>
      </c>
      <c r="AL122" s="191" t="str">
        <f>'1_BD questio brut'!AJ122</f>
        <v>Pas de réponse</v>
      </c>
      <c r="AM122" s="191" t="str">
        <f>'1_BD questio brut'!AK122</f>
        <v>2; 4; 5</v>
      </c>
      <c r="AN122" s="191" t="str">
        <f>'1_BD questio brut'!AL122</f>
        <v/>
      </c>
      <c r="AO122" s="191" t="str">
        <f>'1_BD questio brut'!AM122</f>
        <v>7</v>
      </c>
      <c r="AP122" s="191" t="str">
        <f>'1_BD questio brut'!AN122</f>
        <v/>
      </c>
      <c r="AQ122" s="191" t="str">
        <f>'1_BD questio brut'!AO122</f>
        <v/>
      </c>
    </row>
    <row r="123" spans="1:43" ht="29" hidden="1">
      <c r="A123" s="98">
        <f>INDEX('3_BD instruction total'!A:A,MATCH(C123,'3_BD instruction total'!F:F,0))</f>
        <v>2021</v>
      </c>
      <c r="B123" s="98" t="str">
        <f>INDEX('3_BD instruction total'!C:C,MATCH(C123,'3_BD instruction total'!F:F,0))</f>
        <v>non</v>
      </c>
      <c r="C123" s="191" t="str">
        <f>'1_BD questio brut'!A123</f>
        <v>VRB0129</v>
      </c>
      <c r="D123" s="191" t="str">
        <f t="array" ref="D123">INDEX('Données 1_BD questio'!C:C,MATCH('1_BD questio brut'!$B$1&amp;'1_BD questio brut'!B123,'Données 1_BD questio'!A:A&amp;'Données 1_BD questio'!B:B,0))</f>
        <v>CAPV</v>
      </c>
      <c r="E123" s="191" t="str">
        <f t="array" ref="E123">INDEX('Données 1_BD questio'!C:C,MATCH('1_BD questio brut'!$C$1&amp;'1_BD questio brut'!C123,'Données 1_BD questio'!A:A&amp;'Données 1_BD questio'!B:B,0))</f>
        <v>Ouvrier</v>
      </c>
      <c r="F123" s="191" t="str">
        <f t="array" ref="F123">INDEX('Données 1_BD questio'!C:C,MATCH('1_BD questio brut'!$D$1&amp;'1_BD questio brut'!D123,'Données 1_BD questio'!A:A&amp;'Données 1_BD questio'!B:B,0))</f>
        <v>Pas de réponse</v>
      </c>
      <c r="G123" s="191" t="str">
        <f>'1_BD questio brut'!E123</f>
        <v>35 à 49 ans</v>
      </c>
      <c r="H123" s="191">
        <f>'1_BD questio brut'!F123</f>
        <v>1</v>
      </c>
      <c r="I123" s="191" t="str">
        <f>'1_BD questio brut'!G123</f>
        <v>Pas de réponse</v>
      </c>
      <c r="J123" s="191" t="str">
        <f t="array" ref="J123">INDEX('Données 1_BD questio'!C:C,MATCH('1_BD questio brut'!$H$1&amp;'1_BD questio brut'!H123,'Données 1_BD questio'!A:A&amp;'Données 1_BD questio'!B:B,0))</f>
        <v>Maison avec jardin</v>
      </c>
      <c r="K123" s="191">
        <f>'1_BD questio brut'!I123</f>
        <v>110</v>
      </c>
      <c r="L123" s="191" t="str">
        <f>'1_BD questio brut'!J123</f>
        <v>Avant 1949</v>
      </c>
      <c r="M123" s="191" t="str">
        <f>'1_BD questio brut'!K123</f>
        <v>4</v>
      </c>
      <c r="N123" s="191" t="str">
        <f>'1_BD questio brut'!L123</f>
        <v>Pas de réponse</v>
      </c>
      <c r="O123" s="191" t="str">
        <f>'1_BD questio brut'!M123</f>
        <v>Propriétaire occupant</v>
      </c>
      <c r="P123" s="191" t="str">
        <f>'1_BD questio brut'!N123</f>
        <v>Poêle</v>
      </c>
      <c r="Q123" s="191" t="str">
        <f>'1_BD questio brut'!O123</f>
        <v>Chauffage de base</v>
      </c>
      <c r="R123" s="191" t="str">
        <f>'1_BD questio brut'!P123</f>
        <v>Tous les jours</v>
      </c>
      <c r="S123" s="191" t="str">
        <f>'1_BD questio brut'!Q123</f>
        <v>1; 2</v>
      </c>
      <c r="T123" s="191" t="str">
        <f>'1_BD questio brut'!R123</f>
        <v>1996-2002</v>
      </c>
      <c r="U123" s="191" t="str">
        <f>'1_BD questio brut'!S123</f>
        <v>Bois bûche</v>
      </c>
      <c r="V123" s="191" t="str">
        <f>'1_BD questio brut'!T123</f>
        <v/>
      </c>
      <c r="W123" s="191" t="str">
        <f>'1_BD questio brut'!U123</f>
        <v>4</v>
      </c>
      <c r="X123" s="191" t="str">
        <f>'1_BD questio brut'!V123</f>
        <v>m3</v>
      </c>
      <c r="Y123" s="191" t="str">
        <f>'1_BD questio brut'!W123</f>
        <v>1</v>
      </c>
      <c r="Z123" s="191" t="str">
        <f>'1_BD questio brut'!X123</f>
        <v/>
      </c>
      <c r="AA123" s="191" t="str">
        <f t="array" ref="AA123">INDEX('Données 1_BD questio'!C:C,MATCH('1_BD questio brut'!$Y$1&amp;'1_BD questio brut'!Y123,'Données 1_BD questio'!A:A&amp;'Données 1_BD questio'!B:B,0))</f>
        <v>Pas de réponse</v>
      </c>
      <c r="AB123" s="191" t="str">
        <f>'1_BD questio brut'!Z123</f>
        <v>2</v>
      </c>
      <c r="AC123" s="191" t="str">
        <f>'1_BD questio brut'!AA123</f>
        <v>1 à 2 ans</v>
      </c>
      <c r="AD123" s="191" t="str">
        <f>'1_BD questio brut'!AB123</f>
        <v>Feuillus</v>
      </c>
      <c r="AE123" s="191" t="str">
        <f t="array" ref="AE123">INDEX('Données 1_BD questio'!C:C,MATCH('1_BD questio brut'!$AC$1&amp;'1_BD questio brut'!AC123,'Données 1_BD questio'!A:A&amp;'Données 1_BD questio'!B:B,0))</f>
        <v>vous-même</v>
      </c>
      <c r="AF123" s="191" t="str">
        <f>'1_BD questio brut'!AD123</f>
        <v>2 fois par an</v>
      </c>
      <c r="AG123" s="191" t="str">
        <f>'1_BD questio brut'!AE123</f>
        <v/>
      </c>
      <c r="AH123" s="191" t="str">
        <f>'1_BD questio brut'!AF123</f>
        <v>Poêle</v>
      </c>
      <c r="AI123" s="191" t="str">
        <f>'1_BD questio brut'!AG123</f>
        <v>2</v>
      </c>
      <c r="AJ123" s="191" t="str">
        <f>'1_BD questio brut'!AH123</f>
        <v/>
      </c>
      <c r="AK123" s="191" t="str">
        <f>'1_BD questio brut'!AI123</f>
        <v>Chauffage de base</v>
      </c>
      <c r="AL123" s="191" t="str">
        <f>'1_BD questio brut'!AJ123</f>
        <v>Pas de réponse</v>
      </c>
      <c r="AM123" s="191" t="str">
        <f>'1_BD questio brut'!AK123</f>
        <v>1; 2; 3; 4; 5</v>
      </c>
      <c r="AN123" s="191" t="str">
        <f>'1_BD questio brut'!AL123</f>
        <v/>
      </c>
      <c r="AO123" s="191" t="str">
        <f>'1_BD questio brut'!AM123</f>
        <v>7</v>
      </c>
      <c r="AP123" s="191" t="str">
        <f>'1_BD questio brut'!AN123</f>
        <v/>
      </c>
      <c r="AQ123" s="191" t="str">
        <f>'1_BD questio brut'!AO123</f>
        <v/>
      </c>
    </row>
    <row r="124" spans="1:43" ht="43.5" hidden="1">
      <c r="A124" s="98">
        <f>INDEX('3_BD instruction total'!A:A,MATCH(C124,'3_BD instruction total'!F:F,0))</f>
        <v>2021</v>
      </c>
      <c r="B124" s="98" t="str">
        <f>INDEX('3_BD instruction total'!C:C,MATCH(C124,'3_BD instruction total'!F:F,0))</f>
        <v>non</v>
      </c>
      <c r="C124" s="191" t="str">
        <f>'1_BD questio brut'!A124</f>
        <v>VRB0130</v>
      </c>
      <c r="D124" s="191" t="str">
        <f t="array" ref="D124">INDEX('Données 1_BD questio'!C:C,MATCH('1_BD questio brut'!$B$1&amp;'1_BD questio brut'!B124,'Données 1_BD questio'!A:A&amp;'Données 1_BD questio'!B:B,0))</f>
        <v>CAPV</v>
      </c>
      <c r="E124" s="191" t="str">
        <f t="array" ref="E124">INDEX('Données 1_BD questio'!C:C,MATCH('1_BD questio brut'!$C$1&amp;'1_BD questio brut'!C124,'Données 1_BD questio'!A:A&amp;'Données 1_BD questio'!B:B,0))</f>
        <v>Cadre</v>
      </c>
      <c r="F124" s="191" t="str">
        <f t="array" ref="F124">INDEX('Données 1_BD questio'!C:C,MATCH('1_BD questio brut'!$D$1&amp;'1_BD questio brut'!D124,'Données 1_BD questio'!A:A&amp;'Données 1_BD questio'!B:B,0))</f>
        <v>Employé</v>
      </c>
      <c r="G124" s="191" t="str">
        <f>'1_BD questio brut'!E124</f>
        <v>50 à 64 ans</v>
      </c>
      <c r="H124" s="191">
        <f>'1_BD questio brut'!F124</f>
        <v>3</v>
      </c>
      <c r="I124" s="191" t="str">
        <f>'1_BD questio brut'!G124</f>
        <v>Pas de réponse</v>
      </c>
      <c r="J124" s="191" t="str">
        <f t="array" ref="J124">INDEX('Données 1_BD questio'!C:C,MATCH('1_BD questio brut'!$H$1&amp;'1_BD questio brut'!H124,'Données 1_BD questio'!A:A&amp;'Données 1_BD questio'!B:B,0))</f>
        <v>Maison avec jardin</v>
      </c>
      <c r="K124" s="191">
        <f>'1_BD questio brut'!I124</f>
        <v>108</v>
      </c>
      <c r="L124" s="191" t="str">
        <f>'1_BD questio brut'!J124</f>
        <v>1990-2005</v>
      </c>
      <c r="M124" s="191" t="str">
        <f>'1_BD questio brut'!K124</f>
        <v>4</v>
      </c>
      <c r="N124" s="191" t="str">
        <f>'1_BD questio brut'!L124</f>
        <v>Pas de réponse</v>
      </c>
      <c r="O124" s="191" t="str">
        <f>'1_BD questio brut'!M124</f>
        <v>Propriétaire occupant</v>
      </c>
      <c r="P124" s="191" t="str">
        <f>'1_BD questio brut'!N124</f>
        <v>Poêle</v>
      </c>
      <c r="Q124" s="191" t="str">
        <f>'1_BD questio brut'!O124</f>
        <v>Chauffage d'apoint</v>
      </c>
      <c r="R124" s="191" t="str">
        <f>'1_BD questio brut'!P124</f>
        <v>3 à 4 jours/semaine</v>
      </c>
      <c r="S124" s="191" t="str">
        <f>'1_BD questio brut'!Q124</f>
        <v>2; 3; 4</v>
      </c>
      <c r="T124" s="191" t="str">
        <f>'1_BD questio brut'!R124</f>
        <v>1996-2002</v>
      </c>
      <c r="U124" s="191" t="str">
        <f>'1_BD questio brut'!S124</f>
        <v>Bois bûche</v>
      </c>
      <c r="V124" s="191" t="str">
        <f>'1_BD questio brut'!T124</f>
        <v/>
      </c>
      <c r="W124" s="191" t="str">
        <f>'1_BD questio brut'!U124</f>
        <v>3</v>
      </c>
      <c r="X124" s="191" t="str">
        <f>'1_BD questio brut'!V124</f>
        <v>stères</v>
      </c>
      <c r="Y124" s="191" t="str">
        <f>'1_BD questio brut'!W124</f>
        <v>3</v>
      </c>
      <c r="Z124" s="191" t="str">
        <f>'1_BD questio brut'!X124</f>
        <v/>
      </c>
      <c r="AA124" s="191" t="str">
        <f t="array" ref="AA124">INDEX('Données 1_BD questio'!C:C,MATCH('1_BD questio brut'!$Y$1&amp;'1_BD questio brut'!Y124,'Données 1_BD questio'!A:A&amp;'Données 1_BD questio'!B:B,0))</f>
        <v>Ne sait pas</v>
      </c>
      <c r="AB124" s="191" t="str">
        <f>'1_BD questio brut'!Z124</f>
        <v>2</v>
      </c>
      <c r="AC124" s="191" t="str">
        <f>'1_BD questio brut'!AA124</f>
        <v>1 à 2 ans</v>
      </c>
      <c r="AD124" s="191" t="str">
        <f>'1_BD questio brut'!AB124</f>
        <v>Feuillus</v>
      </c>
      <c r="AE124" s="191" t="str">
        <f t="array" ref="AE124">INDEX('Données 1_BD questio'!C:C,MATCH('1_BD questio brut'!$AC$1&amp;'1_BD questio brut'!AC124,'Données 1_BD questio'!A:A&amp;'Données 1_BD questio'!B:B,0))</f>
        <v>un professionnel</v>
      </c>
      <c r="AF124" s="191" t="str">
        <f>'1_BD questio brut'!AD124</f>
        <v>2 fois par an</v>
      </c>
      <c r="AG124" s="191" t="str">
        <f>'1_BD questio brut'!AE124</f>
        <v/>
      </c>
      <c r="AH124" s="191" t="str">
        <f>'1_BD questio brut'!AF124</f>
        <v>Poêle</v>
      </c>
      <c r="AI124" s="191" t="str">
        <f>'1_BD questio brut'!AG124</f>
        <v>1</v>
      </c>
      <c r="AJ124" s="191" t="str">
        <f>'1_BD questio brut'!AH124</f>
        <v/>
      </c>
      <c r="AK124" s="191" t="str">
        <f>'1_BD questio brut'!AI124</f>
        <v>Chauffage d'appoint</v>
      </c>
      <c r="AL124" s="191" t="str">
        <f>'1_BD questio brut'!AJ124</f>
        <v>Pas de réponse</v>
      </c>
      <c r="AM124" s="191" t="str">
        <f>'1_BD questio brut'!AK124</f>
        <v>2; 4; 5</v>
      </c>
      <c r="AN124" s="191" t="str">
        <f>'1_BD questio brut'!AL124</f>
        <v/>
      </c>
      <c r="AO124" s="191" t="str">
        <f>'1_BD questio brut'!AM124</f>
        <v>5</v>
      </c>
      <c r="AP124" s="191" t="str">
        <f>'1_BD questio brut'!AN124</f>
        <v/>
      </c>
      <c r="AQ124" s="191" t="str">
        <f>'1_BD questio brut'!AO124</f>
        <v/>
      </c>
    </row>
    <row r="125" spans="1:43" ht="43.5" hidden="1">
      <c r="A125" s="98">
        <f>INDEX('3_BD instruction total'!A:A,MATCH(C125,'3_BD instruction total'!F:F,0))</f>
        <v>2021</v>
      </c>
      <c r="B125" s="98" t="str">
        <f>INDEX('3_BD instruction total'!C:C,MATCH(C125,'3_BD instruction total'!F:F,0))</f>
        <v>non</v>
      </c>
      <c r="C125" s="191" t="str">
        <f>'1_BD questio brut'!A125</f>
        <v>VRB0131</v>
      </c>
      <c r="D125" s="191" t="str">
        <f t="array" ref="D125">INDEX('Données 1_BD questio'!C:C,MATCH('1_BD questio brut'!$B$1&amp;'1_BD questio brut'!B125,'Données 1_BD questio'!A:A&amp;'Données 1_BD questio'!B:B,0))</f>
        <v>CAPV</v>
      </c>
      <c r="E125" s="191" t="str">
        <f t="array" ref="E125">INDEX('Données 1_BD questio'!C:C,MATCH('1_BD questio brut'!$C$1&amp;'1_BD questio brut'!C125,'Données 1_BD questio'!A:A&amp;'Données 1_BD questio'!B:B,0))</f>
        <v>Employé</v>
      </c>
      <c r="F125" s="191" t="str">
        <f t="array" ref="F125">INDEX('Données 1_BD questio'!C:C,MATCH('1_BD questio brut'!$D$1&amp;'1_BD questio brut'!D125,'Données 1_BD questio'!A:A&amp;'Données 1_BD questio'!B:B,0))</f>
        <v>Retraité</v>
      </c>
      <c r="G125" s="191" t="str">
        <f>'1_BD questio brut'!E125</f>
        <v>50 à 64 ans</v>
      </c>
      <c r="H125" s="191">
        <f>'1_BD questio brut'!F125</f>
        <v>3</v>
      </c>
      <c r="I125" s="191" t="str">
        <f>'1_BD questio brut'!G125</f>
        <v>Pas de réponse</v>
      </c>
      <c r="J125" s="191" t="str">
        <f t="array" ref="J125">INDEX('Données 1_BD questio'!C:C,MATCH('1_BD questio brut'!$H$1&amp;'1_BD questio brut'!H125,'Données 1_BD questio'!A:A&amp;'Données 1_BD questio'!B:B,0))</f>
        <v>Maison avec jardin</v>
      </c>
      <c r="K125" s="191">
        <f>'1_BD questio brut'!I125</f>
        <v>90</v>
      </c>
      <c r="L125" s="191" t="str">
        <f>'1_BD questio brut'!J125</f>
        <v>1990-2005</v>
      </c>
      <c r="M125" s="191" t="str">
        <f>'1_BD questio brut'!K125</f>
        <v>4</v>
      </c>
      <c r="N125" s="191" t="str">
        <f>'1_BD questio brut'!L125</f>
        <v>Ne sait pas</v>
      </c>
      <c r="O125" s="191" t="str">
        <f>'1_BD questio brut'!M125</f>
        <v>Propriétaire occupant</v>
      </c>
      <c r="P125" s="191" t="str">
        <f>'1_BD questio brut'!N125</f>
        <v>Insert / foyer fermé</v>
      </c>
      <c r="Q125" s="191" t="str">
        <f>'1_BD questio brut'!O125</f>
        <v>Chauffage d'apoint</v>
      </c>
      <c r="R125" s="191" t="str">
        <f>'1_BD questio brut'!P125</f>
        <v>Tous les jours</v>
      </c>
      <c r="S125" s="191" t="str">
        <f>'1_BD questio brut'!Q125</f>
        <v>4</v>
      </c>
      <c r="T125" s="191" t="str">
        <f>'1_BD questio brut'!R125</f>
        <v>1996-2002</v>
      </c>
      <c r="U125" s="191" t="str">
        <f>'1_BD questio brut'!S125</f>
        <v>Bois bûche</v>
      </c>
      <c r="V125" s="191" t="str">
        <f>'1_BD questio brut'!T125</f>
        <v/>
      </c>
      <c r="W125" s="191" t="str">
        <f>'1_BD questio brut'!U125</f>
        <v>3</v>
      </c>
      <c r="X125" s="191" t="str">
        <f>'1_BD questio brut'!V125</f>
        <v>stères</v>
      </c>
      <c r="Y125" s="191" t="str">
        <f>'1_BD questio brut'!W125</f>
        <v>2</v>
      </c>
      <c r="Z125" s="191" t="str">
        <f>'1_BD questio brut'!X125</f>
        <v/>
      </c>
      <c r="AA125" s="191" t="str">
        <f t="array" ref="AA125">INDEX('Données 1_BD questio'!C:C,MATCH('1_BD questio brut'!$Y$1&amp;'1_BD questio brut'!Y125,'Données 1_BD questio'!A:A&amp;'Données 1_BD questio'!B:B,0))</f>
        <v>Ne sait pas</v>
      </c>
      <c r="AB125" s="191" t="str">
        <f>'1_BD questio brut'!Z125</f>
        <v>2</v>
      </c>
      <c r="AC125" s="191" t="str">
        <f>'1_BD questio brut'!AA125</f>
        <v>1 à 2 ans</v>
      </c>
      <c r="AD125" s="191" t="str">
        <f>'1_BD questio brut'!AB125</f>
        <v>Les deux</v>
      </c>
      <c r="AE125" s="191" t="str">
        <f t="array" ref="AE125">INDEX('Données 1_BD questio'!C:C,MATCH('1_BD questio brut'!$AC$1&amp;'1_BD questio brut'!AC125,'Données 1_BD questio'!A:A&amp;'Données 1_BD questio'!B:B,0))</f>
        <v>un professionnel</v>
      </c>
      <c r="AF125" s="191" t="str">
        <f>'1_BD questio brut'!AD125</f>
        <v>1 fois par an</v>
      </c>
      <c r="AG125" s="191" t="str">
        <f>'1_BD questio brut'!AE125</f>
        <v/>
      </c>
      <c r="AH125" s="191" t="str">
        <f>'1_BD questio brut'!AF125</f>
        <v>Insert cheminée</v>
      </c>
      <c r="AI125" s="191" t="str">
        <f>'1_BD questio brut'!AG125</f>
        <v>1</v>
      </c>
      <c r="AJ125" s="191" t="str">
        <f>'1_BD questio brut'!AH125</f>
        <v/>
      </c>
      <c r="AK125" s="191" t="str">
        <f>'1_BD questio brut'!AI125</f>
        <v>Chauffage d'appoint</v>
      </c>
      <c r="AL125" s="191" t="str">
        <f>'1_BD questio brut'!AJ125</f>
        <v>Pas de réponse</v>
      </c>
      <c r="AM125" s="191" t="str">
        <f>'1_BD questio brut'!AK125</f>
        <v>1; 2; 4; 5</v>
      </c>
      <c r="AN125" s="191" t="str">
        <f>'1_BD questio brut'!AL125</f>
        <v/>
      </c>
      <c r="AO125" s="191" t="str">
        <f>'1_BD questio brut'!AM125</f>
        <v>1</v>
      </c>
      <c r="AP125" s="191" t="str">
        <f>'1_BD questio brut'!AN125</f>
        <v/>
      </c>
      <c r="AQ125" s="191" t="str">
        <f>'1_BD questio brut'!AO125</f>
        <v/>
      </c>
    </row>
    <row r="126" spans="1:43" ht="43.5" hidden="1">
      <c r="A126" s="98">
        <f>INDEX('3_BD instruction total'!A:A,MATCH(C126,'3_BD instruction total'!F:F,0))</f>
        <v>2021</v>
      </c>
      <c r="B126" s="98" t="str">
        <f>INDEX('3_BD instruction total'!C:C,MATCH(C126,'3_BD instruction total'!F:F,0))</f>
        <v>non</v>
      </c>
      <c r="C126" s="191" t="str">
        <f>'1_BD questio brut'!A126</f>
        <v>VRB0132</v>
      </c>
      <c r="D126" s="191" t="str">
        <f t="array" ref="D126">INDEX('Données 1_BD questio'!C:C,MATCH('1_BD questio brut'!$B$1&amp;'1_BD questio brut'!B126,'Données 1_BD questio'!A:A&amp;'Données 1_BD questio'!B:B,0))</f>
        <v>CAPV</v>
      </c>
      <c r="E126" s="191" t="str">
        <f t="array" ref="E126">INDEX('Données 1_BD questio'!C:C,MATCH('1_BD questio brut'!$C$1&amp;'1_BD questio brut'!C126,'Données 1_BD questio'!A:A&amp;'Données 1_BD questio'!B:B,0))</f>
        <v>Cadre</v>
      </c>
      <c r="F126" s="191" t="str">
        <f t="array" ref="F126">INDEX('Données 1_BD questio'!C:C,MATCH('1_BD questio brut'!$D$1&amp;'1_BD questio brut'!D126,'Données 1_BD questio'!A:A&amp;'Données 1_BD questio'!B:B,0))</f>
        <v>Employé</v>
      </c>
      <c r="G126" s="191" t="str">
        <f>'1_BD questio brut'!E126</f>
        <v>50 à 64 ans</v>
      </c>
      <c r="H126" s="191">
        <f>'1_BD questio brut'!F126</f>
        <v>2</v>
      </c>
      <c r="I126" s="191" t="str">
        <f>'1_BD questio brut'!G126</f>
        <v>Pas de réponse</v>
      </c>
      <c r="J126" s="191" t="str">
        <f t="array" ref="J126">INDEX('Données 1_BD questio'!C:C,MATCH('1_BD questio brut'!$H$1&amp;'1_BD questio brut'!H126,'Données 1_BD questio'!A:A&amp;'Données 1_BD questio'!B:B,0))</f>
        <v>Maison avec jardin</v>
      </c>
      <c r="K126" s="191">
        <f>'1_BD questio brut'!I126</f>
        <v>150</v>
      </c>
      <c r="L126" s="191" t="str">
        <f>'1_BD questio brut'!J126</f>
        <v>Avant 1949</v>
      </c>
      <c r="M126" s="191" t="str">
        <f>'1_BD questio brut'!K126</f>
        <v>1; 2; 4</v>
      </c>
      <c r="N126" s="191" t="str">
        <f>'1_BD questio brut'!L126</f>
        <v>Pas de réponse</v>
      </c>
      <c r="O126" s="191" t="str">
        <f>'1_BD questio brut'!M126</f>
        <v>Propriétaire occupant</v>
      </c>
      <c r="P126" s="191" t="str">
        <f>'1_BD questio brut'!N126</f>
        <v>Insert / foyer fermé</v>
      </c>
      <c r="Q126" s="191" t="str">
        <f>'1_BD questio brut'!O126</f>
        <v>Chauffage d'apoint</v>
      </c>
      <c r="R126" s="191" t="str">
        <f>'1_BD questio brut'!P126</f>
        <v>1 à 2 jours/semaine</v>
      </c>
      <c r="S126" s="191" t="str">
        <f>'1_BD questio brut'!Q126</f>
        <v>3; 4; 6</v>
      </c>
      <c r="T126" s="191" t="str">
        <f>'1_BD questio brut'!R126</f>
        <v>1990-1995</v>
      </c>
      <c r="U126" s="191" t="str">
        <f>'1_BD questio brut'!S126</f>
        <v>Bois bûche</v>
      </c>
      <c r="V126" s="191" t="str">
        <f>'1_BD questio brut'!T126</f>
        <v/>
      </c>
      <c r="W126" s="191" t="str">
        <f>'1_BD questio brut'!U126</f>
        <v>6</v>
      </c>
      <c r="X126" s="191" t="str">
        <f>'1_BD questio brut'!V126</f>
        <v>stères</v>
      </c>
      <c r="Y126" s="191" t="str">
        <f>'1_BD questio brut'!W126</f>
        <v>2</v>
      </c>
      <c r="Z126" s="191" t="str">
        <f>'1_BD questio brut'!X126</f>
        <v/>
      </c>
      <c r="AA126" s="191" t="str">
        <f t="array" ref="AA126">INDEX('Données 1_BD questio'!C:C,MATCH('1_BD questio brut'!$Y$1&amp;'1_BD questio brut'!Y126,'Données 1_BD questio'!A:A&amp;'Données 1_BD questio'!B:B,0))</f>
        <v>Rhône-Alpes hors RA2B</v>
      </c>
      <c r="AB126" s="191" t="str">
        <f>'1_BD questio brut'!Z126</f>
        <v>2</v>
      </c>
      <c r="AC126" s="191" t="str">
        <f>'1_BD questio brut'!AA126</f>
        <v>&gt; 2 ans</v>
      </c>
      <c r="AD126" s="191" t="str">
        <f>'1_BD questio brut'!AB126</f>
        <v>Feuillus</v>
      </c>
      <c r="AE126" s="191" t="str">
        <f t="array" ref="AE126">INDEX('Données 1_BD questio'!C:C,MATCH('1_BD questio brut'!$AC$1&amp;'1_BD questio brut'!AC126,'Données 1_BD questio'!A:A&amp;'Données 1_BD questio'!B:B,0))</f>
        <v>un professionnel</v>
      </c>
      <c r="AF126" s="191" t="str">
        <f>'1_BD questio brut'!AD126</f>
        <v>1 fois par an</v>
      </c>
      <c r="AG126" s="191" t="str">
        <f>'1_BD questio brut'!AE126</f>
        <v/>
      </c>
      <c r="AH126" s="191" t="str">
        <f>'1_BD questio brut'!AF126</f>
        <v>Poêle</v>
      </c>
      <c r="AI126" s="191" t="str">
        <f>'1_BD questio brut'!AG126</f>
        <v>1</v>
      </c>
      <c r="AJ126" s="191" t="str">
        <f>'1_BD questio brut'!AH126</f>
        <v/>
      </c>
      <c r="AK126" s="191" t="str">
        <f>'1_BD questio brut'!AI126</f>
        <v>Chauffage de base</v>
      </c>
      <c r="AL126" s="191" t="str">
        <f>'1_BD questio brut'!AJ126</f>
        <v>Pas de réponse</v>
      </c>
      <c r="AM126" s="191" t="str">
        <f>'1_BD questio brut'!AK126</f>
        <v>2; 4; 5</v>
      </c>
      <c r="AN126" s="191" t="str">
        <f>'1_BD questio brut'!AL126</f>
        <v/>
      </c>
      <c r="AO126" s="191" t="str">
        <f>'1_BD questio brut'!AM126</f>
        <v>7</v>
      </c>
      <c r="AP126" s="191" t="str">
        <f>'1_BD questio brut'!AN126</f>
        <v/>
      </c>
      <c r="AQ126" s="191" t="str">
        <f>'1_BD questio brut'!AO126</f>
        <v/>
      </c>
    </row>
    <row r="127" spans="1:43" ht="43.5" hidden="1">
      <c r="A127" s="98">
        <f>INDEX('3_BD instruction total'!A:A,MATCH(C127,'3_BD instruction total'!F:F,0))</f>
        <v>2021</v>
      </c>
      <c r="B127" s="98" t="str">
        <f>INDEX('3_BD instruction total'!C:C,MATCH(C127,'3_BD instruction total'!F:F,0))</f>
        <v>non</v>
      </c>
      <c r="C127" s="191" t="str">
        <f>'1_BD questio brut'!A127</f>
        <v>VRB0133</v>
      </c>
      <c r="D127" s="191" t="str">
        <f t="array" ref="D127">INDEX('Données 1_BD questio'!C:C,MATCH('1_BD questio brut'!$B$1&amp;'1_BD questio brut'!B127,'Données 1_BD questio'!A:A&amp;'Données 1_BD questio'!B:B,0))</f>
        <v>CAPV</v>
      </c>
      <c r="E127" s="191" t="str">
        <f t="array" ref="E127">INDEX('Données 1_BD questio'!C:C,MATCH('1_BD questio brut'!$C$1&amp;'1_BD questio brut'!C127,'Données 1_BD questio'!A:A&amp;'Données 1_BD questio'!B:B,0))</f>
        <v>Retraité</v>
      </c>
      <c r="F127" s="191" t="str">
        <f t="array" ref="F127">INDEX('Données 1_BD questio'!C:C,MATCH('1_BD questio brut'!$D$1&amp;'1_BD questio brut'!D127,'Données 1_BD questio'!A:A&amp;'Données 1_BD questio'!B:B,0))</f>
        <v>Pas de réponse</v>
      </c>
      <c r="G127" s="191" t="str">
        <f>'1_BD questio brut'!E127</f>
        <v>65 ans et plus</v>
      </c>
      <c r="H127" s="191">
        <f>'1_BD questio brut'!F127</f>
        <v>1</v>
      </c>
      <c r="I127" s="191" t="str">
        <f>'1_BD questio brut'!G127</f>
        <v>Pas de réponse</v>
      </c>
      <c r="J127" s="191" t="str">
        <f t="array" ref="J127">INDEX('Données 1_BD questio'!C:C,MATCH('1_BD questio brut'!$H$1&amp;'1_BD questio brut'!H127,'Données 1_BD questio'!A:A&amp;'Données 1_BD questio'!B:B,0))</f>
        <v>Maison avec jardin</v>
      </c>
      <c r="K127" s="191">
        <f>'1_BD questio brut'!I127</f>
        <v>120</v>
      </c>
      <c r="L127" s="191" t="str">
        <f>'1_BD questio brut'!J127</f>
        <v>1975-1990</v>
      </c>
      <c r="M127" s="191" t="str">
        <f>'1_BD questio brut'!K127</f>
        <v>6</v>
      </c>
      <c r="N127" s="191" t="str">
        <f>'1_BD questio brut'!L127</f>
        <v>Pas de réponse</v>
      </c>
      <c r="O127" s="191" t="str">
        <f>'1_BD questio brut'!M127</f>
        <v>Propriétaire occupant</v>
      </c>
      <c r="P127" s="191" t="str">
        <f>'1_BD questio brut'!N127</f>
        <v>Insert / foyer fermé</v>
      </c>
      <c r="Q127" s="191" t="str">
        <f>'1_BD questio brut'!O127</f>
        <v>Chauffage d'apoint</v>
      </c>
      <c r="R127" s="191" t="str">
        <f>'1_BD questio brut'!P127</f>
        <v>Tous les jours</v>
      </c>
      <c r="S127" s="191" t="str">
        <f>'1_BD questio brut'!Q127</f>
        <v>2</v>
      </c>
      <c r="T127" s="191" t="str">
        <f>'1_BD questio brut'!R127</f>
        <v>Avant 1990</v>
      </c>
      <c r="U127" s="191" t="str">
        <f>'1_BD questio brut'!S127</f>
        <v>Bois bûche</v>
      </c>
      <c r="V127" s="191" t="str">
        <f>'1_BD questio brut'!T127</f>
        <v/>
      </c>
      <c r="W127" s="191" t="str">
        <f>'1_BD questio brut'!U127</f>
        <v>6</v>
      </c>
      <c r="X127" s="191" t="str">
        <f>'1_BD questio brut'!V127</f>
        <v>stères</v>
      </c>
      <c r="Y127" s="191" t="str">
        <f>'1_BD questio brut'!W127</f>
        <v>2</v>
      </c>
      <c r="Z127" s="191" t="str">
        <f>'1_BD questio brut'!X127</f>
        <v/>
      </c>
      <c r="AA127" s="191" t="str">
        <f t="array" ref="AA127">INDEX('Données 1_BD questio'!C:C,MATCH('1_BD questio brut'!$Y$1&amp;'1_BD questio brut'!Y127,'Données 1_BD questio'!A:A&amp;'Données 1_BD questio'!B:B,0))</f>
        <v>Ne sait pas</v>
      </c>
      <c r="AB127" s="191" t="str">
        <f>'1_BD questio brut'!Z127</f>
        <v>1</v>
      </c>
      <c r="AC127" s="191" t="str">
        <f>'1_BD questio brut'!AA127</f>
        <v>1 à 2 ans</v>
      </c>
      <c r="AD127" s="191" t="str">
        <f>'1_BD questio brut'!AB127</f>
        <v>Feuillus</v>
      </c>
      <c r="AE127" s="191" t="str">
        <f t="array" ref="AE127">INDEX('Données 1_BD questio'!C:C,MATCH('1_BD questio brut'!$AC$1&amp;'1_BD questio brut'!AC127,'Données 1_BD questio'!A:A&amp;'Données 1_BD questio'!B:B,0))</f>
        <v>un professionnel</v>
      </c>
      <c r="AF127" s="191" t="str">
        <f>'1_BD questio brut'!AD127</f>
        <v>1 fois par an</v>
      </c>
      <c r="AG127" s="191" t="str">
        <f>'1_BD questio brut'!AE127</f>
        <v/>
      </c>
      <c r="AH127" s="191" t="str">
        <f>'1_BD questio brut'!AF127</f>
        <v>Poêle</v>
      </c>
      <c r="AI127" s="191" t="str">
        <f>'1_BD questio brut'!AG127</f>
        <v>1</v>
      </c>
      <c r="AJ127" s="191" t="str">
        <f>'1_BD questio brut'!AH127</f>
        <v/>
      </c>
      <c r="AK127" s="191" t="str">
        <f>'1_BD questio brut'!AI127</f>
        <v>Chauffage de base</v>
      </c>
      <c r="AL127" s="191" t="str">
        <f>'1_BD questio brut'!AJ127</f>
        <v>Pas de réponse</v>
      </c>
      <c r="AM127" s="191" t="str">
        <f>'1_BD questio brut'!AK127</f>
        <v>2; 4; 5</v>
      </c>
      <c r="AN127" s="191" t="str">
        <f>'1_BD questio brut'!AL127</f>
        <v/>
      </c>
      <c r="AO127" s="191" t="str">
        <f>'1_BD questio brut'!AM127</f>
        <v>5</v>
      </c>
      <c r="AP127" s="191" t="str">
        <f>'1_BD questio brut'!AN127</f>
        <v/>
      </c>
      <c r="AQ127" s="191" t="str">
        <f>'1_BD questio brut'!AO127</f>
        <v/>
      </c>
    </row>
    <row r="128" spans="1:43" ht="43.5" hidden="1">
      <c r="A128" s="98">
        <f>INDEX('3_BD instruction total'!A:A,MATCH(C128,'3_BD instruction total'!F:F,0))</f>
        <v>2021</v>
      </c>
      <c r="B128" s="98" t="str">
        <f>INDEX('3_BD instruction total'!C:C,MATCH(C128,'3_BD instruction total'!F:F,0))</f>
        <v>non</v>
      </c>
      <c r="C128" s="191" t="str">
        <f>'1_BD questio brut'!A128</f>
        <v>VRB0134</v>
      </c>
      <c r="D128" s="191" t="str">
        <f t="array" ref="D128">INDEX('Données 1_BD questio'!C:C,MATCH('1_BD questio brut'!$B$1&amp;'1_BD questio brut'!B128,'Données 1_BD questio'!A:A&amp;'Données 1_BD questio'!B:B,0))</f>
        <v>CAPV</v>
      </c>
      <c r="E128" s="191" t="str">
        <f t="array" ref="E128">INDEX('Données 1_BD questio'!C:C,MATCH('1_BD questio brut'!$C$1&amp;'1_BD questio brut'!C128,'Données 1_BD questio'!A:A&amp;'Données 1_BD questio'!B:B,0))</f>
        <v>Artisan,commerçant,chef d'entreprise</v>
      </c>
      <c r="F128" s="191" t="str">
        <f t="array" ref="F128">INDEX('Données 1_BD questio'!C:C,MATCH('1_BD questio brut'!$D$1&amp;'1_BD questio brut'!D128,'Données 1_BD questio'!A:A&amp;'Données 1_BD questio'!B:B,0))</f>
        <v>Artisan,commerçant,chef d'entreprise</v>
      </c>
      <c r="G128" s="191" t="str">
        <f>'1_BD questio brut'!E128</f>
        <v>50 à 64 ans</v>
      </c>
      <c r="H128" s="191">
        <f>'1_BD questio brut'!F128</f>
        <v>2</v>
      </c>
      <c r="I128" s="191" t="str">
        <f>'1_BD questio brut'!G128</f>
        <v>Pas de réponse</v>
      </c>
      <c r="J128" s="191" t="str">
        <f t="array" ref="J128">INDEX('Données 1_BD questio'!C:C,MATCH('1_BD questio brut'!$H$1&amp;'1_BD questio brut'!H128,'Données 1_BD questio'!A:A&amp;'Données 1_BD questio'!B:B,0))</f>
        <v>Maison avec jardin</v>
      </c>
      <c r="K128" s="191">
        <f>'1_BD questio brut'!I128</f>
        <v>110</v>
      </c>
      <c r="L128" s="191" t="str">
        <f>'1_BD questio brut'!J128</f>
        <v>1990-2005</v>
      </c>
      <c r="M128" s="191" t="str">
        <f>'1_BD questio brut'!K128</f>
        <v>6</v>
      </c>
      <c r="N128" s="191" t="str">
        <f>'1_BD questio brut'!L128</f>
        <v>Pas de réponse</v>
      </c>
      <c r="O128" s="191" t="str">
        <f>'1_BD questio brut'!M128</f>
        <v>Propriétaire occupant</v>
      </c>
      <c r="P128" s="191" t="str">
        <f>'1_BD questio brut'!N128</f>
        <v>Insert / foyer fermé</v>
      </c>
      <c r="Q128" s="191" t="str">
        <f>'1_BD questio brut'!O128</f>
        <v>Chauffage d'apoint</v>
      </c>
      <c r="R128" s="191" t="str">
        <f>'1_BD questio brut'!P128</f>
        <v>1 à 2 jours/semaine</v>
      </c>
      <c r="S128" s="191" t="str">
        <f>'1_BD questio brut'!Q128</f>
        <v>2; 6</v>
      </c>
      <c r="T128" s="191" t="str">
        <f>'1_BD questio brut'!R128</f>
        <v>1996-2002</v>
      </c>
      <c r="U128" s="191" t="str">
        <f>'1_BD questio brut'!S128</f>
        <v>Bois bûche</v>
      </c>
      <c r="V128" s="191" t="str">
        <f>'1_BD questio brut'!T128</f>
        <v/>
      </c>
      <c r="W128" s="191" t="str">
        <f>'1_BD questio brut'!U128</f>
        <v>4</v>
      </c>
      <c r="X128" s="191" t="str">
        <f>'1_BD questio brut'!V128</f>
        <v>m3</v>
      </c>
      <c r="Y128" s="191" t="str">
        <f>'1_BD questio brut'!W128</f>
        <v>1</v>
      </c>
      <c r="Z128" s="191" t="str">
        <f>'1_BD questio brut'!X128</f>
        <v/>
      </c>
      <c r="AA128" s="191" t="str">
        <f t="array" ref="AA128">INDEX('Données 1_BD questio'!C:C,MATCH('1_BD questio brut'!$Y$1&amp;'1_BD questio brut'!Y128,'Données 1_BD questio'!A:A&amp;'Données 1_BD questio'!B:B,0))</f>
        <v>Pas de réponse</v>
      </c>
      <c r="AB128" s="191" t="str">
        <f>'1_BD questio brut'!Z128</f>
        <v>2</v>
      </c>
      <c r="AC128" s="191" t="str">
        <f>'1_BD questio brut'!AA128</f>
        <v>&gt; 2 ans</v>
      </c>
      <c r="AD128" s="191" t="str">
        <f>'1_BD questio brut'!AB128</f>
        <v>Feuillus</v>
      </c>
      <c r="AE128" s="191" t="str">
        <f t="array" ref="AE128">INDEX('Données 1_BD questio'!C:C,MATCH('1_BD questio brut'!$AC$1&amp;'1_BD questio brut'!AC128,'Données 1_BD questio'!A:A&amp;'Données 1_BD questio'!B:B,0))</f>
        <v>vous-même</v>
      </c>
      <c r="AF128" s="191" t="str">
        <f>'1_BD questio brut'!AD128</f>
        <v>2 fois par an</v>
      </c>
      <c r="AG128" s="191" t="str">
        <f>'1_BD questio brut'!AE128</f>
        <v/>
      </c>
      <c r="AH128" s="191" t="str">
        <f>'1_BD questio brut'!AF128</f>
        <v>Poêle</v>
      </c>
      <c r="AI128" s="191" t="str">
        <f>'1_BD questio brut'!AG128</f>
        <v>1</v>
      </c>
      <c r="AJ128" s="191" t="str">
        <f>'1_BD questio brut'!AH128</f>
        <v/>
      </c>
      <c r="AK128" s="191" t="str">
        <f>'1_BD questio brut'!AI128</f>
        <v>Chauffage d'appoint</v>
      </c>
      <c r="AL128" s="191" t="str">
        <f>'1_BD questio brut'!AJ128</f>
        <v>Pas de réponse</v>
      </c>
      <c r="AM128" s="191" t="str">
        <f>'1_BD questio brut'!AK128</f>
        <v>1; 2; 4; 5</v>
      </c>
      <c r="AN128" s="191" t="str">
        <f>'1_BD questio brut'!AL128</f>
        <v/>
      </c>
      <c r="AO128" s="191" t="str">
        <f>'1_BD questio brut'!AM128</f>
        <v>5; 7</v>
      </c>
      <c r="AP128" s="191" t="str">
        <f>'1_BD questio brut'!AN128</f>
        <v/>
      </c>
      <c r="AQ128" s="191" t="str">
        <f>'1_BD questio brut'!AO128</f>
        <v/>
      </c>
    </row>
    <row r="129" spans="1:43" ht="43.5" hidden="1">
      <c r="A129" s="98">
        <f>INDEX('3_BD instruction total'!A:A,MATCH(C129,'3_BD instruction total'!F:F,0))</f>
        <v>2021</v>
      </c>
      <c r="B129" s="98" t="str">
        <f>INDEX('3_BD instruction total'!C:C,MATCH(C129,'3_BD instruction total'!F:F,0))</f>
        <v>non</v>
      </c>
      <c r="C129" s="191" t="str">
        <f>'1_BD questio brut'!A129</f>
        <v>VRB0135</v>
      </c>
      <c r="D129" s="191" t="str">
        <f t="array" ref="D129">INDEX('Données 1_BD questio'!C:C,MATCH('1_BD questio brut'!$B$1&amp;'1_BD questio brut'!B129,'Données 1_BD questio'!A:A&amp;'Données 1_BD questio'!B:B,0))</f>
        <v>CAPV</v>
      </c>
      <c r="E129" s="191" t="str">
        <f t="array" ref="E129">INDEX('Données 1_BD questio'!C:C,MATCH('1_BD questio brut'!$C$1&amp;'1_BD questio brut'!C129,'Données 1_BD questio'!A:A&amp;'Données 1_BD questio'!B:B,0))</f>
        <v>Employé</v>
      </c>
      <c r="F129" s="191" t="str">
        <f t="array" ref="F129">INDEX('Données 1_BD questio'!C:C,MATCH('1_BD questio brut'!$D$1&amp;'1_BD questio brut'!D129,'Données 1_BD questio'!A:A&amp;'Données 1_BD questio'!B:B,0))</f>
        <v>Pas de réponse</v>
      </c>
      <c r="G129" s="191" t="str">
        <f>'1_BD questio brut'!E129</f>
        <v>50 à 64 ans</v>
      </c>
      <c r="H129" s="191">
        <f>'1_BD questio brut'!F129</f>
        <v>1</v>
      </c>
      <c r="I129" s="191" t="str">
        <f>'1_BD questio brut'!G129</f>
        <v>Pas de réponse</v>
      </c>
      <c r="J129" s="191" t="str">
        <f t="array" ref="J129">INDEX('Données 1_BD questio'!C:C,MATCH('1_BD questio brut'!$H$1&amp;'1_BD questio brut'!H129,'Données 1_BD questio'!A:A&amp;'Données 1_BD questio'!B:B,0))</f>
        <v>Maison avec jardin</v>
      </c>
      <c r="K129" s="191">
        <f>'1_BD questio brut'!I129</f>
        <v>100</v>
      </c>
      <c r="L129" s="191" t="str">
        <f>'1_BD questio brut'!J129</f>
        <v>1975-1990</v>
      </c>
      <c r="M129" s="191" t="str">
        <f>'1_BD questio brut'!K129</f>
        <v>4</v>
      </c>
      <c r="N129" s="191" t="str">
        <f>'1_BD questio brut'!L129</f>
        <v>Pas de réponse</v>
      </c>
      <c r="O129" s="191" t="str">
        <f>'1_BD questio brut'!M129</f>
        <v>Propriétaire occupant</v>
      </c>
      <c r="P129" s="191" t="str">
        <f>'1_BD questio brut'!N129</f>
        <v>Insert / foyer fermé</v>
      </c>
      <c r="Q129" s="191" t="str">
        <f>'1_BD questio brut'!O129</f>
        <v>Chauffage de base</v>
      </c>
      <c r="R129" s="191" t="str">
        <f>'1_BD questio brut'!P129</f>
        <v>Tous les jours</v>
      </c>
      <c r="S129" s="191" t="str">
        <f>'1_BD questio brut'!Q129</f>
        <v>4</v>
      </c>
      <c r="T129" s="191" t="str">
        <f>'1_BD questio brut'!R129</f>
        <v>1990-1995</v>
      </c>
      <c r="U129" s="191" t="str">
        <f>'1_BD questio brut'!S129</f>
        <v>Bois bûche</v>
      </c>
      <c r="V129" s="191" t="str">
        <f>'1_BD questio brut'!T129</f>
        <v/>
      </c>
      <c r="W129" s="191" t="str">
        <f>'1_BD questio brut'!U129</f>
        <v>8</v>
      </c>
      <c r="X129" s="191" t="str">
        <f>'1_BD questio brut'!V129</f>
        <v>stères</v>
      </c>
      <c r="Y129" s="191" t="str">
        <f>'1_BD questio brut'!W129</f>
        <v>2</v>
      </c>
      <c r="Z129" s="191" t="str">
        <f>'1_BD questio brut'!X129</f>
        <v/>
      </c>
      <c r="AA129" s="191" t="str">
        <f t="array" ref="AA129">INDEX('Données 1_BD questio'!C:C,MATCH('1_BD questio brut'!$Y$1&amp;'1_BD questio brut'!Y129,'Données 1_BD questio'!A:A&amp;'Données 1_BD questio'!B:B,0))</f>
        <v>Ne sait pas</v>
      </c>
      <c r="AB129" s="191" t="str">
        <f>'1_BD questio brut'!Z129</f>
        <v>1</v>
      </c>
      <c r="AC129" s="191" t="str">
        <f>'1_BD questio brut'!AA129</f>
        <v>1 à 2 ans</v>
      </c>
      <c r="AD129" s="191" t="str">
        <f>'1_BD questio brut'!AB129</f>
        <v>Les deux</v>
      </c>
      <c r="AE129" s="191" t="str">
        <f t="array" ref="AE129">INDEX('Données 1_BD questio'!C:C,MATCH('1_BD questio brut'!$AC$1&amp;'1_BD questio brut'!AC129,'Données 1_BD questio'!A:A&amp;'Données 1_BD questio'!B:B,0))</f>
        <v>un professionnel</v>
      </c>
      <c r="AF129" s="191" t="str">
        <f>'1_BD questio brut'!AD129</f>
        <v>1 fois par an</v>
      </c>
      <c r="AG129" s="191" t="str">
        <f>'1_BD questio brut'!AE129</f>
        <v/>
      </c>
      <c r="AH129" s="191" t="str">
        <f>'1_BD questio brut'!AF129</f>
        <v>Poêle</v>
      </c>
      <c r="AI129" s="191" t="str">
        <f>'1_BD questio brut'!AG129</f>
        <v>2</v>
      </c>
      <c r="AJ129" s="191" t="str">
        <f>'1_BD questio brut'!AH129</f>
        <v/>
      </c>
      <c r="AK129" s="191" t="str">
        <f>'1_BD questio brut'!AI129</f>
        <v>Chauffage de base</v>
      </c>
      <c r="AL129" s="191" t="str">
        <f>'1_BD questio brut'!AJ129</f>
        <v>Pas de réponse</v>
      </c>
      <c r="AM129" s="191" t="str">
        <f>'1_BD questio brut'!AK129</f>
        <v>5</v>
      </c>
      <c r="AN129" s="191" t="str">
        <f>'1_BD questio brut'!AL129</f>
        <v/>
      </c>
      <c r="AO129" s="191" t="str">
        <f>'1_BD questio brut'!AM129</f>
        <v>7</v>
      </c>
      <c r="AP129" s="191" t="str">
        <f>'1_BD questio brut'!AN129</f>
        <v/>
      </c>
      <c r="AQ129" s="191" t="str">
        <f>'1_BD questio brut'!AO129</f>
        <v/>
      </c>
    </row>
    <row r="130" spans="1:43" ht="29" hidden="1">
      <c r="A130" s="98">
        <f>INDEX('3_BD instruction total'!A:A,MATCH(C130,'3_BD instruction total'!F:F,0))</f>
        <v>2021</v>
      </c>
      <c r="B130" s="98" t="str">
        <f>INDEX('3_BD instruction total'!C:C,MATCH(C130,'3_BD instruction total'!F:F,0))</f>
        <v>non</v>
      </c>
      <c r="C130" s="191" t="str">
        <f>'1_BD questio brut'!A130</f>
        <v>VRB0136</v>
      </c>
      <c r="D130" s="191" t="str">
        <f t="array" ref="D130">INDEX('Données 1_BD questio'!C:C,MATCH('1_BD questio brut'!$B$1&amp;'1_BD questio brut'!B130,'Données 1_BD questio'!A:A&amp;'Données 1_BD questio'!B:B,0))</f>
        <v>CAPV</v>
      </c>
      <c r="E130" s="191" t="str">
        <f t="array" ref="E130">INDEX('Données 1_BD questio'!C:C,MATCH('1_BD questio brut'!$C$1&amp;'1_BD questio brut'!C130,'Données 1_BD questio'!A:A&amp;'Données 1_BD questio'!B:B,0))</f>
        <v>Employé</v>
      </c>
      <c r="F130" s="191" t="str">
        <f t="array" ref="F130">INDEX('Données 1_BD questio'!C:C,MATCH('1_BD questio brut'!$D$1&amp;'1_BD questio brut'!D130,'Données 1_BD questio'!A:A&amp;'Données 1_BD questio'!B:B,0))</f>
        <v>Employé</v>
      </c>
      <c r="G130" s="191" t="str">
        <f>'1_BD questio brut'!E130</f>
        <v>50 à 64 ans</v>
      </c>
      <c r="H130" s="191">
        <f>'1_BD questio brut'!F130</f>
        <v>2</v>
      </c>
      <c r="I130" s="191" t="str">
        <f>'1_BD questio brut'!G130</f>
        <v>Pas de réponse</v>
      </c>
      <c r="J130" s="191" t="str">
        <f t="array" ref="J130">INDEX('Données 1_BD questio'!C:C,MATCH('1_BD questio brut'!$H$1&amp;'1_BD questio brut'!H130,'Données 1_BD questio'!A:A&amp;'Données 1_BD questio'!B:B,0))</f>
        <v>Maison avec jardin</v>
      </c>
      <c r="K130" s="191">
        <f>'1_BD questio brut'!I130</f>
        <v>120</v>
      </c>
      <c r="L130" s="191" t="str">
        <f>'1_BD questio brut'!J130</f>
        <v>1990-2005</v>
      </c>
      <c r="M130" s="191" t="str">
        <f>'1_BD questio brut'!K130</f>
        <v>6</v>
      </c>
      <c r="N130" s="191" t="str">
        <f>'1_BD questio brut'!L130</f>
        <v>Pas de réponse</v>
      </c>
      <c r="O130" s="191" t="str">
        <f>'1_BD questio brut'!M130</f>
        <v>Propriétaire occupant</v>
      </c>
      <c r="P130" s="191" t="str">
        <f>'1_BD questio brut'!N130</f>
        <v>Insert / foyer fermé</v>
      </c>
      <c r="Q130" s="191" t="str">
        <f>'1_BD questio brut'!O130</f>
        <v>Chauffage de base</v>
      </c>
      <c r="R130" s="191" t="str">
        <f>'1_BD questio brut'!P130</f>
        <v>Tous les jours</v>
      </c>
      <c r="S130" s="191" t="str">
        <f>'1_BD questio brut'!Q130</f>
        <v>4; 6</v>
      </c>
      <c r="T130" s="191" t="str">
        <f>'1_BD questio brut'!R130</f>
        <v>1990-1995</v>
      </c>
      <c r="U130" s="191" t="str">
        <f>'1_BD questio brut'!S130</f>
        <v>Bois bûche</v>
      </c>
      <c r="V130" s="191" t="str">
        <f>'1_BD questio brut'!T130</f>
        <v/>
      </c>
      <c r="W130" s="191" t="str">
        <f>'1_BD questio brut'!U130</f>
        <v>8</v>
      </c>
      <c r="X130" s="191" t="str">
        <f>'1_BD questio brut'!V130</f>
        <v>stères</v>
      </c>
      <c r="Y130" s="191" t="str">
        <f>'1_BD questio brut'!W130</f>
        <v>1</v>
      </c>
      <c r="Z130" s="191" t="str">
        <f>'1_BD questio brut'!X130</f>
        <v/>
      </c>
      <c r="AA130" s="191" t="str">
        <f t="array" ref="AA130">INDEX('Données 1_BD questio'!C:C,MATCH('1_BD questio brut'!$Y$1&amp;'1_BD questio brut'!Y130,'Données 1_BD questio'!A:A&amp;'Données 1_BD questio'!B:B,0))</f>
        <v>RA2B</v>
      </c>
      <c r="AB130" s="191" t="str">
        <f>'1_BD questio brut'!Z130</f>
        <v>2</v>
      </c>
      <c r="AC130" s="191" t="str">
        <f>'1_BD questio brut'!AA130</f>
        <v>1 à 2 ans</v>
      </c>
      <c r="AD130" s="191" t="str">
        <f>'1_BD questio brut'!AB130</f>
        <v>Feuillus</v>
      </c>
      <c r="AE130" s="191" t="str">
        <f t="array" ref="AE130">INDEX('Données 1_BD questio'!C:C,MATCH('1_BD questio brut'!$AC$1&amp;'1_BD questio brut'!AC130,'Données 1_BD questio'!A:A&amp;'Données 1_BD questio'!B:B,0))</f>
        <v>vous-même</v>
      </c>
      <c r="AF130" s="191" t="str">
        <f>'1_BD questio brut'!AD130</f>
        <v>1 fois par an</v>
      </c>
      <c r="AG130" s="191" t="str">
        <f>'1_BD questio brut'!AE130</f>
        <v/>
      </c>
      <c r="AH130" s="191" t="str">
        <f>'1_BD questio brut'!AF130</f>
        <v>Poêle</v>
      </c>
      <c r="AI130" s="191" t="str">
        <f>'1_BD questio brut'!AG130</f>
        <v>1</v>
      </c>
      <c r="AJ130" s="191" t="str">
        <f>'1_BD questio brut'!AH130</f>
        <v/>
      </c>
      <c r="AK130" s="191" t="str">
        <f>'1_BD questio brut'!AI130</f>
        <v>Chauffage de base</v>
      </c>
      <c r="AL130" s="191" t="str">
        <f>'1_BD questio brut'!AJ130</f>
        <v>Pas de réponse</v>
      </c>
      <c r="AM130" s="191" t="str">
        <f>'1_BD questio brut'!AK130</f>
        <v>1; 2; 3; 5</v>
      </c>
      <c r="AN130" s="191" t="str">
        <f>'1_BD questio brut'!AL130</f>
        <v/>
      </c>
      <c r="AO130" s="191" t="str">
        <f>'1_BD questio brut'!AM130</f>
        <v>5</v>
      </c>
      <c r="AP130" s="191" t="str">
        <f>'1_BD questio brut'!AN130</f>
        <v/>
      </c>
      <c r="AQ130" s="191" t="str">
        <f>'1_BD questio brut'!AO130</f>
        <v/>
      </c>
    </row>
    <row r="131" spans="1:43" ht="43.5" hidden="1">
      <c r="A131" s="98">
        <f>INDEX('3_BD instruction total'!A:A,MATCH(C131,'3_BD instruction total'!F:F,0))</f>
        <v>2021</v>
      </c>
      <c r="B131" s="98" t="str">
        <f>INDEX('3_BD instruction total'!C:C,MATCH(C131,'3_BD instruction total'!F:F,0))</f>
        <v>non</v>
      </c>
      <c r="C131" s="191" t="str">
        <f>'1_BD questio brut'!A131</f>
        <v>VRB0137</v>
      </c>
      <c r="D131" s="191" t="str">
        <f t="array" ref="D131">INDEX('Données 1_BD questio'!C:C,MATCH('1_BD questio brut'!$B$1&amp;'1_BD questio brut'!B131,'Données 1_BD questio'!A:A&amp;'Données 1_BD questio'!B:B,0))</f>
        <v>CAPV</v>
      </c>
      <c r="E131" s="191" t="str">
        <f t="array" ref="E131">INDEX('Données 1_BD questio'!C:C,MATCH('1_BD questio brut'!$C$1&amp;'1_BD questio brut'!C131,'Données 1_BD questio'!A:A&amp;'Données 1_BD questio'!B:B,0))</f>
        <v>Retraité</v>
      </c>
      <c r="F131" s="191" t="str">
        <f t="array" ref="F131">INDEX('Données 1_BD questio'!C:C,MATCH('1_BD questio brut'!$D$1&amp;'1_BD questio brut'!D131,'Données 1_BD questio'!A:A&amp;'Données 1_BD questio'!B:B,0))</f>
        <v>Retraité</v>
      </c>
      <c r="G131" s="191" t="str">
        <f>'1_BD questio brut'!E131</f>
        <v>65 ans et plus</v>
      </c>
      <c r="H131" s="191">
        <f>'1_BD questio brut'!F131</f>
        <v>2</v>
      </c>
      <c r="I131" s="191" t="str">
        <f>'1_BD questio brut'!G131</f>
        <v>Pas de réponse</v>
      </c>
      <c r="J131" s="191" t="str">
        <f t="array" ref="J131">INDEX('Données 1_BD questio'!C:C,MATCH('1_BD questio brut'!$H$1&amp;'1_BD questio brut'!H131,'Données 1_BD questio'!A:A&amp;'Données 1_BD questio'!B:B,0))</f>
        <v>Maison avec jardin</v>
      </c>
      <c r="K131" s="191">
        <f>'1_BD questio brut'!I131</f>
        <v>120</v>
      </c>
      <c r="L131" s="191" t="str">
        <f>'1_BD questio brut'!J131</f>
        <v>1975-1990</v>
      </c>
      <c r="M131" s="191" t="str">
        <f>'1_BD questio brut'!K131</f>
        <v>4</v>
      </c>
      <c r="N131" s="191" t="str">
        <f>'1_BD questio brut'!L131</f>
        <v>Pas de réponse</v>
      </c>
      <c r="O131" s="191" t="str">
        <f>'1_BD questio brut'!M131</f>
        <v>Propriétaire occupant</v>
      </c>
      <c r="P131" s="191" t="str">
        <f>'1_BD questio brut'!N131</f>
        <v>Insert / foyer fermé</v>
      </c>
      <c r="Q131" s="191" t="str">
        <f>'1_BD questio brut'!O131</f>
        <v>Chauffage d'apoint</v>
      </c>
      <c r="R131" s="191" t="str">
        <f>'1_BD questio brut'!P131</f>
        <v>3 à 4 jours/semaine</v>
      </c>
      <c r="S131" s="191" t="str">
        <f>'1_BD questio brut'!Q131</f>
        <v>2</v>
      </c>
      <c r="T131" s="191" t="str">
        <f>'1_BD questio brut'!R131</f>
        <v>Avant 1990</v>
      </c>
      <c r="U131" s="191" t="str">
        <f>'1_BD questio brut'!S131</f>
        <v>Bois bûche</v>
      </c>
      <c r="V131" s="191" t="str">
        <f>'1_BD questio brut'!T131</f>
        <v/>
      </c>
      <c r="W131" s="191" t="str">
        <f>'1_BD questio brut'!U131</f>
        <v>16</v>
      </c>
      <c r="X131" s="191" t="str">
        <f>'1_BD questio brut'!V131</f>
        <v>stères</v>
      </c>
      <c r="Y131" s="191" t="str">
        <f>'1_BD questio brut'!W131</f>
        <v>2</v>
      </c>
      <c r="Z131" s="191" t="str">
        <f>'1_BD questio brut'!X131</f>
        <v/>
      </c>
      <c r="AA131" s="191" t="str">
        <f t="array" ref="AA131">INDEX('Données 1_BD questio'!C:C,MATCH('1_BD questio brut'!$Y$1&amp;'1_BD questio brut'!Y131,'Données 1_BD questio'!A:A&amp;'Données 1_BD questio'!B:B,0))</f>
        <v>Ne sait pas</v>
      </c>
      <c r="AB131" s="191" t="str">
        <f>'1_BD questio brut'!Z131</f>
        <v>2</v>
      </c>
      <c r="AC131" s="191" t="str">
        <f>'1_BD questio brut'!AA131</f>
        <v>&gt; 2 ans</v>
      </c>
      <c r="AD131" s="191" t="str">
        <f>'1_BD questio brut'!AB131</f>
        <v>Feuillus</v>
      </c>
      <c r="AE131" s="191" t="str">
        <f t="array" ref="AE131">INDEX('Données 1_BD questio'!C:C,MATCH('1_BD questio brut'!$AC$1&amp;'1_BD questio brut'!AC131,'Données 1_BD questio'!A:A&amp;'Données 1_BD questio'!B:B,0))</f>
        <v>un professionnel</v>
      </c>
      <c r="AF131" s="191" t="str">
        <f>'1_BD questio brut'!AD131</f>
        <v>2 fois par an</v>
      </c>
      <c r="AG131" s="191" t="str">
        <f>'1_BD questio brut'!AE131</f>
        <v/>
      </c>
      <c r="AH131" s="191" t="str">
        <f>'1_BD questio brut'!AF131</f>
        <v>Poêle</v>
      </c>
      <c r="AI131" s="191" t="str">
        <f>'1_BD questio brut'!AG131</f>
        <v>1</v>
      </c>
      <c r="AJ131" s="191" t="str">
        <f>'1_BD questio brut'!AH131</f>
        <v/>
      </c>
      <c r="AK131" s="191" t="str">
        <f>'1_BD questio brut'!AI131</f>
        <v>Chauffage d'appoint</v>
      </c>
      <c r="AL131" s="191" t="str">
        <f>'1_BD questio brut'!AJ131</f>
        <v>Pas de réponse</v>
      </c>
      <c r="AM131" s="191" t="str">
        <f>'1_BD questio brut'!AK131</f>
        <v>1; 2; 4; 5</v>
      </c>
      <c r="AN131" s="191" t="str">
        <f>'1_BD questio brut'!AL131</f>
        <v/>
      </c>
      <c r="AO131" s="191" t="str">
        <f>'1_BD questio brut'!AM131</f>
        <v>7</v>
      </c>
      <c r="AP131" s="191" t="str">
        <f>'1_BD questio brut'!AN131</f>
        <v/>
      </c>
      <c r="AQ131" s="191" t="str">
        <f>'1_BD questio brut'!AO131</f>
        <v/>
      </c>
    </row>
    <row r="132" spans="1:43" ht="29" hidden="1">
      <c r="A132" s="98">
        <f>INDEX('3_BD instruction total'!A:A,MATCH(C132,'3_BD instruction total'!F:F,0))</f>
        <v>2021</v>
      </c>
      <c r="B132" s="98" t="str">
        <f>INDEX('3_BD instruction total'!C:C,MATCH(C132,'3_BD instruction total'!F:F,0))</f>
        <v>non</v>
      </c>
      <c r="C132" s="191" t="str">
        <f>'1_BD questio brut'!A132</f>
        <v>VRB0138</v>
      </c>
      <c r="D132" s="191" t="str">
        <f t="array" ref="D132">INDEX('Données 1_BD questio'!C:C,MATCH('1_BD questio brut'!$B$1&amp;'1_BD questio brut'!B132,'Données 1_BD questio'!A:A&amp;'Données 1_BD questio'!B:B,0))</f>
        <v>CAPV</v>
      </c>
      <c r="E132" s="191" t="str">
        <f t="array" ref="E132">INDEX('Données 1_BD questio'!C:C,MATCH('1_BD questio brut'!$C$1&amp;'1_BD questio brut'!C132,'Données 1_BD questio'!A:A&amp;'Données 1_BD questio'!B:B,0))</f>
        <v>Retraité</v>
      </c>
      <c r="F132" s="191" t="str">
        <f t="array" ref="F132">INDEX('Données 1_BD questio'!C:C,MATCH('1_BD questio brut'!$D$1&amp;'1_BD questio brut'!D132,'Données 1_BD questio'!A:A&amp;'Données 1_BD questio'!B:B,0))</f>
        <v>Employé</v>
      </c>
      <c r="G132" s="191" t="str">
        <f>'1_BD questio brut'!E132</f>
        <v>65 ans et plus</v>
      </c>
      <c r="H132" s="191">
        <f>'1_BD questio brut'!F132</f>
        <v>2</v>
      </c>
      <c r="I132" s="191" t="str">
        <f>'1_BD questio brut'!G132</f>
        <v>Pas de réponse</v>
      </c>
      <c r="J132" s="191" t="str">
        <f t="array" ref="J132">INDEX('Données 1_BD questio'!C:C,MATCH('1_BD questio brut'!$H$1&amp;'1_BD questio brut'!H132,'Données 1_BD questio'!A:A&amp;'Données 1_BD questio'!B:B,0))</f>
        <v>Maison avec jardin</v>
      </c>
      <c r="K132" s="191">
        <f>'1_BD questio brut'!I132</f>
        <v>37</v>
      </c>
      <c r="L132" s="191" t="str">
        <f>'1_BD questio brut'!J132</f>
        <v>1975-1990</v>
      </c>
      <c r="M132" s="191" t="str">
        <f>'1_BD questio brut'!K132</f>
        <v>4</v>
      </c>
      <c r="N132" s="191" t="str">
        <f>'1_BD questio brut'!L132</f>
        <v>Pas de réponse</v>
      </c>
      <c r="O132" s="191" t="str">
        <f>'1_BD questio brut'!M132</f>
        <v>Propriétaire occupant</v>
      </c>
      <c r="P132" s="191" t="str">
        <f>'1_BD questio brut'!N132</f>
        <v>Insert / foyer fermé</v>
      </c>
      <c r="Q132" s="191" t="str">
        <f>'1_BD questio brut'!O132</f>
        <v>Chauffage de base</v>
      </c>
      <c r="R132" s="191" t="str">
        <f>'1_BD questio brut'!P132</f>
        <v>Tous les jours</v>
      </c>
      <c r="S132" s="191" t="str">
        <f>'1_BD questio brut'!Q132</f>
        <v>4; 5</v>
      </c>
      <c r="T132" s="191" t="str">
        <f>'1_BD questio brut'!R132</f>
        <v>1990-1995</v>
      </c>
      <c r="U132" s="191" t="str">
        <f>'1_BD questio brut'!S132</f>
        <v>Bois bûche</v>
      </c>
      <c r="V132" s="191" t="str">
        <f>'1_BD questio brut'!T132</f>
        <v/>
      </c>
      <c r="W132" s="191" t="str">
        <f>'1_BD questio brut'!U132</f>
        <v>10</v>
      </c>
      <c r="X132" s="191" t="str">
        <f>'1_BD questio brut'!V132</f>
        <v>stères</v>
      </c>
      <c r="Y132" s="191" t="str">
        <f>'1_BD questio brut'!W132</f>
        <v>2</v>
      </c>
      <c r="Z132" s="191" t="str">
        <f>'1_BD questio brut'!X132</f>
        <v/>
      </c>
      <c r="AA132" s="191" t="str">
        <f t="array" ref="AA132">INDEX('Données 1_BD questio'!C:C,MATCH('1_BD questio brut'!$Y$1&amp;'1_BD questio brut'!Y132,'Données 1_BD questio'!A:A&amp;'Données 1_BD questio'!B:B,0))</f>
        <v>RA2B</v>
      </c>
      <c r="AB132" s="191" t="str">
        <f>'1_BD questio brut'!Z132</f>
        <v>2</v>
      </c>
      <c r="AC132" s="191" t="str">
        <f>'1_BD questio brut'!AA132</f>
        <v>1 à 2 ans</v>
      </c>
      <c r="AD132" s="191" t="str">
        <f>'1_BD questio brut'!AB132</f>
        <v>Les deux</v>
      </c>
      <c r="AE132" s="191" t="str">
        <f t="array" ref="AE132">INDEX('Données 1_BD questio'!C:C,MATCH('1_BD questio brut'!$AC$1&amp;'1_BD questio brut'!AC132,'Données 1_BD questio'!A:A&amp;'Données 1_BD questio'!B:B,0))</f>
        <v>vous-même</v>
      </c>
      <c r="AF132" s="191" t="str">
        <f>'1_BD questio brut'!AD132</f>
        <v>2 fois par an</v>
      </c>
      <c r="AG132" s="191" t="str">
        <f>'1_BD questio brut'!AE132</f>
        <v/>
      </c>
      <c r="AH132" s="191" t="str">
        <f>'1_BD questio brut'!AF132</f>
        <v>Poêle</v>
      </c>
      <c r="AI132" s="191" t="str">
        <f>'1_BD questio brut'!AG132</f>
        <v>1</v>
      </c>
      <c r="AJ132" s="191" t="str">
        <f>'1_BD questio brut'!AH132</f>
        <v/>
      </c>
      <c r="AK132" s="191" t="str">
        <f>'1_BD questio brut'!AI132</f>
        <v>Chauffage de base</v>
      </c>
      <c r="AL132" s="191" t="str">
        <f>'1_BD questio brut'!AJ132</f>
        <v>Pas de réponse</v>
      </c>
      <c r="AM132" s="191" t="str">
        <f>'1_BD questio brut'!AK132</f>
        <v>2; 5</v>
      </c>
      <c r="AN132" s="191" t="str">
        <f>'1_BD questio brut'!AL132</f>
        <v/>
      </c>
      <c r="AO132" s="191" t="str">
        <f>'1_BD questio brut'!AM132</f>
        <v>7</v>
      </c>
      <c r="AP132" s="191" t="str">
        <f>'1_BD questio brut'!AN132</f>
        <v/>
      </c>
      <c r="AQ132" s="191" t="str">
        <f>'1_BD questio brut'!AO132</f>
        <v/>
      </c>
    </row>
    <row r="133" spans="1:43" ht="43.5" hidden="1">
      <c r="A133" s="98">
        <f>INDEX('3_BD instruction total'!A:A,MATCH(C133,'3_BD instruction total'!F:F,0))</f>
        <v>2021</v>
      </c>
      <c r="B133" s="98" t="str">
        <f>INDEX('3_BD instruction total'!C:C,MATCH(C133,'3_BD instruction total'!F:F,0))</f>
        <v>non</v>
      </c>
      <c r="C133" s="191" t="str">
        <f>'1_BD questio brut'!A133</f>
        <v>VRB0139</v>
      </c>
      <c r="D133" s="191" t="str">
        <f t="array" ref="D133">INDEX('Données 1_BD questio'!C:C,MATCH('1_BD questio brut'!$B$1&amp;'1_BD questio brut'!B133,'Données 1_BD questio'!A:A&amp;'Données 1_BD questio'!B:B,0))</f>
        <v>CAPV</v>
      </c>
      <c r="E133" s="191" t="str">
        <f t="array" ref="E133">INDEX('Données 1_BD questio'!C:C,MATCH('1_BD questio brut'!$C$1&amp;'1_BD questio brut'!C133,'Données 1_BD questio'!A:A&amp;'Données 1_BD questio'!B:B,0))</f>
        <v>Employé</v>
      </c>
      <c r="F133" s="191" t="str">
        <f t="array" ref="F133">INDEX('Données 1_BD questio'!C:C,MATCH('1_BD questio brut'!$D$1&amp;'1_BD questio brut'!D133,'Données 1_BD questio'!A:A&amp;'Données 1_BD questio'!B:B,0))</f>
        <v>Cadre</v>
      </c>
      <c r="G133" s="191" t="str">
        <f>'1_BD questio brut'!E133</f>
        <v>25 à 34 ans</v>
      </c>
      <c r="H133" s="191">
        <f>'1_BD questio brut'!F133</f>
        <v>4</v>
      </c>
      <c r="I133" s="191" t="str">
        <f>'1_BD questio brut'!G133</f>
        <v>Pas de réponse</v>
      </c>
      <c r="J133" s="191" t="str">
        <f t="array" ref="J133">INDEX('Données 1_BD questio'!C:C,MATCH('1_BD questio brut'!$H$1&amp;'1_BD questio brut'!H133,'Données 1_BD questio'!A:A&amp;'Données 1_BD questio'!B:B,0))</f>
        <v>Maison avec jardin</v>
      </c>
      <c r="K133" s="191">
        <f>'1_BD questio brut'!I133</f>
        <v>135</v>
      </c>
      <c r="L133" s="191" t="str">
        <f>'1_BD questio brut'!J133</f>
        <v>1975-1990</v>
      </c>
      <c r="M133" s="191" t="str">
        <f>'1_BD questio brut'!K133</f>
        <v>4</v>
      </c>
      <c r="N133" s="191" t="str">
        <f>'1_BD questio brut'!L133</f>
        <v>E</v>
      </c>
      <c r="O133" s="191" t="str">
        <f>'1_BD questio brut'!M133</f>
        <v>Propriétaire occupant</v>
      </c>
      <c r="P133" s="191" t="str">
        <f>'1_BD questio brut'!N133</f>
        <v>Foyer ouvert</v>
      </c>
      <c r="Q133" s="191" t="str">
        <f>'1_BD questio brut'!O133</f>
        <v>Chauffage d'apoint</v>
      </c>
      <c r="R133" s="191" t="str">
        <f>'1_BD questio brut'!P133</f>
        <v>Moins de 15 fois par an</v>
      </c>
      <c r="S133" s="191" t="str">
        <f>'1_BD questio brut'!Q133</f>
        <v>2; 6</v>
      </c>
      <c r="T133" s="191" t="str">
        <f>'1_BD questio brut'!R133</f>
        <v>Avant 1990</v>
      </c>
      <c r="U133" s="191" t="str">
        <f>'1_BD questio brut'!S133</f>
        <v>Bois bûche</v>
      </c>
      <c r="V133" s="191" t="str">
        <f>'1_BD questio brut'!T133</f>
        <v/>
      </c>
      <c r="W133" s="191" t="str">
        <f>'1_BD questio brut'!U133</f>
        <v/>
      </c>
      <c r="X133" s="191" t="str">
        <f>'1_BD questio brut'!V133</f>
        <v/>
      </c>
      <c r="Y133" s="191" t="str">
        <f>'1_BD questio brut'!W133</f>
        <v>5</v>
      </c>
      <c r="Z133" s="191" t="str">
        <f>'1_BD questio brut'!X133</f>
        <v/>
      </c>
      <c r="AA133" s="191" t="str">
        <f t="array" ref="AA133">INDEX('Données 1_BD questio'!C:C,MATCH('1_BD questio brut'!$Y$1&amp;'1_BD questio brut'!Y133,'Données 1_BD questio'!A:A&amp;'Données 1_BD questio'!B:B,0))</f>
        <v>Ne sait pas</v>
      </c>
      <c r="AB133" s="191" t="str">
        <f>'1_BD questio brut'!Z133</f>
        <v>2</v>
      </c>
      <c r="AC133" s="191" t="str">
        <f>'1_BD questio brut'!AA133</f>
        <v>&gt; 2 ans</v>
      </c>
      <c r="AD133" s="191" t="str">
        <f>'1_BD questio brut'!AB133</f>
        <v>Feuillus</v>
      </c>
      <c r="AE133" s="191" t="str">
        <f t="array" ref="AE133">INDEX('Données 1_BD questio'!C:C,MATCH('1_BD questio brut'!$AC$1&amp;'1_BD questio brut'!AC133,'Données 1_BD questio'!A:A&amp;'Données 1_BD questio'!B:B,0))</f>
        <v>un professionnel</v>
      </c>
      <c r="AF133" s="191" t="str">
        <f>'1_BD questio brut'!AD133</f>
        <v>2 fois par an</v>
      </c>
      <c r="AG133" s="191" t="str">
        <f>'1_BD questio brut'!AE133</f>
        <v/>
      </c>
      <c r="AH133" s="191" t="str">
        <f>'1_BD questio brut'!AF133</f>
        <v>Insert cheminée</v>
      </c>
      <c r="AI133" s="191" t="str">
        <f>'1_BD questio brut'!AG133</f>
        <v>1</v>
      </c>
      <c r="AJ133" s="191" t="str">
        <f>'1_BD questio brut'!AH133</f>
        <v/>
      </c>
      <c r="AK133" s="191" t="str">
        <f>'1_BD questio brut'!AI133</f>
        <v>Chauffage d'appoint</v>
      </c>
      <c r="AL133" s="191" t="str">
        <f>'1_BD questio brut'!AJ133</f>
        <v>Pas de réponse</v>
      </c>
      <c r="AM133" s="191" t="str">
        <f>'1_BD questio brut'!AK133</f>
        <v>1; 2; 4</v>
      </c>
      <c r="AN133" s="191" t="str">
        <f>'1_BD questio brut'!AL133</f>
        <v/>
      </c>
      <c r="AO133" s="191" t="str">
        <f>'1_BD questio brut'!AM133</f>
        <v>7</v>
      </c>
      <c r="AP133" s="191" t="str">
        <f>'1_BD questio brut'!AN133</f>
        <v/>
      </c>
      <c r="AQ133" s="191" t="str">
        <f>'1_BD questio brut'!AO133</f>
        <v/>
      </c>
    </row>
    <row r="134" spans="1:43" ht="43.5" hidden="1">
      <c r="A134" s="98">
        <f>INDEX('3_BD instruction total'!A:A,MATCH(C134,'3_BD instruction total'!F:F,0))</f>
        <v>2021</v>
      </c>
      <c r="B134" s="98" t="str">
        <f>INDEX('3_BD instruction total'!C:C,MATCH(C134,'3_BD instruction total'!F:F,0))</f>
        <v>non</v>
      </c>
      <c r="C134" s="191" t="str">
        <f>'1_BD questio brut'!A134</f>
        <v>VRB0140</v>
      </c>
      <c r="D134" s="191" t="str">
        <f t="array" ref="D134">INDEX('Données 1_BD questio'!C:C,MATCH('1_BD questio brut'!$B$1&amp;'1_BD questio brut'!B134,'Données 1_BD questio'!A:A&amp;'Données 1_BD questio'!B:B,0))</f>
        <v>CAPV</v>
      </c>
      <c r="E134" s="191" t="str">
        <f t="array" ref="E134">INDEX('Données 1_BD questio'!C:C,MATCH('1_BD questio brut'!$C$1&amp;'1_BD questio brut'!C134,'Données 1_BD questio'!A:A&amp;'Données 1_BD questio'!B:B,0))</f>
        <v>Retraité</v>
      </c>
      <c r="F134" s="191" t="str">
        <f t="array" ref="F134">INDEX('Données 1_BD questio'!C:C,MATCH('1_BD questio brut'!$D$1&amp;'1_BD questio brut'!D134,'Données 1_BD questio'!A:A&amp;'Données 1_BD questio'!B:B,0))</f>
        <v>Employé</v>
      </c>
      <c r="G134" s="191" t="str">
        <f>'1_BD questio brut'!E134</f>
        <v>65 ans et plus</v>
      </c>
      <c r="H134" s="191">
        <f>'1_BD questio brut'!F134</f>
        <v>2</v>
      </c>
      <c r="I134" s="191" t="str">
        <f>'1_BD questio brut'!G134</f>
        <v>Pas de réponse</v>
      </c>
      <c r="J134" s="191" t="str">
        <f t="array" ref="J134">INDEX('Données 1_BD questio'!C:C,MATCH('1_BD questio brut'!$H$1&amp;'1_BD questio brut'!H134,'Données 1_BD questio'!A:A&amp;'Données 1_BD questio'!B:B,0))</f>
        <v>Maison avec jardin</v>
      </c>
      <c r="K134" s="191">
        <f>'1_BD questio brut'!I134</f>
        <v>108</v>
      </c>
      <c r="L134" s="191" t="str">
        <f>'1_BD questio brut'!J134</f>
        <v>1975-1990</v>
      </c>
      <c r="M134" s="191" t="str">
        <f>'1_BD questio brut'!K134</f>
        <v>4</v>
      </c>
      <c r="N134" s="191" t="str">
        <f>'1_BD questio brut'!L134</f>
        <v>E</v>
      </c>
      <c r="O134" s="191" t="str">
        <f>'1_BD questio brut'!M134</f>
        <v>Propriétaire occupant</v>
      </c>
      <c r="P134" s="191" t="str">
        <f>'1_BD questio brut'!N134</f>
        <v>Insert / foyer fermé</v>
      </c>
      <c r="Q134" s="191" t="str">
        <f>'1_BD questio brut'!O134</f>
        <v>Chauffage de base</v>
      </c>
      <c r="R134" s="191" t="str">
        <f>'1_BD questio brut'!P134</f>
        <v>Tous les jours</v>
      </c>
      <c r="S134" s="191" t="str">
        <f>'1_BD questio brut'!Q134</f>
        <v>4; 5</v>
      </c>
      <c r="T134" s="191" t="str">
        <f>'1_BD questio brut'!R134</f>
        <v>1990-1995</v>
      </c>
      <c r="U134" s="191" t="str">
        <f>'1_BD questio brut'!S134</f>
        <v>Bois bûche</v>
      </c>
      <c r="V134" s="191" t="str">
        <f>'1_BD questio brut'!T134</f>
        <v/>
      </c>
      <c r="W134" s="191" t="str">
        <f>'1_BD questio brut'!U134</f>
        <v>8</v>
      </c>
      <c r="X134" s="191" t="str">
        <f>'1_BD questio brut'!V134</f>
        <v>m3</v>
      </c>
      <c r="Y134" s="191" t="str">
        <f>'1_BD questio brut'!W134</f>
        <v>2</v>
      </c>
      <c r="Z134" s="191" t="str">
        <f>'1_BD questio brut'!X134</f>
        <v/>
      </c>
      <c r="AA134" s="191" t="str">
        <f t="array" ref="AA134">INDEX('Données 1_BD questio'!C:C,MATCH('1_BD questio brut'!$Y$1&amp;'1_BD questio brut'!Y134,'Données 1_BD questio'!A:A&amp;'Données 1_BD questio'!B:B,0))</f>
        <v>Rhône-Alpes hors RA2B</v>
      </c>
      <c r="AB134" s="191" t="str">
        <f>'1_BD questio brut'!Z134</f>
        <v>2</v>
      </c>
      <c r="AC134" s="191" t="str">
        <f>'1_BD questio brut'!AA134</f>
        <v>&gt; 2 ans</v>
      </c>
      <c r="AD134" s="191" t="str">
        <f>'1_BD questio brut'!AB134</f>
        <v>Les deux</v>
      </c>
      <c r="AE134" s="191" t="str">
        <f t="array" ref="AE134">INDEX('Données 1_BD questio'!C:C,MATCH('1_BD questio brut'!$AC$1&amp;'1_BD questio brut'!AC134,'Données 1_BD questio'!A:A&amp;'Données 1_BD questio'!B:B,0))</f>
        <v>un professionnel</v>
      </c>
      <c r="AF134" s="191" t="str">
        <f>'1_BD questio brut'!AD134</f>
        <v>2 fois par an</v>
      </c>
      <c r="AG134" s="191" t="str">
        <f>'1_BD questio brut'!AE134</f>
        <v/>
      </c>
      <c r="AH134" s="191" t="str">
        <f>'1_BD questio brut'!AF134</f>
        <v>Poêle</v>
      </c>
      <c r="AI134" s="191" t="str">
        <f>'1_BD questio brut'!AG134</f>
        <v>2</v>
      </c>
      <c r="AJ134" s="191" t="str">
        <f>'1_BD questio brut'!AH134</f>
        <v/>
      </c>
      <c r="AK134" s="191" t="str">
        <f>'1_BD questio brut'!AI134</f>
        <v>Chauffage de base</v>
      </c>
      <c r="AL134" s="191" t="str">
        <f>'1_BD questio brut'!AJ134</f>
        <v>Pas de réponse</v>
      </c>
      <c r="AM134" s="191" t="str">
        <f>'1_BD questio brut'!AK134</f>
        <v>1; 2; 4</v>
      </c>
      <c r="AN134" s="191" t="str">
        <f>'1_BD questio brut'!AL134</f>
        <v/>
      </c>
      <c r="AO134" s="191" t="str">
        <f>'1_BD questio brut'!AM134</f>
        <v>5; 7</v>
      </c>
      <c r="AP134" s="191" t="str">
        <f>'1_BD questio brut'!AN134</f>
        <v/>
      </c>
      <c r="AQ134" s="191" t="str">
        <f>'1_BD questio brut'!AO134</f>
        <v/>
      </c>
    </row>
    <row r="135" spans="1:43" ht="43.5" hidden="1">
      <c r="A135" s="98">
        <f>INDEX('3_BD instruction total'!A:A,MATCH(C135,'3_BD instruction total'!F:F,0))</f>
        <v>2021</v>
      </c>
      <c r="B135" s="98" t="str">
        <f>INDEX('3_BD instruction total'!C:C,MATCH(C135,'3_BD instruction total'!F:F,0))</f>
        <v>non</v>
      </c>
      <c r="C135" s="191" t="str">
        <f>'1_BD questio brut'!A135</f>
        <v>VRB0141</v>
      </c>
      <c r="D135" s="191" t="str">
        <f t="array" ref="D135">INDEX('Données 1_BD questio'!C:C,MATCH('1_BD questio brut'!$B$1&amp;'1_BD questio brut'!B135,'Données 1_BD questio'!A:A&amp;'Données 1_BD questio'!B:B,0))</f>
        <v>CAPV</v>
      </c>
      <c r="E135" s="191" t="str">
        <f t="array" ref="E135">INDEX('Données 1_BD questio'!C:C,MATCH('1_BD questio brut'!$C$1&amp;'1_BD questio brut'!C135,'Données 1_BD questio'!A:A&amp;'Données 1_BD questio'!B:B,0))</f>
        <v>Retraité</v>
      </c>
      <c r="F135" s="191" t="str">
        <f t="array" ref="F135">INDEX('Données 1_BD questio'!C:C,MATCH('1_BD questio brut'!$D$1&amp;'1_BD questio brut'!D135,'Données 1_BD questio'!A:A&amp;'Données 1_BD questio'!B:B,0))</f>
        <v>Retraité</v>
      </c>
      <c r="G135" s="191" t="str">
        <f>'1_BD questio brut'!E135</f>
        <v>50 à 64 ans</v>
      </c>
      <c r="H135" s="191">
        <f>'1_BD questio brut'!F135</f>
        <v>2</v>
      </c>
      <c r="I135" s="191" t="str">
        <f>'1_BD questio brut'!G135</f>
        <v>Pas de réponse</v>
      </c>
      <c r="J135" s="191" t="str">
        <f t="array" ref="J135">INDEX('Données 1_BD questio'!C:C,MATCH('1_BD questio brut'!$H$1&amp;'1_BD questio brut'!H135,'Données 1_BD questio'!A:A&amp;'Données 1_BD questio'!B:B,0))</f>
        <v>Maison avec jardin</v>
      </c>
      <c r="K135" s="191">
        <f>'1_BD questio brut'!I135</f>
        <v>180</v>
      </c>
      <c r="L135" s="191" t="str">
        <f>'1_BD questio brut'!J135</f>
        <v>Avant 1949</v>
      </c>
      <c r="M135" s="191" t="str">
        <f>'1_BD questio brut'!K135</f>
        <v>1; 4</v>
      </c>
      <c r="N135" s="191" t="str">
        <f>'1_BD questio brut'!L135</f>
        <v>Pas de réponse</v>
      </c>
      <c r="O135" s="191" t="str">
        <f>'1_BD questio brut'!M135</f>
        <v>Propriétaire occupant</v>
      </c>
      <c r="P135" s="191" t="str">
        <f>'1_BD questio brut'!N135</f>
        <v>Insert / foyer fermé</v>
      </c>
      <c r="Q135" s="191" t="str">
        <f>'1_BD questio brut'!O135</f>
        <v>Chauffage de base</v>
      </c>
      <c r="R135" s="191" t="str">
        <f>'1_BD questio brut'!P135</f>
        <v>Tous les jours</v>
      </c>
      <c r="S135" s="191" t="str">
        <f>'1_BD questio brut'!Q135</f>
        <v>4</v>
      </c>
      <c r="T135" s="191" t="str">
        <f>'1_BD questio brut'!R135</f>
        <v>1996-2002</v>
      </c>
      <c r="U135" s="191" t="str">
        <f>'1_BD questio brut'!S135</f>
        <v>Bois bûche</v>
      </c>
      <c r="V135" s="191" t="str">
        <f>'1_BD questio brut'!T135</f>
        <v/>
      </c>
      <c r="W135" s="191" t="str">
        <f>'1_BD questio brut'!U135</f>
        <v>15</v>
      </c>
      <c r="X135" s="191" t="str">
        <f>'1_BD questio brut'!V135</f>
        <v>stères</v>
      </c>
      <c r="Y135" s="191" t="str">
        <f>'1_BD questio brut'!W135</f>
        <v>2</v>
      </c>
      <c r="Z135" s="191" t="str">
        <f>'1_BD questio brut'!X135</f>
        <v/>
      </c>
      <c r="AA135" s="191" t="str">
        <f t="array" ref="AA135">INDEX('Données 1_BD questio'!C:C,MATCH('1_BD questio brut'!$Y$1&amp;'1_BD questio brut'!Y135,'Données 1_BD questio'!A:A&amp;'Données 1_BD questio'!B:B,0))</f>
        <v>RA2B</v>
      </c>
      <c r="AB135" s="191" t="str">
        <f>'1_BD questio brut'!Z135</f>
        <v>2</v>
      </c>
      <c r="AC135" s="191" t="str">
        <f>'1_BD questio brut'!AA135</f>
        <v>&gt; 2 ans</v>
      </c>
      <c r="AD135" s="191" t="str">
        <f>'1_BD questio brut'!AB135</f>
        <v>Feuillus</v>
      </c>
      <c r="AE135" s="191" t="str">
        <f t="array" ref="AE135">INDEX('Données 1_BD questio'!C:C,MATCH('1_BD questio brut'!$AC$1&amp;'1_BD questio brut'!AC135,'Données 1_BD questio'!A:A&amp;'Données 1_BD questio'!B:B,0))</f>
        <v>un professionnel</v>
      </c>
      <c r="AF135" s="191" t="str">
        <f>'1_BD questio brut'!AD135</f>
        <v>2 fois par an</v>
      </c>
      <c r="AG135" s="191" t="str">
        <f>'1_BD questio brut'!AE135</f>
        <v/>
      </c>
      <c r="AH135" s="191" t="str">
        <f>'1_BD questio brut'!AF135</f>
        <v>Poêle</v>
      </c>
      <c r="AI135" s="191" t="str">
        <f>'1_BD questio brut'!AG135</f>
        <v>2</v>
      </c>
      <c r="AJ135" s="191" t="str">
        <f>'1_BD questio brut'!AH135</f>
        <v/>
      </c>
      <c r="AK135" s="191" t="str">
        <f>'1_BD questio brut'!AI135</f>
        <v>Chauffage de base</v>
      </c>
      <c r="AL135" s="191" t="str">
        <f>'1_BD questio brut'!AJ135</f>
        <v>Pas de réponse</v>
      </c>
      <c r="AM135" s="191" t="str">
        <f>'1_BD questio brut'!AK135</f>
        <v>1; 2; 4; 5</v>
      </c>
      <c r="AN135" s="191" t="str">
        <f>'1_BD questio brut'!AL135</f>
        <v/>
      </c>
      <c r="AO135" s="191" t="str">
        <f>'1_BD questio brut'!AM135</f>
        <v>5; 7</v>
      </c>
      <c r="AP135" s="191" t="str">
        <f>'1_BD questio brut'!AN135</f>
        <v/>
      </c>
      <c r="AQ135" s="191" t="str">
        <f>'1_BD questio brut'!AO135</f>
        <v/>
      </c>
    </row>
    <row r="136" spans="1:43" ht="43.5" hidden="1">
      <c r="A136" s="98">
        <f>INDEX('3_BD instruction total'!A:A,MATCH(C136,'3_BD instruction total'!F:F,0))</f>
        <v>2021</v>
      </c>
      <c r="B136" s="98" t="str">
        <f>INDEX('3_BD instruction total'!C:C,MATCH(C136,'3_BD instruction total'!F:F,0))</f>
        <v>non</v>
      </c>
      <c r="C136" s="191" t="str">
        <f>'1_BD questio brut'!A136</f>
        <v>VRB0142</v>
      </c>
      <c r="D136" s="191" t="str">
        <f t="array" ref="D136">INDEX('Données 1_BD questio'!C:C,MATCH('1_BD questio brut'!$B$1&amp;'1_BD questio brut'!B136,'Données 1_BD questio'!A:A&amp;'Données 1_BD questio'!B:B,0))</f>
        <v>CAPV</v>
      </c>
      <c r="E136" s="191" t="str">
        <f t="array" ref="E136">INDEX('Données 1_BD questio'!C:C,MATCH('1_BD questio brut'!$C$1&amp;'1_BD questio brut'!C136,'Données 1_BD questio'!A:A&amp;'Données 1_BD questio'!B:B,0))</f>
        <v>Retraité</v>
      </c>
      <c r="F136" s="191" t="str">
        <f t="array" ref="F136">INDEX('Données 1_BD questio'!C:C,MATCH('1_BD questio brut'!$D$1&amp;'1_BD questio brut'!D136,'Données 1_BD questio'!A:A&amp;'Données 1_BD questio'!B:B,0))</f>
        <v>Pas de réponse</v>
      </c>
      <c r="G136" s="191" t="str">
        <f>'1_BD questio brut'!E136</f>
        <v>65 ans et plus</v>
      </c>
      <c r="H136" s="191">
        <f>'1_BD questio brut'!F136</f>
        <v>1</v>
      </c>
      <c r="I136" s="191" t="str">
        <f>'1_BD questio brut'!G136</f>
        <v>Pas de réponse</v>
      </c>
      <c r="J136" s="191" t="str">
        <f t="array" ref="J136">INDEX('Données 1_BD questio'!C:C,MATCH('1_BD questio brut'!$H$1&amp;'1_BD questio brut'!H136,'Données 1_BD questio'!A:A&amp;'Données 1_BD questio'!B:B,0))</f>
        <v>Maison avec jardin</v>
      </c>
      <c r="K136" s="191">
        <f>'1_BD questio brut'!I136</f>
        <v>100</v>
      </c>
      <c r="L136" s="191" t="str">
        <f>'1_BD questio brut'!J136</f>
        <v>1990-2005</v>
      </c>
      <c r="M136" s="191" t="str">
        <f>'1_BD questio brut'!K136</f>
        <v>6</v>
      </c>
      <c r="N136" s="191" t="str">
        <f>'1_BD questio brut'!L136</f>
        <v>Pas de réponse</v>
      </c>
      <c r="O136" s="191" t="str">
        <f>'1_BD questio brut'!M136</f>
        <v>Propriétaire occupant</v>
      </c>
      <c r="P136" s="191" t="str">
        <f>'1_BD questio brut'!N136</f>
        <v>Poêle</v>
      </c>
      <c r="Q136" s="191" t="str">
        <f>'1_BD questio brut'!O136</f>
        <v>Chauffage d'apoint</v>
      </c>
      <c r="R136" s="191" t="str">
        <f>'1_BD questio brut'!P136</f>
        <v>1 à 2 jours/semaine</v>
      </c>
      <c r="S136" s="191" t="str">
        <f>'1_BD questio brut'!Q136</f>
        <v>4</v>
      </c>
      <c r="T136" s="191" t="str">
        <f>'1_BD questio brut'!R136</f>
        <v>1990-1995</v>
      </c>
      <c r="U136" s="191" t="str">
        <f>'1_BD questio brut'!S136</f>
        <v>Bois bûche</v>
      </c>
      <c r="V136" s="191" t="str">
        <f>'1_BD questio brut'!T136</f>
        <v/>
      </c>
      <c r="W136" s="191" t="str">
        <f>'1_BD questio brut'!U136</f>
        <v>4</v>
      </c>
      <c r="X136" s="191" t="str">
        <f>'1_BD questio brut'!V136</f>
        <v>stères</v>
      </c>
      <c r="Y136" s="191" t="str">
        <f>'1_BD questio brut'!W136</f>
        <v>1</v>
      </c>
      <c r="Z136" s="191" t="str">
        <f>'1_BD questio brut'!X136</f>
        <v/>
      </c>
      <c r="AA136" s="191" t="str">
        <f t="array" ref="AA136">INDEX('Données 1_BD questio'!C:C,MATCH('1_BD questio brut'!$Y$1&amp;'1_BD questio brut'!Y136,'Données 1_BD questio'!A:A&amp;'Données 1_BD questio'!B:B,0))</f>
        <v>Ne sait pas</v>
      </c>
      <c r="AB136" s="191" t="str">
        <f>'1_BD questio brut'!Z136</f>
        <v>2</v>
      </c>
      <c r="AC136" s="191" t="str">
        <f>'1_BD questio brut'!AA136</f>
        <v>&gt; 2 ans</v>
      </c>
      <c r="AD136" s="191" t="str">
        <f>'1_BD questio brut'!AB136</f>
        <v>Feuillus</v>
      </c>
      <c r="AE136" s="191" t="str">
        <f t="array" ref="AE136">INDEX('Données 1_BD questio'!C:C,MATCH('1_BD questio brut'!$AC$1&amp;'1_BD questio brut'!AC136,'Données 1_BD questio'!A:A&amp;'Données 1_BD questio'!B:B,0))</f>
        <v>un professionnel</v>
      </c>
      <c r="AF136" s="191" t="str">
        <f>'1_BD questio brut'!AD136</f>
        <v>1 fois par an</v>
      </c>
      <c r="AG136" s="191" t="str">
        <f>'1_BD questio brut'!AE136</f>
        <v/>
      </c>
      <c r="AH136" s="191" t="str">
        <f>'1_BD questio brut'!AF136</f>
        <v>Poêle</v>
      </c>
      <c r="AI136" s="191" t="str">
        <f>'1_BD questio brut'!AG136</f>
        <v>2</v>
      </c>
      <c r="AJ136" s="191" t="str">
        <f>'1_BD questio brut'!AH136</f>
        <v/>
      </c>
      <c r="AK136" s="191" t="str">
        <f>'1_BD questio brut'!AI136</f>
        <v>Chauffage d'appoint</v>
      </c>
      <c r="AL136" s="191" t="str">
        <f>'1_BD questio brut'!AJ136</f>
        <v>Pas de réponse</v>
      </c>
      <c r="AM136" s="191" t="str">
        <f>'1_BD questio brut'!AK136</f>
        <v>1; 2; 4; 5</v>
      </c>
      <c r="AN136" s="191" t="str">
        <f>'1_BD questio brut'!AL136</f>
        <v/>
      </c>
      <c r="AO136" s="191" t="str">
        <f>'1_BD questio brut'!AM136</f>
        <v>11</v>
      </c>
      <c r="AP136" s="191" t="str">
        <f>'1_BD questio brut'!AN136</f>
        <v/>
      </c>
      <c r="AQ136" s="191" t="str">
        <f>'1_BD questio brut'!AO136</f>
        <v/>
      </c>
    </row>
    <row r="137" spans="1:43" ht="43.5" hidden="1">
      <c r="A137" s="98">
        <f>INDEX('3_BD instruction total'!A:A,MATCH(C137,'3_BD instruction total'!F:F,0))</f>
        <v>2021</v>
      </c>
      <c r="B137" s="98" t="str">
        <f>INDEX('3_BD instruction total'!C:C,MATCH(C137,'3_BD instruction total'!F:F,0))</f>
        <v>non</v>
      </c>
      <c r="C137" s="191" t="str">
        <f>'1_BD questio brut'!A137</f>
        <v>VRB0143</v>
      </c>
      <c r="D137" s="191" t="str">
        <f t="array" ref="D137">INDEX('Données 1_BD questio'!C:C,MATCH('1_BD questio brut'!$B$1&amp;'1_BD questio brut'!B137,'Données 1_BD questio'!A:A&amp;'Données 1_BD questio'!B:B,0))</f>
        <v>CAPV</v>
      </c>
      <c r="E137" s="191" t="str">
        <f t="array" ref="E137">INDEX('Données 1_BD questio'!C:C,MATCH('1_BD questio brut'!$C$1&amp;'1_BD questio brut'!C137,'Données 1_BD questio'!A:A&amp;'Données 1_BD questio'!B:B,0))</f>
        <v>Profession intermédiaire</v>
      </c>
      <c r="F137" s="191" t="str">
        <f t="array" ref="F137">INDEX('Données 1_BD questio'!C:C,MATCH('1_BD questio brut'!$D$1&amp;'1_BD questio brut'!D137,'Données 1_BD questio'!A:A&amp;'Données 1_BD questio'!B:B,0))</f>
        <v>Pas de réponse</v>
      </c>
      <c r="G137" s="191" t="str">
        <f>'1_BD questio brut'!E137</f>
        <v>35 à 49 ans</v>
      </c>
      <c r="H137" s="191">
        <f>'1_BD questio brut'!F137</f>
        <v>3</v>
      </c>
      <c r="I137" s="191" t="str">
        <f>'1_BD questio brut'!G137</f>
        <v>Pas de réponse</v>
      </c>
      <c r="J137" s="191" t="str">
        <f t="array" ref="J137">INDEX('Données 1_BD questio'!C:C,MATCH('1_BD questio brut'!$H$1&amp;'1_BD questio brut'!H137,'Données 1_BD questio'!A:A&amp;'Données 1_BD questio'!B:B,0))</f>
        <v>Maison avec jardin</v>
      </c>
      <c r="K137" s="191">
        <f>'1_BD questio brut'!I137</f>
        <v>140</v>
      </c>
      <c r="L137" s="191" t="str">
        <f>'1_BD questio brut'!J137</f>
        <v>1949-1975</v>
      </c>
      <c r="M137" s="191" t="str">
        <f>'1_BD questio brut'!K137</f>
        <v>6</v>
      </c>
      <c r="N137" s="191" t="str">
        <f>'1_BD questio brut'!L137</f>
        <v>E</v>
      </c>
      <c r="O137" s="191" t="str">
        <f>'1_BD questio brut'!M137</f>
        <v>Propriétaire occupant</v>
      </c>
      <c r="P137" s="191" t="str">
        <f>'1_BD questio brut'!N137</f>
        <v>Insert / foyer fermé</v>
      </c>
      <c r="Q137" s="191" t="str">
        <f>'1_BD questio brut'!O137</f>
        <v>Chauffage d'apoint</v>
      </c>
      <c r="R137" s="191" t="str">
        <f>'1_BD questio brut'!P137</f>
        <v>1 à 2 jours/semaine</v>
      </c>
      <c r="S137" s="191" t="str">
        <f>'1_BD questio brut'!Q137</f>
        <v>2; 3</v>
      </c>
      <c r="T137" s="191" t="str">
        <f>'1_BD questio brut'!R137</f>
        <v>Avant 1990</v>
      </c>
      <c r="U137" s="191" t="str">
        <f>'1_BD questio brut'!S137</f>
        <v>Bois bûche</v>
      </c>
      <c r="V137" s="191" t="str">
        <f>'1_BD questio brut'!T137</f>
        <v/>
      </c>
      <c r="W137" s="191" t="str">
        <f>'1_BD questio brut'!U137</f>
        <v>5</v>
      </c>
      <c r="X137" s="191" t="str">
        <f>'1_BD questio brut'!V137</f>
        <v>stères</v>
      </c>
      <c r="Y137" s="191" t="str">
        <f>'1_BD questio brut'!W137</f>
        <v>2</v>
      </c>
      <c r="Z137" s="191" t="str">
        <f>'1_BD questio brut'!X137</f>
        <v/>
      </c>
      <c r="AA137" s="191" t="str">
        <f t="array" ref="AA137">INDEX('Données 1_BD questio'!C:C,MATCH('1_BD questio brut'!$Y$1&amp;'1_BD questio brut'!Y137,'Données 1_BD questio'!A:A&amp;'Données 1_BD questio'!B:B,0))</f>
        <v>Rhône-Alpes hors RA2B</v>
      </c>
      <c r="AB137" s="191" t="str">
        <f>'1_BD questio brut'!Z137</f>
        <v>2</v>
      </c>
      <c r="AC137" s="191" t="str">
        <f>'1_BD questio brut'!AA137</f>
        <v>1 à 2 ans</v>
      </c>
      <c r="AD137" s="191" t="str">
        <f>'1_BD questio brut'!AB137</f>
        <v>Les deux</v>
      </c>
      <c r="AE137" s="191" t="str">
        <f t="array" ref="AE137">INDEX('Données 1_BD questio'!C:C,MATCH('1_BD questio brut'!$AC$1&amp;'1_BD questio brut'!AC137,'Données 1_BD questio'!A:A&amp;'Données 1_BD questio'!B:B,0))</f>
        <v>un professionnel</v>
      </c>
      <c r="AF137" s="191" t="str">
        <f>'1_BD questio brut'!AD137</f>
        <v>1 fois par an</v>
      </c>
      <c r="AG137" s="191" t="str">
        <f>'1_BD questio brut'!AE137</f>
        <v/>
      </c>
      <c r="AH137" s="191" t="str">
        <f>'1_BD questio brut'!AF137</f>
        <v>Poêle</v>
      </c>
      <c r="AI137" s="191" t="str">
        <f>'1_BD questio brut'!AG137</f>
        <v>1</v>
      </c>
      <c r="AJ137" s="191" t="str">
        <f>'1_BD questio brut'!AH137</f>
        <v/>
      </c>
      <c r="AK137" s="191" t="str">
        <f>'1_BD questio brut'!AI137</f>
        <v>Chauffage d'appoint</v>
      </c>
      <c r="AL137" s="191" t="str">
        <f>'1_BD questio brut'!AJ137</f>
        <v>Pas de réponse</v>
      </c>
      <c r="AM137" s="191" t="str">
        <f>'1_BD questio brut'!AK137</f>
        <v>2; 5</v>
      </c>
      <c r="AN137" s="191" t="str">
        <f>'1_BD questio brut'!AL137</f>
        <v/>
      </c>
      <c r="AO137" s="191" t="str">
        <f>'1_BD questio brut'!AM137</f>
        <v>2; 7</v>
      </c>
      <c r="AP137" s="191" t="str">
        <f>'1_BD questio brut'!AN137</f>
        <v/>
      </c>
      <c r="AQ137" s="191" t="str">
        <f>'1_BD questio brut'!AO137</f>
        <v/>
      </c>
    </row>
    <row r="138" spans="1:43" ht="43.5" hidden="1">
      <c r="A138" s="98">
        <f>INDEX('3_BD instruction total'!A:A,MATCH(C138,'3_BD instruction total'!F:F,0))</f>
        <v>2021</v>
      </c>
      <c r="B138" s="98" t="str">
        <f>INDEX('3_BD instruction total'!C:C,MATCH(C138,'3_BD instruction total'!F:F,0))</f>
        <v>non</v>
      </c>
      <c r="C138" s="191" t="str">
        <f>'1_BD questio brut'!A138</f>
        <v>VRB0144</v>
      </c>
      <c r="D138" s="191" t="str">
        <f t="array" ref="D138">INDEX('Données 1_BD questio'!C:C,MATCH('1_BD questio brut'!$B$1&amp;'1_BD questio brut'!B138,'Données 1_BD questio'!A:A&amp;'Données 1_BD questio'!B:B,0))</f>
        <v>CAPV</v>
      </c>
      <c r="E138" s="191" t="str">
        <f t="array" ref="E138">INDEX('Données 1_BD questio'!C:C,MATCH('1_BD questio brut'!$C$1&amp;'1_BD questio brut'!C138,'Données 1_BD questio'!A:A&amp;'Données 1_BD questio'!B:B,0))</f>
        <v>Ouvrier</v>
      </c>
      <c r="F138" s="191" t="str">
        <f t="array" ref="F138">INDEX('Données 1_BD questio'!C:C,MATCH('1_BD questio brut'!$D$1&amp;'1_BD questio brut'!D138,'Données 1_BD questio'!A:A&amp;'Données 1_BD questio'!B:B,0))</f>
        <v>Employé</v>
      </c>
      <c r="G138" s="191" t="str">
        <f>'1_BD questio brut'!E138</f>
        <v>25 à 34 ans</v>
      </c>
      <c r="H138" s="191">
        <f>'1_BD questio brut'!F138</f>
        <v>2</v>
      </c>
      <c r="I138" s="191" t="str">
        <f>'1_BD questio brut'!G138</f>
        <v>Pas de réponse</v>
      </c>
      <c r="J138" s="191" t="str">
        <f t="array" ref="J138">INDEX('Données 1_BD questio'!C:C,MATCH('1_BD questio brut'!$H$1&amp;'1_BD questio brut'!H138,'Données 1_BD questio'!A:A&amp;'Données 1_BD questio'!B:B,0))</f>
        <v>Maison avec jardin</v>
      </c>
      <c r="K138" s="191">
        <f>'1_BD questio brut'!I138</f>
        <v>70</v>
      </c>
      <c r="L138" s="191" t="str">
        <f>'1_BD questio brut'!J138</f>
        <v>1975-1990</v>
      </c>
      <c r="M138" s="191" t="str">
        <f>'1_BD questio brut'!K138</f>
        <v>6</v>
      </c>
      <c r="N138" s="191" t="str">
        <f>'1_BD questio brut'!L138</f>
        <v>Ne sait pas</v>
      </c>
      <c r="O138" s="191" t="str">
        <f>'1_BD questio brut'!M138</f>
        <v>Propriétaire occupant</v>
      </c>
      <c r="P138" s="191" t="str">
        <f>'1_BD questio brut'!N138</f>
        <v>Insert / foyer fermé</v>
      </c>
      <c r="Q138" s="191" t="str">
        <f>'1_BD questio brut'!O138</f>
        <v>Chauffage de base</v>
      </c>
      <c r="R138" s="191" t="str">
        <f>'1_BD questio brut'!P138</f>
        <v>Tous les jours</v>
      </c>
      <c r="S138" s="191" t="str">
        <f>'1_BD questio brut'!Q138</f>
        <v>2</v>
      </c>
      <c r="T138" s="191" t="str">
        <f>'1_BD questio brut'!R138</f>
        <v>Avant 1990</v>
      </c>
      <c r="U138" s="191" t="str">
        <f>'1_BD questio brut'!S138</f>
        <v>Bois bûche</v>
      </c>
      <c r="V138" s="191" t="str">
        <f>'1_BD questio brut'!T138</f>
        <v/>
      </c>
      <c r="W138" s="191" t="str">
        <f>'1_BD questio brut'!U138</f>
        <v>8</v>
      </c>
      <c r="X138" s="191" t="str">
        <f>'1_BD questio brut'!V138</f>
        <v>stères</v>
      </c>
      <c r="Y138" s="191" t="str">
        <f>'1_BD questio brut'!W138</f>
        <v>2</v>
      </c>
      <c r="Z138" s="191" t="str">
        <f>'1_BD questio brut'!X138</f>
        <v/>
      </c>
      <c r="AA138" s="191" t="str">
        <f t="array" ref="AA138">INDEX('Données 1_BD questio'!C:C,MATCH('1_BD questio brut'!$Y$1&amp;'1_BD questio brut'!Y138,'Données 1_BD questio'!A:A&amp;'Données 1_BD questio'!B:B,0))</f>
        <v>RA2B</v>
      </c>
      <c r="AB138" s="191" t="str">
        <f>'1_BD questio brut'!Z138</f>
        <v>2</v>
      </c>
      <c r="AC138" s="191" t="str">
        <f>'1_BD questio brut'!AA138</f>
        <v>&gt; 2 ans</v>
      </c>
      <c r="AD138" s="191" t="str">
        <f>'1_BD questio brut'!AB138</f>
        <v>Feuillus</v>
      </c>
      <c r="AE138" s="191" t="str">
        <f t="array" ref="AE138">INDEX('Données 1_BD questio'!C:C,MATCH('1_BD questio brut'!$AC$1&amp;'1_BD questio brut'!AC138,'Données 1_BD questio'!A:A&amp;'Données 1_BD questio'!B:B,0))</f>
        <v>un professionnel</v>
      </c>
      <c r="AF138" s="191" t="str">
        <f>'1_BD questio brut'!AD138</f>
        <v>2 fois par an</v>
      </c>
      <c r="AG138" s="191" t="str">
        <f>'1_BD questio brut'!AE138</f>
        <v/>
      </c>
      <c r="AH138" s="191" t="str">
        <f>'1_BD questio brut'!AF138</f>
        <v>poêle de masse</v>
      </c>
      <c r="AI138" s="191" t="str">
        <f>'1_BD questio brut'!AG138</f>
        <v>1</v>
      </c>
      <c r="AJ138" s="191" t="str">
        <f>'1_BD questio brut'!AH138</f>
        <v/>
      </c>
      <c r="AK138" s="191" t="str">
        <f>'1_BD questio brut'!AI138</f>
        <v>Chauffage d'appoint</v>
      </c>
      <c r="AL138" s="191" t="str">
        <f>'1_BD questio brut'!AJ138</f>
        <v>Pas de réponse</v>
      </c>
      <c r="AM138" s="191" t="str">
        <f>'1_BD questio brut'!AK138</f>
        <v>5</v>
      </c>
      <c r="AN138" s="191" t="str">
        <f>'1_BD questio brut'!AL138</f>
        <v/>
      </c>
      <c r="AO138" s="191" t="str">
        <f>'1_BD questio brut'!AM138</f>
        <v>5</v>
      </c>
      <c r="AP138" s="191" t="str">
        <f>'1_BD questio brut'!AN138</f>
        <v/>
      </c>
      <c r="AQ138" s="191" t="str">
        <f>'1_BD questio brut'!AO138</f>
        <v/>
      </c>
    </row>
    <row r="139" spans="1:43" ht="43.5" hidden="1">
      <c r="A139" s="98">
        <f>INDEX('3_BD instruction total'!A:A,MATCH(C139,'3_BD instruction total'!F:F,0))</f>
        <v>2021</v>
      </c>
      <c r="B139" s="98" t="str">
        <f>INDEX('3_BD instruction total'!C:C,MATCH(C139,'3_BD instruction total'!F:F,0))</f>
        <v>non</v>
      </c>
      <c r="C139" s="191" t="str">
        <f>'1_BD questio brut'!A139</f>
        <v>VRB0145</v>
      </c>
      <c r="D139" s="191" t="str">
        <f t="array" ref="D139">INDEX('Données 1_BD questio'!C:C,MATCH('1_BD questio brut'!$B$1&amp;'1_BD questio brut'!B139,'Données 1_BD questio'!A:A&amp;'Données 1_BD questio'!B:B,0))</f>
        <v>CAPV</v>
      </c>
      <c r="E139" s="191" t="str">
        <f t="array" ref="E139">INDEX('Données 1_BD questio'!C:C,MATCH('1_BD questio brut'!$C$1&amp;'1_BD questio brut'!C139,'Données 1_BD questio'!A:A&amp;'Données 1_BD questio'!B:B,0))</f>
        <v>Retraité</v>
      </c>
      <c r="F139" s="191" t="str">
        <f t="array" ref="F139">INDEX('Données 1_BD questio'!C:C,MATCH('1_BD questio brut'!$D$1&amp;'1_BD questio brut'!D139,'Données 1_BD questio'!A:A&amp;'Données 1_BD questio'!B:B,0))</f>
        <v>Cadre</v>
      </c>
      <c r="G139" s="191" t="str">
        <f>'1_BD questio brut'!E139</f>
        <v>50 à 64 ans</v>
      </c>
      <c r="H139" s="191">
        <f>'1_BD questio brut'!F139</f>
        <v>2</v>
      </c>
      <c r="I139" s="191" t="str">
        <f>'1_BD questio brut'!G139</f>
        <v>Pas de réponse</v>
      </c>
      <c r="J139" s="191" t="str">
        <f t="array" ref="J139">INDEX('Données 1_BD questio'!C:C,MATCH('1_BD questio brut'!$H$1&amp;'1_BD questio brut'!H139,'Données 1_BD questio'!A:A&amp;'Données 1_BD questio'!B:B,0))</f>
        <v>Maison avec jardin</v>
      </c>
      <c r="K139" s="191">
        <f>'1_BD questio brut'!I139</f>
        <v>140</v>
      </c>
      <c r="L139" s="191" t="str">
        <f>'1_BD questio brut'!J139</f>
        <v>1975-1990</v>
      </c>
      <c r="M139" s="191" t="str">
        <f>'1_BD questio brut'!K139</f>
        <v>1</v>
      </c>
      <c r="N139" s="191" t="str">
        <f>'1_BD questio brut'!L139</f>
        <v>Pas de réponse</v>
      </c>
      <c r="O139" s="191" t="str">
        <f>'1_BD questio brut'!M139</f>
        <v>Propriétaire occupant</v>
      </c>
      <c r="P139" s="191" t="str">
        <f>'1_BD questio brut'!N139</f>
        <v>Insert / foyer fermé</v>
      </c>
      <c r="Q139" s="191" t="str">
        <f>'1_BD questio brut'!O139</f>
        <v>Chauffage d'apoint</v>
      </c>
      <c r="R139" s="191" t="str">
        <f>'1_BD questio brut'!P139</f>
        <v>1 à 2 jours/semaine</v>
      </c>
      <c r="S139" s="191" t="str">
        <f>'1_BD questio brut'!Q139</f>
        <v>2</v>
      </c>
      <c r="T139" s="191" t="str">
        <f>'1_BD questio brut'!R139</f>
        <v>Avant 1990</v>
      </c>
      <c r="U139" s="191" t="str">
        <f>'1_BD questio brut'!S139</f>
        <v>Bois bûche</v>
      </c>
      <c r="V139" s="191" t="str">
        <f>'1_BD questio brut'!T139</f>
        <v/>
      </c>
      <c r="W139" s="191" t="str">
        <f>'1_BD questio brut'!U139</f>
        <v>1</v>
      </c>
      <c r="X139" s="191" t="str">
        <f>'1_BD questio brut'!V139</f>
        <v>stère</v>
      </c>
      <c r="Y139" s="191" t="str">
        <f>'1_BD questio brut'!W139</f>
        <v>2</v>
      </c>
      <c r="Z139" s="191" t="str">
        <f>'1_BD questio brut'!X139</f>
        <v/>
      </c>
      <c r="AA139" s="191" t="str">
        <f t="array" ref="AA139">INDEX('Données 1_BD questio'!C:C,MATCH('1_BD questio brut'!$Y$1&amp;'1_BD questio brut'!Y139,'Données 1_BD questio'!A:A&amp;'Données 1_BD questio'!B:B,0))</f>
        <v>Ne sait pas</v>
      </c>
      <c r="AB139" s="191" t="str">
        <f>'1_BD questio brut'!Z139</f>
        <v>2</v>
      </c>
      <c r="AC139" s="191" t="str">
        <f>'1_BD questio brut'!AA139</f>
        <v>1 à 2 ans</v>
      </c>
      <c r="AD139" s="191" t="str">
        <f>'1_BD questio brut'!AB139</f>
        <v>Les deux</v>
      </c>
      <c r="AE139" s="191" t="str">
        <f t="array" ref="AE139">INDEX('Données 1_BD questio'!C:C,MATCH('1_BD questio brut'!$AC$1&amp;'1_BD questio brut'!AC139,'Données 1_BD questio'!A:A&amp;'Données 1_BD questio'!B:B,0))</f>
        <v>un professionnel</v>
      </c>
      <c r="AF139" s="191" t="str">
        <f>'1_BD questio brut'!AD139</f>
        <v>1 fois par an</v>
      </c>
      <c r="AG139" s="191" t="str">
        <f>'1_BD questio brut'!AE139</f>
        <v/>
      </c>
      <c r="AH139" s="191" t="str">
        <f>'1_BD questio brut'!AF139</f>
        <v>Poêle</v>
      </c>
      <c r="AI139" s="191" t="str">
        <f>'1_BD questio brut'!AG139</f>
        <v>1</v>
      </c>
      <c r="AJ139" s="191" t="str">
        <f>'1_BD questio brut'!AH139</f>
        <v/>
      </c>
      <c r="AK139" s="191" t="str">
        <f>'1_BD questio brut'!AI139</f>
        <v>Chauffage d'appoint</v>
      </c>
      <c r="AL139" s="191" t="str">
        <f>'1_BD questio brut'!AJ139</f>
        <v>Pas de réponse</v>
      </c>
      <c r="AM139" s="191" t="str">
        <f>'1_BD questio brut'!AK139</f>
        <v>2; 5</v>
      </c>
      <c r="AN139" s="191" t="str">
        <f>'1_BD questio brut'!AL139</f>
        <v/>
      </c>
      <c r="AO139" s="191" t="str">
        <f>'1_BD questio brut'!AM139</f>
        <v>11</v>
      </c>
      <c r="AP139" s="191" t="str">
        <f>'1_BD questio brut'!AN139</f>
        <v/>
      </c>
      <c r="AQ139" s="191" t="str">
        <f>'1_BD questio brut'!AO139</f>
        <v/>
      </c>
    </row>
    <row r="140" spans="1:43" ht="43.5" hidden="1">
      <c r="A140" s="98">
        <f>INDEX('3_BD instruction total'!A:A,MATCH(C140,'3_BD instruction total'!F:F,0))</f>
        <v>2021</v>
      </c>
      <c r="B140" s="98" t="str">
        <f>INDEX('3_BD instruction total'!C:C,MATCH(C140,'3_BD instruction total'!F:F,0))</f>
        <v>non</v>
      </c>
      <c r="C140" s="191" t="str">
        <f>'1_BD questio brut'!A140</f>
        <v>VRB0146</v>
      </c>
      <c r="D140" s="191" t="str">
        <f t="array" ref="D140">INDEX('Données 1_BD questio'!C:C,MATCH('1_BD questio brut'!$B$1&amp;'1_BD questio brut'!B140,'Données 1_BD questio'!A:A&amp;'Données 1_BD questio'!B:B,0))</f>
        <v>CAPV</v>
      </c>
      <c r="E140" s="191" t="str">
        <f t="array" ref="E140">INDEX('Données 1_BD questio'!C:C,MATCH('1_BD questio brut'!$C$1&amp;'1_BD questio brut'!C140,'Données 1_BD questio'!A:A&amp;'Données 1_BD questio'!B:B,0))</f>
        <v>Cadre</v>
      </c>
      <c r="F140" s="191" t="str">
        <f t="array" ref="F140">INDEX('Données 1_BD questio'!C:C,MATCH('1_BD questio brut'!$D$1&amp;'1_BD questio brut'!D140,'Données 1_BD questio'!A:A&amp;'Données 1_BD questio'!B:B,0))</f>
        <v>Cadre</v>
      </c>
      <c r="G140" s="191" t="str">
        <f>'1_BD questio brut'!E140</f>
        <v>35 à 49 ans</v>
      </c>
      <c r="H140" s="191">
        <f>'1_BD questio brut'!F140</f>
        <v>4</v>
      </c>
      <c r="I140" s="191" t="str">
        <f>'1_BD questio brut'!G140</f>
        <v>Pas de réponse</v>
      </c>
      <c r="J140" s="191" t="str">
        <f t="array" ref="J140">INDEX('Données 1_BD questio'!C:C,MATCH('1_BD questio brut'!$H$1&amp;'1_BD questio brut'!H140,'Données 1_BD questio'!A:A&amp;'Données 1_BD questio'!B:B,0))</f>
        <v>Maison avec jardin</v>
      </c>
      <c r="K140" s="191">
        <f>'1_BD questio brut'!I140</f>
        <v>100</v>
      </c>
      <c r="L140" s="191" t="str">
        <f>'1_BD questio brut'!J140</f>
        <v>1949-1975</v>
      </c>
      <c r="M140" s="191" t="str">
        <f>'1_BD questio brut'!K140</f>
        <v>2</v>
      </c>
      <c r="N140" s="191" t="str">
        <f>'1_BD questio brut'!L140</f>
        <v>Ne sait pas</v>
      </c>
      <c r="O140" s="191" t="str">
        <f>'1_BD questio brut'!M140</f>
        <v>Propriétaire occupant</v>
      </c>
      <c r="P140" s="191" t="str">
        <f>'1_BD questio brut'!N140</f>
        <v>Poêle</v>
      </c>
      <c r="Q140" s="191" t="str">
        <f>'1_BD questio brut'!O140</f>
        <v>Chauffage de base</v>
      </c>
      <c r="R140" s="191" t="str">
        <f>'1_BD questio brut'!P140</f>
        <v>Tous les jours</v>
      </c>
      <c r="S140" s="191" t="str">
        <f>'1_BD questio brut'!Q140</f>
        <v>4; 5</v>
      </c>
      <c r="T140" s="191" t="str">
        <f>'1_BD questio brut'!R140</f>
        <v>Pas de réponse</v>
      </c>
      <c r="U140" s="191" t="str">
        <f>'1_BD questio brut'!S140</f>
        <v>Bois bûche</v>
      </c>
      <c r="V140" s="191" t="str">
        <f>'1_BD questio brut'!T140</f>
        <v/>
      </c>
      <c r="W140" s="191" t="str">
        <f>'1_BD questio brut'!U140</f>
        <v>12</v>
      </c>
      <c r="X140" s="191" t="str">
        <f>'1_BD questio brut'!V140</f>
        <v>stères</v>
      </c>
      <c r="Y140" s="191" t="str">
        <f>'1_BD questio brut'!W140</f>
        <v>2</v>
      </c>
      <c r="Z140" s="191" t="str">
        <f>'1_BD questio brut'!X140</f>
        <v/>
      </c>
      <c r="AA140" s="191" t="str">
        <f t="array" ref="AA140">INDEX('Données 1_BD questio'!C:C,MATCH('1_BD questio brut'!$Y$1&amp;'1_BD questio brut'!Y140,'Données 1_BD questio'!A:A&amp;'Données 1_BD questio'!B:B,0))</f>
        <v>Ne sait pas</v>
      </c>
      <c r="AB140" s="191" t="str">
        <f>'1_BD questio brut'!Z140</f>
        <v>2</v>
      </c>
      <c r="AC140" s="191" t="str">
        <f>'1_BD questio brut'!AA140</f>
        <v>1 à 2 ans</v>
      </c>
      <c r="AD140" s="191" t="str">
        <f>'1_BD questio brut'!AB140</f>
        <v>Les deux</v>
      </c>
      <c r="AE140" s="191" t="str">
        <f t="array" ref="AE140">INDEX('Données 1_BD questio'!C:C,MATCH('1_BD questio brut'!$AC$1&amp;'1_BD questio brut'!AC140,'Données 1_BD questio'!A:A&amp;'Données 1_BD questio'!B:B,0))</f>
        <v>un professionnel</v>
      </c>
      <c r="AF140" s="191" t="str">
        <f>'1_BD questio brut'!AD140</f>
        <v>1 fois par an</v>
      </c>
      <c r="AG140" s="191" t="str">
        <f>'1_BD questio brut'!AE140</f>
        <v/>
      </c>
      <c r="AH140" s="191" t="str">
        <f>'1_BD questio brut'!AF140</f>
        <v>Chaudière</v>
      </c>
      <c r="AI140" s="191" t="str">
        <f>'1_BD questio brut'!AG140</f>
        <v>2</v>
      </c>
      <c r="AJ140" s="191" t="str">
        <f>'1_BD questio brut'!AH140</f>
        <v/>
      </c>
      <c r="AK140" s="191" t="str">
        <f>'1_BD questio brut'!AI140</f>
        <v>Chauffage de base</v>
      </c>
      <c r="AL140" s="191" t="str">
        <f>'1_BD questio brut'!AJ140</f>
        <v>Pas de réponse</v>
      </c>
      <c r="AM140" s="191" t="str">
        <f>'1_BD questio brut'!AK140</f>
        <v>1; 5</v>
      </c>
      <c r="AN140" s="191" t="str">
        <f>'1_BD questio brut'!AL140</f>
        <v/>
      </c>
      <c r="AO140" s="191" t="str">
        <f>'1_BD questio brut'!AM140</f>
        <v>5</v>
      </c>
      <c r="AP140" s="191" t="str">
        <f>'1_BD questio brut'!AN140</f>
        <v/>
      </c>
      <c r="AQ140" s="191" t="str">
        <f>'1_BD questio brut'!AO140</f>
        <v/>
      </c>
    </row>
    <row r="141" spans="1:43" ht="43.5" hidden="1">
      <c r="A141" s="98">
        <f>INDEX('3_BD instruction total'!A:A,MATCH(C141,'3_BD instruction total'!F:F,0))</f>
        <v>2021</v>
      </c>
      <c r="B141" s="98" t="str">
        <f>INDEX('3_BD instruction total'!C:C,MATCH(C141,'3_BD instruction total'!F:F,0))</f>
        <v>non</v>
      </c>
      <c r="C141" s="191" t="str">
        <f>'1_BD questio brut'!A141</f>
        <v>VRB0147</v>
      </c>
      <c r="D141" s="191" t="str">
        <f t="array" ref="D141">INDEX('Données 1_BD questio'!C:C,MATCH('1_BD questio brut'!$B$1&amp;'1_BD questio brut'!B141,'Données 1_BD questio'!A:A&amp;'Données 1_BD questio'!B:B,0))</f>
        <v>CAPV</v>
      </c>
      <c r="E141" s="191" t="str">
        <f t="array" ref="E141">INDEX('Données 1_BD questio'!C:C,MATCH('1_BD questio brut'!$C$1&amp;'1_BD questio brut'!C141,'Données 1_BD questio'!A:A&amp;'Données 1_BD questio'!B:B,0))</f>
        <v>Cadre</v>
      </c>
      <c r="F141" s="191" t="str">
        <f t="array" ref="F141">INDEX('Données 1_BD questio'!C:C,MATCH('1_BD questio brut'!$D$1&amp;'1_BD questio brut'!D141,'Données 1_BD questio'!A:A&amp;'Données 1_BD questio'!B:B,0))</f>
        <v>Cadre</v>
      </c>
      <c r="G141" s="191" t="str">
        <f>'1_BD questio brut'!E141</f>
        <v>50 à 64 ans</v>
      </c>
      <c r="H141" s="191">
        <f>'1_BD questio brut'!F141</f>
        <v>4</v>
      </c>
      <c r="I141" s="191" t="str">
        <f>'1_BD questio brut'!G141</f>
        <v>Pas de réponse</v>
      </c>
      <c r="J141" s="191" t="str">
        <f t="array" ref="J141">INDEX('Données 1_BD questio'!C:C,MATCH('1_BD questio brut'!$H$1&amp;'1_BD questio brut'!H141,'Données 1_BD questio'!A:A&amp;'Données 1_BD questio'!B:B,0))</f>
        <v>Maison avec jardin</v>
      </c>
      <c r="K141" s="191">
        <f>'1_BD questio brut'!I141</f>
        <v>140</v>
      </c>
      <c r="L141" s="191" t="str">
        <f>'1_BD questio brut'!J141</f>
        <v>1990-2005</v>
      </c>
      <c r="M141" s="191" t="str">
        <f>'1_BD questio brut'!K141</f>
        <v>6</v>
      </c>
      <c r="N141" s="191" t="str">
        <f>'1_BD questio brut'!L141</f>
        <v>Ne sait pas</v>
      </c>
      <c r="O141" s="191" t="str">
        <f>'1_BD questio brut'!M141</f>
        <v>Propriétaire occupant</v>
      </c>
      <c r="P141" s="191" t="str">
        <f>'1_BD questio brut'!N141</f>
        <v>Insert / foyer fermé</v>
      </c>
      <c r="Q141" s="191" t="str">
        <f>'1_BD questio brut'!O141</f>
        <v>Chauffage d'apoint</v>
      </c>
      <c r="R141" s="191" t="str">
        <f>'1_BD questio brut'!P141</f>
        <v>Tous les jours</v>
      </c>
      <c r="S141" s="191" t="str">
        <f>'1_BD questio brut'!Q141</f>
        <v>1; 2</v>
      </c>
      <c r="T141" s="191" t="str">
        <f>'1_BD questio brut'!R141</f>
        <v>1996-2002</v>
      </c>
      <c r="U141" s="191" t="str">
        <f>'1_BD questio brut'!S141</f>
        <v>Bois bûche</v>
      </c>
      <c r="V141" s="191" t="str">
        <f>'1_BD questio brut'!T141</f>
        <v/>
      </c>
      <c r="W141" s="191" t="str">
        <f>'1_BD questio brut'!U141</f>
        <v>5</v>
      </c>
      <c r="X141" s="191" t="str">
        <f>'1_BD questio brut'!V141</f>
        <v>stères</v>
      </c>
      <c r="Y141" s="191" t="str">
        <f>'1_BD questio brut'!W141</f>
        <v>2</v>
      </c>
      <c r="Z141" s="191" t="str">
        <f>'1_BD questio brut'!X141</f>
        <v/>
      </c>
      <c r="AA141" s="191" t="str">
        <f t="array" ref="AA141">INDEX('Données 1_BD questio'!C:C,MATCH('1_BD questio brut'!$Y$1&amp;'1_BD questio brut'!Y141,'Données 1_BD questio'!A:A&amp;'Données 1_BD questio'!B:B,0))</f>
        <v>Rhône-Alpes hors RA2B</v>
      </c>
      <c r="AB141" s="191" t="str">
        <f>'1_BD questio brut'!Z141</f>
        <v>2</v>
      </c>
      <c r="AC141" s="191" t="str">
        <f>'1_BD questio brut'!AA141</f>
        <v>1 à 2 ans</v>
      </c>
      <c r="AD141" s="191" t="str">
        <f>'1_BD questio brut'!AB141</f>
        <v>Feuillus</v>
      </c>
      <c r="AE141" s="191" t="str">
        <f t="array" ref="AE141">INDEX('Données 1_BD questio'!C:C,MATCH('1_BD questio brut'!$AC$1&amp;'1_BD questio brut'!AC141,'Données 1_BD questio'!A:A&amp;'Données 1_BD questio'!B:B,0))</f>
        <v>un professionnel</v>
      </c>
      <c r="AF141" s="191" t="str">
        <f>'1_BD questio brut'!AD141</f>
        <v>1 fois par an</v>
      </c>
      <c r="AG141" s="191" t="str">
        <f>'1_BD questio brut'!AE141</f>
        <v/>
      </c>
      <c r="AH141" s="191" t="str">
        <f>'1_BD questio brut'!AF141</f>
        <v>Poêle</v>
      </c>
      <c r="AI141" s="191" t="str">
        <f>'1_BD questio brut'!AG141</f>
        <v>1</v>
      </c>
      <c r="AJ141" s="191" t="str">
        <f>'1_BD questio brut'!AH141</f>
        <v/>
      </c>
      <c r="AK141" s="191" t="str">
        <f>'1_BD questio brut'!AI141</f>
        <v>Chauffage d'appoint</v>
      </c>
      <c r="AL141" s="191" t="str">
        <f>'1_BD questio brut'!AJ141</f>
        <v>Pas de réponse</v>
      </c>
      <c r="AM141" s="191" t="str">
        <f>'1_BD questio brut'!AK141</f>
        <v>1; 4; 5</v>
      </c>
      <c r="AN141" s="191" t="str">
        <f>'1_BD questio brut'!AL141</f>
        <v/>
      </c>
      <c r="AO141" s="191" t="str">
        <f>'1_BD questio brut'!AM141</f>
        <v>7</v>
      </c>
      <c r="AP141" s="191" t="str">
        <f>'1_BD questio brut'!AN141</f>
        <v/>
      </c>
      <c r="AQ141" s="191" t="str">
        <f>'1_BD questio brut'!AO141</f>
        <v/>
      </c>
    </row>
    <row r="142" spans="1:43" ht="29" hidden="1">
      <c r="A142" s="98">
        <f>INDEX('3_BD instruction total'!A:A,MATCH(C142,'3_BD instruction total'!F:F,0))</f>
        <v>2021</v>
      </c>
      <c r="B142" s="98" t="str">
        <f>INDEX('3_BD instruction total'!C:C,MATCH(C142,'3_BD instruction total'!F:F,0))</f>
        <v>non</v>
      </c>
      <c r="C142" s="191" t="str">
        <f>'1_BD questio brut'!A142</f>
        <v>VRB0148</v>
      </c>
      <c r="D142" s="191" t="str">
        <f t="array" ref="D142">INDEX('Données 1_BD questio'!C:C,MATCH('1_BD questio brut'!$B$1&amp;'1_BD questio brut'!B142,'Données 1_BD questio'!A:A&amp;'Données 1_BD questio'!B:B,0))</f>
        <v>CAPV</v>
      </c>
      <c r="E142" s="191" t="str">
        <f t="array" ref="E142">INDEX('Données 1_BD questio'!C:C,MATCH('1_BD questio brut'!$C$1&amp;'1_BD questio brut'!C142,'Données 1_BD questio'!A:A&amp;'Données 1_BD questio'!B:B,0))</f>
        <v>Artisan,commerçant,chef d'entreprise</v>
      </c>
      <c r="F142" s="191" t="str">
        <f t="array" ref="F142">INDEX('Données 1_BD questio'!C:C,MATCH('1_BD questio brut'!$D$1&amp;'1_BD questio brut'!D142,'Données 1_BD questio'!A:A&amp;'Données 1_BD questio'!B:B,0))</f>
        <v>Employé</v>
      </c>
      <c r="G142" s="191" t="str">
        <f>'1_BD questio brut'!E142</f>
        <v>50 à 64 ans</v>
      </c>
      <c r="H142" s="191">
        <f>'1_BD questio brut'!F142</f>
        <v>2</v>
      </c>
      <c r="I142" s="191" t="str">
        <f>'1_BD questio brut'!G142</f>
        <v>Pas de réponse</v>
      </c>
      <c r="J142" s="191" t="str">
        <f t="array" ref="J142">INDEX('Données 1_BD questio'!C:C,MATCH('1_BD questio brut'!$H$1&amp;'1_BD questio brut'!H142,'Données 1_BD questio'!A:A&amp;'Données 1_BD questio'!B:B,0))</f>
        <v>Maison avec jardin</v>
      </c>
      <c r="K142" s="191">
        <f>'1_BD questio brut'!I142</f>
        <v>120</v>
      </c>
      <c r="L142" s="191" t="str">
        <f>'1_BD questio brut'!J142</f>
        <v>Avant 1949</v>
      </c>
      <c r="M142" s="191" t="str">
        <f>'1_BD questio brut'!K142</f>
        <v>1</v>
      </c>
      <c r="N142" s="191" t="str">
        <f>'1_BD questio brut'!L142</f>
        <v>Ne sait pas</v>
      </c>
      <c r="O142" s="191" t="str">
        <f>'1_BD questio brut'!M142</f>
        <v>Propriétaire occupant</v>
      </c>
      <c r="P142" s="191" t="str">
        <f>'1_BD questio brut'!N142</f>
        <v>Insert / foyer fermé</v>
      </c>
      <c r="Q142" s="191" t="str">
        <f>'1_BD questio brut'!O142</f>
        <v>Chauffage de base</v>
      </c>
      <c r="R142" s="191" t="str">
        <f>'1_BD questio brut'!P142</f>
        <v>Tous les jours</v>
      </c>
      <c r="S142" s="191" t="str">
        <f>'1_BD questio brut'!Q142</f>
        <v>4; 5</v>
      </c>
      <c r="T142" s="191" t="str">
        <f>'1_BD questio brut'!R142</f>
        <v>Avant 1990</v>
      </c>
      <c r="U142" s="191" t="str">
        <f>'1_BD questio brut'!S142</f>
        <v>Bois bûche</v>
      </c>
      <c r="V142" s="191" t="str">
        <f>'1_BD questio brut'!T142</f>
        <v/>
      </c>
      <c r="W142" s="191" t="str">
        <f>'1_BD questio brut'!U142</f>
        <v>12</v>
      </c>
      <c r="X142" s="191" t="str">
        <f>'1_BD questio brut'!V142</f>
        <v>stères</v>
      </c>
      <c r="Y142" s="191" t="str">
        <f>'1_BD questio brut'!W142</f>
        <v>1</v>
      </c>
      <c r="Z142" s="191" t="str">
        <f>'1_BD questio brut'!X142</f>
        <v/>
      </c>
      <c r="AA142" s="191" t="str">
        <f t="array" ref="AA142">INDEX('Données 1_BD questio'!C:C,MATCH('1_BD questio brut'!$Y$1&amp;'1_BD questio brut'!Y142,'Données 1_BD questio'!A:A&amp;'Données 1_BD questio'!B:B,0))</f>
        <v>Rhône-Alpes hors RA2B</v>
      </c>
      <c r="AB142" s="191" t="str">
        <f>'1_BD questio brut'!Z142</f>
        <v>2</v>
      </c>
      <c r="AC142" s="191" t="str">
        <f>'1_BD questio brut'!AA142</f>
        <v>&gt; 2 ans</v>
      </c>
      <c r="AD142" s="191" t="str">
        <f>'1_BD questio brut'!AB142</f>
        <v>Feuillus</v>
      </c>
      <c r="AE142" s="191" t="str">
        <f t="array" ref="AE142">INDEX('Données 1_BD questio'!C:C,MATCH('1_BD questio brut'!$AC$1&amp;'1_BD questio brut'!AC142,'Données 1_BD questio'!A:A&amp;'Données 1_BD questio'!B:B,0))</f>
        <v>vous-même</v>
      </c>
      <c r="AF142" s="191" t="str">
        <f>'1_BD questio brut'!AD142</f>
        <v>1 fois par an</v>
      </c>
      <c r="AG142" s="191" t="str">
        <f>'1_BD questio brut'!AE142</f>
        <v/>
      </c>
      <c r="AH142" s="191" t="str">
        <f>'1_BD questio brut'!AF142</f>
        <v>Poêle</v>
      </c>
      <c r="AI142" s="191" t="str">
        <f>'1_BD questio brut'!AG142</f>
        <v>1</v>
      </c>
      <c r="AJ142" s="191" t="str">
        <f>'1_BD questio brut'!AH142</f>
        <v/>
      </c>
      <c r="AK142" s="191" t="str">
        <f>'1_BD questio brut'!AI142</f>
        <v>Chauffage de base</v>
      </c>
      <c r="AL142" s="191" t="str">
        <f>'1_BD questio brut'!AJ142</f>
        <v>Pas de réponse</v>
      </c>
      <c r="AM142" s="191" t="str">
        <f>'1_BD questio brut'!AK142</f>
        <v>1; 2; 4; 5</v>
      </c>
      <c r="AN142" s="191" t="str">
        <f>'1_BD questio brut'!AL142</f>
        <v/>
      </c>
      <c r="AO142" s="191" t="str">
        <f>'1_BD questio brut'!AM142</f>
        <v>7</v>
      </c>
      <c r="AP142" s="191" t="str">
        <f>'1_BD questio brut'!AN142</f>
        <v/>
      </c>
      <c r="AQ142" s="191" t="str">
        <f>'1_BD questio brut'!AO142</f>
        <v/>
      </c>
    </row>
    <row r="143" spans="1:43" ht="43.5" hidden="1">
      <c r="A143" s="98">
        <f>INDEX('3_BD instruction total'!A:A,MATCH(C143,'3_BD instruction total'!F:F,0))</f>
        <v>2021</v>
      </c>
      <c r="B143" s="98" t="str">
        <f>INDEX('3_BD instruction total'!C:C,MATCH(C143,'3_BD instruction total'!F:F,0))</f>
        <v>non</v>
      </c>
      <c r="C143" s="191" t="str">
        <f>'1_BD questio brut'!A143</f>
        <v>VRB0149</v>
      </c>
      <c r="D143" s="191" t="str">
        <f t="array" ref="D143">INDEX('Données 1_BD questio'!C:C,MATCH('1_BD questio brut'!$B$1&amp;'1_BD questio brut'!B143,'Données 1_BD questio'!A:A&amp;'Données 1_BD questio'!B:B,0))</f>
        <v>CAPV</v>
      </c>
      <c r="E143" s="191" t="str">
        <f t="array" ref="E143">INDEX('Données 1_BD questio'!C:C,MATCH('1_BD questio brut'!$C$1&amp;'1_BD questio brut'!C143,'Données 1_BD questio'!A:A&amp;'Données 1_BD questio'!B:B,0))</f>
        <v>Autre,sans activité</v>
      </c>
      <c r="F143" s="191" t="str">
        <f t="array" ref="F143">INDEX('Données 1_BD questio'!C:C,MATCH('1_BD questio brut'!$D$1&amp;'1_BD questio brut'!D143,'Données 1_BD questio'!A:A&amp;'Données 1_BD questio'!B:B,0))</f>
        <v>Autre,sans activité</v>
      </c>
      <c r="G143" s="191" t="str">
        <f>'1_BD questio brut'!E143</f>
        <v>25 à 34 ans</v>
      </c>
      <c r="H143" s="191">
        <f>'1_BD questio brut'!F143</f>
        <v>4</v>
      </c>
      <c r="I143" s="191" t="str">
        <f>'1_BD questio brut'!G143</f>
        <v>Pas de réponse</v>
      </c>
      <c r="J143" s="191" t="str">
        <f t="array" ref="J143">INDEX('Données 1_BD questio'!C:C,MATCH('1_BD questio brut'!$H$1&amp;'1_BD questio brut'!H143,'Données 1_BD questio'!A:A&amp;'Données 1_BD questio'!B:B,0))</f>
        <v>Maison sans jardin</v>
      </c>
      <c r="K143" s="191">
        <f>'1_BD questio brut'!I143</f>
        <v>120</v>
      </c>
      <c r="L143" s="191" t="str">
        <f>'1_BD questio brut'!J143</f>
        <v>Avant 1949</v>
      </c>
      <c r="M143" s="191" t="str">
        <f>'1_BD questio brut'!K143</f>
        <v>1</v>
      </c>
      <c r="N143" s="191" t="str">
        <f>'1_BD questio brut'!L143</f>
        <v>Pas de réponse</v>
      </c>
      <c r="O143" s="191" t="str">
        <f>'1_BD questio brut'!M143</f>
        <v>Propriétaire occupant</v>
      </c>
      <c r="P143" s="191" t="str">
        <f>'1_BD questio brut'!N143</f>
        <v>Insert / foyer fermé</v>
      </c>
      <c r="Q143" s="191" t="str">
        <f>'1_BD questio brut'!O143</f>
        <v>Chauffage de base</v>
      </c>
      <c r="R143" s="191" t="str">
        <f>'1_BD questio brut'!P143</f>
        <v>Tous les jours</v>
      </c>
      <c r="S143" s="191" t="str">
        <f>'1_BD questio brut'!Q143</f>
        <v>6</v>
      </c>
      <c r="T143" s="191" t="str">
        <f>'1_BD questio brut'!R143</f>
        <v>Après 2002</v>
      </c>
      <c r="U143" s="191" t="str">
        <f>'1_BD questio brut'!S143</f>
        <v>Bois bûche</v>
      </c>
      <c r="V143" s="191" t="str">
        <f>'1_BD questio brut'!T143</f>
        <v/>
      </c>
      <c r="W143" s="191" t="str">
        <f>'1_BD questio brut'!U143</f>
        <v>3,5</v>
      </c>
      <c r="X143" s="191" t="str">
        <f>'1_BD questio brut'!V143</f>
        <v>stères</v>
      </c>
      <c r="Y143" s="191" t="str">
        <f>'1_BD questio brut'!W143</f>
        <v>5</v>
      </c>
      <c r="Z143" s="191" t="str">
        <f>'1_BD questio brut'!X143</f>
        <v/>
      </c>
      <c r="AA143" s="191" t="str">
        <f t="array" ref="AA143">INDEX('Données 1_BD questio'!C:C,MATCH('1_BD questio brut'!$Y$1&amp;'1_BD questio brut'!Y143,'Données 1_BD questio'!A:A&amp;'Données 1_BD questio'!B:B,0))</f>
        <v>Ne sait pas</v>
      </c>
      <c r="AB143" s="191" t="str">
        <f>'1_BD questio brut'!Z143</f>
        <v>1</v>
      </c>
      <c r="AC143" s="191" t="str">
        <f>'1_BD questio brut'!AA143</f>
        <v>Ne sait pas</v>
      </c>
      <c r="AD143" s="191" t="str">
        <f>'1_BD questio brut'!AB143</f>
        <v>Les deux</v>
      </c>
      <c r="AE143" s="191" t="str">
        <f t="array" ref="AE143">INDEX('Données 1_BD questio'!C:C,MATCH('1_BD questio brut'!$AC$1&amp;'1_BD questio brut'!AC143,'Données 1_BD questio'!A:A&amp;'Données 1_BD questio'!B:B,0))</f>
        <v>un professionnel</v>
      </c>
      <c r="AF143" s="191" t="str">
        <f>'1_BD questio brut'!AD143</f>
        <v>2 fois par an</v>
      </c>
      <c r="AG143" s="191" t="str">
        <f>'1_BD questio brut'!AE143</f>
        <v/>
      </c>
      <c r="AH143" s="191" t="str">
        <f>'1_BD questio brut'!AF143</f>
        <v>Poêle</v>
      </c>
      <c r="AI143" s="191" t="str">
        <f>'1_BD questio brut'!AG143</f>
        <v>1</v>
      </c>
      <c r="AJ143" s="191" t="str">
        <f>'1_BD questio brut'!AH143</f>
        <v/>
      </c>
      <c r="AK143" s="191" t="str">
        <f>'1_BD questio brut'!AI143</f>
        <v>Chauffage de base</v>
      </c>
      <c r="AL143" s="191" t="str">
        <f>'1_BD questio brut'!AJ143</f>
        <v>Pas de réponse</v>
      </c>
      <c r="AM143" s="191" t="str">
        <f>'1_BD questio brut'!AK143</f>
        <v>4; 5</v>
      </c>
      <c r="AN143" s="191" t="str">
        <f>'1_BD questio brut'!AL143</f>
        <v/>
      </c>
      <c r="AO143" s="191" t="str">
        <f>'1_BD questio brut'!AM143</f>
        <v>5</v>
      </c>
      <c r="AP143" s="191" t="str">
        <f>'1_BD questio brut'!AN143</f>
        <v/>
      </c>
      <c r="AQ143" s="191" t="str">
        <f>'1_BD questio brut'!AO143</f>
        <v/>
      </c>
    </row>
    <row r="144" spans="1:43" ht="43.5" hidden="1">
      <c r="A144" s="98">
        <f>INDEX('3_BD instruction total'!A:A,MATCH(C144,'3_BD instruction total'!F:F,0))</f>
        <v>2021</v>
      </c>
      <c r="B144" s="98" t="str">
        <f>INDEX('3_BD instruction total'!C:C,MATCH(C144,'3_BD instruction total'!F:F,0))</f>
        <v>non</v>
      </c>
      <c r="C144" s="191" t="str">
        <f>'1_BD questio brut'!A144</f>
        <v>VRB0150</v>
      </c>
      <c r="D144" s="191" t="str">
        <f t="array" ref="D144">INDEX('Données 1_BD questio'!C:C,MATCH('1_BD questio brut'!$B$1&amp;'1_BD questio brut'!B144,'Données 1_BD questio'!A:A&amp;'Données 1_BD questio'!B:B,0))</f>
        <v>CAPV</v>
      </c>
      <c r="E144" s="191" t="str">
        <f t="array" ref="E144">INDEX('Données 1_BD questio'!C:C,MATCH('1_BD questio brut'!$C$1&amp;'1_BD questio brut'!C144,'Données 1_BD questio'!A:A&amp;'Données 1_BD questio'!B:B,0))</f>
        <v>Employé</v>
      </c>
      <c r="F144" s="191" t="str">
        <f t="array" ref="F144">INDEX('Données 1_BD questio'!C:C,MATCH('1_BD questio brut'!$D$1&amp;'1_BD questio brut'!D144,'Données 1_BD questio'!A:A&amp;'Données 1_BD questio'!B:B,0))</f>
        <v>Cadre</v>
      </c>
      <c r="G144" s="191" t="str">
        <f>'1_BD questio brut'!E144</f>
        <v>25 à 34 ans</v>
      </c>
      <c r="H144" s="191">
        <f>'1_BD questio brut'!F144</f>
        <v>4</v>
      </c>
      <c r="I144" s="191" t="str">
        <f>'1_BD questio brut'!G144</f>
        <v>Pas de réponse</v>
      </c>
      <c r="J144" s="191" t="str">
        <f t="array" ref="J144">INDEX('Données 1_BD questio'!C:C,MATCH('1_BD questio brut'!$H$1&amp;'1_BD questio brut'!H144,'Données 1_BD questio'!A:A&amp;'Données 1_BD questio'!B:B,0))</f>
        <v>Maison avec jardin</v>
      </c>
      <c r="K144" s="191">
        <f>'1_BD questio brut'!I144</f>
        <v>90</v>
      </c>
      <c r="L144" s="191" t="str">
        <f>'1_BD questio brut'!J144</f>
        <v>1975-1990</v>
      </c>
      <c r="M144" s="191" t="str">
        <f>'1_BD questio brut'!K144</f>
        <v>4</v>
      </c>
      <c r="N144" s="191" t="str">
        <f>'1_BD questio brut'!L144</f>
        <v>D</v>
      </c>
      <c r="O144" s="191" t="str">
        <f>'1_BD questio brut'!M144</f>
        <v>Propriétaire occupant</v>
      </c>
      <c r="P144" s="191" t="str">
        <f>'1_BD questio brut'!N144</f>
        <v>Foyer ouvert</v>
      </c>
      <c r="Q144" s="191" t="str">
        <f>'1_BD questio brut'!O144</f>
        <v>Plaisir/agrément</v>
      </c>
      <c r="R144" s="191" t="str">
        <f>'1_BD questio brut'!P144</f>
        <v>1 à 2 jours/semaine</v>
      </c>
      <c r="S144" s="191" t="str">
        <f>'1_BD questio brut'!Q144</f>
        <v>2</v>
      </c>
      <c r="T144" s="191" t="str">
        <f>'1_BD questio brut'!R144</f>
        <v>1996-2002</v>
      </c>
      <c r="U144" s="191" t="str">
        <f>'1_BD questio brut'!S144</f>
        <v>Bois bûche</v>
      </c>
      <c r="V144" s="191" t="str">
        <f>'1_BD questio brut'!T144</f>
        <v/>
      </c>
      <c r="W144" s="191" t="str">
        <f>'1_BD questio brut'!U144</f>
        <v>8</v>
      </c>
      <c r="X144" s="191" t="str">
        <f>'1_BD questio brut'!V144</f>
        <v>stères</v>
      </c>
      <c r="Y144" s="191" t="str">
        <f>'1_BD questio brut'!W144</f>
        <v>5</v>
      </c>
      <c r="Z144" s="191" t="str">
        <f>'1_BD questio brut'!X144</f>
        <v/>
      </c>
      <c r="AA144" s="191" t="str">
        <f t="array" ref="AA144">INDEX('Données 1_BD questio'!C:C,MATCH('1_BD questio brut'!$Y$1&amp;'1_BD questio brut'!Y144,'Données 1_BD questio'!A:A&amp;'Données 1_BD questio'!B:B,0))</f>
        <v>RA2B</v>
      </c>
      <c r="AB144" s="191" t="str">
        <f>'1_BD questio brut'!Z144</f>
        <v>4</v>
      </c>
      <c r="AC144" s="191" t="str">
        <f>'1_BD questio brut'!AA144</f>
        <v>1 à 2 ans</v>
      </c>
      <c r="AD144" s="191" t="str">
        <f>'1_BD questio brut'!AB144</f>
        <v>Feuillus</v>
      </c>
      <c r="AE144" s="191" t="str">
        <f t="array" ref="AE144">INDEX('Données 1_BD questio'!C:C,MATCH('1_BD questio brut'!$AC$1&amp;'1_BD questio brut'!AC144,'Données 1_BD questio'!A:A&amp;'Données 1_BD questio'!B:B,0))</f>
        <v>un professionnel</v>
      </c>
      <c r="AF144" s="191" t="str">
        <f>'1_BD questio brut'!AD144</f>
        <v>1 fois par an</v>
      </c>
      <c r="AG144" s="191" t="str">
        <f>'1_BD questio brut'!AE144</f>
        <v/>
      </c>
      <c r="AH144" s="191" t="str">
        <f>'1_BD questio brut'!AF144</f>
        <v>Poêle</v>
      </c>
      <c r="AI144" s="191" t="str">
        <f>'1_BD questio brut'!AG144</f>
        <v>2</v>
      </c>
      <c r="AJ144" s="191" t="str">
        <f>'1_BD questio brut'!AH144</f>
        <v/>
      </c>
      <c r="AK144" s="191" t="str">
        <f>'1_BD questio brut'!AI144</f>
        <v>Chauffage de base</v>
      </c>
      <c r="AL144" s="191" t="str">
        <f>'1_BD questio brut'!AJ144</f>
        <v>Pas de réponse</v>
      </c>
      <c r="AM144" s="191" t="str">
        <f>'1_BD questio brut'!AK144</f>
        <v>2</v>
      </c>
      <c r="AN144" s="191" t="str">
        <f>'1_BD questio brut'!AL144</f>
        <v/>
      </c>
      <c r="AO144" s="191" t="str">
        <f>'1_BD questio brut'!AM144</f>
        <v>5</v>
      </c>
      <c r="AP144" s="191" t="str">
        <f>'1_BD questio brut'!AN144</f>
        <v/>
      </c>
      <c r="AQ144" s="191" t="str">
        <f>'1_BD questio brut'!AO144</f>
        <v/>
      </c>
    </row>
    <row r="145" spans="1:43" ht="43.5" hidden="1">
      <c r="A145" s="98">
        <f>INDEX('3_BD instruction total'!A:A,MATCH(C145,'3_BD instruction total'!F:F,0))</f>
        <v>2021</v>
      </c>
      <c r="B145" s="98" t="str">
        <f>INDEX('3_BD instruction total'!C:C,MATCH(C145,'3_BD instruction total'!F:F,0))</f>
        <v>non</v>
      </c>
      <c r="C145" s="191" t="str">
        <f>'1_BD questio brut'!A145</f>
        <v>VRB0151</v>
      </c>
      <c r="D145" s="191" t="str">
        <f t="array" ref="D145">INDEX('Données 1_BD questio'!C:C,MATCH('1_BD questio brut'!$B$1&amp;'1_BD questio brut'!B145,'Données 1_BD questio'!A:A&amp;'Données 1_BD questio'!B:B,0))</f>
        <v>CAPV</v>
      </c>
      <c r="E145" s="191" t="str">
        <f t="array" ref="E145">INDEX('Données 1_BD questio'!C:C,MATCH('1_BD questio brut'!$C$1&amp;'1_BD questio brut'!C145,'Données 1_BD questio'!A:A&amp;'Données 1_BD questio'!B:B,0))</f>
        <v>Retraité</v>
      </c>
      <c r="F145" s="191" t="str">
        <f t="array" ref="F145">INDEX('Données 1_BD questio'!C:C,MATCH('1_BD questio brut'!$D$1&amp;'1_BD questio brut'!D145,'Données 1_BD questio'!A:A&amp;'Données 1_BD questio'!B:B,0))</f>
        <v>Pas de réponse</v>
      </c>
      <c r="G145" s="191" t="str">
        <f>'1_BD questio brut'!E145</f>
        <v>65 ans et plus</v>
      </c>
      <c r="H145" s="191">
        <f>'1_BD questio brut'!F145</f>
        <v>1</v>
      </c>
      <c r="I145" s="191" t="str">
        <f>'1_BD questio brut'!G145</f>
        <v>Pas de réponse</v>
      </c>
      <c r="J145" s="191" t="str">
        <f t="array" ref="J145">INDEX('Données 1_BD questio'!C:C,MATCH('1_BD questio brut'!$H$1&amp;'1_BD questio brut'!H145,'Données 1_BD questio'!A:A&amp;'Données 1_BD questio'!B:B,0))</f>
        <v>Maison avec jardin</v>
      </c>
      <c r="K145" s="191">
        <f>'1_BD questio brut'!I145</f>
        <v>60</v>
      </c>
      <c r="L145" s="191" t="str">
        <f>'1_BD questio brut'!J145</f>
        <v>Avant 1949</v>
      </c>
      <c r="M145" s="191" t="str">
        <f>'1_BD questio brut'!K145</f>
        <v>6</v>
      </c>
      <c r="N145" s="191" t="str">
        <f>'1_BD questio brut'!L145</f>
        <v>Ne sait pas</v>
      </c>
      <c r="O145" s="191" t="str">
        <f>'1_BD questio brut'!M145</f>
        <v>Propriétaire occupant</v>
      </c>
      <c r="P145" s="191" t="str">
        <f>'1_BD questio brut'!N145</f>
        <v>Insert / foyer fermé</v>
      </c>
      <c r="Q145" s="191" t="str">
        <f>'1_BD questio brut'!O145</f>
        <v>Chauffage de base</v>
      </c>
      <c r="R145" s="191" t="str">
        <f>'1_BD questio brut'!P145</f>
        <v>Tous les jours</v>
      </c>
      <c r="S145" s="191" t="str">
        <f>'1_BD questio brut'!Q145</f>
        <v>1; 2; 3; 6</v>
      </c>
      <c r="T145" s="191" t="str">
        <f>'1_BD questio brut'!R145</f>
        <v>Avant 1990</v>
      </c>
      <c r="U145" s="191" t="str">
        <f>'1_BD questio brut'!S145</f>
        <v>Bois bûche</v>
      </c>
      <c r="V145" s="191" t="str">
        <f>'1_BD questio brut'!T145</f>
        <v/>
      </c>
      <c r="W145" s="191" t="str">
        <f>'1_BD questio brut'!U145</f>
        <v>6</v>
      </c>
      <c r="X145" s="191" t="str">
        <f>'1_BD questio brut'!V145</f>
        <v>stères</v>
      </c>
      <c r="Y145" s="191" t="str">
        <f>'1_BD questio brut'!W145</f>
        <v>2</v>
      </c>
      <c r="Z145" s="191" t="str">
        <f>'1_BD questio brut'!X145</f>
        <v/>
      </c>
      <c r="AA145" s="191" t="str">
        <f t="array" ref="AA145">INDEX('Données 1_BD questio'!C:C,MATCH('1_BD questio brut'!$Y$1&amp;'1_BD questio brut'!Y145,'Données 1_BD questio'!A:A&amp;'Données 1_BD questio'!B:B,0))</f>
        <v>Pas de réponse</v>
      </c>
      <c r="AB145" s="191" t="str">
        <f>'1_BD questio brut'!Z145</f>
        <v>1</v>
      </c>
      <c r="AC145" s="191" t="str">
        <f>'1_BD questio brut'!AA145</f>
        <v>&gt; 2 ans</v>
      </c>
      <c r="AD145" s="191" t="str">
        <f>'1_BD questio brut'!AB145</f>
        <v>Les deux</v>
      </c>
      <c r="AE145" s="191" t="str">
        <f t="array" ref="AE145">INDEX('Données 1_BD questio'!C:C,MATCH('1_BD questio brut'!$AC$1&amp;'1_BD questio brut'!AC145,'Données 1_BD questio'!A:A&amp;'Données 1_BD questio'!B:B,0))</f>
        <v>un professionnel</v>
      </c>
      <c r="AF145" s="191" t="str">
        <f>'1_BD questio brut'!AD145</f>
        <v>1 fois par an</v>
      </c>
      <c r="AG145" s="191" t="str">
        <f>'1_BD questio brut'!AE145</f>
        <v/>
      </c>
      <c r="AH145" s="191" t="str">
        <f>'1_BD questio brut'!AF145</f>
        <v>Poêle</v>
      </c>
      <c r="AI145" s="191" t="str">
        <f>'1_BD questio brut'!AG145</f>
        <v>1</v>
      </c>
      <c r="AJ145" s="191" t="str">
        <f>'1_BD questio brut'!AH145</f>
        <v/>
      </c>
      <c r="AK145" s="191" t="str">
        <f>'1_BD questio brut'!AI145</f>
        <v>Chauffage de base</v>
      </c>
      <c r="AL145" s="191" t="str">
        <f>'1_BD questio brut'!AJ145</f>
        <v>Pas de réponse</v>
      </c>
      <c r="AM145" s="191" t="str">
        <f>'1_BD questio brut'!AK145</f>
        <v>1; 2; 3; 4</v>
      </c>
      <c r="AN145" s="191" t="str">
        <f>'1_BD questio brut'!AL145</f>
        <v/>
      </c>
      <c r="AO145" s="191" t="str">
        <f>'1_BD questio brut'!AM145</f>
        <v>5</v>
      </c>
      <c r="AP145" s="191" t="str">
        <f>'1_BD questio brut'!AN145</f>
        <v/>
      </c>
      <c r="AQ145" s="191" t="str">
        <f>'1_BD questio brut'!AO145</f>
        <v/>
      </c>
    </row>
    <row r="146" spans="1:43" ht="43.5" hidden="1">
      <c r="A146" s="98">
        <f>INDEX('3_BD instruction total'!A:A,MATCH(C146,'3_BD instruction total'!F:F,0))</f>
        <v>2021</v>
      </c>
      <c r="B146" s="98" t="str">
        <f>INDEX('3_BD instruction total'!C:C,MATCH(C146,'3_BD instruction total'!F:F,0))</f>
        <v>non</v>
      </c>
      <c r="C146" s="191" t="str">
        <f>'1_BD questio brut'!A146</f>
        <v>VRB0152</v>
      </c>
      <c r="D146" s="191" t="str">
        <f t="array" ref="D146">INDEX('Données 1_BD questio'!C:C,MATCH('1_BD questio brut'!$B$1&amp;'1_BD questio brut'!B146,'Données 1_BD questio'!A:A&amp;'Données 1_BD questio'!B:B,0))</f>
        <v>CAPV</v>
      </c>
      <c r="E146" s="191" t="str">
        <f t="array" ref="E146">INDEX('Données 1_BD questio'!C:C,MATCH('1_BD questio brut'!$C$1&amp;'1_BD questio brut'!C146,'Données 1_BD questio'!A:A&amp;'Données 1_BD questio'!B:B,0))</f>
        <v>Artisan,commerçant,chef d'entreprise</v>
      </c>
      <c r="F146" s="191" t="str">
        <f t="array" ref="F146">INDEX('Données 1_BD questio'!C:C,MATCH('1_BD questio brut'!$D$1&amp;'1_BD questio brut'!D146,'Données 1_BD questio'!A:A&amp;'Données 1_BD questio'!B:B,0))</f>
        <v>Profession intermédiaire</v>
      </c>
      <c r="G146" s="191" t="str">
        <f>'1_BD questio brut'!E146</f>
        <v>50 à 64 ans</v>
      </c>
      <c r="H146" s="191">
        <f>'1_BD questio brut'!F146</f>
        <v>3</v>
      </c>
      <c r="I146" s="191" t="str">
        <f>'1_BD questio brut'!G146</f>
        <v>Pas de réponse</v>
      </c>
      <c r="J146" s="191" t="str">
        <f t="array" ref="J146">INDEX('Données 1_BD questio'!C:C,MATCH('1_BD questio brut'!$H$1&amp;'1_BD questio brut'!H146,'Données 1_BD questio'!A:A&amp;'Données 1_BD questio'!B:B,0))</f>
        <v>Maison avec jardin</v>
      </c>
      <c r="K146" s="191">
        <f>'1_BD questio brut'!I146</f>
        <v>90</v>
      </c>
      <c r="L146" s="191" t="str">
        <f>'1_BD questio brut'!J146</f>
        <v>Avant 1949</v>
      </c>
      <c r="M146" s="191" t="str">
        <f>'1_BD questio brut'!K146</f>
        <v>6</v>
      </c>
      <c r="N146" s="191" t="str">
        <f>'1_BD questio brut'!L146</f>
        <v>Pas de réponse</v>
      </c>
      <c r="O146" s="191" t="str">
        <f>'1_BD questio brut'!M146</f>
        <v>Propriétaire occupant</v>
      </c>
      <c r="P146" s="191" t="str">
        <f>'1_BD questio brut'!N146</f>
        <v>Insert / foyer fermé</v>
      </c>
      <c r="Q146" s="191" t="str">
        <f>'1_BD questio brut'!O146</f>
        <v>Chauffage de base</v>
      </c>
      <c r="R146" s="191" t="str">
        <f>'1_BD questio brut'!P146</f>
        <v>Tous les jours</v>
      </c>
      <c r="S146" s="191" t="str">
        <f>'1_BD questio brut'!Q146</f>
        <v>4</v>
      </c>
      <c r="T146" s="191" t="str">
        <f>'1_BD questio brut'!R146</f>
        <v>Avant 1990</v>
      </c>
      <c r="U146" s="191" t="str">
        <f>'1_BD questio brut'!S146</f>
        <v>Bois bûche</v>
      </c>
      <c r="V146" s="191" t="str">
        <f>'1_BD questio brut'!T146</f>
        <v/>
      </c>
      <c r="W146" s="191" t="str">
        <f>'1_BD questio brut'!U146</f>
        <v>10</v>
      </c>
      <c r="X146" s="191" t="str">
        <f>'1_BD questio brut'!V146</f>
        <v>stères</v>
      </c>
      <c r="Y146" s="191" t="str">
        <f>'1_BD questio brut'!W146</f>
        <v>2</v>
      </c>
      <c r="Z146" s="191" t="str">
        <f>'1_BD questio brut'!X146</f>
        <v/>
      </c>
      <c r="AA146" s="191" t="str">
        <f t="array" ref="AA146">INDEX('Données 1_BD questio'!C:C,MATCH('1_BD questio brut'!$Y$1&amp;'1_BD questio brut'!Y146,'Données 1_BD questio'!A:A&amp;'Données 1_BD questio'!B:B,0))</f>
        <v>Rhône-Alpes hors RA2B</v>
      </c>
      <c r="AB146" s="191" t="str">
        <f>'1_BD questio brut'!Z146</f>
        <v>3</v>
      </c>
      <c r="AC146" s="191" t="str">
        <f>'1_BD questio brut'!AA146</f>
        <v>&gt; 2 ans</v>
      </c>
      <c r="AD146" s="191" t="str">
        <f>'1_BD questio brut'!AB146</f>
        <v>Feuillus</v>
      </c>
      <c r="AE146" s="191" t="str">
        <f t="array" ref="AE146">INDEX('Données 1_BD questio'!C:C,MATCH('1_BD questio brut'!$AC$1&amp;'1_BD questio brut'!AC146,'Données 1_BD questio'!A:A&amp;'Données 1_BD questio'!B:B,0))</f>
        <v>un professionnel</v>
      </c>
      <c r="AF146" s="191" t="str">
        <f>'1_BD questio brut'!AD146</f>
        <v>2 fois par an</v>
      </c>
      <c r="AG146" s="191" t="str">
        <f>'1_BD questio brut'!AE146</f>
        <v/>
      </c>
      <c r="AH146" s="191" t="str">
        <f>'1_BD questio brut'!AF146</f>
        <v>Poêle</v>
      </c>
      <c r="AI146" s="191" t="str">
        <f>'1_BD questio brut'!AG146</f>
        <v>1</v>
      </c>
      <c r="AJ146" s="191" t="str">
        <f>'1_BD questio brut'!AH146</f>
        <v/>
      </c>
      <c r="AK146" s="191" t="str">
        <f>'1_BD questio brut'!AI146</f>
        <v>Chauffage de base</v>
      </c>
      <c r="AL146" s="191" t="str">
        <f>'1_BD questio brut'!AJ146</f>
        <v>Pas de réponse</v>
      </c>
      <c r="AM146" s="191" t="str">
        <f>'1_BD questio brut'!AK146</f>
        <v>2</v>
      </c>
      <c r="AN146" s="191" t="str">
        <f>'1_BD questio brut'!AL146</f>
        <v/>
      </c>
      <c r="AO146" s="191" t="str">
        <f>'1_BD questio brut'!AM146</f>
        <v>5</v>
      </c>
      <c r="AP146" s="191" t="str">
        <f>'1_BD questio brut'!AN146</f>
        <v/>
      </c>
      <c r="AQ146" s="191" t="str">
        <f>'1_BD questio brut'!AO146</f>
        <v/>
      </c>
    </row>
    <row r="147" spans="1:43" ht="43.5" hidden="1">
      <c r="A147" s="98">
        <f>INDEX('3_BD instruction total'!A:A,MATCH(C147,'3_BD instruction total'!F:F,0))</f>
        <v>2021</v>
      </c>
      <c r="B147" s="98" t="str">
        <f>INDEX('3_BD instruction total'!C:C,MATCH(C147,'3_BD instruction total'!F:F,0))</f>
        <v>non</v>
      </c>
      <c r="C147" s="191" t="str">
        <f>'1_BD questio brut'!A147</f>
        <v>VRB0153</v>
      </c>
      <c r="D147" s="191" t="str">
        <f t="array" ref="D147">INDEX('Données 1_BD questio'!C:C,MATCH('1_BD questio brut'!$B$1&amp;'1_BD questio brut'!B147,'Données 1_BD questio'!A:A&amp;'Données 1_BD questio'!B:B,0))</f>
        <v>CAPV</v>
      </c>
      <c r="E147" s="191" t="str">
        <f t="array" ref="E147">INDEX('Données 1_BD questio'!C:C,MATCH('1_BD questio brut'!$C$1&amp;'1_BD questio brut'!C147,'Données 1_BD questio'!A:A&amp;'Données 1_BD questio'!B:B,0))</f>
        <v>Employé</v>
      </c>
      <c r="F147" s="191" t="str">
        <f t="array" ref="F147">INDEX('Données 1_BD questio'!C:C,MATCH('1_BD questio brut'!$D$1&amp;'1_BD questio brut'!D147,'Données 1_BD questio'!A:A&amp;'Données 1_BD questio'!B:B,0))</f>
        <v>Pas de réponse</v>
      </c>
      <c r="G147" s="191" t="str">
        <f>'1_BD questio brut'!E147</f>
        <v>50 à 64 ans</v>
      </c>
      <c r="H147" s="191">
        <f>'1_BD questio brut'!F147</f>
        <v>3</v>
      </c>
      <c r="I147" s="191" t="str">
        <f>'1_BD questio brut'!G147</f>
        <v>Pas de réponse</v>
      </c>
      <c r="J147" s="191" t="str">
        <f t="array" ref="J147">INDEX('Données 1_BD questio'!C:C,MATCH('1_BD questio brut'!$H$1&amp;'1_BD questio brut'!H147,'Données 1_BD questio'!A:A&amp;'Données 1_BD questio'!B:B,0))</f>
        <v>Maison avec jardin</v>
      </c>
      <c r="K147" s="191">
        <f>'1_BD questio brut'!I147</f>
        <v>94</v>
      </c>
      <c r="L147" s="191" t="str">
        <f>'1_BD questio brut'!J147</f>
        <v>Pas de réponse</v>
      </c>
      <c r="M147" s="191" t="str">
        <f>'1_BD questio brut'!K147</f>
        <v>6</v>
      </c>
      <c r="N147" s="191" t="str">
        <f>'1_BD questio brut'!L147</f>
        <v>Ne sait pas</v>
      </c>
      <c r="O147" s="191" t="str">
        <f>'1_BD questio brut'!M147</f>
        <v>Propriétaire occupant</v>
      </c>
      <c r="P147" s="191" t="str">
        <f>'1_BD questio brut'!N147</f>
        <v>Poêle</v>
      </c>
      <c r="Q147" s="191" t="str">
        <f>'1_BD questio brut'!O147</f>
        <v>Chauffage d'apoint</v>
      </c>
      <c r="R147" s="191" t="str">
        <f>'1_BD questio brut'!P147</f>
        <v>3 à 4 jours/semaine</v>
      </c>
      <c r="S147" s="191" t="str">
        <f>'1_BD questio brut'!Q147</f>
        <v>4</v>
      </c>
      <c r="T147" s="191" t="str">
        <f>'1_BD questio brut'!R147</f>
        <v>1996-2002</v>
      </c>
      <c r="U147" s="191" t="str">
        <f>'1_BD questio brut'!S147</f>
        <v>Bois bûche</v>
      </c>
      <c r="V147" s="191" t="str">
        <f>'1_BD questio brut'!T147</f>
        <v/>
      </c>
      <c r="W147" s="191" t="str">
        <f>'1_BD questio brut'!U147</f>
        <v>3</v>
      </c>
      <c r="X147" s="191" t="str">
        <f>'1_BD questio brut'!V147</f>
        <v>stères</v>
      </c>
      <c r="Y147" s="191" t="str">
        <f>'1_BD questio brut'!W147</f>
        <v>2</v>
      </c>
      <c r="Z147" s="191" t="str">
        <f>'1_BD questio brut'!X147</f>
        <v/>
      </c>
      <c r="AA147" s="191" t="str">
        <f t="array" ref="AA147">INDEX('Données 1_BD questio'!C:C,MATCH('1_BD questio brut'!$Y$1&amp;'1_BD questio brut'!Y147,'Données 1_BD questio'!A:A&amp;'Données 1_BD questio'!B:B,0))</f>
        <v>Ne sait pas</v>
      </c>
      <c r="AB147" s="191" t="str">
        <f>'1_BD questio brut'!Z147</f>
        <v>3</v>
      </c>
      <c r="AC147" s="191" t="str">
        <f>'1_BD questio brut'!AA147</f>
        <v>1 à 2 ans</v>
      </c>
      <c r="AD147" s="191" t="str">
        <f>'1_BD questio brut'!AB147</f>
        <v>Feuillus</v>
      </c>
      <c r="AE147" s="191" t="str">
        <f t="array" ref="AE147">INDEX('Données 1_BD questio'!C:C,MATCH('1_BD questio brut'!$AC$1&amp;'1_BD questio brut'!AC147,'Données 1_BD questio'!A:A&amp;'Données 1_BD questio'!B:B,0))</f>
        <v>un professionnel</v>
      </c>
      <c r="AF147" s="191" t="str">
        <f>'1_BD questio brut'!AD147</f>
        <v>Pas de réponse</v>
      </c>
      <c r="AG147" s="191" t="str">
        <f>'1_BD questio brut'!AE147</f>
        <v/>
      </c>
      <c r="AH147" s="191" t="str">
        <f>'1_BD questio brut'!AF147</f>
        <v>Poêle</v>
      </c>
      <c r="AI147" s="191" t="str">
        <f>'1_BD questio brut'!AG147</f>
        <v>2</v>
      </c>
      <c r="AJ147" s="191" t="str">
        <f>'1_BD questio brut'!AH147</f>
        <v/>
      </c>
      <c r="AK147" s="191" t="str">
        <f>'1_BD questio brut'!AI147</f>
        <v>Chauffage de base</v>
      </c>
      <c r="AL147" s="191" t="str">
        <f>'1_BD questio brut'!AJ147</f>
        <v>Pas de réponse</v>
      </c>
      <c r="AM147" s="191" t="str">
        <f>'1_BD questio brut'!AK147</f>
        <v>2</v>
      </c>
      <c r="AN147" s="191" t="str">
        <f>'1_BD questio brut'!AL147</f>
        <v/>
      </c>
      <c r="AO147" s="191" t="str">
        <f>'1_BD questio brut'!AM147</f>
        <v>5</v>
      </c>
      <c r="AP147" s="191" t="str">
        <f>'1_BD questio brut'!AN147</f>
        <v/>
      </c>
      <c r="AQ147" s="191" t="str">
        <f>'1_BD questio brut'!AO147</f>
        <v/>
      </c>
    </row>
    <row r="148" spans="1:43" ht="43.5" hidden="1">
      <c r="A148" s="98">
        <f>INDEX('3_BD instruction total'!A:A,MATCH(C148,'3_BD instruction total'!F:F,0))</f>
        <v>2021</v>
      </c>
      <c r="B148" s="98" t="str">
        <f>INDEX('3_BD instruction total'!C:C,MATCH(C148,'3_BD instruction total'!F:F,0))</f>
        <v>non</v>
      </c>
      <c r="C148" s="191" t="str">
        <f>'1_BD questio brut'!A148</f>
        <v>VRB0154</v>
      </c>
      <c r="D148" s="191" t="str">
        <f t="array" ref="D148">INDEX('Données 1_BD questio'!C:C,MATCH('1_BD questio brut'!$B$1&amp;'1_BD questio brut'!B148,'Données 1_BD questio'!A:A&amp;'Données 1_BD questio'!B:B,0))</f>
        <v>CAPV</v>
      </c>
      <c r="E148" s="191" t="str">
        <f t="array" ref="E148">INDEX('Données 1_BD questio'!C:C,MATCH('1_BD questio brut'!$C$1&amp;'1_BD questio brut'!C148,'Données 1_BD questio'!A:A&amp;'Données 1_BD questio'!B:B,0))</f>
        <v>Profession intermédiaire</v>
      </c>
      <c r="F148" s="191" t="str">
        <f t="array" ref="F148">INDEX('Données 1_BD questio'!C:C,MATCH('1_BD questio brut'!$D$1&amp;'1_BD questio brut'!D148,'Données 1_BD questio'!A:A&amp;'Données 1_BD questio'!B:B,0))</f>
        <v>Profession intermédiaire</v>
      </c>
      <c r="G148" s="191" t="str">
        <f>'1_BD questio brut'!E148</f>
        <v>50 à 64 ans</v>
      </c>
      <c r="H148" s="191">
        <f>'1_BD questio brut'!F148</f>
        <v>4</v>
      </c>
      <c r="I148" s="191" t="str">
        <f>'1_BD questio brut'!G148</f>
        <v>Pas de réponse</v>
      </c>
      <c r="J148" s="191" t="str">
        <f t="array" ref="J148">INDEX('Données 1_BD questio'!C:C,MATCH('1_BD questio brut'!$H$1&amp;'1_BD questio brut'!H148,'Données 1_BD questio'!A:A&amp;'Données 1_BD questio'!B:B,0))</f>
        <v>Maison avec jardin</v>
      </c>
      <c r="K148" s="191">
        <f>'1_BD questio brut'!I148</f>
        <v>170</v>
      </c>
      <c r="L148" s="191" t="str">
        <f>'1_BD questio brut'!J148</f>
        <v>1949-1975</v>
      </c>
      <c r="M148" s="191" t="str">
        <f>'1_BD questio brut'!K148</f>
        <v>1; 4</v>
      </c>
      <c r="N148" s="191" t="str">
        <f>'1_BD questio brut'!L148</f>
        <v>Ne sait pas</v>
      </c>
      <c r="O148" s="191" t="str">
        <f>'1_BD questio brut'!M148</f>
        <v>Propriétaire occupant</v>
      </c>
      <c r="P148" s="191" t="str">
        <f>'1_BD questio brut'!N148</f>
        <v>Insert / foyer fermé</v>
      </c>
      <c r="Q148" s="191" t="str">
        <f>'1_BD questio brut'!O148</f>
        <v>Chauffage de base</v>
      </c>
      <c r="R148" s="191" t="str">
        <f>'1_BD questio brut'!P148</f>
        <v>Tous les jours</v>
      </c>
      <c r="S148" s="191" t="str">
        <f>'1_BD questio brut'!Q148</f>
        <v>4; 5</v>
      </c>
      <c r="T148" s="191" t="str">
        <f>'1_BD questio brut'!R148</f>
        <v>1996-2002</v>
      </c>
      <c r="U148" s="191" t="str">
        <f>'1_BD questio brut'!S148</f>
        <v>Bois de récupération, à préciser</v>
      </c>
      <c r="V148" s="191" t="str">
        <f>'1_BD questio brut'!T148</f>
        <v/>
      </c>
      <c r="W148" s="191" t="str">
        <f>'1_BD questio brut'!U148</f>
        <v>10</v>
      </c>
      <c r="X148" s="191" t="str">
        <f>'1_BD questio brut'!V148</f>
        <v>stères</v>
      </c>
      <c r="Y148" s="191" t="str">
        <f>'1_BD questio brut'!W148</f>
        <v>2</v>
      </c>
      <c r="Z148" s="191" t="str">
        <f>'1_BD questio brut'!X148</f>
        <v/>
      </c>
      <c r="AA148" s="191" t="str">
        <f t="array" ref="AA148">INDEX('Données 1_BD questio'!C:C,MATCH('1_BD questio brut'!$Y$1&amp;'1_BD questio brut'!Y148,'Données 1_BD questio'!A:A&amp;'Données 1_BD questio'!B:B,0))</f>
        <v>Ne sait pas</v>
      </c>
      <c r="AB148" s="191" t="str">
        <f>'1_BD questio brut'!Z148</f>
        <v>2</v>
      </c>
      <c r="AC148" s="191" t="str">
        <f>'1_BD questio brut'!AA148</f>
        <v>1 à 2 ans</v>
      </c>
      <c r="AD148" s="191" t="str">
        <f>'1_BD questio brut'!AB148</f>
        <v>Les deux</v>
      </c>
      <c r="AE148" s="191" t="str">
        <f t="array" ref="AE148">INDEX('Données 1_BD questio'!C:C,MATCH('1_BD questio brut'!$AC$1&amp;'1_BD questio brut'!AC148,'Données 1_BD questio'!A:A&amp;'Données 1_BD questio'!B:B,0))</f>
        <v>un professionnel</v>
      </c>
      <c r="AF148" s="191" t="str">
        <f>'1_BD questio brut'!AD148</f>
        <v>2 fois par an</v>
      </c>
      <c r="AG148" s="191" t="str">
        <f>'1_BD questio brut'!AE148</f>
        <v/>
      </c>
      <c r="AH148" s="191" t="str">
        <f>'1_BD questio brut'!AF148</f>
        <v>Poêle</v>
      </c>
      <c r="AI148" s="191" t="str">
        <f>'1_BD questio brut'!AG148</f>
        <v>2</v>
      </c>
      <c r="AJ148" s="191" t="str">
        <f>'1_BD questio brut'!AH148</f>
        <v/>
      </c>
      <c r="AK148" s="191" t="str">
        <f>'1_BD questio brut'!AI148</f>
        <v>Chauffage de base</v>
      </c>
      <c r="AL148" s="191" t="str">
        <f>'1_BD questio brut'!AJ148</f>
        <v>Pas de réponse</v>
      </c>
      <c r="AM148" s="191" t="str">
        <f>'1_BD questio brut'!AK148</f>
        <v>2; 4; 5</v>
      </c>
      <c r="AN148" s="191" t="str">
        <f>'1_BD questio brut'!AL148</f>
        <v/>
      </c>
      <c r="AO148" s="191" t="str">
        <f>'1_BD questio brut'!AM148</f>
        <v>11</v>
      </c>
      <c r="AP148" s="191" t="str">
        <f>'1_BD questio brut'!AN148</f>
        <v/>
      </c>
      <c r="AQ148" s="191" t="str">
        <f>'1_BD questio brut'!AO148</f>
        <v/>
      </c>
    </row>
    <row r="149" spans="1:43" ht="43.5" hidden="1">
      <c r="A149" s="98">
        <f>INDEX('3_BD instruction total'!A:A,MATCH(C149,'3_BD instruction total'!F:F,0))</f>
        <v>2021</v>
      </c>
      <c r="B149" s="98" t="str">
        <f>INDEX('3_BD instruction total'!C:C,MATCH(C149,'3_BD instruction total'!F:F,0))</f>
        <v>non</v>
      </c>
      <c r="C149" s="191" t="str">
        <f>'1_BD questio brut'!A149</f>
        <v>VRB0155</v>
      </c>
      <c r="D149" s="191" t="str">
        <f t="array" ref="D149">INDEX('Données 1_BD questio'!C:C,MATCH('1_BD questio brut'!$B$1&amp;'1_BD questio brut'!B149,'Données 1_BD questio'!A:A&amp;'Données 1_BD questio'!B:B,0))</f>
        <v>CAPV</v>
      </c>
      <c r="E149" s="191" t="str">
        <f t="array" ref="E149">INDEX('Données 1_BD questio'!C:C,MATCH('1_BD questio brut'!$C$1&amp;'1_BD questio brut'!C149,'Données 1_BD questio'!A:A&amp;'Données 1_BD questio'!B:B,0))</f>
        <v>Cadre</v>
      </c>
      <c r="F149" s="191" t="str">
        <f t="array" ref="F149">INDEX('Données 1_BD questio'!C:C,MATCH('1_BD questio brut'!$D$1&amp;'1_BD questio brut'!D149,'Données 1_BD questio'!A:A&amp;'Données 1_BD questio'!B:B,0))</f>
        <v>Cadre</v>
      </c>
      <c r="G149" s="191" t="str">
        <f>'1_BD questio brut'!E149</f>
        <v>35 à 49 ans</v>
      </c>
      <c r="H149" s="191">
        <f>'1_BD questio brut'!F149</f>
        <v>2</v>
      </c>
      <c r="I149" s="191" t="str">
        <f>'1_BD questio brut'!G149</f>
        <v>Pas de réponse</v>
      </c>
      <c r="J149" s="191" t="str">
        <f t="array" ref="J149">INDEX('Données 1_BD questio'!C:C,MATCH('1_BD questio brut'!$H$1&amp;'1_BD questio brut'!H149,'Données 1_BD questio'!A:A&amp;'Données 1_BD questio'!B:B,0))</f>
        <v>Maison avec jardin</v>
      </c>
      <c r="K149" s="191">
        <f>'1_BD questio brut'!I149</f>
        <v>139</v>
      </c>
      <c r="L149" s="191" t="str">
        <f>'1_BD questio brut'!J149</f>
        <v>1990-2005</v>
      </c>
      <c r="M149" s="191" t="str">
        <f>'1_BD questio brut'!K149</f>
        <v>6</v>
      </c>
      <c r="N149" s="191" t="str">
        <f>'1_BD questio brut'!L149</f>
        <v>Pas de réponse</v>
      </c>
      <c r="O149" s="191" t="str">
        <f>'1_BD questio brut'!M149</f>
        <v>Propriétaire occupant</v>
      </c>
      <c r="P149" s="191" t="str">
        <f>'1_BD questio brut'!N149</f>
        <v>Insert / foyer fermé</v>
      </c>
      <c r="Q149" s="191" t="str">
        <f>'1_BD questio brut'!O149</f>
        <v>Chauffage d'apoint</v>
      </c>
      <c r="R149" s="191" t="str">
        <f>'1_BD questio brut'!P149</f>
        <v>Jamais</v>
      </c>
      <c r="S149" s="191" t="str">
        <f>'1_BD questio brut'!Q149</f>
        <v>7</v>
      </c>
      <c r="T149" s="191" t="str">
        <f>'1_BD questio brut'!R149</f>
        <v>1990-1995</v>
      </c>
      <c r="U149" s="191" t="str">
        <f>'1_BD questio brut'!S149</f>
        <v>Bois bûche</v>
      </c>
      <c r="V149" s="191" t="str">
        <f>'1_BD questio brut'!T149</f>
        <v/>
      </c>
      <c r="W149" s="191" t="str">
        <f>'1_BD questio brut'!U149</f>
        <v/>
      </c>
      <c r="X149" s="191" t="str">
        <f>'1_BD questio brut'!V149</f>
        <v/>
      </c>
      <c r="Y149" s="191" t="str">
        <f>'1_BD questio brut'!W149</f>
        <v>5</v>
      </c>
      <c r="Z149" s="191" t="str">
        <f>'1_BD questio brut'!X149</f>
        <v/>
      </c>
      <c r="AA149" s="191" t="str">
        <f t="array" ref="AA149">INDEX('Données 1_BD questio'!C:C,MATCH('1_BD questio brut'!$Y$1&amp;'1_BD questio brut'!Y149,'Données 1_BD questio'!A:A&amp;'Données 1_BD questio'!B:B,0))</f>
        <v>Ne sait pas</v>
      </c>
      <c r="AB149" s="191" t="str">
        <f>'1_BD questio brut'!Z149</f>
        <v>2</v>
      </c>
      <c r="AC149" s="191" t="str">
        <f>'1_BD questio brut'!AA149</f>
        <v>Ne sait pas</v>
      </c>
      <c r="AD149" s="191" t="str">
        <f>'1_BD questio brut'!AB149</f>
        <v>Ne sait pas</v>
      </c>
      <c r="AE149" s="191" t="str">
        <f t="array" ref="AE149">INDEX('Données 1_BD questio'!C:C,MATCH('1_BD questio brut'!$AC$1&amp;'1_BD questio brut'!AC149,'Données 1_BD questio'!A:A&amp;'Données 1_BD questio'!B:B,0))</f>
        <v>un professionnel</v>
      </c>
      <c r="AF149" s="191" t="str">
        <f>'1_BD questio brut'!AD149</f>
        <v>Pas de réponse</v>
      </c>
      <c r="AG149" s="191" t="str">
        <f>'1_BD questio brut'!AE149</f>
        <v/>
      </c>
      <c r="AH149" s="191" t="str">
        <f>'1_BD questio brut'!AF149</f>
        <v>Poêle</v>
      </c>
      <c r="AI149" s="191" t="str">
        <f>'1_BD questio brut'!AG149</f>
        <v>1</v>
      </c>
      <c r="AJ149" s="191" t="str">
        <f>'1_BD questio brut'!AH149</f>
        <v/>
      </c>
      <c r="AK149" s="191" t="str">
        <f>'1_BD questio brut'!AI149</f>
        <v>Chauffage d'appoint</v>
      </c>
      <c r="AL149" s="191" t="str">
        <f>'1_BD questio brut'!AJ149</f>
        <v>Pas de réponse</v>
      </c>
      <c r="AM149" s="191" t="str">
        <f>'1_BD questio brut'!AK149</f>
        <v>2; 4; 5</v>
      </c>
      <c r="AN149" s="191" t="str">
        <f>'1_BD questio brut'!AL149</f>
        <v/>
      </c>
      <c r="AO149" s="191" t="str">
        <f>'1_BD questio brut'!AM149</f>
        <v>11</v>
      </c>
      <c r="AP149" s="191" t="str">
        <f>'1_BD questio brut'!AN149</f>
        <v/>
      </c>
      <c r="AQ149" s="191" t="str">
        <f>'1_BD questio brut'!AO149</f>
        <v/>
      </c>
    </row>
    <row r="150" spans="1:43" ht="43.5" hidden="1">
      <c r="A150" s="98">
        <f>INDEX('3_BD instruction total'!A:A,MATCH(C150,'3_BD instruction total'!F:F,0))</f>
        <v>2021</v>
      </c>
      <c r="B150" s="98" t="str">
        <f>INDEX('3_BD instruction total'!C:C,MATCH(C150,'3_BD instruction total'!F:F,0))</f>
        <v>non</v>
      </c>
      <c r="C150" s="191" t="str">
        <f>'1_BD questio brut'!A150</f>
        <v>VRB0156</v>
      </c>
      <c r="D150" s="191" t="str">
        <f t="array" ref="D150">INDEX('Données 1_BD questio'!C:C,MATCH('1_BD questio brut'!$B$1&amp;'1_BD questio brut'!B150,'Données 1_BD questio'!A:A&amp;'Données 1_BD questio'!B:B,0))</f>
        <v>CAPV</v>
      </c>
      <c r="E150" s="191" t="str">
        <f t="array" ref="E150">INDEX('Données 1_BD questio'!C:C,MATCH('1_BD questio brut'!$C$1&amp;'1_BD questio brut'!C150,'Données 1_BD questio'!A:A&amp;'Données 1_BD questio'!B:B,0))</f>
        <v>Retraité</v>
      </c>
      <c r="F150" s="191" t="str">
        <f t="array" ref="F150">INDEX('Données 1_BD questio'!C:C,MATCH('1_BD questio brut'!$D$1&amp;'1_BD questio brut'!D150,'Données 1_BD questio'!A:A&amp;'Données 1_BD questio'!B:B,0))</f>
        <v>Pas de réponse</v>
      </c>
      <c r="G150" s="191" t="str">
        <f>'1_BD questio brut'!E150</f>
        <v>65 ans et plus</v>
      </c>
      <c r="H150" s="191">
        <f>'1_BD questio brut'!F150</f>
        <v>1</v>
      </c>
      <c r="I150" s="191" t="str">
        <f>'1_BD questio brut'!G150</f>
        <v>Pas de réponse</v>
      </c>
      <c r="J150" s="191" t="str">
        <f t="array" ref="J150">INDEX('Données 1_BD questio'!C:C,MATCH('1_BD questio brut'!$H$1&amp;'1_BD questio brut'!H150,'Données 1_BD questio'!A:A&amp;'Données 1_BD questio'!B:B,0))</f>
        <v>Maison avec jardin</v>
      </c>
      <c r="K150" s="191">
        <f>'1_BD questio brut'!I150</f>
        <v>100</v>
      </c>
      <c r="L150" s="191" t="str">
        <f>'1_BD questio brut'!J150</f>
        <v>1975-1990</v>
      </c>
      <c r="M150" s="191" t="str">
        <f>'1_BD questio brut'!K150</f>
        <v>1; 2; 3; 4</v>
      </c>
      <c r="N150" s="191" t="str">
        <f>'1_BD questio brut'!L150</f>
        <v>Pas de réponse</v>
      </c>
      <c r="O150" s="191" t="str">
        <f>'1_BD questio brut'!M150</f>
        <v>Propriétaire occupant</v>
      </c>
      <c r="P150" s="191" t="str">
        <f>'1_BD questio brut'!N150</f>
        <v>Insert / foyer fermé</v>
      </c>
      <c r="Q150" s="191" t="str">
        <f>'1_BD questio brut'!O150</f>
        <v>Chauffage d'apoint</v>
      </c>
      <c r="R150" s="191" t="str">
        <f>'1_BD questio brut'!P150</f>
        <v>1 à 2 jours/semaine</v>
      </c>
      <c r="S150" s="191" t="str">
        <f>'1_BD questio brut'!Q150</f>
        <v>2</v>
      </c>
      <c r="T150" s="191" t="str">
        <f>'1_BD questio brut'!R150</f>
        <v>1990-1995</v>
      </c>
      <c r="U150" s="191" t="str">
        <f>'1_BD questio brut'!S150</f>
        <v>Bois bûche</v>
      </c>
      <c r="V150" s="191" t="str">
        <f>'1_BD questio brut'!T150</f>
        <v/>
      </c>
      <c r="W150" s="191" t="str">
        <f>'1_BD questio brut'!U150</f>
        <v>2</v>
      </c>
      <c r="X150" s="191" t="str">
        <f>'1_BD questio brut'!V150</f>
        <v>stères</v>
      </c>
      <c r="Y150" s="191" t="str">
        <f>'1_BD questio brut'!W150</f>
        <v>4</v>
      </c>
      <c r="Z150" s="191" t="str">
        <f>'1_BD questio brut'!X150</f>
        <v/>
      </c>
      <c r="AA150" s="191" t="str">
        <f t="array" ref="AA150">INDEX('Données 1_BD questio'!C:C,MATCH('1_BD questio brut'!$Y$1&amp;'1_BD questio brut'!Y150,'Données 1_BD questio'!A:A&amp;'Données 1_BD questio'!B:B,0))</f>
        <v>Ne sait pas</v>
      </c>
      <c r="AB150" s="191" t="str">
        <f>'1_BD questio brut'!Z150</f>
        <v>2</v>
      </c>
      <c r="AC150" s="191" t="str">
        <f>'1_BD questio brut'!AA150</f>
        <v>&gt; 2 ans</v>
      </c>
      <c r="AD150" s="191" t="str">
        <f>'1_BD questio brut'!AB150</f>
        <v>Feuillus</v>
      </c>
      <c r="AE150" s="191" t="str">
        <f t="array" ref="AE150">INDEX('Données 1_BD questio'!C:C,MATCH('1_BD questio brut'!$AC$1&amp;'1_BD questio brut'!AC150,'Données 1_BD questio'!A:A&amp;'Données 1_BD questio'!B:B,0))</f>
        <v>un professionnel</v>
      </c>
      <c r="AF150" s="191" t="str">
        <f>'1_BD questio brut'!AD150</f>
        <v>1 fois tous les 2 ans</v>
      </c>
      <c r="AG150" s="191" t="str">
        <f>'1_BD questio brut'!AE150</f>
        <v/>
      </c>
      <c r="AH150" s="191" t="str">
        <f>'1_BD questio brut'!AF150</f>
        <v>Insert cheminée</v>
      </c>
      <c r="AI150" s="191" t="str">
        <f>'1_BD questio brut'!AG150</f>
        <v>1</v>
      </c>
      <c r="AJ150" s="191" t="str">
        <f>'1_BD questio brut'!AH150</f>
        <v/>
      </c>
      <c r="AK150" s="191" t="str">
        <f>'1_BD questio brut'!AI150</f>
        <v>Chauffage d'appoint</v>
      </c>
      <c r="AL150" s="191" t="str">
        <f>'1_BD questio brut'!AJ150</f>
        <v>Pas de réponse</v>
      </c>
      <c r="AM150" s="191" t="str">
        <f>'1_BD questio brut'!AK150</f>
        <v>1; 2; 5</v>
      </c>
      <c r="AN150" s="191" t="str">
        <f>'1_BD questio brut'!AL150</f>
        <v/>
      </c>
      <c r="AO150" s="191" t="str">
        <f>'1_BD questio brut'!AM150</f>
        <v>8</v>
      </c>
      <c r="AP150" s="191" t="str">
        <f>'1_BD questio brut'!AN150</f>
        <v/>
      </c>
      <c r="AQ150" s="191" t="str">
        <f>'1_BD questio brut'!AO150</f>
        <v/>
      </c>
    </row>
    <row r="151" spans="1:43" ht="43.5" hidden="1">
      <c r="A151" s="98">
        <f>INDEX('3_BD instruction total'!A:A,MATCH(C151,'3_BD instruction total'!F:F,0))</f>
        <v>2021</v>
      </c>
      <c r="B151" s="98" t="str">
        <f>INDEX('3_BD instruction total'!C:C,MATCH(C151,'3_BD instruction total'!F:F,0))</f>
        <v>non</v>
      </c>
      <c r="C151" s="191" t="str">
        <f>'1_BD questio brut'!A151</f>
        <v>VRB0157</v>
      </c>
      <c r="D151" s="191" t="str">
        <f t="array" ref="D151">INDEX('Données 1_BD questio'!C:C,MATCH('1_BD questio brut'!$B$1&amp;'1_BD questio brut'!B151,'Données 1_BD questio'!A:A&amp;'Données 1_BD questio'!B:B,0))</f>
        <v>CAPV</v>
      </c>
      <c r="E151" s="191" t="str">
        <f t="array" ref="E151">INDEX('Données 1_BD questio'!C:C,MATCH('1_BD questio brut'!$C$1&amp;'1_BD questio brut'!C151,'Données 1_BD questio'!A:A&amp;'Données 1_BD questio'!B:B,0))</f>
        <v>Cadre</v>
      </c>
      <c r="F151" s="191" t="str">
        <f t="array" ref="F151">INDEX('Données 1_BD questio'!C:C,MATCH('1_BD questio brut'!$D$1&amp;'1_BD questio brut'!D151,'Données 1_BD questio'!A:A&amp;'Données 1_BD questio'!B:B,0))</f>
        <v>Employé</v>
      </c>
      <c r="G151" s="191" t="str">
        <f>'1_BD questio brut'!E151</f>
        <v>35 à 49 ans</v>
      </c>
      <c r="H151" s="191">
        <f>'1_BD questio brut'!F151</f>
        <v>3</v>
      </c>
      <c r="I151" s="191" t="str">
        <f>'1_BD questio brut'!G151</f>
        <v>Pas de réponse</v>
      </c>
      <c r="J151" s="191" t="str">
        <f t="array" ref="J151">INDEX('Données 1_BD questio'!C:C,MATCH('1_BD questio brut'!$H$1&amp;'1_BD questio brut'!H151,'Données 1_BD questio'!A:A&amp;'Données 1_BD questio'!B:B,0))</f>
        <v>Maison avec jardin</v>
      </c>
      <c r="K151" s="191">
        <f>'1_BD questio brut'!I151</f>
        <v>137.76</v>
      </c>
      <c r="L151" s="191" t="str">
        <f>'1_BD questio brut'!J151</f>
        <v>1975-1990</v>
      </c>
      <c r="M151" s="191" t="str">
        <f>'1_BD questio brut'!K151</f>
        <v>6</v>
      </c>
      <c r="N151" s="191" t="str">
        <f>'1_BD questio brut'!L151</f>
        <v>C</v>
      </c>
      <c r="O151" s="191" t="str">
        <f>'1_BD questio brut'!M151</f>
        <v>Propriétaire occupant</v>
      </c>
      <c r="P151" s="191" t="str">
        <f>'1_BD questio brut'!N151</f>
        <v>Foyer ouvert</v>
      </c>
      <c r="Q151" s="191" t="str">
        <f>'1_BD questio brut'!O151</f>
        <v>Chauffage d'apoint</v>
      </c>
      <c r="R151" s="191" t="str">
        <f>'1_BD questio brut'!P151</f>
        <v>Moins de 15 fois par an</v>
      </c>
      <c r="S151" s="191" t="str">
        <f>'1_BD questio brut'!Q151</f>
        <v>6</v>
      </c>
      <c r="T151" s="191" t="str">
        <f>'1_BD questio brut'!R151</f>
        <v>Avant 1990</v>
      </c>
      <c r="U151" s="191" t="str">
        <f>'1_BD questio brut'!S151</f>
        <v>Bois bûche</v>
      </c>
      <c r="V151" s="191" t="str">
        <f>'1_BD questio brut'!T151</f>
        <v/>
      </c>
      <c r="W151" s="191" t="str">
        <f>'1_BD questio brut'!U151</f>
        <v/>
      </c>
      <c r="X151" s="191" t="str">
        <f>'1_BD questio brut'!V151</f>
        <v/>
      </c>
      <c r="Y151" s="191" t="str">
        <f>'1_BD questio brut'!W151</f>
        <v>1</v>
      </c>
      <c r="Z151" s="191" t="str">
        <f>'1_BD questio brut'!X151</f>
        <v/>
      </c>
      <c r="AA151" s="191" t="str">
        <f t="array" ref="AA151">INDEX('Données 1_BD questio'!C:C,MATCH('1_BD questio brut'!$Y$1&amp;'1_BD questio brut'!Y151,'Données 1_BD questio'!A:A&amp;'Données 1_BD questio'!B:B,0))</f>
        <v>Ne sait pas</v>
      </c>
      <c r="AB151" s="191" t="str">
        <f>'1_BD questio brut'!Z151</f>
        <v>2</v>
      </c>
      <c r="AC151" s="191" t="str">
        <f>'1_BD questio brut'!AA151</f>
        <v>1 à 2 ans</v>
      </c>
      <c r="AD151" s="191" t="str">
        <f>'1_BD questio brut'!AB151</f>
        <v>Les deux</v>
      </c>
      <c r="AE151" s="191" t="str">
        <f t="array" ref="AE151">INDEX('Données 1_BD questio'!C:C,MATCH('1_BD questio brut'!$AC$1&amp;'1_BD questio brut'!AC151,'Données 1_BD questio'!A:A&amp;'Données 1_BD questio'!B:B,0))</f>
        <v>un professionnel</v>
      </c>
      <c r="AF151" s="191" t="str">
        <f>'1_BD questio brut'!AD151</f>
        <v>1 fois par an</v>
      </c>
      <c r="AG151" s="191" t="str">
        <f>'1_BD questio brut'!AE151</f>
        <v/>
      </c>
      <c r="AH151" s="191" t="str">
        <f>'1_BD questio brut'!AF151</f>
        <v>Poêle</v>
      </c>
      <c r="AI151" s="191" t="str">
        <f>'1_BD questio brut'!AG151</f>
        <v>2</v>
      </c>
      <c r="AJ151" s="191" t="str">
        <f>'1_BD questio brut'!AH151</f>
        <v/>
      </c>
      <c r="AK151" s="191" t="str">
        <f>'1_BD questio brut'!AI151</f>
        <v>Chauffage d'appoint</v>
      </c>
      <c r="AL151" s="191" t="str">
        <f>'1_BD questio brut'!AJ151</f>
        <v>Pas de réponse</v>
      </c>
      <c r="AM151" s="191" t="str">
        <f>'1_BD questio brut'!AK151</f>
        <v>2; 3; 5</v>
      </c>
      <c r="AN151" s="191" t="str">
        <f>'1_BD questio brut'!AL151</f>
        <v/>
      </c>
      <c r="AO151" s="191" t="str">
        <f>'1_BD questio brut'!AM151</f>
        <v>11</v>
      </c>
      <c r="AP151" s="191" t="str">
        <f>'1_BD questio brut'!AN151</f>
        <v/>
      </c>
      <c r="AQ151" s="191" t="str">
        <f>'1_BD questio brut'!AO151</f>
        <v/>
      </c>
    </row>
    <row r="152" spans="1:43" ht="43.5" hidden="1">
      <c r="A152" s="98">
        <f>INDEX('3_BD instruction total'!A:A,MATCH(C152,'3_BD instruction total'!F:F,0))</f>
        <v>2021</v>
      </c>
      <c r="B152" s="98" t="str">
        <f>INDEX('3_BD instruction total'!C:C,MATCH(C152,'3_BD instruction total'!F:F,0))</f>
        <v>non</v>
      </c>
      <c r="C152" s="191" t="str">
        <f>'1_BD questio brut'!A152</f>
        <v>VRB0158</v>
      </c>
      <c r="D152" s="191" t="str">
        <f t="array" ref="D152">INDEX('Données 1_BD questio'!C:C,MATCH('1_BD questio brut'!$B$1&amp;'1_BD questio brut'!B152,'Données 1_BD questio'!A:A&amp;'Données 1_BD questio'!B:B,0))</f>
        <v>CAPV</v>
      </c>
      <c r="E152" s="191" t="str">
        <f t="array" ref="E152">INDEX('Données 1_BD questio'!C:C,MATCH('1_BD questio brut'!$C$1&amp;'1_BD questio brut'!C152,'Données 1_BD questio'!A:A&amp;'Données 1_BD questio'!B:B,0))</f>
        <v>Retraité</v>
      </c>
      <c r="F152" s="191" t="str">
        <f t="array" ref="F152">INDEX('Données 1_BD questio'!C:C,MATCH('1_BD questio brut'!$D$1&amp;'1_BD questio brut'!D152,'Données 1_BD questio'!A:A&amp;'Données 1_BD questio'!B:B,0))</f>
        <v>Employé</v>
      </c>
      <c r="G152" s="191" t="str">
        <f>'1_BD questio brut'!E152</f>
        <v>50 à 64 ans</v>
      </c>
      <c r="H152" s="191">
        <f>'1_BD questio brut'!F152</f>
        <v>3</v>
      </c>
      <c r="I152" s="191" t="str">
        <f>'1_BD questio brut'!G152</f>
        <v>Pas de réponse</v>
      </c>
      <c r="J152" s="191" t="str">
        <f t="array" ref="J152">INDEX('Données 1_BD questio'!C:C,MATCH('1_BD questio brut'!$H$1&amp;'1_BD questio brut'!H152,'Données 1_BD questio'!A:A&amp;'Données 1_BD questio'!B:B,0))</f>
        <v>Maison avec jardin</v>
      </c>
      <c r="K152" s="191">
        <f>'1_BD questio brut'!I152</f>
        <v>140</v>
      </c>
      <c r="L152" s="191" t="str">
        <f>'1_BD questio brut'!J152</f>
        <v>1975-1990</v>
      </c>
      <c r="M152" s="191" t="str">
        <f>'1_BD questio brut'!K152</f>
        <v>4</v>
      </c>
      <c r="N152" s="191" t="str">
        <f>'1_BD questio brut'!L152</f>
        <v>Pas de réponse</v>
      </c>
      <c r="O152" s="191" t="str">
        <f>'1_BD questio brut'!M152</f>
        <v>Propriétaire occupant</v>
      </c>
      <c r="P152" s="191" t="str">
        <f>'1_BD questio brut'!N152</f>
        <v>Insert / foyer fermé</v>
      </c>
      <c r="Q152" s="191" t="str">
        <f>'1_BD questio brut'!O152</f>
        <v>Chauffage d'apoint</v>
      </c>
      <c r="R152" s="191" t="str">
        <f>'1_BD questio brut'!P152</f>
        <v>3 à 4 jours/semaine</v>
      </c>
      <c r="S152" s="191" t="str">
        <f>'1_BD questio brut'!Q152</f>
        <v>1; 2</v>
      </c>
      <c r="T152" s="191" t="str">
        <f>'1_BD questio brut'!R152</f>
        <v>Avant 1990</v>
      </c>
      <c r="U152" s="191" t="str">
        <f>'1_BD questio brut'!S152</f>
        <v>Bois bûche</v>
      </c>
      <c r="V152" s="191" t="str">
        <f>'1_BD questio brut'!T152</f>
        <v/>
      </c>
      <c r="W152" s="191" t="str">
        <f>'1_BD questio brut'!U152</f>
        <v>6</v>
      </c>
      <c r="X152" s="191" t="str">
        <f>'1_BD questio brut'!V152</f>
        <v>stères</v>
      </c>
      <c r="Y152" s="191" t="str">
        <f>'1_BD questio brut'!W152</f>
        <v>2</v>
      </c>
      <c r="Z152" s="191" t="str">
        <f>'1_BD questio brut'!X152</f>
        <v/>
      </c>
      <c r="AA152" s="191" t="str">
        <f t="array" ref="AA152">INDEX('Données 1_BD questio'!C:C,MATCH('1_BD questio brut'!$Y$1&amp;'1_BD questio brut'!Y152,'Données 1_BD questio'!A:A&amp;'Données 1_BD questio'!B:B,0))</f>
        <v>Rhône-Alpes hors RA2B</v>
      </c>
      <c r="AB152" s="191" t="str">
        <f>'1_BD questio brut'!Z152</f>
        <v>2</v>
      </c>
      <c r="AC152" s="191" t="str">
        <f>'1_BD questio brut'!AA152</f>
        <v>1 à 2 ans</v>
      </c>
      <c r="AD152" s="191" t="str">
        <f>'1_BD questio brut'!AB152</f>
        <v>Les deux</v>
      </c>
      <c r="AE152" s="191" t="str">
        <f t="array" ref="AE152">INDEX('Données 1_BD questio'!C:C,MATCH('1_BD questio brut'!$AC$1&amp;'1_BD questio brut'!AC152,'Données 1_BD questio'!A:A&amp;'Données 1_BD questio'!B:B,0))</f>
        <v>vous-même</v>
      </c>
      <c r="AF152" s="191" t="str">
        <f>'1_BD questio brut'!AD152</f>
        <v>1 fois par an</v>
      </c>
      <c r="AG152" s="191" t="str">
        <f>'1_BD questio brut'!AE152</f>
        <v/>
      </c>
      <c r="AH152" s="191" t="str">
        <f>'1_BD questio brut'!AF152</f>
        <v>Poêle</v>
      </c>
      <c r="AI152" s="191" t="str">
        <f>'1_BD questio brut'!AG152</f>
        <v>2</v>
      </c>
      <c r="AJ152" s="191" t="str">
        <f>'1_BD questio brut'!AH152</f>
        <v/>
      </c>
      <c r="AK152" s="191" t="str">
        <f>'1_BD questio brut'!AI152</f>
        <v>Chauffage de base</v>
      </c>
      <c r="AL152" s="191" t="str">
        <f>'1_BD questio brut'!AJ152</f>
        <v>Pas de réponse</v>
      </c>
      <c r="AM152" s="191" t="str">
        <f>'1_BD questio brut'!AK152</f>
        <v>2; 4</v>
      </c>
      <c r="AN152" s="191" t="str">
        <f>'1_BD questio brut'!AL152</f>
        <v/>
      </c>
      <c r="AO152" s="191" t="str">
        <f>'1_BD questio brut'!AM152</f>
        <v>5</v>
      </c>
      <c r="AP152" s="191" t="str">
        <f>'1_BD questio brut'!AN152</f>
        <v/>
      </c>
      <c r="AQ152" s="191" t="str">
        <f>'1_BD questio brut'!AO152</f>
        <v/>
      </c>
    </row>
    <row r="153" spans="1:43" ht="43.5" hidden="1">
      <c r="A153" s="98">
        <f>INDEX('3_BD instruction total'!A:A,MATCH(C153,'3_BD instruction total'!F:F,0))</f>
        <v>2021</v>
      </c>
      <c r="B153" s="98" t="str">
        <f>INDEX('3_BD instruction total'!C:C,MATCH(C153,'3_BD instruction total'!F:F,0))</f>
        <v>non</v>
      </c>
      <c r="C153" s="191" t="str">
        <f>'1_BD questio brut'!A153</f>
        <v>VRB0159</v>
      </c>
      <c r="D153" s="191" t="str">
        <f t="array" ref="D153">INDEX('Données 1_BD questio'!C:C,MATCH('1_BD questio brut'!$B$1&amp;'1_BD questio brut'!B153,'Données 1_BD questio'!A:A&amp;'Données 1_BD questio'!B:B,0))</f>
        <v>CAPV</v>
      </c>
      <c r="E153" s="191" t="str">
        <f t="array" ref="E153">INDEX('Données 1_BD questio'!C:C,MATCH('1_BD questio brut'!$C$1&amp;'1_BD questio brut'!C153,'Données 1_BD questio'!A:A&amp;'Données 1_BD questio'!B:B,0))</f>
        <v>Cadre</v>
      </c>
      <c r="F153" s="191" t="str">
        <f t="array" ref="F153">INDEX('Données 1_BD questio'!C:C,MATCH('1_BD questio brut'!$D$1&amp;'1_BD questio brut'!D153,'Données 1_BD questio'!A:A&amp;'Données 1_BD questio'!B:B,0))</f>
        <v>Pas de réponse</v>
      </c>
      <c r="G153" s="191" t="str">
        <f>'1_BD questio brut'!E153</f>
        <v>50 à 64 ans</v>
      </c>
      <c r="H153" s="191">
        <f>'1_BD questio brut'!F153</f>
        <v>2</v>
      </c>
      <c r="I153" s="191" t="str">
        <f>'1_BD questio brut'!G153</f>
        <v>Pas de réponse</v>
      </c>
      <c r="J153" s="191" t="str">
        <f t="array" ref="J153">INDEX('Données 1_BD questio'!C:C,MATCH('1_BD questio brut'!$H$1&amp;'1_BD questio brut'!H153,'Données 1_BD questio'!A:A&amp;'Données 1_BD questio'!B:B,0))</f>
        <v>Maison avec jardin</v>
      </c>
      <c r="K153" s="191">
        <f>'1_BD questio brut'!I153</f>
        <v>150</v>
      </c>
      <c r="L153" s="191" t="str">
        <f>'1_BD questio brut'!J153</f>
        <v>1975-1990</v>
      </c>
      <c r="M153" s="191" t="str">
        <f>'1_BD questio brut'!K153</f>
        <v>1</v>
      </c>
      <c r="N153" s="191" t="str">
        <f>'1_BD questio brut'!L153</f>
        <v>Pas de réponse</v>
      </c>
      <c r="O153" s="191" t="str">
        <f>'1_BD questio brut'!M153</f>
        <v>Propriétaire occupant</v>
      </c>
      <c r="P153" s="191" t="str">
        <f>'1_BD questio brut'!N153</f>
        <v>Foyer ouvert</v>
      </c>
      <c r="Q153" s="191" t="str">
        <f>'1_BD questio brut'!O153</f>
        <v>Chauffage d'apoint</v>
      </c>
      <c r="R153" s="191" t="str">
        <f>'1_BD questio brut'!P153</f>
        <v>Tous les jours</v>
      </c>
      <c r="S153" s="191" t="str">
        <f>'1_BD questio brut'!Q153</f>
        <v>2; 3</v>
      </c>
      <c r="T153" s="191" t="str">
        <f>'1_BD questio brut'!R153</f>
        <v>Avant 1990</v>
      </c>
      <c r="U153" s="191" t="str">
        <f>'1_BD questio brut'!S153</f>
        <v>Bois bûche</v>
      </c>
      <c r="V153" s="191" t="str">
        <f>'1_BD questio brut'!T153</f>
        <v/>
      </c>
      <c r="W153" s="191" t="str">
        <f>'1_BD questio brut'!U153</f>
        <v>2</v>
      </c>
      <c r="X153" s="191" t="str">
        <f>'1_BD questio brut'!V153</f>
        <v>stères</v>
      </c>
      <c r="Y153" s="191" t="str">
        <f>'1_BD questio brut'!W153</f>
        <v>2</v>
      </c>
      <c r="Z153" s="191" t="str">
        <f>'1_BD questio brut'!X153</f>
        <v/>
      </c>
      <c r="AA153" s="191" t="str">
        <f t="array" ref="AA153">INDEX('Données 1_BD questio'!C:C,MATCH('1_BD questio brut'!$Y$1&amp;'1_BD questio brut'!Y153,'Données 1_BD questio'!A:A&amp;'Données 1_BD questio'!B:B,0))</f>
        <v>RA2B</v>
      </c>
      <c r="AB153" s="191" t="str">
        <f>'1_BD questio brut'!Z153</f>
        <v>2</v>
      </c>
      <c r="AC153" s="191" t="str">
        <f>'1_BD questio brut'!AA153</f>
        <v>&gt; 2 ans</v>
      </c>
      <c r="AD153" s="191" t="str">
        <f>'1_BD questio brut'!AB153</f>
        <v>Les deux</v>
      </c>
      <c r="AE153" s="191" t="str">
        <f t="array" ref="AE153">INDEX('Données 1_BD questio'!C:C,MATCH('1_BD questio brut'!$AC$1&amp;'1_BD questio brut'!AC153,'Données 1_BD questio'!A:A&amp;'Données 1_BD questio'!B:B,0))</f>
        <v>un professionnel</v>
      </c>
      <c r="AF153" s="191" t="str">
        <f>'1_BD questio brut'!AD153</f>
        <v>1 fois par an</v>
      </c>
      <c r="AG153" s="191" t="str">
        <f>'1_BD questio brut'!AE153</f>
        <v/>
      </c>
      <c r="AH153" s="191" t="str">
        <f>'1_BD questio brut'!AF153</f>
        <v>Poêle</v>
      </c>
      <c r="AI153" s="191" t="str">
        <f>'1_BD questio brut'!AG153</f>
        <v>1</v>
      </c>
      <c r="AJ153" s="191" t="str">
        <f>'1_BD questio brut'!AH153</f>
        <v/>
      </c>
      <c r="AK153" s="191" t="str">
        <f>'1_BD questio brut'!AI153</f>
        <v>Chauffage d'appoint</v>
      </c>
      <c r="AL153" s="191" t="str">
        <f>'1_BD questio brut'!AJ153</f>
        <v>Pas de réponse</v>
      </c>
      <c r="AM153" s="191" t="str">
        <f>'1_BD questio brut'!AK153</f>
        <v>1; 2; 5</v>
      </c>
      <c r="AN153" s="191" t="str">
        <f>'1_BD questio brut'!AL153</f>
        <v/>
      </c>
      <c r="AO153" s="191" t="str">
        <f>'1_BD questio brut'!AM153</f>
        <v>5</v>
      </c>
      <c r="AP153" s="191" t="str">
        <f>'1_BD questio brut'!AN153</f>
        <v/>
      </c>
      <c r="AQ153" s="191" t="str">
        <f>'1_BD questio brut'!AO153</f>
        <v/>
      </c>
    </row>
    <row r="154" spans="1:43" ht="43.5" hidden="1">
      <c r="A154" s="98">
        <f>INDEX('3_BD instruction total'!A:A,MATCH(C154,'3_BD instruction total'!F:F,0))</f>
        <v>2021</v>
      </c>
      <c r="B154" s="98" t="str">
        <f>INDEX('3_BD instruction total'!C:C,MATCH(C154,'3_BD instruction total'!F:F,0))</f>
        <v>non</v>
      </c>
      <c r="C154" s="191" t="str">
        <f>'1_BD questio brut'!A154</f>
        <v>VRB0160</v>
      </c>
      <c r="D154" s="191" t="str">
        <f t="array" ref="D154">INDEX('Données 1_BD questio'!C:C,MATCH('1_BD questio brut'!$B$1&amp;'1_BD questio brut'!B154,'Données 1_BD questio'!A:A&amp;'Données 1_BD questio'!B:B,0))</f>
        <v>CAPV</v>
      </c>
      <c r="E154" s="191" t="str">
        <f t="array" ref="E154">INDEX('Données 1_BD questio'!C:C,MATCH('1_BD questio brut'!$C$1&amp;'1_BD questio brut'!C154,'Données 1_BD questio'!A:A&amp;'Données 1_BD questio'!B:B,0))</f>
        <v>Retraité</v>
      </c>
      <c r="F154" s="191" t="str">
        <f t="array" ref="F154">INDEX('Données 1_BD questio'!C:C,MATCH('1_BD questio brut'!$D$1&amp;'1_BD questio brut'!D154,'Données 1_BD questio'!A:A&amp;'Données 1_BD questio'!B:B,0))</f>
        <v>Retraité</v>
      </c>
      <c r="G154" s="191" t="str">
        <f>'1_BD questio brut'!E154</f>
        <v>65 ans et plus</v>
      </c>
      <c r="H154" s="191">
        <f>'1_BD questio brut'!F154</f>
        <v>2</v>
      </c>
      <c r="I154" s="191" t="str">
        <f>'1_BD questio brut'!G154</f>
        <v>Pas de réponse</v>
      </c>
      <c r="J154" s="191" t="str">
        <f t="array" ref="J154">INDEX('Données 1_BD questio'!C:C,MATCH('1_BD questio brut'!$H$1&amp;'1_BD questio brut'!H154,'Données 1_BD questio'!A:A&amp;'Données 1_BD questio'!B:B,0))</f>
        <v>Maison avec jardin</v>
      </c>
      <c r="K154" s="191">
        <f>'1_BD questio brut'!I154</f>
        <v>400</v>
      </c>
      <c r="L154" s="191" t="str">
        <f>'1_BD questio brut'!J154</f>
        <v>Avant 1949</v>
      </c>
      <c r="M154" s="191" t="str">
        <f>'1_BD questio brut'!K154</f>
        <v>4</v>
      </c>
      <c r="N154" s="191" t="str">
        <f>'1_BD questio brut'!L154</f>
        <v>Pas de réponse</v>
      </c>
      <c r="O154" s="191" t="str">
        <f>'1_BD questio brut'!M154</f>
        <v>Propriétaire occupant</v>
      </c>
      <c r="P154" s="191" t="str">
        <f>'1_BD questio brut'!N154</f>
        <v>Foyer ouvert</v>
      </c>
      <c r="Q154" s="191" t="str">
        <f>'1_BD questio brut'!O154</f>
        <v>Chauffage d'apoint</v>
      </c>
      <c r="R154" s="191" t="str">
        <f>'1_BD questio brut'!P154</f>
        <v>3 à 4 jours/semaine</v>
      </c>
      <c r="S154" s="191" t="str">
        <f>'1_BD questio brut'!Q154</f>
        <v>4; 5; 6</v>
      </c>
      <c r="T154" s="191" t="str">
        <f>'1_BD questio brut'!R154</f>
        <v>Avant 1990</v>
      </c>
      <c r="U154" s="191" t="str">
        <f>'1_BD questio brut'!S154</f>
        <v>Bois bûche</v>
      </c>
      <c r="V154" s="191" t="str">
        <f>'1_BD questio brut'!T154</f>
        <v/>
      </c>
      <c r="W154" s="191" t="str">
        <f>'1_BD questio brut'!U154</f>
        <v>5</v>
      </c>
      <c r="X154" s="191" t="str">
        <f>'1_BD questio brut'!V154</f>
        <v>stères</v>
      </c>
      <c r="Y154" s="191" t="str">
        <f>'1_BD questio brut'!W154</f>
        <v>1</v>
      </c>
      <c r="Z154" s="191" t="str">
        <f>'1_BD questio brut'!X154</f>
        <v/>
      </c>
      <c r="AA154" s="191" t="str">
        <f t="array" ref="AA154">INDEX('Données 1_BD questio'!C:C,MATCH('1_BD questio brut'!$Y$1&amp;'1_BD questio brut'!Y154,'Données 1_BD questio'!A:A&amp;'Données 1_BD questio'!B:B,0))</f>
        <v>Pas de réponse</v>
      </c>
      <c r="AB154" s="191" t="str">
        <f>'1_BD questio brut'!Z154</f>
        <v>2</v>
      </c>
      <c r="AC154" s="191" t="str">
        <f>'1_BD questio brut'!AA154</f>
        <v>1 à 2 ans</v>
      </c>
      <c r="AD154" s="191" t="str">
        <f>'1_BD questio brut'!AB154</f>
        <v>Les deux</v>
      </c>
      <c r="AE154" s="191" t="str">
        <f t="array" ref="AE154">INDEX('Données 1_BD questio'!C:C,MATCH('1_BD questio brut'!$AC$1&amp;'1_BD questio brut'!AC154,'Données 1_BD questio'!A:A&amp;'Données 1_BD questio'!B:B,0))</f>
        <v>un professionnel</v>
      </c>
      <c r="AF154" s="191" t="str">
        <f>'1_BD questio brut'!AD154</f>
        <v>1 fois tous les 2 ans</v>
      </c>
      <c r="AG154" s="191" t="str">
        <f>'1_BD questio brut'!AE154</f>
        <v/>
      </c>
      <c r="AH154" s="191" t="str">
        <f>'1_BD questio brut'!AF154</f>
        <v>Poêle</v>
      </c>
      <c r="AI154" s="191" t="str">
        <f>'1_BD questio brut'!AG154</f>
        <v>1</v>
      </c>
      <c r="AJ154" s="191" t="str">
        <f>'1_BD questio brut'!AH154</f>
        <v/>
      </c>
      <c r="AK154" s="191" t="str">
        <f>'1_BD questio brut'!AI154</f>
        <v>Chauffage d'appoint</v>
      </c>
      <c r="AL154" s="191" t="str">
        <f>'1_BD questio brut'!AJ154</f>
        <v>Pas de réponse</v>
      </c>
      <c r="AM154" s="191" t="str">
        <f>'1_BD questio brut'!AK154</f>
        <v>1; 2; 4; 5</v>
      </c>
      <c r="AN154" s="191" t="str">
        <f>'1_BD questio brut'!AL154</f>
        <v/>
      </c>
      <c r="AO154" s="191" t="str">
        <f>'1_BD questio brut'!AM154</f>
        <v>1; 7</v>
      </c>
      <c r="AP154" s="191" t="str">
        <f>'1_BD questio brut'!AN154</f>
        <v/>
      </c>
      <c r="AQ154" s="191" t="str">
        <f>'1_BD questio brut'!AO154</f>
        <v/>
      </c>
    </row>
    <row r="155" spans="1:43" ht="43.5" hidden="1">
      <c r="A155" s="98">
        <f>INDEX('3_BD instruction total'!A:A,MATCH(C155,'3_BD instruction total'!F:F,0))</f>
        <v>2021</v>
      </c>
      <c r="B155" s="98" t="str">
        <f>INDEX('3_BD instruction total'!C:C,MATCH(C155,'3_BD instruction total'!F:F,0))</f>
        <v>non</v>
      </c>
      <c r="C155" s="191" t="str">
        <f>'1_BD questio brut'!A155</f>
        <v>VRB0161</v>
      </c>
      <c r="D155" s="191" t="str">
        <f t="array" ref="D155">INDEX('Données 1_BD questio'!C:C,MATCH('1_BD questio brut'!$B$1&amp;'1_BD questio brut'!B155,'Données 1_BD questio'!A:A&amp;'Données 1_BD questio'!B:B,0))</f>
        <v>CAPV</v>
      </c>
      <c r="E155" s="191" t="str">
        <f t="array" ref="E155">INDEX('Données 1_BD questio'!C:C,MATCH('1_BD questio brut'!$C$1&amp;'1_BD questio brut'!C155,'Données 1_BD questio'!A:A&amp;'Données 1_BD questio'!B:B,0))</f>
        <v>Retraité</v>
      </c>
      <c r="F155" s="191" t="str">
        <f t="array" ref="F155">INDEX('Données 1_BD questio'!C:C,MATCH('1_BD questio brut'!$D$1&amp;'1_BD questio brut'!D155,'Données 1_BD questio'!A:A&amp;'Données 1_BD questio'!B:B,0))</f>
        <v>Retraité</v>
      </c>
      <c r="G155" s="191" t="str">
        <f>'1_BD questio brut'!E155</f>
        <v>65 ans et plus</v>
      </c>
      <c r="H155" s="191">
        <f>'1_BD questio brut'!F155</f>
        <v>3</v>
      </c>
      <c r="I155" s="191" t="str">
        <f>'1_BD questio brut'!G155</f>
        <v>Pas de réponse</v>
      </c>
      <c r="J155" s="191" t="str">
        <f t="array" ref="J155">INDEX('Données 1_BD questio'!C:C,MATCH('1_BD questio brut'!$H$1&amp;'1_BD questio brut'!H155,'Données 1_BD questio'!A:A&amp;'Données 1_BD questio'!B:B,0))</f>
        <v>Maison avec jardin</v>
      </c>
      <c r="K155" s="191">
        <f>'1_BD questio brut'!I155</f>
        <v>110</v>
      </c>
      <c r="L155" s="191" t="str">
        <f>'1_BD questio brut'!J155</f>
        <v>1990-2005</v>
      </c>
      <c r="M155" s="191" t="str">
        <f>'1_BD questio brut'!K155</f>
        <v>6</v>
      </c>
      <c r="N155" s="191" t="str">
        <f>'1_BD questio brut'!L155</f>
        <v>Pas de réponse</v>
      </c>
      <c r="O155" s="191" t="str">
        <f>'1_BD questio brut'!M155</f>
        <v>Propriétaire occupant</v>
      </c>
      <c r="P155" s="191" t="str">
        <f>'1_BD questio brut'!N155</f>
        <v>Insert / foyer fermé</v>
      </c>
      <c r="Q155" s="191" t="str">
        <f>'1_BD questio brut'!O155</f>
        <v>Chauffage d'apoint</v>
      </c>
      <c r="R155" s="191" t="str">
        <f>'1_BD questio brut'!P155</f>
        <v>Tous les jours</v>
      </c>
      <c r="S155" s="191" t="str">
        <f>'1_BD questio brut'!Q155</f>
        <v>4</v>
      </c>
      <c r="T155" s="191" t="str">
        <f>'1_BD questio brut'!R155</f>
        <v>1990-1995</v>
      </c>
      <c r="U155" s="191" t="str">
        <f>'1_BD questio brut'!S155</f>
        <v>Bois bûche</v>
      </c>
      <c r="V155" s="191" t="str">
        <f>'1_BD questio brut'!T155</f>
        <v/>
      </c>
      <c r="W155" s="191" t="str">
        <f>'1_BD questio brut'!U155</f>
        <v>8</v>
      </c>
      <c r="X155" s="191" t="str">
        <f>'1_BD questio brut'!V155</f>
        <v>stères</v>
      </c>
      <c r="Y155" s="191" t="str">
        <f>'1_BD questio brut'!W155</f>
        <v>2</v>
      </c>
      <c r="Z155" s="191" t="str">
        <f>'1_BD questio brut'!X155</f>
        <v/>
      </c>
      <c r="AA155" s="191" t="str">
        <f t="array" ref="AA155">INDEX('Données 1_BD questio'!C:C,MATCH('1_BD questio brut'!$Y$1&amp;'1_BD questio brut'!Y155,'Données 1_BD questio'!A:A&amp;'Données 1_BD questio'!B:B,0))</f>
        <v>Ne sait pas</v>
      </c>
      <c r="AB155" s="191" t="str">
        <f>'1_BD questio brut'!Z155</f>
        <v>2</v>
      </c>
      <c r="AC155" s="191" t="str">
        <f>'1_BD questio brut'!AA155</f>
        <v>&gt; 2 ans</v>
      </c>
      <c r="AD155" s="191" t="str">
        <f>'1_BD questio brut'!AB155</f>
        <v>Feuillus</v>
      </c>
      <c r="AE155" s="191" t="str">
        <f t="array" ref="AE155">INDEX('Données 1_BD questio'!C:C,MATCH('1_BD questio brut'!$AC$1&amp;'1_BD questio brut'!AC155,'Données 1_BD questio'!A:A&amp;'Données 1_BD questio'!B:B,0))</f>
        <v>un professionnel</v>
      </c>
      <c r="AF155" s="191" t="str">
        <f>'1_BD questio brut'!AD155</f>
        <v>1 fois par an</v>
      </c>
      <c r="AG155" s="191" t="str">
        <f>'1_BD questio brut'!AE155</f>
        <v/>
      </c>
      <c r="AH155" s="191" t="str">
        <f>'1_BD questio brut'!AF155</f>
        <v>Insert cheminée</v>
      </c>
      <c r="AI155" s="191" t="str">
        <f>'1_BD questio brut'!AG155</f>
        <v>1</v>
      </c>
      <c r="AJ155" s="191" t="str">
        <f>'1_BD questio brut'!AH155</f>
        <v/>
      </c>
      <c r="AK155" s="191" t="str">
        <f>'1_BD questio brut'!AI155</f>
        <v>Chauffage d'appoint</v>
      </c>
      <c r="AL155" s="191" t="str">
        <f>'1_BD questio brut'!AJ155</f>
        <v>Pas de réponse</v>
      </c>
      <c r="AM155" s="191" t="str">
        <f>'1_BD questio brut'!AK155</f>
        <v>1; 2; 4</v>
      </c>
      <c r="AN155" s="191" t="str">
        <f>'1_BD questio brut'!AL155</f>
        <v/>
      </c>
      <c r="AO155" s="191" t="str">
        <f>'1_BD questio brut'!AM155</f>
        <v>5</v>
      </c>
      <c r="AP155" s="191" t="str">
        <f>'1_BD questio brut'!AN155</f>
        <v/>
      </c>
      <c r="AQ155" s="191" t="str">
        <f>'1_BD questio brut'!AO155</f>
        <v/>
      </c>
    </row>
    <row r="156" spans="1:43" ht="43.5" hidden="1">
      <c r="A156" s="98">
        <f>INDEX('3_BD instruction total'!A:A,MATCH(C156,'3_BD instruction total'!F:F,0))</f>
        <v>2021</v>
      </c>
      <c r="B156" s="98" t="str">
        <f>INDEX('3_BD instruction total'!C:C,MATCH(C156,'3_BD instruction total'!F:F,0))</f>
        <v>non</v>
      </c>
      <c r="C156" s="191" t="str">
        <f>'1_BD questio brut'!A156</f>
        <v>VRB0162</v>
      </c>
      <c r="D156" s="191" t="str">
        <f t="array" ref="D156">INDEX('Données 1_BD questio'!C:C,MATCH('1_BD questio brut'!$B$1&amp;'1_BD questio brut'!B156,'Données 1_BD questio'!A:A&amp;'Données 1_BD questio'!B:B,0))</f>
        <v>CAPV</v>
      </c>
      <c r="E156" s="191" t="str">
        <f t="array" ref="E156">INDEX('Données 1_BD questio'!C:C,MATCH('1_BD questio brut'!$C$1&amp;'1_BD questio brut'!C156,'Données 1_BD questio'!A:A&amp;'Données 1_BD questio'!B:B,0))</f>
        <v>Retraité</v>
      </c>
      <c r="F156" s="191" t="str">
        <f t="array" ref="F156">INDEX('Données 1_BD questio'!C:C,MATCH('1_BD questio brut'!$D$1&amp;'1_BD questio brut'!D156,'Données 1_BD questio'!A:A&amp;'Données 1_BD questio'!B:B,0))</f>
        <v>Retraité</v>
      </c>
      <c r="G156" s="191" t="str">
        <f>'1_BD questio brut'!E156</f>
        <v>50 à 64 ans</v>
      </c>
      <c r="H156" s="191">
        <f>'1_BD questio brut'!F156</f>
        <v>2</v>
      </c>
      <c r="I156" s="191" t="str">
        <f>'1_BD questio brut'!G156</f>
        <v>Pas de réponse</v>
      </c>
      <c r="J156" s="191" t="str">
        <f t="array" ref="J156">INDEX('Données 1_BD questio'!C:C,MATCH('1_BD questio brut'!$H$1&amp;'1_BD questio brut'!H156,'Données 1_BD questio'!A:A&amp;'Données 1_BD questio'!B:B,0))</f>
        <v>Maison avec jardin</v>
      </c>
      <c r="K156" s="191">
        <f>'1_BD questio brut'!I156</f>
        <v>100</v>
      </c>
      <c r="L156" s="191" t="str">
        <f>'1_BD questio brut'!J156</f>
        <v>Avant 1949</v>
      </c>
      <c r="M156" s="191" t="str">
        <f>'1_BD questio brut'!K156</f>
        <v>6</v>
      </c>
      <c r="N156" s="191" t="str">
        <f>'1_BD questio brut'!L156</f>
        <v>Pas de réponse</v>
      </c>
      <c r="O156" s="191" t="str">
        <f>'1_BD questio brut'!M156</f>
        <v>Propriétaire occupant</v>
      </c>
      <c r="P156" s="191" t="str">
        <f>'1_BD questio brut'!N156</f>
        <v>Poêle</v>
      </c>
      <c r="Q156" s="191" t="str">
        <f>'1_BD questio brut'!O156</f>
        <v>Chauffage de base</v>
      </c>
      <c r="R156" s="191" t="str">
        <f>'1_BD questio brut'!P156</f>
        <v>Tous les jours</v>
      </c>
      <c r="S156" s="191" t="str">
        <f>'1_BD questio brut'!Q156</f>
        <v>4; 5</v>
      </c>
      <c r="T156" s="191" t="str">
        <f>'1_BD questio brut'!R156</f>
        <v>Pas de réponse</v>
      </c>
      <c r="U156" s="191" t="str">
        <f>'1_BD questio brut'!S156</f>
        <v>Bois bûche</v>
      </c>
      <c r="V156" s="191" t="str">
        <f>'1_BD questio brut'!T156</f>
        <v/>
      </c>
      <c r="W156" s="191" t="str">
        <f>'1_BD questio brut'!U156</f>
        <v>20</v>
      </c>
      <c r="X156" s="191" t="str">
        <f>'1_BD questio brut'!V156</f>
        <v>stères</v>
      </c>
      <c r="Y156" s="191" t="str">
        <f>'1_BD questio brut'!W156</f>
        <v>2</v>
      </c>
      <c r="Z156" s="191" t="str">
        <f>'1_BD questio brut'!X156</f>
        <v/>
      </c>
      <c r="AA156" s="191" t="str">
        <f t="array" ref="AA156">INDEX('Données 1_BD questio'!C:C,MATCH('1_BD questio brut'!$Y$1&amp;'1_BD questio brut'!Y156,'Données 1_BD questio'!A:A&amp;'Données 1_BD questio'!B:B,0))</f>
        <v>Ne sait pas</v>
      </c>
      <c r="AB156" s="191" t="str">
        <f>'1_BD questio brut'!Z156</f>
        <v>2</v>
      </c>
      <c r="AC156" s="191" t="str">
        <f>'1_BD questio brut'!AA156</f>
        <v>1 à 2 ans</v>
      </c>
      <c r="AD156" s="191" t="str">
        <f>'1_BD questio brut'!AB156</f>
        <v>Feuillus</v>
      </c>
      <c r="AE156" s="191" t="str">
        <f t="array" ref="AE156">INDEX('Données 1_BD questio'!C:C,MATCH('1_BD questio brut'!$AC$1&amp;'1_BD questio brut'!AC156,'Données 1_BD questio'!A:A&amp;'Données 1_BD questio'!B:B,0))</f>
        <v>un professionnel</v>
      </c>
      <c r="AF156" s="191" t="str">
        <f>'1_BD questio brut'!AD156</f>
        <v>1 fois par an</v>
      </c>
      <c r="AG156" s="191" t="str">
        <f>'1_BD questio brut'!AE156</f>
        <v/>
      </c>
      <c r="AH156" s="191" t="str">
        <f>'1_BD questio brut'!AF156</f>
        <v>Poêle</v>
      </c>
      <c r="AI156" s="191" t="str">
        <f>'1_BD questio brut'!AG156</f>
        <v>1</v>
      </c>
      <c r="AJ156" s="191" t="str">
        <f>'1_BD questio brut'!AH156</f>
        <v/>
      </c>
      <c r="AK156" s="191" t="str">
        <f>'1_BD questio brut'!AI156</f>
        <v>Chauffage de base</v>
      </c>
      <c r="AL156" s="191" t="str">
        <f>'1_BD questio brut'!AJ156</f>
        <v>Pas de réponse</v>
      </c>
      <c r="AM156" s="191" t="str">
        <f>'1_BD questio brut'!AK156</f>
        <v>1; 2; 4; 5</v>
      </c>
      <c r="AN156" s="191" t="str">
        <f>'1_BD questio brut'!AL156</f>
        <v/>
      </c>
      <c r="AO156" s="191" t="str">
        <f>'1_BD questio brut'!AM156</f>
        <v>5</v>
      </c>
      <c r="AP156" s="191" t="str">
        <f>'1_BD questio brut'!AN156</f>
        <v/>
      </c>
      <c r="AQ156" s="191" t="str">
        <f>'1_BD questio brut'!AO156</f>
        <v/>
      </c>
    </row>
    <row r="157" spans="1:43" ht="29" hidden="1">
      <c r="A157" s="98" t="e">
        <f>INDEX('3_BD instruction total'!A:A,MATCH(C157,'3_BD instruction total'!F:F,0))</f>
        <v>#VALUE!</v>
      </c>
      <c r="B157" s="98" t="str">
        <f>INDEX('3_BD instruction total'!C:C,MATCH(C157,'3_BD instruction total'!F:F,0))</f>
        <v>oui</v>
      </c>
      <c r="C157" s="191" t="str">
        <f>'1_BD questio brut'!A157</f>
        <v>VRB0163</v>
      </c>
      <c r="D157" s="191" t="str">
        <f t="array" ref="D157">INDEX('Données 1_BD questio'!C:C,MATCH('1_BD questio brut'!$B$1&amp;'1_BD questio brut'!B157,'Données 1_BD questio'!A:A&amp;'Données 1_BD questio'!B:B,0))</f>
        <v>CAPV</v>
      </c>
      <c r="E157" s="191" t="str">
        <f t="array" ref="E157">INDEX('Données 1_BD questio'!C:C,MATCH('1_BD questio brut'!$C$1&amp;'1_BD questio brut'!C157,'Données 1_BD questio'!A:A&amp;'Données 1_BD questio'!B:B,0))</f>
        <v>Retraité</v>
      </c>
      <c r="F157" s="191" t="str">
        <f t="array" ref="F157">INDEX('Données 1_BD questio'!C:C,MATCH('1_BD questio brut'!$D$1&amp;'1_BD questio brut'!D157,'Données 1_BD questio'!A:A&amp;'Données 1_BD questio'!B:B,0))</f>
        <v>Retraité</v>
      </c>
      <c r="G157" s="191" t="str">
        <f>'1_BD questio brut'!E157</f>
        <v>50 à 64 ans</v>
      </c>
      <c r="H157" s="191">
        <f>'1_BD questio brut'!F157</f>
        <v>2</v>
      </c>
      <c r="I157" s="191" t="str">
        <f>'1_BD questio brut'!G157</f>
        <v>Pas de réponse</v>
      </c>
      <c r="J157" s="191" t="str">
        <f t="array" ref="J157">INDEX('Données 1_BD questio'!C:C,MATCH('1_BD questio brut'!$H$1&amp;'1_BD questio brut'!H157,'Données 1_BD questio'!A:A&amp;'Données 1_BD questio'!B:B,0))</f>
        <v>Maison avec jardin</v>
      </c>
      <c r="K157" s="191">
        <f>'1_BD questio brut'!I157</f>
        <v>100</v>
      </c>
      <c r="L157" s="191" t="str">
        <f>'1_BD questio brut'!J157</f>
        <v>Après 2005</v>
      </c>
      <c r="M157" s="191" t="str">
        <f>'1_BD questio brut'!K157</f>
        <v>6</v>
      </c>
      <c r="N157" s="191" t="str">
        <f>'1_BD questio brut'!L157</f>
        <v>Pas de réponse</v>
      </c>
      <c r="O157" s="191" t="str">
        <f>'1_BD questio brut'!M157</f>
        <v>Propriétaire occupant</v>
      </c>
      <c r="P157" s="191" t="str">
        <f>'1_BD questio brut'!N157</f>
        <v>Insert / foyer fermé</v>
      </c>
      <c r="Q157" s="191" t="str">
        <f>'1_BD questio brut'!O157</f>
        <v>Chauffage de base</v>
      </c>
      <c r="R157" s="191" t="str">
        <f>'1_BD questio brut'!P157</f>
        <v>Tous les jours</v>
      </c>
      <c r="S157" s="191" t="str">
        <f>'1_BD questio brut'!Q157</f>
        <v>4; 5; 6</v>
      </c>
      <c r="T157" s="191" t="str">
        <f>'1_BD questio brut'!R157</f>
        <v>Après 2002</v>
      </c>
      <c r="U157" s="191" t="str">
        <f>'1_BD questio brut'!S157</f>
        <v>Bois bûche</v>
      </c>
      <c r="V157" s="191" t="str">
        <f>'1_BD questio brut'!T157</f>
        <v/>
      </c>
      <c r="W157" s="191" t="str">
        <f>'1_BD questio brut'!U157</f>
        <v>10</v>
      </c>
      <c r="X157" s="191" t="str">
        <f>'1_BD questio brut'!V157</f>
        <v>stères</v>
      </c>
      <c r="Y157" s="191" t="str">
        <f>'1_BD questio brut'!W157</f>
        <v>2</v>
      </c>
      <c r="Z157" s="191" t="str">
        <f>'1_BD questio brut'!X157</f>
        <v/>
      </c>
      <c r="AA157" s="191" t="str">
        <f t="array" ref="AA157">INDEX('Données 1_BD questio'!C:C,MATCH('1_BD questio brut'!$Y$1&amp;'1_BD questio brut'!Y157,'Données 1_BD questio'!A:A&amp;'Données 1_BD questio'!B:B,0))</f>
        <v>RA2B</v>
      </c>
      <c r="AB157" s="191" t="str">
        <f>'1_BD questio brut'!Z157</f>
        <v>2</v>
      </c>
      <c r="AC157" s="191" t="str">
        <f>'1_BD questio brut'!AA157</f>
        <v>&gt; 2 ans</v>
      </c>
      <c r="AD157" s="191" t="str">
        <f>'1_BD questio brut'!AB157</f>
        <v>Les deux</v>
      </c>
      <c r="AE157" s="191" t="str">
        <f t="array" ref="AE157">INDEX('Données 1_BD questio'!C:C,MATCH('1_BD questio brut'!$AC$1&amp;'1_BD questio brut'!AC157,'Données 1_BD questio'!A:A&amp;'Données 1_BD questio'!B:B,0))</f>
        <v>vous-même</v>
      </c>
      <c r="AF157" s="191" t="str">
        <f>'1_BD questio brut'!AD157</f>
        <v>1 fois par an</v>
      </c>
      <c r="AG157" s="191" t="str">
        <f>'1_BD questio brut'!AE157</f>
        <v/>
      </c>
      <c r="AH157" s="191" t="str">
        <f>'1_BD questio brut'!AF157</f>
        <v>Poêle</v>
      </c>
      <c r="AI157" s="191" t="str">
        <f>'1_BD questio brut'!AG157</f>
        <v>2</v>
      </c>
      <c r="AJ157" s="191" t="str">
        <f>'1_BD questio brut'!AH157</f>
        <v/>
      </c>
      <c r="AK157" s="191" t="str">
        <f>'1_BD questio brut'!AI157</f>
        <v>Chauffage de base</v>
      </c>
      <c r="AL157" s="191" t="str">
        <f>'1_BD questio brut'!AJ157</f>
        <v>Pas de réponse</v>
      </c>
      <c r="AM157" s="191" t="str">
        <f>'1_BD questio brut'!AK157</f>
        <v>2; 4; 5</v>
      </c>
      <c r="AN157" s="191" t="str">
        <f>'1_BD questio brut'!AL157</f>
        <v/>
      </c>
      <c r="AO157" s="191" t="str">
        <f>'1_BD questio brut'!AM157</f>
        <v>5</v>
      </c>
      <c r="AP157" s="191" t="str">
        <f>'1_BD questio brut'!AN157</f>
        <v/>
      </c>
      <c r="AQ157" s="191" t="str">
        <f>'1_BD questio brut'!AO157</f>
        <v/>
      </c>
    </row>
    <row r="158" spans="1:43" ht="29" hidden="1">
      <c r="A158" s="98">
        <f>INDEX('3_BD instruction total'!A:A,MATCH(C158,'3_BD instruction total'!F:F,0))</f>
        <v>2021</v>
      </c>
      <c r="B158" s="98" t="str">
        <f>INDEX('3_BD instruction total'!C:C,MATCH(C158,'3_BD instruction total'!F:F,0))</f>
        <v>non</v>
      </c>
      <c r="C158" s="191" t="str">
        <f>'1_BD questio brut'!A158</f>
        <v>VRB0164</v>
      </c>
      <c r="D158" s="191" t="str">
        <f t="array" ref="D158">INDEX('Données 1_BD questio'!C:C,MATCH('1_BD questio brut'!$B$1&amp;'1_BD questio brut'!B158,'Données 1_BD questio'!A:A&amp;'Données 1_BD questio'!B:B,0))</f>
        <v>CAPV</v>
      </c>
      <c r="E158" s="191" t="str">
        <f t="array" ref="E158">INDEX('Données 1_BD questio'!C:C,MATCH('1_BD questio brut'!$C$1&amp;'1_BD questio brut'!C158,'Données 1_BD questio'!A:A&amp;'Données 1_BD questio'!B:B,0))</f>
        <v>Retraité</v>
      </c>
      <c r="F158" s="191" t="str">
        <f t="array" ref="F158">INDEX('Données 1_BD questio'!C:C,MATCH('1_BD questio brut'!$D$1&amp;'1_BD questio brut'!D158,'Données 1_BD questio'!A:A&amp;'Données 1_BD questio'!B:B,0))</f>
        <v>Retraité</v>
      </c>
      <c r="G158" s="191" t="str">
        <f>'1_BD questio brut'!E158</f>
        <v>65 ans et plus</v>
      </c>
      <c r="H158" s="191">
        <f>'1_BD questio brut'!F158</f>
        <v>2</v>
      </c>
      <c r="I158" s="191" t="str">
        <f>'1_BD questio brut'!G158</f>
        <v>Pas de réponse</v>
      </c>
      <c r="J158" s="191" t="str">
        <f t="array" ref="J158">INDEX('Données 1_BD questio'!C:C,MATCH('1_BD questio brut'!$H$1&amp;'1_BD questio brut'!H158,'Données 1_BD questio'!A:A&amp;'Données 1_BD questio'!B:B,0))</f>
        <v>Maison avec jardin</v>
      </c>
      <c r="K158" s="191">
        <f>'1_BD questio brut'!I158</f>
        <v>65</v>
      </c>
      <c r="L158" s="191" t="str">
        <f>'1_BD questio brut'!J158</f>
        <v>1990-2005</v>
      </c>
      <c r="M158" s="191" t="str">
        <f>'1_BD questio brut'!K158</f>
        <v>3</v>
      </c>
      <c r="N158" s="191" t="str">
        <f>'1_BD questio brut'!L158</f>
        <v>Pas de réponse</v>
      </c>
      <c r="O158" s="191" t="str">
        <f>'1_BD questio brut'!M158</f>
        <v>Propriétaire occupant</v>
      </c>
      <c r="P158" s="191" t="str">
        <f>'1_BD questio brut'!N158</f>
        <v>Insert / foyer fermé</v>
      </c>
      <c r="Q158" s="191" t="str">
        <f>'1_BD questio brut'!O158</f>
        <v>Chauffage de base</v>
      </c>
      <c r="R158" s="191" t="str">
        <f>'1_BD questio brut'!P158</f>
        <v>Tous les jours</v>
      </c>
      <c r="S158" s="191" t="str">
        <f>'1_BD questio brut'!Q158</f>
        <v>1; 2; 4</v>
      </c>
      <c r="T158" s="191" t="str">
        <f>'1_BD questio brut'!R158</f>
        <v>1990-1995</v>
      </c>
      <c r="U158" s="191" t="str">
        <f>'1_BD questio brut'!S158</f>
        <v>Bois bûche</v>
      </c>
      <c r="V158" s="191" t="str">
        <f>'1_BD questio brut'!T158</f>
        <v/>
      </c>
      <c r="W158" s="191" t="str">
        <f>'1_BD questio brut'!U158</f>
        <v>12</v>
      </c>
      <c r="X158" s="191" t="str">
        <f>'1_BD questio brut'!V158</f>
        <v>stères</v>
      </c>
      <c r="Y158" s="191" t="str">
        <f>'1_BD questio brut'!W158</f>
        <v>2</v>
      </c>
      <c r="Z158" s="191" t="str">
        <f>'1_BD questio brut'!X158</f>
        <v/>
      </c>
      <c r="AA158" s="191" t="str">
        <f t="array" ref="AA158">INDEX('Données 1_BD questio'!C:C,MATCH('1_BD questio brut'!$Y$1&amp;'1_BD questio brut'!Y158,'Données 1_BD questio'!A:A&amp;'Données 1_BD questio'!B:B,0))</f>
        <v>Rhône-Alpes hors RA2B</v>
      </c>
      <c r="AB158" s="191" t="str">
        <f>'1_BD questio brut'!Z158</f>
        <v>1</v>
      </c>
      <c r="AC158" s="191" t="str">
        <f>'1_BD questio brut'!AA158</f>
        <v>1 à 2 ans</v>
      </c>
      <c r="AD158" s="191" t="str">
        <f>'1_BD questio brut'!AB158</f>
        <v>Feuillus</v>
      </c>
      <c r="AE158" s="191" t="str">
        <f t="array" ref="AE158">INDEX('Données 1_BD questio'!C:C,MATCH('1_BD questio brut'!$AC$1&amp;'1_BD questio brut'!AC158,'Données 1_BD questio'!A:A&amp;'Données 1_BD questio'!B:B,0))</f>
        <v>vous-même</v>
      </c>
      <c r="AF158" s="191" t="str">
        <f>'1_BD questio brut'!AD158</f>
        <v>2 fois par an</v>
      </c>
      <c r="AG158" s="191" t="str">
        <f>'1_BD questio brut'!AE158</f>
        <v/>
      </c>
      <c r="AH158" s="191" t="str">
        <f>'1_BD questio brut'!AF158</f>
        <v>Poêle</v>
      </c>
      <c r="AI158" s="191" t="str">
        <f>'1_BD questio brut'!AG158</f>
        <v>1</v>
      </c>
      <c r="AJ158" s="191" t="str">
        <f>'1_BD questio brut'!AH158</f>
        <v/>
      </c>
      <c r="AK158" s="191" t="str">
        <f>'1_BD questio brut'!AI158</f>
        <v>Chauffage de base</v>
      </c>
      <c r="AL158" s="191" t="str">
        <f>'1_BD questio brut'!AJ158</f>
        <v>Pas de réponse</v>
      </c>
      <c r="AM158" s="191" t="str">
        <f>'1_BD questio brut'!AK158</f>
        <v>1; 2; 4; 5; 6</v>
      </c>
      <c r="AN158" s="191" t="str">
        <f>'1_BD questio brut'!AL158</f>
        <v>Sécurité</v>
      </c>
      <c r="AO158" s="191" t="str">
        <f>'1_BD questio brut'!AM158</f>
        <v>7</v>
      </c>
      <c r="AP158" s="191" t="str">
        <f>'1_BD questio brut'!AN158</f>
        <v/>
      </c>
      <c r="AQ158" s="191" t="str">
        <f>'1_BD questio brut'!AO158</f>
        <v/>
      </c>
    </row>
    <row r="159" spans="1:43" ht="29" hidden="1">
      <c r="A159" s="98">
        <f>INDEX('3_BD instruction total'!A:A,MATCH(C159,'3_BD instruction total'!F:F,0))</f>
        <v>2021</v>
      </c>
      <c r="B159" s="98" t="str">
        <f>INDEX('3_BD instruction total'!C:C,MATCH(C159,'3_BD instruction total'!F:F,0))</f>
        <v>non</v>
      </c>
      <c r="C159" s="191" t="str">
        <f>'1_BD questio brut'!A159</f>
        <v>VRB0165</v>
      </c>
      <c r="D159" s="191" t="str">
        <f t="array" ref="D159">INDEX('Données 1_BD questio'!C:C,MATCH('1_BD questio brut'!$B$1&amp;'1_BD questio brut'!B159,'Données 1_BD questio'!A:A&amp;'Données 1_BD questio'!B:B,0))</f>
        <v>CAPV</v>
      </c>
      <c r="E159" s="191" t="str">
        <f t="array" ref="E159">INDEX('Données 1_BD questio'!C:C,MATCH('1_BD questio brut'!$C$1&amp;'1_BD questio brut'!C159,'Données 1_BD questio'!A:A&amp;'Données 1_BD questio'!B:B,0))</f>
        <v>Cadre</v>
      </c>
      <c r="F159" s="191" t="str">
        <f t="array" ref="F159">INDEX('Données 1_BD questio'!C:C,MATCH('1_BD questio brut'!$D$1&amp;'1_BD questio brut'!D159,'Données 1_BD questio'!A:A&amp;'Données 1_BD questio'!B:B,0))</f>
        <v>Employé</v>
      </c>
      <c r="G159" s="191" t="str">
        <f>'1_BD questio brut'!E159</f>
        <v>25 à 34 ans</v>
      </c>
      <c r="H159" s="191">
        <f>'1_BD questio brut'!F159</f>
        <v>2</v>
      </c>
      <c r="I159" s="191" t="str">
        <f>'1_BD questio brut'!G159</f>
        <v>Pas de réponse</v>
      </c>
      <c r="J159" s="191" t="str">
        <f t="array" ref="J159">INDEX('Données 1_BD questio'!C:C,MATCH('1_BD questio brut'!$H$1&amp;'1_BD questio brut'!H159,'Données 1_BD questio'!A:A&amp;'Données 1_BD questio'!B:B,0))</f>
        <v>Maison avec jardin</v>
      </c>
      <c r="K159" s="191">
        <f>'1_BD questio brut'!I159</f>
        <v>89</v>
      </c>
      <c r="L159" s="191" t="str">
        <f>'1_BD questio brut'!J159</f>
        <v>1990-2005</v>
      </c>
      <c r="M159" s="191" t="str">
        <f>'1_BD questio brut'!K159</f>
        <v>6</v>
      </c>
      <c r="N159" s="191" t="str">
        <f>'1_BD questio brut'!L159</f>
        <v>C</v>
      </c>
      <c r="O159" s="191" t="str">
        <f>'1_BD questio brut'!M159</f>
        <v>Propriétaire occupant</v>
      </c>
      <c r="P159" s="191" t="str">
        <f>'1_BD questio brut'!N159</f>
        <v>Insert / foyer fermé</v>
      </c>
      <c r="Q159" s="191" t="str">
        <f>'1_BD questio brut'!O159</f>
        <v>Chauffage d'apoint</v>
      </c>
      <c r="R159" s="191" t="str">
        <f>'1_BD questio brut'!P159</f>
        <v>Jamais</v>
      </c>
      <c r="S159" s="191" t="str">
        <f>'1_BD questio brut'!Q159</f>
        <v>7</v>
      </c>
      <c r="T159" s="191" t="str">
        <f>'1_BD questio brut'!R159</f>
        <v>1996-2002</v>
      </c>
      <c r="U159" s="191" t="str">
        <f>'1_BD questio brut'!S159</f>
        <v>Bois bûche</v>
      </c>
      <c r="V159" s="191" t="str">
        <f>'1_BD questio brut'!T159</f>
        <v/>
      </c>
      <c r="W159" s="191" t="str">
        <f>'1_BD questio brut'!U159</f>
        <v>0</v>
      </c>
      <c r="X159" s="191" t="str">
        <f>'1_BD questio brut'!V159</f>
        <v/>
      </c>
      <c r="Y159" s="191" t="str">
        <f>'1_BD questio brut'!W159</f>
        <v>5</v>
      </c>
      <c r="Z159" s="191" t="str">
        <f>'1_BD questio brut'!X159</f>
        <v/>
      </c>
      <c r="AA159" s="191" t="str">
        <f t="array" ref="AA159">INDEX('Données 1_BD questio'!C:C,MATCH('1_BD questio brut'!$Y$1&amp;'1_BD questio brut'!Y159,'Données 1_BD questio'!A:A&amp;'Données 1_BD questio'!B:B,0))</f>
        <v>Pas de réponse</v>
      </c>
      <c r="AB159" s="191" t="str">
        <f>'1_BD questio brut'!Z159</f>
        <v>2</v>
      </c>
      <c r="AC159" s="191" t="str">
        <f>'1_BD questio brut'!AA159</f>
        <v>Pas de réponse</v>
      </c>
      <c r="AD159" s="191" t="str">
        <f>'1_BD questio brut'!AB159</f>
        <v>Pas de réponse</v>
      </c>
      <c r="AE159" s="191" t="str">
        <f t="array" ref="AE159">INDEX('Données 1_BD questio'!C:C,MATCH('1_BD questio brut'!$AC$1&amp;'1_BD questio brut'!AC159,'Données 1_BD questio'!A:A&amp;'Données 1_BD questio'!B:B,0))</f>
        <v>Pas de réponse</v>
      </c>
      <c r="AF159" s="191" t="str">
        <f>'1_BD questio brut'!AD159</f>
        <v>Pas de réponse</v>
      </c>
      <c r="AG159" s="191" t="str">
        <f>'1_BD questio brut'!AE159</f>
        <v/>
      </c>
      <c r="AH159" s="191" t="str">
        <f>'1_BD questio brut'!AF159</f>
        <v>poêle de masse</v>
      </c>
      <c r="AI159" s="191" t="str">
        <f>'1_BD questio brut'!AG159</f>
        <v>1</v>
      </c>
      <c r="AJ159" s="191" t="str">
        <f>'1_BD questio brut'!AH159</f>
        <v/>
      </c>
      <c r="AK159" s="191" t="str">
        <f>'1_BD questio brut'!AI159</f>
        <v>Chauffage d'appoint</v>
      </c>
      <c r="AL159" s="191" t="str">
        <f>'1_BD questio brut'!AJ159</f>
        <v>Pas de réponse</v>
      </c>
      <c r="AM159" s="191" t="str">
        <f>'1_BD questio brut'!AK159</f>
        <v>2; 4</v>
      </c>
      <c r="AN159" s="191" t="str">
        <f>'1_BD questio brut'!AL159</f>
        <v/>
      </c>
      <c r="AO159" s="191" t="str">
        <f>'1_BD questio brut'!AM159</f>
        <v>5</v>
      </c>
      <c r="AP159" s="191" t="str">
        <f>'1_BD questio brut'!AN159</f>
        <v/>
      </c>
      <c r="AQ159" s="191" t="str">
        <f>'1_BD questio brut'!AO159</f>
        <v/>
      </c>
    </row>
    <row r="160" spans="1:43" ht="43.5" hidden="1">
      <c r="A160" s="98" t="e">
        <f>INDEX('3_BD instruction total'!A:A,MATCH(C160,'3_BD instruction total'!F:F,0))</f>
        <v>#VALUE!</v>
      </c>
      <c r="B160" s="98" t="str">
        <f>INDEX('3_BD instruction total'!C:C,MATCH(C160,'3_BD instruction total'!F:F,0))</f>
        <v>oui</v>
      </c>
      <c r="C160" s="191" t="str">
        <f>'1_BD questio brut'!A160</f>
        <v>VRB0166</v>
      </c>
      <c r="D160" s="191" t="str">
        <f t="array" ref="D160">INDEX('Données 1_BD questio'!C:C,MATCH('1_BD questio brut'!$B$1&amp;'1_BD questio brut'!B160,'Données 1_BD questio'!A:A&amp;'Données 1_BD questio'!B:B,0))</f>
        <v>CAPV</v>
      </c>
      <c r="E160" s="191" t="str">
        <f t="array" ref="E160">INDEX('Données 1_BD questio'!C:C,MATCH('1_BD questio brut'!$C$1&amp;'1_BD questio brut'!C160,'Données 1_BD questio'!A:A&amp;'Données 1_BD questio'!B:B,0))</f>
        <v>Retraité</v>
      </c>
      <c r="F160" s="191" t="str">
        <f t="array" ref="F160">INDEX('Données 1_BD questio'!C:C,MATCH('1_BD questio brut'!$D$1&amp;'1_BD questio brut'!D160,'Données 1_BD questio'!A:A&amp;'Données 1_BD questio'!B:B,0))</f>
        <v>Retraité</v>
      </c>
      <c r="G160" s="191" t="str">
        <f>'1_BD questio brut'!E160</f>
        <v>50 à 64 ans</v>
      </c>
      <c r="H160" s="191">
        <f>'1_BD questio brut'!F160</f>
        <v>2</v>
      </c>
      <c r="I160" s="191" t="str">
        <f>'1_BD questio brut'!G160</f>
        <v>Pas de réponse</v>
      </c>
      <c r="J160" s="191" t="str">
        <f t="array" ref="J160">INDEX('Données 1_BD questio'!C:C,MATCH('1_BD questio brut'!$H$1&amp;'1_BD questio brut'!H160,'Données 1_BD questio'!A:A&amp;'Données 1_BD questio'!B:B,0))</f>
        <v>Maison avec jardin</v>
      </c>
      <c r="K160" s="191">
        <f>'1_BD questio brut'!I160</f>
        <v>85</v>
      </c>
      <c r="L160" s="191" t="str">
        <f>'1_BD questio brut'!J160</f>
        <v>Après 2005</v>
      </c>
      <c r="M160" s="191" t="str">
        <f>'1_BD questio brut'!K160</f>
        <v>6</v>
      </c>
      <c r="N160" s="191" t="str">
        <f>'1_BD questio brut'!L160</f>
        <v>D</v>
      </c>
      <c r="O160" s="191" t="str">
        <f>'1_BD questio brut'!M160</f>
        <v>Propriétaire occupant</v>
      </c>
      <c r="P160" s="191" t="str">
        <f>'1_BD questio brut'!N160</f>
        <v>Pas de réponse</v>
      </c>
      <c r="Q160" s="191" t="str">
        <f>'1_BD questio brut'!O160</f>
        <v>Pas de réponse</v>
      </c>
      <c r="R160" s="191" t="str">
        <f>'1_BD questio brut'!P160</f>
        <v>Pas de réponse</v>
      </c>
      <c r="S160" s="191" t="str">
        <f>'1_BD questio brut'!Q160</f>
        <v>7</v>
      </c>
      <c r="T160" s="191" t="str">
        <f>'1_BD questio brut'!R160</f>
        <v>Pas de réponse</v>
      </c>
      <c r="U160" s="191" t="str">
        <f>'1_BD questio brut'!S160</f>
        <v>Bois bûche</v>
      </c>
      <c r="V160" s="191" t="str">
        <f>'1_BD questio brut'!T160</f>
        <v/>
      </c>
      <c r="W160" s="191" t="str">
        <f>'1_BD questio brut'!U160</f>
        <v>3</v>
      </c>
      <c r="X160" s="191" t="str">
        <f>'1_BD questio brut'!V160</f>
        <v>stères</v>
      </c>
      <c r="Y160" s="191" t="str">
        <f>'1_BD questio brut'!W160</f>
        <v>2; 3; 4</v>
      </c>
      <c r="Z160" s="191" t="str">
        <f>'1_BD questio brut'!X160</f>
        <v>Point de vente spécialisé</v>
      </c>
      <c r="AA160" s="191" t="str">
        <f t="array" ref="AA160">INDEX('Données 1_BD questio'!C:C,MATCH('1_BD questio brut'!$Y$1&amp;'1_BD questio brut'!Y160,'Données 1_BD questio'!A:A&amp;'Données 1_BD questio'!B:B,0))</f>
        <v>France hors Rhône-Alpes</v>
      </c>
      <c r="AB160" s="191" t="str">
        <f>'1_BD questio brut'!Z160</f>
        <v>1</v>
      </c>
      <c r="AC160" s="191" t="str">
        <f>'1_BD questio brut'!AA160</f>
        <v>Pas de réponse</v>
      </c>
      <c r="AD160" s="191" t="str">
        <f>'1_BD questio brut'!AB160</f>
        <v>Les deux</v>
      </c>
      <c r="AE160" s="191" t="str">
        <f t="array" ref="AE160">INDEX('Données 1_BD questio'!C:C,MATCH('1_BD questio brut'!$AC$1&amp;'1_BD questio brut'!AC160,'Données 1_BD questio'!A:A&amp;'Données 1_BD questio'!B:B,0))</f>
        <v>un professionnel</v>
      </c>
      <c r="AF160" s="191" t="str">
        <f>'1_BD questio brut'!AD160</f>
        <v>1 fois par an</v>
      </c>
      <c r="AG160" s="191" t="str">
        <f>'1_BD questio brut'!AE160</f>
        <v/>
      </c>
      <c r="AH160" s="191" t="str">
        <f>'1_BD questio brut'!AF160</f>
        <v>Poêle</v>
      </c>
      <c r="AI160" s="191" t="str">
        <f>'1_BD questio brut'!AG160</f>
        <v>3</v>
      </c>
      <c r="AJ160" s="191" t="str">
        <f>'1_BD questio brut'!AH160</f>
        <v>Bûches densifiés</v>
      </c>
      <c r="AK160" s="191" t="str">
        <f>'1_BD questio brut'!AI160</f>
        <v>Chauffage de base</v>
      </c>
      <c r="AL160" s="191" t="str">
        <f>'1_BD questio brut'!AJ160</f>
        <v>Pas de réponse</v>
      </c>
      <c r="AM160" s="191" t="str">
        <f>'1_BD questio brut'!AK160</f>
        <v>2; 5</v>
      </c>
      <c r="AN160" s="191" t="str">
        <f>'1_BD questio brut'!AL160</f>
        <v/>
      </c>
      <c r="AO160" s="191" t="str">
        <f>'1_BD questio brut'!AM160</f>
        <v>5; 7</v>
      </c>
      <c r="AP160" s="191" t="str">
        <f>'1_BD questio brut'!AN160</f>
        <v/>
      </c>
      <c r="AQ160" s="191" t="str">
        <f>'1_BD questio brut'!AO160</f>
        <v/>
      </c>
    </row>
    <row r="161" spans="1:43" ht="29" hidden="1">
      <c r="A161" s="98">
        <f>INDEX('3_BD instruction total'!A:A,MATCH(C161,'3_BD instruction total'!F:F,0))</f>
        <v>2021</v>
      </c>
      <c r="B161" s="98" t="str">
        <f>INDEX('3_BD instruction total'!C:C,MATCH(C161,'3_BD instruction total'!F:F,0))</f>
        <v>non</v>
      </c>
      <c r="C161" s="191" t="str">
        <f>'1_BD questio brut'!A161</f>
        <v>VRB0167</v>
      </c>
      <c r="D161" s="191" t="str">
        <f t="array" ref="D161">INDEX('Données 1_BD questio'!C:C,MATCH('1_BD questio brut'!$B$1&amp;'1_BD questio brut'!B161,'Données 1_BD questio'!A:A&amp;'Données 1_BD questio'!B:B,0))</f>
        <v>CAPV</v>
      </c>
      <c r="E161" s="191" t="str">
        <f t="array" ref="E161">INDEX('Données 1_BD questio'!C:C,MATCH('1_BD questio brut'!$C$1&amp;'1_BD questio brut'!C161,'Données 1_BD questio'!A:A&amp;'Données 1_BD questio'!B:B,0))</f>
        <v>Retraité</v>
      </c>
      <c r="F161" s="191" t="str">
        <f t="array" ref="F161">INDEX('Données 1_BD questio'!C:C,MATCH('1_BD questio brut'!$D$1&amp;'1_BD questio brut'!D161,'Données 1_BD questio'!A:A&amp;'Données 1_BD questio'!B:B,0))</f>
        <v>Retraité</v>
      </c>
      <c r="G161" s="191" t="str">
        <f>'1_BD questio brut'!E161</f>
        <v>65 ans et plus</v>
      </c>
      <c r="H161" s="191">
        <f>'1_BD questio brut'!F161</f>
        <v>3</v>
      </c>
      <c r="I161" s="191" t="str">
        <f>'1_BD questio brut'!G161</f>
        <v>Pas de réponse</v>
      </c>
      <c r="J161" s="191" t="str">
        <f t="array" ref="J161">INDEX('Données 1_BD questio'!C:C,MATCH('1_BD questio brut'!$H$1&amp;'1_BD questio brut'!H161,'Données 1_BD questio'!A:A&amp;'Données 1_BD questio'!B:B,0))</f>
        <v>Maison avec jardin</v>
      </c>
      <c r="K161" s="191">
        <f>'1_BD questio brut'!I161</f>
        <v>120</v>
      </c>
      <c r="L161" s="191" t="str">
        <f>'1_BD questio brut'!J161</f>
        <v>1975-1990</v>
      </c>
      <c r="M161" s="191" t="str">
        <f>'1_BD questio brut'!K161</f>
        <v>4</v>
      </c>
      <c r="N161" s="191" t="str">
        <f>'1_BD questio brut'!L161</f>
        <v>Pas de réponse</v>
      </c>
      <c r="O161" s="191" t="str">
        <f>'1_BD questio brut'!M161</f>
        <v>Propriétaire occupant</v>
      </c>
      <c r="P161" s="191" t="str">
        <f>'1_BD questio brut'!N161</f>
        <v>Insert / foyer fermé</v>
      </c>
      <c r="Q161" s="191" t="str">
        <f>'1_BD questio brut'!O161</f>
        <v>Chauffage de base</v>
      </c>
      <c r="R161" s="191" t="str">
        <f>'1_BD questio brut'!P161</f>
        <v>Tous les jours</v>
      </c>
      <c r="S161" s="191" t="str">
        <f>'1_BD questio brut'!Q161</f>
        <v>4</v>
      </c>
      <c r="T161" s="191" t="str">
        <f>'1_BD questio brut'!R161</f>
        <v>1996-2002</v>
      </c>
      <c r="U161" s="191" t="str">
        <f>'1_BD questio brut'!S161</f>
        <v>Bois bûche</v>
      </c>
      <c r="V161" s="191" t="str">
        <f>'1_BD questio brut'!T161</f>
        <v/>
      </c>
      <c r="W161" s="191" t="str">
        <f>'1_BD questio brut'!U161</f>
        <v>12</v>
      </c>
      <c r="X161" s="191" t="str">
        <f>'1_BD questio brut'!V161</f>
        <v>stères</v>
      </c>
      <c r="Y161" s="191" t="str">
        <f>'1_BD questio brut'!W161</f>
        <v>2</v>
      </c>
      <c r="Z161" s="191" t="str">
        <f>'1_BD questio brut'!X161</f>
        <v/>
      </c>
      <c r="AA161" s="191" t="str">
        <f t="array" ref="AA161">INDEX('Données 1_BD questio'!C:C,MATCH('1_BD questio brut'!$Y$1&amp;'1_BD questio brut'!Y161,'Données 1_BD questio'!A:A&amp;'Données 1_BD questio'!B:B,0))</f>
        <v>RA2B</v>
      </c>
      <c r="AB161" s="191" t="str">
        <f>'1_BD questio brut'!Z161</f>
        <v>2</v>
      </c>
      <c r="AC161" s="191" t="str">
        <f>'1_BD questio brut'!AA161</f>
        <v>1 à 2 ans</v>
      </c>
      <c r="AD161" s="191" t="str">
        <f>'1_BD questio brut'!AB161</f>
        <v>Feuillus</v>
      </c>
      <c r="AE161" s="191" t="str">
        <f t="array" ref="AE161">INDEX('Données 1_BD questio'!C:C,MATCH('1_BD questio brut'!$AC$1&amp;'1_BD questio brut'!AC161,'Données 1_BD questio'!A:A&amp;'Données 1_BD questio'!B:B,0))</f>
        <v>vous-même</v>
      </c>
      <c r="AF161" s="191" t="str">
        <f>'1_BD questio brut'!AD161</f>
        <v>2 fois par an</v>
      </c>
      <c r="AG161" s="191" t="str">
        <f>'1_BD questio brut'!AE161</f>
        <v/>
      </c>
      <c r="AH161" s="191" t="str">
        <f>'1_BD questio brut'!AF161</f>
        <v>Insert cheminée</v>
      </c>
      <c r="AI161" s="191" t="str">
        <f>'1_BD questio brut'!AG161</f>
        <v>1</v>
      </c>
      <c r="AJ161" s="191" t="str">
        <f>'1_BD questio brut'!AH161</f>
        <v/>
      </c>
      <c r="AK161" s="191" t="str">
        <f>'1_BD questio brut'!AI161</f>
        <v>Chauffage d'appoint</v>
      </c>
      <c r="AL161" s="191" t="str">
        <f>'1_BD questio brut'!AJ161</f>
        <v>Pas de réponse</v>
      </c>
      <c r="AM161" s="191" t="str">
        <f>'1_BD questio brut'!AK161</f>
        <v>2</v>
      </c>
      <c r="AN161" s="191" t="str">
        <f>'1_BD questio brut'!AL161</f>
        <v/>
      </c>
      <c r="AO161" s="191" t="str">
        <f>'1_BD questio brut'!AM161</f>
        <v>7</v>
      </c>
      <c r="AP161" s="191" t="str">
        <f>'1_BD questio brut'!AN161</f>
        <v/>
      </c>
      <c r="AQ161" s="191" t="str">
        <f>'1_BD questio brut'!AO161</f>
        <v/>
      </c>
    </row>
    <row r="162" spans="1:43" ht="43.5" hidden="1">
      <c r="A162" s="98">
        <f>INDEX('3_BD instruction total'!A:A,MATCH(C162,'3_BD instruction total'!F:F,0))</f>
        <v>2021</v>
      </c>
      <c r="B162" s="98" t="str">
        <f>INDEX('3_BD instruction total'!C:C,MATCH(C162,'3_BD instruction total'!F:F,0))</f>
        <v>non</v>
      </c>
      <c r="C162" s="191" t="str">
        <f>'1_BD questio brut'!A162</f>
        <v>VRB0168</v>
      </c>
      <c r="D162" s="191" t="str">
        <f t="array" ref="D162">INDEX('Données 1_BD questio'!C:C,MATCH('1_BD questio brut'!$B$1&amp;'1_BD questio brut'!B162,'Données 1_BD questio'!A:A&amp;'Données 1_BD questio'!B:B,0))</f>
        <v>CAPV</v>
      </c>
      <c r="E162" s="191" t="str">
        <f t="array" ref="E162">INDEX('Données 1_BD questio'!C:C,MATCH('1_BD questio brut'!$C$1&amp;'1_BD questio brut'!C162,'Données 1_BD questio'!A:A&amp;'Données 1_BD questio'!B:B,0))</f>
        <v>Cadre</v>
      </c>
      <c r="F162" s="191" t="str">
        <f t="array" ref="F162">INDEX('Données 1_BD questio'!C:C,MATCH('1_BD questio brut'!$D$1&amp;'1_BD questio brut'!D162,'Données 1_BD questio'!A:A&amp;'Données 1_BD questio'!B:B,0))</f>
        <v>Employé</v>
      </c>
      <c r="G162" s="191" t="str">
        <f>'1_BD questio brut'!E162</f>
        <v>35 à 49 ans</v>
      </c>
      <c r="H162" s="191">
        <f>'1_BD questio brut'!F162</f>
        <v>4</v>
      </c>
      <c r="I162" s="191" t="str">
        <f>'1_BD questio brut'!G162</f>
        <v>Pas de réponse</v>
      </c>
      <c r="J162" s="191" t="str">
        <f t="array" ref="J162">INDEX('Données 1_BD questio'!C:C,MATCH('1_BD questio brut'!$H$1&amp;'1_BD questio brut'!H162,'Données 1_BD questio'!A:A&amp;'Données 1_BD questio'!B:B,0))</f>
        <v>Maison avec jardin</v>
      </c>
      <c r="K162" s="191">
        <f>'1_BD questio brut'!I162</f>
        <v>150</v>
      </c>
      <c r="L162" s="191" t="str">
        <f>'1_BD questio brut'!J162</f>
        <v>Avant 1949</v>
      </c>
      <c r="M162" s="191" t="str">
        <f>'1_BD questio brut'!K162</f>
        <v>6</v>
      </c>
      <c r="N162" s="191" t="str">
        <f>'1_BD questio brut'!L162</f>
        <v>Pas de réponse</v>
      </c>
      <c r="O162" s="191" t="str">
        <f>'1_BD questio brut'!M162</f>
        <v>Propriétaire occupant</v>
      </c>
      <c r="P162" s="191" t="str">
        <f>'1_BD questio brut'!N162</f>
        <v>Insert / foyer fermé</v>
      </c>
      <c r="Q162" s="191" t="str">
        <f>'1_BD questio brut'!O162</f>
        <v>Chauffage de base</v>
      </c>
      <c r="R162" s="191" t="str">
        <f>'1_BD questio brut'!P162</f>
        <v>Tous les jours</v>
      </c>
      <c r="S162" s="191" t="str">
        <f>'1_BD questio brut'!Q162</f>
        <v>4; 5</v>
      </c>
      <c r="T162" s="191" t="str">
        <f>'1_BD questio brut'!R162</f>
        <v>Avant 1990</v>
      </c>
      <c r="U162" s="191" t="str">
        <f>'1_BD questio brut'!S162</f>
        <v>Bois bûche</v>
      </c>
      <c r="V162" s="191" t="str">
        <f>'1_BD questio brut'!T162</f>
        <v/>
      </c>
      <c r="W162" s="191" t="str">
        <f>'1_BD questio brut'!U162</f>
        <v>10,5</v>
      </c>
      <c r="X162" s="191" t="str">
        <f>'1_BD questio brut'!V162</f>
        <v>stères</v>
      </c>
      <c r="Y162" s="191" t="str">
        <f>'1_BD questio brut'!W162</f>
        <v>2</v>
      </c>
      <c r="Z162" s="191" t="str">
        <f>'1_BD questio brut'!X162</f>
        <v/>
      </c>
      <c r="AA162" s="191" t="str">
        <f t="array" ref="AA162">INDEX('Données 1_BD questio'!C:C,MATCH('1_BD questio brut'!$Y$1&amp;'1_BD questio brut'!Y162,'Données 1_BD questio'!A:A&amp;'Données 1_BD questio'!B:B,0))</f>
        <v>Ne sait pas</v>
      </c>
      <c r="AB162" s="191" t="str">
        <f>'1_BD questio brut'!Z162</f>
        <v>2</v>
      </c>
      <c r="AC162" s="191" t="str">
        <f>'1_BD questio brut'!AA162</f>
        <v>&gt; 2 ans</v>
      </c>
      <c r="AD162" s="191" t="str">
        <f>'1_BD questio brut'!AB162</f>
        <v>Les deux</v>
      </c>
      <c r="AE162" s="191" t="str">
        <f t="array" ref="AE162">INDEX('Données 1_BD questio'!C:C,MATCH('1_BD questio brut'!$AC$1&amp;'1_BD questio brut'!AC162,'Données 1_BD questio'!A:A&amp;'Données 1_BD questio'!B:B,0))</f>
        <v>un professionnel</v>
      </c>
      <c r="AF162" s="191" t="str">
        <f>'1_BD questio brut'!AD162</f>
        <v>Autre, à préciser</v>
      </c>
      <c r="AG162" s="191" t="str">
        <f>'1_BD questio brut'!AE162</f>
        <v>1 fois par an par ancien propriétaire</v>
      </c>
      <c r="AH162" s="191" t="str">
        <f>'1_BD questio brut'!AF162</f>
        <v>Poêle</v>
      </c>
      <c r="AI162" s="191" t="str">
        <f>'1_BD questio brut'!AG162</f>
        <v>1</v>
      </c>
      <c r="AJ162" s="191" t="str">
        <f>'1_BD questio brut'!AH162</f>
        <v/>
      </c>
      <c r="AK162" s="191" t="str">
        <f>'1_BD questio brut'!AI162</f>
        <v>Chauffage de base</v>
      </c>
      <c r="AL162" s="191" t="str">
        <f>'1_BD questio brut'!AJ162</f>
        <v>Pas de réponse</v>
      </c>
      <c r="AM162" s="191" t="str">
        <f>'1_BD questio brut'!AK162</f>
        <v>4; 5</v>
      </c>
      <c r="AN162" s="191" t="str">
        <f>'1_BD questio brut'!AL162</f>
        <v/>
      </c>
      <c r="AO162" s="191" t="str">
        <f>'1_BD questio brut'!AM162</f>
        <v>1</v>
      </c>
      <c r="AP162" s="191" t="str">
        <f>'1_BD questio brut'!AN162</f>
        <v/>
      </c>
      <c r="AQ162" s="191" t="str">
        <f>'1_BD questio brut'!AO162</f>
        <v/>
      </c>
    </row>
    <row r="163" spans="1:43" ht="29" hidden="1">
      <c r="A163" s="98">
        <f>INDEX('3_BD instruction total'!A:A,MATCH(C163,'3_BD instruction total'!F:F,0))</f>
        <v>2021</v>
      </c>
      <c r="B163" s="98" t="str">
        <f>INDEX('3_BD instruction total'!C:C,MATCH(C163,'3_BD instruction total'!F:F,0))</f>
        <v>non</v>
      </c>
      <c r="C163" s="191" t="str">
        <f>'1_BD questio brut'!A163</f>
        <v>VRB0169</v>
      </c>
      <c r="D163" s="191" t="str">
        <f t="array" ref="D163">INDEX('Données 1_BD questio'!C:C,MATCH('1_BD questio brut'!$B$1&amp;'1_BD questio brut'!B163,'Données 1_BD questio'!A:A&amp;'Données 1_BD questio'!B:B,0))</f>
        <v>CAPV</v>
      </c>
      <c r="E163" s="191" t="str">
        <f t="array" ref="E163">INDEX('Données 1_BD questio'!C:C,MATCH('1_BD questio brut'!$C$1&amp;'1_BD questio brut'!C163,'Données 1_BD questio'!A:A&amp;'Données 1_BD questio'!B:B,0))</f>
        <v>Autre,sans activité</v>
      </c>
      <c r="F163" s="191" t="str">
        <f t="array" ref="F163">INDEX('Données 1_BD questio'!C:C,MATCH('1_BD questio brut'!$D$1&amp;'1_BD questio brut'!D163,'Données 1_BD questio'!A:A&amp;'Données 1_BD questio'!B:B,0))</f>
        <v>Employé</v>
      </c>
      <c r="G163" s="191" t="str">
        <f>'1_BD questio brut'!E163</f>
        <v>50 à 64 ans</v>
      </c>
      <c r="H163" s="191">
        <f>'1_BD questio brut'!F163</f>
        <v>2</v>
      </c>
      <c r="I163" s="191" t="str">
        <f>'1_BD questio brut'!G163</f>
        <v>Pas de réponse</v>
      </c>
      <c r="J163" s="191" t="str">
        <f t="array" ref="J163">INDEX('Données 1_BD questio'!C:C,MATCH('1_BD questio brut'!$H$1&amp;'1_BD questio brut'!H163,'Données 1_BD questio'!A:A&amp;'Données 1_BD questio'!B:B,0))</f>
        <v>Maison avec jardin</v>
      </c>
      <c r="K163" s="191">
        <f>'1_BD questio brut'!I163</f>
        <v>80</v>
      </c>
      <c r="L163" s="191" t="str">
        <f>'1_BD questio brut'!J163</f>
        <v>1975-1990</v>
      </c>
      <c r="M163" s="191" t="str">
        <f>'1_BD questio brut'!K163</f>
        <v>4</v>
      </c>
      <c r="N163" s="191" t="str">
        <f>'1_BD questio brut'!L163</f>
        <v>Pas de réponse</v>
      </c>
      <c r="O163" s="191" t="str">
        <f>'1_BD questio brut'!M163</f>
        <v>Propriétaire occupant</v>
      </c>
      <c r="P163" s="191" t="str">
        <f>'1_BD questio brut'!N163</f>
        <v>Insert / foyer fermé</v>
      </c>
      <c r="Q163" s="191" t="str">
        <f>'1_BD questio brut'!O163</f>
        <v>Chauffage de base</v>
      </c>
      <c r="R163" s="191" t="str">
        <f>'1_BD questio brut'!P163</f>
        <v>Tous les jours</v>
      </c>
      <c r="S163" s="191" t="str">
        <f>'1_BD questio brut'!Q163</f>
        <v>4</v>
      </c>
      <c r="T163" s="191" t="str">
        <f>'1_BD questio brut'!R163</f>
        <v>1990-1995</v>
      </c>
      <c r="U163" s="191" t="str">
        <f>'1_BD questio brut'!S163</f>
        <v>Bois bûche</v>
      </c>
      <c r="V163" s="191" t="str">
        <f>'1_BD questio brut'!T163</f>
        <v/>
      </c>
      <c r="W163" s="191" t="str">
        <f>'1_BD questio brut'!U163</f>
        <v>10</v>
      </c>
      <c r="X163" s="191" t="str">
        <f>'1_BD questio brut'!V163</f>
        <v>stères</v>
      </c>
      <c r="Y163" s="191" t="str">
        <f>'1_BD questio brut'!W163</f>
        <v>1</v>
      </c>
      <c r="Z163" s="191" t="str">
        <f>'1_BD questio brut'!X163</f>
        <v/>
      </c>
      <c r="AA163" s="191" t="str">
        <f t="array" ref="AA163">INDEX('Données 1_BD questio'!C:C,MATCH('1_BD questio brut'!$Y$1&amp;'1_BD questio brut'!Y163,'Données 1_BD questio'!A:A&amp;'Données 1_BD questio'!B:B,0))</f>
        <v>France hors Rhône-Alpes</v>
      </c>
      <c r="AB163" s="191" t="str">
        <f>'1_BD questio brut'!Z163</f>
        <v>2</v>
      </c>
      <c r="AC163" s="191" t="str">
        <f>'1_BD questio brut'!AA163</f>
        <v>1 à 2 ans</v>
      </c>
      <c r="AD163" s="191" t="str">
        <f>'1_BD questio brut'!AB163</f>
        <v>Feuillus</v>
      </c>
      <c r="AE163" s="191" t="str">
        <f t="array" ref="AE163">INDEX('Données 1_BD questio'!C:C,MATCH('1_BD questio brut'!$AC$1&amp;'1_BD questio brut'!AC163,'Données 1_BD questio'!A:A&amp;'Données 1_BD questio'!B:B,0))</f>
        <v>vous-même</v>
      </c>
      <c r="AF163" s="191" t="str">
        <f>'1_BD questio brut'!AD163</f>
        <v>2 fois par an</v>
      </c>
      <c r="AG163" s="191" t="str">
        <f>'1_BD questio brut'!AE163</f>
        <v/>
      </c>
      <c r="AH163" s="191" t="str">
        <f>'1_BD questio brut'!AF163</f>
        <v>Poêle</v>
      </c>
      <c r="AI163" s="191" t="str">
        <f>'1_BD questio brut'!AG163</f>
        <v>1</v>
      </c>
      <c r="AJ163" s="191" t="str">
        <f>'1_BD questio brut'!AH163</f>
        <v/>
      </c>
      <c r="AK163" s="191" t="str">
        <f>'1_BD questio brut'!AI163</f>
        <v>Chauffage de base</v>
      </c>
      <c r="AL163" s="191" t="str">
        <f>'1_BD questio brut'!AJ163</f>
        <v>Pas de réponse</v>
      </c>
      <c r="AM163" s="191" t="str">
        <f>'1_BD questio brut'!AK163</f>
        <v>1; 2; 4; 5</v>
      </c>
      <c r="AN163" s="191" t="str">
        <f>'1_BD questio brut'!AL163</f>
        <v/>
      </c>
      <c r="AO163" s="191" t="str">
        <f>'1_BD questio brut'!AM163</f>
        <v>1</v>
      </c>
      <c r="AP163" s="191" t="str">
        <f>'1_BD questio brut'!AN163</f>
        <v/>
      </c>
      <c r="AQ163" s="191" t="str">
        <f>'1_BD questio brut'!AO163</f>
        <v/>
      </c>
    </row>
    <row r="164" spans="1:43" ht="43.5" hidden="1">
      <c r="A164" s="98">
        <f>INDEX('3_BD instruction total'!A:A,MATCH(C164,'3_BD instruction total'!F:F,0))</f>
        <v>2021</v>
      </c>
      <c r="B164" s="98" t="str">
        <f>INDEX('3_BD instruction total'!C:C,MATCH(C164,'3_BD instruction total'!F:F,0))</f>
        <v>non</v>
      </c>
      <c r="C164" s="191" t="str">
        <f>'1_BD questio brut'!A164</f>
        <v>VRB0170</v>
      </c>
      <c r="D164" s="191" t="str">
        <f t="array" ref="D164">INDEX('Données 1_BD questio'!C:C,MATCH('1_BD questio brut'!$B$1&amp;'1_BD questio brut'!B164,'Données 1_BD questio'!A:A&amp;'Données 1_BD questio'!B:B,0))</f>
        <v>CAPV</v>
      </c>
      <c r="E164" s="191" t="str">
        <f t="array" ref="E164">INDEX('Données 1_BD questio'!C:C,MATCH('1_BD questio brut'!$C$1&amp;'1_BD questio brut'!C164,'Données 1_BD questio'!A:A&amp;'Données 1_BD questio'!B:B,0))</f>
        <v>Employé</v>
      </c>
      <c r="F164" s="191" t="str">
        <f t="array" ref="F164">INDEX('Données 1_BD questio'!C:C,MATCH('1_BD questio brut'!$D$1&amp;'1_BD questio brut'!D164,'Données 1_BD questio'!A:A&amp;'Données 1_BD questio'!B:B,0))</f>
        <v>Employé</v>
      </c>
      <c r="G164" s="191" t="str">
        <f>'1_BD questio brut'!E164</f>
        <v>25 à 34 ans</v>
      </c>
      <c r="H164" s="191">
        <f>'1_BD questio brut'!F164</f>
        <v>4</v>
      </c>
      <c r="I164" s="191" t="str">
        <f>'1_BD questio brut'!G164</f>
        <v>Pas de réponse</v>
      </c>
      <c r="J164" s="191" t="str">
        <f t="array" ref="J164">INDEX('Données 1_BD questio'!C:C,MATCH('1_BD questio brut'!$H$1&amp;'1_BD questio brut'!H164,'Données 1_BD questio'!A:A&amp;'Données 1_BD questio'!B:B,0))</f>
        <v>Maison avec jardin</v>
      </c>
      <c r="K164" s="191">
        <f>'1_BD questio brut'!I164</f>
        <v>86</v>
      </c>
      <c r="L164" s="191" t="str">
        <f>'1_BD questio brut'!J164</f>
        <v>1990-2005</v>
      </c>
      <c r="M164" s="191" t="str">
        <f>'1_BD questio brut'!K164</f>
        <v>1</v>
      </c>
      <c r="N164" s="191" t="str">
        <f>'1_BD questio brut'!L164</f>
        <v>Pas de réponse</v>
      </c>
      <c r="O164" s="191" t="str">
        <f>'1_BD questio brut'!M164</f>
        <v>Propriétaire occupant</v>
      </c>
      <c r="P164" s="191" t="str">
        <f>'1_BD questio brut'!N164</f>
        <v>Insert / foyer fermé</v>
      </c>
      <c r="Q164" s="191" t="str">
        <f>'1_BD questio brut'!O164</f>
        <v>Chauffage d'apoint</v>
      </c>
      <c r="R164" s="191" t="str">
        <f>'1_BD questio brut'!P164</f>
        <v>3 à 4 jours/semaine</v>
      </c>
      <c r="S164" s="191" t="str">
        <f>'1_BD questio brut'!Q164</f>
        <v>2; 3; 4; 6</v>
      </c>
      <c r="T164" s="191" t="str">
        <f>'1_BD questio brut'!R164</f>
        <v>1996-2002</v>
      </c>
      <c r="U164" s="191" t="str">
        <f>'1_BD questio brut'!S164</f>
        <v>Bois bûche</v>
      </c>
      <c r="V164" s="191" t="str">
        <f>'1_BD questio brut'!T164</f>
        <v/>
      </c>
      <c r="W164" s="191" t="str">
        <f>'1_BD questio brut'!U164</f>
        <v>6</v>
      </c>
      <c r="X164" s="191" t="str">
        <f>'1_BD questio brut'!V164</f>
        <v>stères</v>
      </c>
      <c r="Y164" s="191" t="str">
        <f>'1_BD questio brut'!W164</f>
        <v>4</v>
      </c>
      <c r="Z164" s="191" t="str">
        <f>'1_BD questio brut'!X164</f>
        <v/>
      </c>
      <c r="AA164" s="191" t="str">
        <f t="array" ref="AA164">INDEX('Données 1_BD questio'!C:C,MATCH('1_BD questio brut'!$Y$1&amp;'1_BD questio brut'!Y164,'Données 1_BD questio'!A:A&amp;'Données 1_BD questio'!B:B,0))</f>
        <v>Ne sait pas</v>
      </c>
      <c r="AB164" s="191" t="str">
        <f>'1_BD questio brut'!Z164</f>
        <v>1</v>
      </c>
      <c r="AC164" s="191" t="str">
        <f>'1_BD questio brut'!AA164</f>
        <v>1 à 2 ans</v>
      </c>
      <c r="AD164" s="191" t="str">
        <f>'1_BD questio brut'!AB164</f>
        <v>Les deux</v>
      </c>
      <c r="AE164" s="191" t="str">
        <f t="array" ref="AE164">INDEX('Données 1_BD questio'!C:C,MATCH('1_BD questio brut'!$AC$1&amp;'1_BD questio brut'!AC164,'Données 1_BD questio'!A:A&amp;'Données 1_BD questio'!B:B,0))</f>
        <v>un professionnel</v>
      </c>
      <c r="AF164" s="191" t="str">
        <f>'1_BD questio brut'!AD164</f>
        <v>1 fois par an</v>
      </c>
      <c r="AG164" s="191" t="str">
        <f>'1_BD questio brut'!AE164</f>
        <v/>
      </c>
      <c r="AH164" s="191" t="str">
        <f>'1_BD questio brut'!AF164</f>
        <v>Poêle</v>
      </c>
      <c r="AI164" s="191" t="str">
        <f>'1_BD questio brut'!AG164</f>
        <v>1</v>
      </c>
      <c r="AJ164" s="191" t="str">
        <f>'1_BD questio brut'!AH164</f>
        <v/>
      </c>
      <c r="AK164" s="191" t="str">
        <f>'1_BD questio brut'!AI164</f>
        <v>Chauffage de base</v>
      </c>
      <c r="AL164" s="191" t="str">
        <f>'1_BD questio brut'!AJ164</f>
        <v>Pas de réponse</v>
      </c>
      <c r="AM164" s="191" t="str">
        <f>'1_BD questio brut'!AK164</f>
        <v>1; 2; 4; 5</v>
      </c>
      <c r="AN164" s="191" t="str">
        <f>'1_BD questio brut'!AL164</f>
        <v/>
      </c>
      <c r="AO164" s="191" t="str">
        <f>'1_BD questio brut'!AM164</f>
        <v>1</v>
      </c>
      <c r="AP164" s="191" t="str">
        <f>'1_BD questio brut'!AN164</f>
        <v/>
      </c>
      <c r="AQ164" s="191" t="str">
        <f>'1_BD questio brut'!AO164</f>
        <v/>
      </c>
    </row>
    <row r="165" spans="1:43" ht="29" hidden="1">
      <c r="A165" s="98">
        <f>INDEX('3_BD instruction total'!A:A,MATCH(C165,'3_BD instruction total'!F:F,0))</f>
        <v>2021</v>
      </c>
      <c r="B165" s="98" t="str">
        <f>INDEX('3_BD instruction total'!C:C,MATCH(C165,'3_BD instruction total'!F:F,0))</f>
        <v>non</v>
      </c>
      <c r="C165" s="191" t="str">
        <f>'1_BD questio brut'!A165</f>
        <v>VRB0171</v>
      </c>
      <c r="D165" s="191" t="str">
        <f t="array" ref="D165">INDEX('Données 1_BD questio'!C:C,MATCH('1_BD questio brut'!$B$1&amp;'1_BD questio brut'!B165,'Données 1_BD questio'!A:A&amp;'Données 1_BD questio'!B:B,0))</f>
        <v>CAPV</v>
      </c>
      <c r="E165" s="191" t="str">
        <f t="array" ref="E165">INDEX('Données 1_BD questio'!C:C,MATCH('1_BD questio brut'!$C$1&amp;'1_BD questio brut'!C165,'Données 1_BD questio'!A:A&amp;'Données 1_BD questio'!B:B,0))</f>
        <v>Ouvrier</v>
      </c>
      <c r="F165" s="191" t="str">
        <f t="array" ref="F165">INDEX('Données 1_BD questio'!C:C,MATCH('1_BD questio brut'!$D$1&amp;'1_BD questio brut'!D165,'Données 1_BD questio'!A:A&amp;'Données 1_BD questio'!B:B,0))</f>
        <v>Pas de réponse</v>
      </c>
      <c r="G165" s="191" t="str">
        <f>'1_BD questio brut'!E165</f>
        <v>50 à 64 ans</v>
      </c>
      <c r="H165" s="191">
        <f>'1_BD questio brut'!F165</f>
        <v>1</v>
      </c>
      <c r="I165" s="191" t="str">
        <f>'1_BD questio brut'!G165</f>
        <v>Pas de réponse</v>
      </c>
      <c r="J165" s="191" t="str">
        <f t="array" ref="J165">INDEX('Données 1_BD questio'!C:C,MATCH('1_BD questio brut'!$H$1&amp;'1_BD questio brut'!H165,'Données 1_BD questio'!A:A&amp;'Données 1_BD questio'!B:B,0))</f>
        <v>Maison avec jardin</v>
      </c>
      <c r="K165" s="191">
        <f>'1_BD questio brut'!I165</f>
        <v>110</v>
      </c>
      <c r="L165" s="191" t="str">
        <f>'1_BD questio brut'!J165</f>
        <v>1975-1990</v>
      </c>
      <c r="M165" s="191" t="str">
        <f>'1_BD questio brut'!K165</f>
        <v>4</v>
      </c>
      <c r="N165" s="191" t="str">
        <f>'1_BD questio brut'!L165</f>
        <v>Pas de réponse</v>
      </c>
      <c r="O165" s="191" t="str">
        <f>'1_BD questio brut'!M165</f>
        <v>Propriétaire occupant</v>
      </c>
      <c r="P165" s="191" t="str">
        <f>'1_BD questio brut'!N165</f>
        <v>Insert / foyer fermé</v>
      </c>
      <c r="Q165" s="191" t="str">
        <f>'1_BD questio brut'!O165</f>
        <v>Chauffage de base</v>
      </c>
      <c r="R165" s="191" t="str">
        <f>'1_BD questio brut'!P165</f>
        <v>Tous les jours</v>
      </c>
      <c r="S165" s="191" t="str">
        <f>'1_BD questio brut'!Q165</f>
        <v>2; 5</v>
      </c>
      <c r="T165" s="191" t="str">
        <f>'1_BD questio brut'!R165</f>
        <v>Avant 1990</v>
      </c>
      <c r="U165" s="191" t="str">
        <f>'1_BD questio brut'!S165</f>
        <v>Bois bûche</v>
      </c>
      <c r="V165" s="191" t="str">
        <f>'1_BD questio brut'!T165</f>
        <v/>
      </c>
      <c r="W165" s="191" t="str">
        <f>'1_BD questio brut'!U165</f>
        <v>10</v>
      </c>
      <c r="X165" s="191" t="str">
        <f>'1_BD questio brut'!V165</f>
        <v>stères</v>
      </c>
      <c r="Y165" s="191" t="str">
        <f>'1_BD questio brut'!W165</f>
        <v>1</v>
      </c>
      <c r="Z165" s="191" t="str">
        <f>'1_BD questio brut'!X165</f>
        <v/>
      </c>
      <c r="AA165" s="191" t="str">
        <f t="array" ref="AA165">INDEX('Données 1_BD questio'!C:C,MATCH('1_BD questio brut'!$Y$1&amp;'1_BD questio brut'!Y165,'Données 1_BD questio'!A:A&amp;'Données 1_BD questio'!B:B,0))</f>
        <v>RA2B</v>
      </c>
      <c r="AB165" s="191" t="str">
        <f>'1_BD questio brut'!Z165</f>
        <v>2</v>
      </c>
      <c r="AC165" s="191" t="str">
        <f>'1_BD questio brut'!AA165</f>
        <v>1 à 2 ans</v>
      </c>
      <c r="AD165" s="191" t="str">
        <f>'1_BD questio brut'!AB165</f>
        <v>Feuillus</v>
      </c>
      <c r="AE165" s="191" t="str">
        <f t="array" ref="AE165">INDEX('Données 1_BD questio'!C:C,MATCH('1_BD questio brut'!$AC$1&amp;'1_BD questio brut'!AC165,'Données 1_BD questio'!A:A&amp;'Données 1_BD questio'!B:B,0))</f>
        <v>vous-même</v>
      </c>
      <c r="AF165" s="191" t="str">
        <f>'1_BD questio brut'!AD165</f>
        <v>2 fois par an</v>
      </c>
      <c r="AG165" s="191" t="str">
        <f>'1_BD questio brut'!AE165</f>
        <v/>
      </c>
      <c r="AH165" s="191" t="str">
        <f>'1_BD questio brut'!AF165</f>
        <v>Poêle</v>
      </c>
      <c r="AI165" s="191" t="str">
        <f>'1_BD questio brut'!AG165</f>
        <v>1</v>
      </c>
      <c r="AJ165" s="191" t="str">
        <f>'1_BD questio brut'!AH165</f>
        <v/>
      </c>
      <c r="AK165" s="191" t="str">
        <f>'1_BD questio brut'!AI165</f>
        <v>Chauffage de base</v>
      </c>
      <c r="AL165" s="191" t="str">
        <f>'1_BD questio brut'!AJ165</f>
        <v>Pas de réponse</v>
      </c>
      <c r="AM165" s="191" t="str">
        <f>'1_BD questio brut'!AK165</f>
        <v>1; 2; 4; 5</v>
      </c>
      <c r="AN165" s="191" t="str">
        <f>'1_BD questio brut'!AL165</f>
        <v/>
      </c>
      <c r="AO165" s="191" t="str">
        <f>'1_BD questio brut'!AM165</f>
        <v>5; 7</v>
      </c>
      <c r="AP165" s="191" t="str">
        <f>'1_BD questio brut'!AN165</f>
        <v/>
      </c>
      <c r="AQ165" s="191" t="str">
        <f>'1_BD questio brut'!AO165</f>
        <v/>
      </c>
    </row>
    <row r="166" spans="1:43" ht="29" hidden="1">
      <c r="A166" s="98">
        <f>INDEX('3_BD instruction total'!A:A,MATCH(C166,'3_BD instruction total'!F:F,0))</f>
        <v>2021</v>
      </c>
      <c r="B166" s="98" t="str">
        <f>INDEX('3_BD instruction total'!C:C,MATCH(C166,'3_BD instruction total'!F:F,0))</f>
        <v>non</v>
      </c>
      <c r="C166" s="191" t="str">
        <f>'1_BD questio brut'!A166</f>
        <v>VRB0172</v>
      </c>
      <c r="D166" s="191" t="str">
        <f t="array" ref="D166">INDEX('Données 1_BD questio'!C:C,MATCH('1_BD questio brut'!$B$1&amp;'1_BD questio brut'!B166,'Données 1_BD questio'!A:A&amp;'Données 1_BD questio'!B:B,0))</f>
        <v>CAPV</v>
      </c>
      <c r="E166" s="191" t="str">
        <f t="array" ref="E166">INDEX('Données 1_BD questio'!C:C,MATCH('1_BD questio brut'!$C$1&amp;'1_BD questio brut'!C166,'Données 1_BD questio'!A:A&amp;'Données 1_BD questio'!B:B,0))</f>
        <v>Cadre</v>
      </c>
      <c r="F166" s="191" t="str">
        <f t="array" ref="F166">INDEX('Données 1_BD questio'!C:C,MATCH('1_BD questio brut'!$D$1&amp;'1_BD questio brut'!D166,'Données 1_BD questio'!A:A&amp;'Données 1_BD questio'!B:B,0))</f>
        <v>Pas de réponse</v>
      </c>
      <c r="G166" s="191" t="str">
        <f>'1_BD questio brut'!E166</f>
        <v>35 à 49 ans</v>
      </c>
      <c r="H166" s="191">
        <f>'1_BD questio brut'!F166</f>
        <v>4</v>
      </c>
      <c r="I166" s="191" t="str">
        <f>'1_BD questio brut'!G166</f>
        <v>Pas de réponse</v>
      </c>
      <c r="J166" s="191" t="str">
        <f t="array" ref="J166">INDEX('Données 1_BD questio'!C:C,MATCH('1_BD questio brut'!$H$1&amp;'1_BD questio brut'!H166,'Données 1_BD questio'!A:A&amp;'Données 1_BD questio'!B:B,0))</f>
        <v>Maison avec jardin</v>
      </c>
      <c r="K166" s="191">
        <f>'1_BD questio brut'!I166</f>
        <v>150</v>
      </c>
      <c r="L166" s="191" t="str">
        <f>'1_BD questio brut'!J166</f>
        <v>Avant 1949</v>
      </c>
      <c r="M166" s="191" t="str">
        <f>'1_BD questio brut'!K166</f>
        <v>6</v>
      </c>
      <c r="N166" s="191" t="str">
        <f>'1_BD questio brut'!L166</f>
        <v>Pas de réponse</v>
      </c>
      <c r="O166" s="191" t="str">
        <f>'1_BD questio brut'!M166</f>
        <v>Propriétaire occupant</v>
      </c>
      <c r="P166" s="191" t="str">
        <f>'1_BD questio brut'!N166</f>
        <v>Foyer ouvert</v>
      </c>
      <c r="Q166" s="191" t="str">
        <f>'1_BD questio brut'!O166</f>
        <v>Chauffage de base</v>
      </c>
      <c r="R166" s="191" t="str">
        <f>'1_BD questio brut'!P166</f>
        <v>Tous les jours</v>
      </c>
      <c r="S166" s="191" t="str">
        <f>'1_BD questio brut'!Q166</f>
        <v>1; 2; 3; 4; 5; 6</v>
      </c>
      <c r="T166" s="191" t="str">
        <f>'1_BD questio brut'!R166</f>
        <v>1990-1995</v>
      </c>
      <c r="U166" s="191" t="str">
        <f>'1_BD questio brut'!S166</f>
        <v>Bois bûche</v>
      </c>
      <c r="V166" s="191" t="str">
        <f>'1_BD questio brut'!T166</f>
        <v/>
      </c>
      <c r="W166" s="191" t="str">
        <f>'1_BD questio brut'!U166</f>
        <v>15</v>
      </c>
      <c r="X166" s="191" t="str">
        <f>'1_BD questio brut'!V166</f>
        <v>stères</v>
      </c>
      <c r="Y166" s="191" t="str">
        <f>'1_BD questio brut'!W166</f>
        <v>2</v>
      </c>
      <c r="Z166" s="191" t="str">
        <f>'1_BD questio brut'!X166</f>
        <v/>
      </c>
      <c r="AA166" s="191" t="str">
        <f t="array" ref="AA166">INDEX('Données 1_BD questio'!C:C,MATCH('1_BD questio brut'!$Y$1&amp;'1_BD questio brut'!Y166,'Données 1_BD questio'!A:A&amp;'Données 1_BD questio'!B:B,0))</f>
        <v>Ne sait pas</v>
      </c>
      <c r="AB166" s="191" t="str">
        <f>'1_BD questio brut'!Z166</f>
        <v>2</v>
      </c>
      <c r="AC166" s="191" t="str">
        <f>'1_BD questio brut'!AA166</f>
        <v>&gt; 2 ans</v>
      </c>
      <c r="AD166" s="191" t="str">
        <f>'1_BD questio brut'!AB166</f>
        <v>Feuillus</v>
      </c>
      <c r="AE166" s="191" t="str">
        <f t="array" ref="AE166">INDEX('Données 1_BD questio'!C:C,MATCH('1_BD questio brut'!$AC$1&amp;'1_BD questio brut'!AC166,'Données 1_BD questio'!A:A&amp;'Données 1_BD questio'!B:B,0))</f>
        <v>vous-même</v>
      </c>
      <c r="AF166" s="191" t="str">
        <f>'1_BD questio brut'!AD166</f>
        <v>1 fois par an</v>
      </c>
      <c r="AG166" s="191" t="str">
        <f>'1_BD questio brut'!AE166</f>
        <v/>
      </c>
      <c r="AH166" s="191" t="str">
        <f>'1_BD questio brut'!AF166</f>
        <v>Poêle</v>
      </c>
      <c r="AI166" s="191" t="str">
        <f>'1_BD questio brut'!AG166</f>
        <v>1; 2</v>
      </c>
      <c r="AJ166" s="191" t="str">
        <f>'1_BD questio brut'!AH166</f>
        <v/>
      </c>
      <c r="AK166" s="191" t="str">
        <f>'1_BD questio brut'!AI166</f>
        <v>Chauffage de base</v>
      </c>
      <c r="AL166" s="191" t="str">
        <f>'1_BD questio brut'!AJ166</f>
        <v>Pas de réponse</v>
      </c>
      <c r="AM166" s="191" t="str">
        <f>'1_BD questio brut'!AK166</f>
        <v>1; 2; 5</v>
      </c>
      <c r="AN166" s="191" t="str">
        <f>'1_BD questio brut'!AL166</f>
        <v/>
      </c>
      <c r="AO166" s="191" t="str">
        <f>'1_BD questio brut'!AM166</f>
        <v>2; 11</v>
      </c>
      <c r="AP166" s="191" t="str">
        <f>'1_BD questio brut'!AN166</f>
        <v/>
      </c>
      <c r="AQ166" s="191" t="str">
        <f>'1_BD questio brut'!AO166</f>
        <v/>
      </c>
    </row>
    <row r="167" spans="1:43" ht="43.5" hidden="1">
      <c r="A167" s="98">
        <f>INDEX('3_BD instruction total'!A:A,MATCH(C167,'3_BD instruction total'!F:F,0))</f>
        <v>2021</v>
      </c>
      <c r="B167" s="98" t="str">
        <f>INDEX('3_BD instruction total'!C:C,MATCH(C167,'3_BD instruction total'!F:F,0))</f>
        <v>non</v>
      </c>
      <c r="C167" s="191" t="str">
        <f>'1_BD questio brut'!A167</f>
        <v>VRB0173</v>
      </c>
      <c r="D167" s="191" t="str">
        <f t="array" ref="D167">INDEX('Données 1_BD questio'!C:C,MATCH('1_BD questio brut'!$B$1&amp;'1_BD questio brut'!B167,'Données 1_BD questio'!A:A&amp;'Données 1_BD questio'!B:B,0))</f>
        <v>CAPV</v>
      </c>
      <c r="E167" s="191" t="str">
        <f t="array" ref="E167">INDEX('Données 1_BD questio'!C:C,MATCH('1_BD questio brut'!$C$1&amp;'1_BD questio brut'!C167,'Données 1_BD questio'!A:A&amp;'Données 1_BD questio'!B:B,0))</f>
        <v>Retraité</v>
      </c>
      <c r="F167" s="191" t="str">
        <f t="array" ref="F167">INDEX('Données 1_BD questio'!C:C,MATCH('1_BD questio brut'!$D$1&amp;'1_BD questio brut'!D167,'Données 1_BD questio'!A:A&amp;'Données 1_BD questio'!B:B,0))</f>
        <v>Retraité</v>
      </c>
      <c r="G167" s="191" t="str">
        <f>'1_BD questio brut'!E167</f>
        <v>50 à 64 ans</v>
      </c>
      <c r="H167" s="191">
        <f>'1_BD questio brut'!F167</f>
        <v>2</v>
      </c>
      <c r="I167" s="191" t="str">
        <f>'1_BD questio brut'!G167</f>
        <v>Pas de réponse</v>
      </c>
      <c r="J167" s="191" t="str">
        <f t="array" ref="J167">INDEX('Données 1_BD questio'!C:C,MATCH('1_BD questio brut'!$H$1&amp;'1_BD questio brut'!H167,'Données 1_BD questio'!A:A&amp;'Données 1_BD questio'!B:B,0))</f>
        <v>Maison avec jardin</v>
      </c>
      <c r="K167" s="191">
        <f>'1_BD questio brut'!I167</f>
        <v>160</v>
      </c>
      <c r="L167" s="191" t="str">
        <f>'1_BD questio brut'!J167</f>
        <v>1949-1975</v>
      </c>
      <c r="M167" s="191" t="str">
        <f>'1_BD questio brut'!K167</f>
        <v>2</v>
      </c>
      <c r="N167" s="191" t="str">
        <f>'1_BD questio brut'!L167</f>
        <v>Pas de réponse</v>
      </c>
      <c r="O167" s="191" t="str">
        <f>'1_BD questio brut'!M167</f>
        <v>Propriétaire occupant</v>
      </c>
      <c r="P167" s="191" t="str">
        <f>'1_BD questio brut'!N167</f>
        <v>Insert / foyer fermé</v>
      </c>
      <c r="Q167" s="191" t="str">
        <f>'1_BD questio brut'!O167</f>
        <v>Chauffage d'apoint</v>
      </c>
      <c r="R167" s="191" t="str">
        <f>'1_BD questio brut'!P167</f>
        <v>Pas de réponse</v>
      </c>
      <c r="S167" s="191" t="str">
        <f>'1_BD questio brut'!Q167</f>
        <v>4</v>
      </c>
      <c r="T167" s="191" t="str">
        <f>'1_BD questio brut'!R167</f>
        <v>Avant 1990</v>
      </c>
      <c r="U167" s="191" t="str">
        <f>'1_BD questio brut'!S167</f>
        <v>Bois bûche</v>
      </c>
      <c r="V167" s="191" t="str">
        <f>'1_BD questio brut'!T167</f>
        <v/>
      </c>
      <c r="W167" s="191" t="str">
        <f>'1_BD questio brut'!U167</f>
        <v>5</v>
      </c>
      <c r="X167" s="191" t="str">
        <f>'1_BD questio brut'!V167</f>
        <v>stères</v>
      </c>
      <c r="Y167" s="191" t="str">
        <f>'1_BD questio brut'!W167</f>
        <v>2</v>
      </c>
      <c r="Z167" s="191" t="str">
        <f>'1_BD questio brut'!X167</f>
        <v/>
      </c>
      <c r="AA167" s="191" t="str">
        <f t="array" ref="AA167">INDEX('Données 1_BD questio'!C:C,MATCH('1_BD questio brut'!$Y$1&amp;'1_BD questio brut'!Y167,'Données 1_BD questio'!A:A&amp;'Données 1_BD questio'!B:B,0))</f>
        <v>Rhône-Alpes hors RA2B</v>
      </c>
      <c r="AB167" s="191" t="str">
        <f>'1_BD questio brut'!Z167</f>
        <v>2</v>
      </c>
      <c r="AC167" s="191" t="str">
        <f>'1_BD questio brut'!AA167</f>
        <v>&gt; 2 ans</v>
      </c>
      <c r="AD167" s="191" t="str">
        <f>'1_BD questio brut'!AB167</f>
        <v>Feuillus</v>
      </c>
      <c r="AE167" s="191" t="str">
        <f t="array" ref="AE167">INDEX('Données 1_BD questio'!C:C,MATCH('1_BD questio brut'!$AC$1&amp;'1_BD questio brut'!AC167,'Données 1_BD questio'!A:A&amp;'Données 1_BD questio'!B:B,0))</f>
        <v>un professionnel</v>
      </c>
      <c r="AF167" s="191" t="str">
        <f>'1_BD questio brut'!AD167</f>
        <v>1 fois par an</v>
      </c>
      <c r="AG167" s="191" t="str">
        <f>'1_BD questio brut'!AE167</f>
        <v/>
      </c>
      <c r="AH167" s="191" t="str">
        <f>'1_BD questio brut'!AF167</f>
        <v>Insert cheminée</v>
      </c>
      <c r="AI167" s="191" t="str">
        <f>'1_BD questio brut'!AG167</f>
        <v>1</v>
      </c>
      <c r="AJ167" s="191" t="str">
        <f>'1_BD questio brut'!AH167</f>
        <v/>
      </c>
      <c r="AK167" s="191" t="str">
        <f>'1_BD questio brut'!AI167</f>
        <v>Chauffage d'appoint</v>
      </c>
      <c r="AL167" s="191" t="str">
        <f>'1_BD questio brut'!AJ167</f>
        <v>Pas de réponse</v>
      </c>
      <c r="AM167" s="191" t="str">
        <f>'1_BD questio brut'!AK167</f>
        <v>1</v>
      </c>
      <c r="AN167" s="191" t="str">
        <f>'1_BD questio brut'!AL167</f>
        <v/>
      </c>
      <c r="AO167" s="191" t="str">
        <f>'1_BD questio brut'!AM167</f>
        <v>7</v>
      </c>
      <c r="AP167" s="191" t="str">
        <f>'1_BD questio brut'!AN167</f>
        <v/>
      </c>
      <c r="AQ167" s="191" t="str">
        <f>'1_BD questio brut'!AO167</f>
        <v/>
      </c>
    </row>
    <row r="168" spans="1:43" ht="43.5" hidden="1">
      <c r="A168" s="98">
        <f>INDEX('3_BD instruction total'!A:A,MATCH(C168,'3_BD instruction total'!F:F,0))</f>
        <v>2021</v>
      </c>
      <c r="B168" s="98" t="str">
        <f>INDEX('3_BD instruction total'!C:C,MATCH(C168,'3_BD instruction total'!F:F,0))</f>
        <v>non</v>
      </c>
      <c r="C168" s="191" t="str">
        <f>'1_BD questio brut'!A168</f>
        <v>VRB0174</v>
      </c>
      <c r="D168" s="191" t="str">
        <f t="array" ref="D168">INDEX('Données 1_BD questio'!C:C,MATCH('1_BD questio brut'!$B$1&amp;'1_BD questio brut'!B168,'Données 1_BD questio'!A:A&amp;'Données 1_BD questio'!B:B,0))</f>
        <v>CAPV</v>
      </c>
      <c r="E168" s="191" t="str">
        <f t="array" ref="E168">INDEX('Données 1_BD questio'!C:C,MATCH('1_BD questio brut'!$C$1&amp;'1_BD questio brut'!C168,'Données 1_BD questio'!A:A&amp;'Données 1_BD questio'!B:B,0))</f>
        <v>Cadre</v>
      </c>
      <c r="F168" s="191" t="str">
        <f t="array" ref="F168">INDEX('Données 1_BD questio'!C:C,MATCH('1_BD questio brut'!$D$1&amp;'1_BD questio brut'!D168,'Données 1_BD questio'!A:A&amp;'Données 1_BD questio'!B:B,0))</f>
        <v>Pas de réponse</v>
      </c>
      <c r="G168" s="191" t="str">
        <f>'1_BD questio brut'!E168</f>
        <v>50 à 64 ans</v>
      </c>
      <c r="H168" s="191">
        <f>'1_BD questio brut'!F168</f>
        <v>2</v>
      </c>
      <c r="I168" s="191" t="str">
        <f>'1_BD questio brut'!G168</f>
        <v>Pas de réponse</v>
      </c>
      <c r="J168" s="191" t="str">
        <f t="array" ref="J168">INDEX('Données 1_BD questio'!C:C,MATCH('1_BD questio brut'!$H$1&amp;'1_BD questio brut'!H168,'Données 1_BD questio'!A:A&amp;'Données 1_BD questio'!B:B,0))</f>
        <v>Maison avec jardin</v>
      </c>
      <c r="K168" s="191">
        <f>'1_BD questio brut'!I168</f>
        <v>100</v>
      </c>
      <c r="L168" s="191" t="str">
        <f>'1_BD questio brut'!J168</f>
        <v>1949-1975</v>
      </c>
      <c r="M168" s="191" t="str">
        <f>'1_BD questio brut'!K168</f>
        <v>1</v>
      </c>
      <c r="N168" s="191" t="str">
        <f>'1_BD questio brut'!L168</f>
        <v>Pas de réponse</v>
      </c>
      <c r="O168" s="191" t="str">
        <f>'1_BD questio brut'!M168</f>
        <v>Propriétaire occupant</v>
      </c>
      <c r="P168" s="191" t="str">
        <f>'1_BD questio brut'!N168</f>
        <v>Insert / foyer fermé</v>
      </c>
      <c r="Q168" s="191" t="str">
        <f>'1_BD questio brut'!O168</f>
        <v>Pas de réponse</v>
      </c>
      <c r="R168" s="191" t="str">
        <f>'1_BD questio brut'!P168</f>
        <v>3 à 4 jours/semaine</v>
      </c>
      <c r="S168" s="191" t="str">
        <f>'1_BD questio brut'!Q168</f>
        <v>2; 6</v>
      </c>
      <c r="T168" s="191" t="str">
        <f>'1_BD questio brut'!R168</f>
        <v>Avant 1990</v>
      </c>
      <c r="U168" s="191" t="str">
        <f>'1_BD questio brut'!S168</f>
        <v>Bois bûche</v>
      </c>
      <c r="V168" s="191" t="str">
        <f>'1_BD questio brut'!T168</f>
        <v/>
      </c>
      <c r="W168" s="191" t="str">
        <f>'1_BD questio brut'!U168</f>
        <v>6</v>
      </c>
      <c r="X168" s="191" t="str">
        <f>'1_BD questio brut'!V168</f>
        <v>stères</v>
      </c>
      <c r="Y168" s="191" t="str">
        <f>'1_BD questio brut'!W168</f>
        <v>2</v>
      </c>
      <c r="Z168" s="191" t="str">
        <f>'1_BD questio brut'!X168</f>
        <v/>
      </c>
      <c r="AA168" s="191" t="str">
        <f t="array" ref="AA168">INDEX('Données 1_BD questio'!C:C,MATCH('1_BD questio brut'!$Y$1&amp;'1_BD questio brut'!Y168,'Données 1_BD questio'!A:A&amp;'Données 1_BD questio'!B:B,0))</f>
        <v>RA2B</v>
      </c>
      <c r="AB168" s="191" t="str">
        <f>'1_BD questio brut'!Z168</f>
        <v>2</v>
      </c>
      <c r="AC168" s="191" t="str">
        <f>'1_BD questio brut'!AA168</f>
        <v>1 à 2 ans</v>
      </c>
      <c r="AD168" s="191" t="str">
        <f>'1_BD questio brut'!AB168</f>
        <v>Les deux</v>
      </c>
      <c r="AE168" s="191" t="str">
        <f t="array" ref="AE168">INDEX('Données 1_BD questio'!C:C,MATCH('1_BD questio brut'!$AC$1&amp;'1_BD questio brut'!AC168,'Données 1_BD questio'!A:A&amp;'Données 1_BD questio'!B:B,0))</f>
        <v>un professionnel</v>
      </c>
      <c r="AF168" s="191" t="str">
        <f>'1_BD questio brut'!AD168</f>
        <v>1 fois par an</v>
      </c>
      <c r="AG168" s="191" t="str">
        <f>'1_BD questio brut'!AE168</f>
        <v/>
      </c>
      <c r="AH168" s="191" t="str">
        <f>'1_BD questio brut'!AF168</f>
        <v>Poêle</v>
      </c>
      <c r="AI168" s="191" t="str">
        <f>'1_BD questio brut'!AG168</f>
        <v>2</v>
      </c>
      <c r="AJ168" s="191" t="str">
        <f>'1_BD questio brut'!AH168</f>
        <v/>
      </c>
      <c r="AK168" s="191" t="str">
        <f>'1_BD questio brut'!AI168</f>
        <v>Chauffage de base</v>
      </c>
      <c r="AL168" s="191" t="str">
        <f>'1_BD questio brut'!AJ168</f>
        <v>Pas de réponse</v>
      </c>
      <c r="AM168" s="191" t="str">
        <f>'1_BD questio brut'!AK168</f>
        <v>1; 2; 5</v>
      </c>
      <c r="AN168" s="191" t="str">
        <f>'1_BD questio brut'!AL168</f>
        <v/>
      </c>
      <c r="AO168" s="191" t="str">
        <f>'1_BD questio brut'!AM168</f>
        <v>5</v>
      </c>
      <c r="AP168" s="191" t="str">
        <f>'1_BD questio brut'!AN168</f>
        <v/>
      </c>
      <c r="AQ168" s="191" t="str">
        <f>'1_BD questio brut'!AO168</f>
        <v/>
      </c>
    </row>
    <row r="169" spans="1:43" ht="43.5" hidden="1">
      <c r="A169" s="98">
        <f>INDEX('3_BD instruction total'!A:A,MATCH(C169,'3_BD instruction total'!F:F,0))</f>
        <v>2021</v>
      </c>
      <c r="B169" s="98" t="str">
        <f>INDEX('3_BD instruction total'!C:C,MATCH(C169,'3_BD instruction total'!F:F,0))</f>
        <v>non</v>
      </c>
      <c r="C169" s="191" t="str">
        <f>'1_BD questio brut'!A169</f>
        <v>VRB0175</v>
      </c>
      <c r="D169" s="191" t="str">
        <f t="array" ref="D169">INDEX('Données 1_BD questio'!C:C,MATCH('1_BD questio brut'!$B$1&amp;'1_BD questio brut'!B169,'Données 1_BD questio'!A:A&amp;'Données 1_BD questio'!B:B,0))</f>
        <v>CAPV</v>
      </c>
      <c r="E169" s="191" t="str">
        <f t="array" ref="E169">INDEX('Données 1_BD questio'!C:C,MATCH('1_BD questio brut'!$C$1&amp;'1_BD questio brut'!C169,'Données 1_BD questio'!A:A&amp;'Données 1_BD questio'!B:B,0))</f>
        <v>Autre,sans activité</v>
      </c>
      <c r="F169" s="191" t="str">
        <f t="array" ref="F169">INDEX('Données 1_BD questio'!C:C,MATCH('1_BD questio brut'!$D$1&amp;'1_BD questio brut'!D169,'Données 1_BD questio'!A:A&amp;'Données 1_BD questio'!B:B,0))</f>
        <v>Pas de réponse</v>
      </c>
      <c r="G169" s="191" t="str">
        <f>'1_BD questio brut'!E169</f>
        <v>50 à 64 ans</v>
      </c>
      <c r="H169" s="191">
        <f>'1_BD questio brut'!F169</f>
        <v>3</v>
      </c>
      <c r="I169" s="191" t="str">
        <f>'1_BD questio brut'!G169</f>
        <v>Pas de réponse</v>
      </c>
      <c r="J169" s="191" t="str">
        <f t="array" ref="J169">INDEX('Données 1_BD questio'!C:C,MATCH('1_BD questio brut'!$H$1&amp;'1_BD questio brut'!H169,'Données 1_BD questio'!A:A&amp;'Données 1_BD questio'!B:B,0))</f>
        <v>Maison avec jardin</v>
      </c>
      <c r="K169" s="191">
        <f>'1_BD questio brut'!I169</f>
        <v>100</v>
      </c>
      <c r="L169" s="191" t="str">
        <f>'1_BD questio brut'!J169</f>
        <v>1990-2005</v>
      </c>
      <c r="M169" s="191" t="str">
        <f>'1_BD questio brut'!K169</f>
        <v>6</v>
      </c>
      <c r="N169" s="191" t="str">
        <f>'1_BD questio brut'!L169</f>
        <v>Pas de réponse</v>
      </c>
      <c r="O169" s="191" t="str">
        <f>'1_BD questio brut'!M169</f>
        <v>Propriétaire occupant</v>
      </c>
      <c r="P169" s="191" t="str">
        <f>'1_BD questio brut'!N169</f>
        <v>Insert / foyer fermé</v>
      </c>
      <c r="Q169" s="191" t="str">
        <f>'1_BD questio brut'!O169</f>
        <v>Chauffage de base</v>
      </c>
      <c r="R169" s="191" t="str">
        <f>'1_BD questio brut'!P169</f>
        <v>Tous les jours</v>
      </c>
      <c r="S169" s="191" t="str">
        <f>'1_BD questio brut'!Q169</f>
        <v>4</v>
      </c>
      <c r="T169" s="191" t="str">
        <f>'1_BD questio brut'!R169</f>
        <v>1996-2002</v>
      </c>
      <c r="U169" s="191" t="str">
        <f>'1_BD questio brut'!S169</f>
        <v>Bois bûche</v>
      </c>
      <c r="V169" s="191" t="str">
        <f>'1_BD questio brut'!T169</f>
        <v/>
      </c>
      <c r="W169" s="191" t="str">
        <f>'1_BD questio brut'!U169</f>
        <v>6</v>
      </c>
      <c r="X169" s="191" t="str">
        <f>'1_BD questio brut'!V169</f>
        <v>stères</v>
      </c>
      <c r="Y169" s="191" t="str">
        <f>'1_BD questio brut'!W169</f>
        <v>2</v>
      </c>
      <c r="Z169" s="191" t="str">
        <f>'1_BD questio brut'!X169</f>
        <v/>
      </c>
      <c r="AA169" s="191" t="str">
        <f t="array" ref="AA169">INDEX('Données 1_BD questio'!C:C,MATCH('1_BD questio brut'!$Y$1&amp;'1_BD questio brut'!Y169,'Données 1_BD questio'!A:A&amp;'Données 1_BD questio'!B:B,0))</f>
        <v>Rhône-Alpes hors RA2B</v>
      </c>
      <c r="AB169" s="191" t="str">
        <f>'1_BD questio brut'!Z169</f>
        <v>3</v>
      </c>
      <c r="AC169" s="191" t="str">
        <f>'1_BD questio brut'!AA169</f>
        <v>&gt; 2 ans</v>
      </c>
      <c r="AD169" s="191" t="str">
        <f>'1_BD questio brut'!AB169</f>
        <v>Feuillus</v>
      </c>
      <c r="AE169" s="191" t="str">
        <f t="array" ref="AE169">INDEX('Données 1_BD questio'!C:C,MATCH('1_BD questio brut'!$AC$1&amp;'1_BD questio brut'!AC169,'Données 1_BD questio'!A:A&amp;'Données 1_BD questio'!B:B,0))</f>
        <v>un professionnel</v>
      </c>
      <c r="AF169" s="191" t="str">
        <f>'1_BD questio brut'!AD169</f>
        <v>1 fois par an</v>
      </c>
      <c r="AG169" s="191" t="str">
        <f>'1_BD questio brut'!AE169</f>
        <v/>
      </c>
      <c r="AH169" s="191" t="str">
        <f>'1_BD questio brut'!AF169</f>
        <v>Poêle</v>
      </c>
      <c r="AI169" s="191" t="str">
        <f>'1_BD questio brut'!AG169</f>
        <v>1</v>
      </c>
      <c r="AJ169" s="191" t="str">
        <f>'1_BD questio brut'!AH169</f>
        <v/>
      </c>
      <c r="AK169" s="191" t="str">
        <f>'1_BD questio brut'!AI169</f>
        <v>Chauffage de base</v>
      </c>
      <c r="AL169" s="191" t="str">
        <f>'1_BD questio brut'!AJ169</f>
        <v>Pas de réponse</v>
      </c>
      <c r="AM169" s="191" t="str">
        <f>'1_BD questio brut'!AK169</f>
        <v>4</v>
      </c>
      <c r="AN169" s="191" t="str">
        <f>'1_BD questio brut'!AL169</f>
        <v/>
      </c>
      <c r="AO169" s="191" t="str">
        <f>'1_BD questio brut'!AM169</f>
        <v>5</v>
      </c>
      <c r="AP169" s="191" t="str">
        <f>'1_BD questio brut'!AN169</f>
        <v/>
      </c>
      <c r="AQ169" s="191" t="str">
        <f>'1_BD questio brut'!AO169</f>
        <v/>
      </c>
    </row>
    <row r="170" spans="1:43" ht="29" hidden="1">
      <c r="A170" s="98">
        <f>INDEX('3_BD instruction total'!A:A,MATCH(C170,'3_BD instruction total'!F:F,0))</f>
        <v>2021</v>
      </c>
      <c r="B170" s="98" t="str">
        <f>INDEX('3_BD instruction total'!C:C,MATCH(C170,'3_BD instruction total'!F:F,0))</f>
        <v>non</v>
      </c>
      <c r="C170" s="191" t="str">
        <f>'1_BD questio brut'!A170</f>
        <v>VRB0176</v>
      </c>
      <c r="D170" s="191" t="str">
        <f t="array" ref="D170">INDEX('Données 1_BD questio'!C:C,MATCH('1_BD questio brut'!$B$1&amp;'1_BD questio brut'!B170,'Données 1_BD questio'!A:A&amp;'Données 1_BD questio'!B:B,0))</f>
        <v>CAPV</v>
      </c>
      <c r="E170" s="191" t="str">
        <f t="array" ref="E170">INDEX('Données 1_BD questio'!C:C,MATCH('1_BD questio brut'!$C$1&amp;'1_BD questio brut'!C170,'Données 1_BD questio'!A:A&amp;'Données 1_BD questio'!B:B,0))</f>
        <v>Autre,sans activité</v>
      </c>
      <c r="F170" s="191" t="str">
        <f t="array" ref="F170">INDEX('Données 1_BD questio'!C:C,MATCH('1_BD questio brut'!$D$1&amp;'1_BD questio brut'!D170,'Données 1_BD questio'!A:A&amp;'Données 1_BD questio'!B:B,0))</f>
        <v>Pas de réponse</v>
      </c>
      <c r="G170" s="191" t="str">
        <f>'1_BD questio brut'!E170</f>
        <v>35 à 49 ans</v>
      </c>
      <c r="H170" s="191">
        <f>'1_BD questio brut'!F170</f>
        <v>3</v>
      </c>
      <c r="I170" s="191" t="str">
        <f>'1_BD questio brut'!G170</f>
        <v>Pas de réponse</v>
      </c>
      <c r="J170" s="191" t="str">
        <f t="array" ref="J170">INDEX('Données 1_BD questio'!C:C,MATCH('1_BD questio brut'!$H$1&amp;'1_BD questio brut'!H170,'Données 1_BD questio'!A:A&amp;'Données 1_BD questio'!B:B,0))</f>
        <v>Maison avec jardin</v>
      </c>
      <c r="K170" s="191">
        <f>'1_BD questio brut'!I170</f>
        <v>100</v>
      </c>
      <c r="L170" s="191" t="str">
        <f>'1_BD questio brut'!J170</f>
        <v>Avant 1949</v>
      </c>
      <c r="M170" s="191" t="str">
        <f>'1_BD questio brut'!K170</f>
        <v>1; 2; 3; 4</v>
      </c>
      <c r="N170" s="191" t="str">
        <f>'1_BD questio brut'!L170</f>
        <v>Pas de réponse</v>
      </c>
      <c r="O170" s="191" t="str">
        <f>'1_BD questio brut'!M170</f>
        <v>Propriétaire occupant</v>
      </c>
      <c r="P170" s="191" t="str">
        <f>'1_BD questio brut'!N170</f>
        <v>Poêle</v>
      </c>
      <c r="Q170" s="191" t="str">
        <f>'1_BD questio brut'!O170</f>
        <v>Chauffage de base</v>
      </c>
      <c r="R170" s="191" t="str">
        <f>'1_BD questio brut'!P170</f>
        <v>Tous les jours</v>
      </c>
      <c r="S170" s="191" t="str">
        <f>'1_BD questio brut'!Q170</f>
        <v>1; 2; 4</v>
      </c>
      <c r="T170" s="191" t="str">
        <f>'1_BD questio brut'!R170</f>
        <v>1996-2002</v>
      </c>
      <c r="U170" s="191" t="str">
        <f>'1_BD questio brut'!S170</f>
        <v>Bois bûche</v>
      </c>
      <c r="V170" s="191" t="str">
        <f>'1_BD questio brut'!T170</f>
        <v/>
      </c>
      <c r="W170" s="191" t="str">
        <f>'1_BD questio brut'!U170</f>
        <v/>
      </c>
      <c r="X170" s="191" t="str">
        <f>'1_BD questio brut'!V170</f>
        <v/>
      </c>
      <c r="Y170" s="191" t="str">
        <f>'1_BD questio brut'!W170</f>
        <v>2</v>
      </c>
      <c r="Z170" s="191" t="str">
        <f>'1_BD questio brut'!X170</f>
        <v/>
      </c>
      <c r="AA170" s="191" t="str">
        <f t="array" ref="AA170">INDEX('Données 1_BD questio'!C:C,MATCH('1_BD questio brut'!$Y$1&amp;'1_BD questio brut'!Y170,'Données 1_BD questio'!A:A&amp;'Données 1_BD questio'!B:B,0))</f>
        <v>Ne sait pas</v>
      </c>
      <c r="AB170" s="191" t="str">
        <f>'1_BD questio brut'!Z170</f>
        <v>2</v>
      </c>
      <c r="AC170" s="191" t="str">
        <f>'1_BD questio brut'!AA170</f>
        <v>1 à 2 ans</v>
      </c>
      <c r="AD170" s="191" t="str">
        <f>'1_BD questio brut'!AB170</f>
        <v>Les deux</v>
      </c>
      <c r="AE170" s="191" t="str">
        <f t="array" ref="AE170">INDEX('Données 1_BD questio'!C:C,MATCH('1_BD questio brut'!$AC$1&amp;'1_BD questio brut'!AC170,'Données 1_BD questio'!A:A&amp;'Données 1_BD questio'!B:B,0))</f>
        <v>vous-même</v>
      </c>
      <c r="AF170" s="191" t="str">
        <f>'1_BD questio brut'!AD170</f>
        <v>1 fois par an</v>
      </c>
      <c r="AG170" s="191" t="str">
        <f>'1_BD questio brut'!AE170</f>
        <v/>
      </c>
      <c r="AH170" s="191" t="str">
        <f>'1_BD questio brut'!AF170</f>
        <v>Poêle</v>
      </c>
      <c r="AI170" s="191" t="str">
        <f>'1_BD questio brut'!AG170</f>
        <v>2</v>
      </c>
      <c r="AJ170" s="191" t="str">
        <f>'1_BD questio brut'!AH170</f>
        <v/>
      </c>
      <c r="AK170" s="191" t="str">
        <f>'1_BD questio brut'!AI170</f>
        <v>Chauffage de base</v>
      </c>
      <c r="AL170" s="191" t="str">
        <f>'1_BD questio brut'!AJ170</f>
        <v>Pas de réponse</v>
      </c>
      <c r="AM170" s="191" t="str">
        <f>'1_BD questio brut'!AK170</f>
        <v>5</v>
      </c>
      <c r="AN170" s="191" t="str">
        <f>'1_BD questio brut'!AL170</f>
        <v/>
      </c>
      <c r="AO170" s="191" t="str">
        <f>'1_BD questio brut'!AM170</f>
        <v>5</v>
      </c>
      <c r="AP170" s="191" t="str">
        <f>'1_BD questio brut'!AN170</f>
        <v/>
      </c>
      <c r="AQ170" s="191" t="str">
        <f>'1_BD questio brut'!AO170</f>
        <v/>
      </c>
    </row>
    <row r="171" spans="1:43" ht="43.5" hidden="1">
      <c r="A171" s="98">
        <f>INDEX('3_BD instruction total'!A:A,MATCH(C171,'3_BD instruction total'!F:F,0))</f>
        <v>2021</v>
      </c>
      <c r="B171" s="98" t="str">
        <f>INDEX('3_BD instruction total'!C:C,MATCH(C171,'3_BD instruction total'!F:F,0))</f>
        <v>non</v>
      </c>
      <c r="C171" s="191" t="str">
        <f>'1_BD questio brut'!A171</f>
        <v>VRB0177</v>
      </c>
      <c r="D171" s="191" t="str">
        <f t="array" ref="D171">INDEX('Données 1_BD questio'!C:C,MATCH('1_BD questio brut'!$B$1&amp;'1_BD questio brut'!B171,'Données 1_BD questio'!A:A&amp;'Données 1_BD questio'!B:B,0))</f>
        <v>CAPV</v>
      </c>
      <c r="E171" s="191" t="str">
        <f t="array" ref="E171">INDEX('Données 1_BD questio'!C:C,MATCH('1_BD questio brut'!$C$1&amp;'1_BD questio brut'!C171,'Données 1_BD questio'!A:A&amp;'Données 1_BD questio'!B:B,0))</f>
        <v>Artisan,commerçant,chef d'entreprise</v>
      </c>
      <c r="F171" s="191" t="str">
        <f t="array" ref="F171">INDEX('Données 1_BD questio'!C:C,MATCH('1_BD questio brut'!$D$1&amp;'1_BD questio brut'!D171,'Données 1_BD questio'!A:A&amp;'Données 1_BD questio'!B:B,0))</f>
        <v>Employé</v>
      </c>
      <c r="G171" s="191" t="str">
        <f>'1_BD questio brut'!E171</f>
        <v>25 à 34 ans</v>
      </c>
      <c r="H171" s="191">
        <f>'1_BD questio brut'!F171</f>
        <v>2</v>
      </c>
      <c r="I171" s="191" t="str">
        <f>'1_BD questio brut'!G171</f>
        <v>Pas de réponse</v>
      </c>
      <c r="J171" s="191" t="str">
        <f t="array" ref="J171">INDEX('Données 1_BD questio'!C:C,MATCH('1_BD questio brut'!$H$1&amp;'1_BD questio brut'!H171,'Données 1_BD questio'!A:A&amp;'Données 1_BD questio'!B:B,0))</f>
        <v>Maison avec jardin</v>
      </c>
      <c r="K171" s="191">
        <f>'1_BD questio brut'!I171</f>
        <v>110</v>
      </c>
      <c r="L171" s="191" t="str">
        <f>'1_BD questio brut'!J171</f>
        <v>1975-1990</v>
      </c>
      <c r="M171" s="191" t="str">
        <f>'1_BD questio brut'!K171</f>
        <v>4</v>
      </c>
      <c r="N171" s="191" t="str">
        <f>'1_BD questio brut'!L171</f>
        <v>Ne sait pas</v>
      </c>
      <c r="O171" s="191" t="str">
        <f>'1_BD questio brut'!M171</f>
        <v>Propriétaire occupant</v>
      </c>
      <c r="P171" s="191" t="str">
        <f>'1_BD questio brut'!N171</f>
        <v>Insert / foyer fermé</v>
      </c>
      <c r="Q171" s="191" t="str">
        <f>'1_BD questio brut'!O171</f>
        <v>Chauffage de base</v>
      </c>
      <c r="R171" s="191" t="str">
        <f>'1_BD questio brut'!P171</f>
        <v>Tous les jours</v>
      </c>
      <c r="S171" s="191" t="str">
        <f>'1_BD questio brut'!Q171</f>
        <v>1; 2; 3; 4; 5; 6</v>
      </c>
      <c r="T171" s="191" t="str">
        <f>'1_BD questio brut'!R171</f>
        <v>1990-1995</v>
      </c>
      <c r="U171" s="191" t="str">
        <f>'1_BD questio brut'!S171</f>
        <v>Bois bûche</v>
      </c>
      <c r="V171" s="191" t="str">
        <f>'1_BD questio brut'!T171</f>
        <v/>
      </c>
      <c r="W171" s="191" t="str">
        <f>'1_BD questio brut'!U171</f>
        <v>10</v>
      </c>
      <c r="X171" s="191" t="str">
        <f>'1_BD questio brut'!V171</f>
        <v>stères</v>
      </c>
      <c r="Y171" s="191" t="str">
        <f>'1_BD questio brut'!W171</f>
        <v>2</v>
      </c>
      <c r="Z171" s="191" t="str">
        <f>'1_BD questio brut'!X171</f>
        <v/>
      </c>
      <c r="AA171" s="191" t="str">
        <f t="array" ref="AA171">INDEX('Données 1_BD questio'!C:C,MATCH('1_BD questio brut'!$Y$1&amp;'1_BD questio brut'!Y171,'Données 1_BD questio'!A:A&amp;'Données 1_BD questio'!B:B,0))</f>
        <v>Rhône-Alpes hors RA2B</v>
      </c>
      <c r="AB171" s="191" t="str">
        <f>'1_BD questio brut'!Z171</f>
        <v>2</v>
      </c>
      <c r="AC171" s="191" t="str">
        <f>'1_BD questio brut'!AA171</f>
        <v>&gt; 2 ans</v>
      </c>
      <c r="AD171" s="191" t="str">
        <f>'1_BD questio brut'!AB171</f>
        <v>Feuillus</v>
      </c>
      <c r="AE171" s="191" t="str">
        <f t="array" ref="AE171">INDEX('Données 1_BD questio'!C:C,MATCH('1_BD questio brut'!$AC$1&amp;'1_BD questio brut'!AC171,'Données 1_BD questio'!A:A&amp;'Données 1_BD questio'!B:B,0))</f>
        <v>un professionnel</v>
      </c>
      <c r="AF171" s="191" t="str">
        <f>'1_BD questio brut'!AD171</f>
        <v>2 fois par an</v>
      </c>
      <c r="AG171" s="191" t="str">
        <f>'1_BD questio brut'!AE171</f>
        <v/>
      </c>
      <c r="AH171" s="191" t="str">
        <f>'1_BD questio brut'!AF171</f>
        <v>Poêle</v>
      </c>
      <c r="AI171" s="191" t="str">
        <f>'1_BD questio brut'!AG171</f>
        <v>1</v>
      </c>
      <c r="AJ171" s="191" t="str">
        <f>'1_BD questio brut'!AH171</f>
        <v/>
      </c>
      <c r="AK171" s="191" t="str">
        <f>'1_BD questio brut'!AI171</f>
        <v>Chauffage de base</v>
      </c>
      <c r="AL171" s="191" t="str">
        <f>'1_BD questio brut'!AJ171</f>
        <v>Pas de réponse</v>
      </c>
      <c r="AM171" s="191" t="str">
        <f>'1_BD questio brut'!AK171</f>
        <v>1; 2; 4; 5</v>
      </c>
      <c r="AN171" s="191" t="str">
        <f>'1_BD questio brut'!AL171</f>
        <v/>
      </c>
      <c r="AO171" s="191" t="str">
        <f>'1_BD questio brut'!AM171</f>
        <v>11</v>
      </c>
      <c r="AP171" s="191" t="str">
        <f>'1_BD questio brut'!AN171</f>
        <v/>
      </c>
      <c r="AQ171" s="191" t="str">
        <f>'1_BD questio brut'!AO171</f>
        <v/>
      </c>
    </row>
    <row r="172" spans="1:43" ht="43.5" hidden="1">
      <c r="A172" s="98">
        <f>INDEX('3_BD instruction total'!A:A,MATCH(C172,'3_BD instruction total'!F:F,0))</f>
        <v>1900</v>
      </c>
      <c r="B172" s="98" t="str">
        <f>INDEX('3_BD instruction total'!C:C,MATCH(C172,'3_BD instruction total'!F:F,0))</f>
        <v>oui</v>
      </c>
      <c r="C172" s="191" t="str">
        <f>'1_BD questio brut'!A172</f>
        <v>VRB0178</v>
      </c>
      <c r="D172" s="191" t="str">
        <f t="array" ref="D172">INDEX('Données 1_BD questio'!C:C,MATCH('1_BD questio brut'!$B$1&amp;'1_BD questio brut'!B172,'Données 1_BD questio'!A:A&amp;'Données 1_BD questio'!B:B,0))</f>
        <v>CAPV</v>
      </c>
      <c r="E172" s="191" t="str">
        <f t="array" ref="E172">INDEX('Données 1_BD questio'!C:C,MATCH('1_BD questio brut'!$C$1&amp;'1_BD questio brut'!C172,'Données 1_BD questio'!A:A&amp;'Données 1_BD questio'!B:B,0))</f>
        <v>Employé</v>
      </c>
      <c r="F172" s="191" t="str">
        <f t="array" ref="F172">INDEX('Données 1_BD questio'!C:C,MATCH('1_BD questio brut'!$D$1&amp;'1_BD questio brut'!D172,'Données 1_BD questio'!A:A&amp;'Données 1_BD questio'!B:B,0))</f>
        <v>Employé</v>
      </c>
      <c r="G172" s="191" t="str">
        <f>'1_BD questio brut'!E172</f>
        <v>25 à 34 ans</v>
      </c>
      <c r="H172" s="191">
        <f>'1_BD questio brut'!F172</f>
        <v>2</v>
      </c>
      <c r="I172" s="191" t="str">
        <f>'1_BD questio brut'!G172</f>
        <v>Pas de réponse</v>
      </c>
      <c r="J172" s="191" t="str">
        <f t="array" ref="J172">INDEX('Données 1_BD questio'!C:C,MATCH('1_BD questio brut'!$H$1&amp;'1_BD questio brut'!H172,'Données 1_BD questio'!A:A&amp;'Données 1_BD questio'!B:B,0))</f>
        <v>Maison avec jardin</v>
      </c>
      <c r="K172" s="191">
        <f>'1_BD questio brut'!I172</f>
        <v>140</v>
      </c>
      <c r="L172" s="191" t="str">
        <f>'1_BD questio brut'!J172</f>
        <v>Avant 1949</v>
      </c>
      <c r="M172" s="191" t="str">
        <f>'1_BD questio brut'!K172</f>
        <v>6</v>
      </c>
      <c r="N172" s="191" t="str">
        <f>'1_BD questio brut'!L172</f>
        <v>Pas de réponse</v>
      </c>
      <c r="O172" s="191" t="str">
        <f>'1_BD questio brut'!M172</f>
        <v>Propriétaire occupant</v>
      </c>
      <c r="P172" s="191" t="str">
        <f>'1_BD questio brut'!N172</f>
        <v>Insert / foyer fermé</v>
      </c>
      <c r="Q172" s="191" t="str">
        <f>'1_BD questio brut'!O172</f>
        <v>Chauffage de base</v>
      </c>
      <c r="R172" s="191" t="str">
        <f>'1_BD questio brut'!P172</f>
        <v>Tous les jours</v>
      </c>
      <c r="S172" s="191" t="str">
        <f>'1_BD questio brut'!Q172</f>
        <v>1; 2</v>
      </c>
      <c r="T172" s="191" t="str">
        <f>'1_BD questio brut'!R172</f>
        <v>Avant 1990</v>
      </c>
      <c r="U172" s="191" t="str">
        <f>'1_BD questio brut'!S172</f>
        <v>Bois bûche</v>
      </c>
      <c r="V172" s="191" t="str">
        <f>'1_BD questio brut'!T172</f>
        <v/>
      </c>
      <c r="W172" s="191" t="str">
        <f>'1_BD questio brut'!U172</f>
        <v/>
      </c>
      <c r="X172" s="191" t="str">
        <f>'1_BD questio brut'!V172</f>
        <v/>
      </c>
      <c r="Y172" s="191" t="str">
        <f>'1_BD questio brut'!W172</f>
        <v>5</v>
      </c>
      <c r="Z172" s="191" t="str">
        <f>'1_BD questio brut'!X172</f>
        <v/>
      </c>
      <c r="AA172" s="191" t="str">
        <f t="array" ref="AA172">INDEX('Données 1_BD questio'!C:C,MATCH('1_BD questio brut'!$Y$1&amp;'1_BD questio brut'!Y172,'Données 1_BD questio'!A:A&amp;'Données 1_BD questio'!B:B,0))</f>
        <v>Ne sait pas</v>
      </c>
      <c r="AB172" s="191" t="str">
        <f>'1_BD questio brut'!Z172</f>
        <v>2</v>
      </c>
      <c r="AC172" s="191" t="str">
        <f>'1_BD questio brut'!AA172</f>
        <v>Ne sait pas</v>
      </c>
      <c r="AD172" s="191" t="str">
        <f>'1_BD questio brut'!AB172</f>
        <v>Ne sait pas</v>
      </c>
      <c r="AE172" s="191" t="str">
        <f t="array" ref="AE172">INDEX('Données 1_BD questio'!C:C,MATCH('1_BD questio brut'!$AC$1&amp;'1_BD questio brut'!AC172,'Données 1_BD questio'!A:A&amp;'Données 1_BD questio'!B:B,0))</f>
        <v>un professionnel</v>
      </c>
      <c r="AF172" s="191" t="str">
        <f>'1_BD questio brut'!AD172</f>
        <v>1 fois par an</v>
      </c>
      <c r="AG172" s="191" t="str">
        <f>'1_BD questio brut'!AE172</f>
        <v/>
      </c>
      <c r="AH172" s="191" t="str">
        <f>'1_BD questio brut'!AF172</f>
        <v>Chaudière</v>
      </c>
      <c r="AI172" s="191" t="str">
        <f>'1_BD questio brut'!AG172</f>
        <v>2</v>
      </c>
      <c r="AJ172" s="191" t="str">
        <f>'1_BD questio brut'!AH172</f>
        <v/>
      </c>
      <c r="AK172" s="191" t="str">
        <f>'1_BD questio brut'!AI172</f>
        <v>Chauffage de base</v>
      </c>
      <c r="AL172" s="191" t="str">
        <f>'1_BD questio brut'!AJ172</f>
        <v>Pas de réponse</v>
      </c>
      <c r="AM172" s="191" t="str">
        <f>'1_BD questio brut'!AK172</f>
        <v>2; 4; 5</v>
      </c>
      <c r="AN172" s="191" t="str">
        <f>'1_BD questio brut'!AL172</f>
        <v/>
      </c>
      <c r="AO172" s="191" t="str">
        <f>'1_BD questio brut'!AM172</f>
        <v>2; 7</v>
      </c>
      <c r="AP172" s="191" t="str">
        <f>'1_BD questio brut'!AN172</f>
        <v/>
      </c>
      <c r="AQ172" s="191" t="str">
        <f>'1_BD questio brut'!AO172</f>
        <v/>
      </c>
    </row>
    <row r="173" spans="1:43" ht="43.5" hidden="1">
      <c r="A173" s="98">
        <f>INDEX('3_BD instruction total'!A:A,MATCH(C173,'3_BD instruction total'!F:F,0))</f>
        <v>2021</v>
      </c>
      <c r="B173" s="98" t="str">
        <f>INDEX('3_BD instruction total'!C:C,MATCH(C173,'3_BD instruction total'!F:F,0))</f>
        <v>non</v>
      </c>
      <c r="C173" s="191" t="str">
        <f>'1_BD questio brut'!A173</f>
        <v>VRB0179</v>
      </c>
      <c r="D173" s="191" t="str">
        <f t="array" ref="D173">INDEX('Données 1_BD questio'!C:C,MATCH('1_BD questio brut'!$B$1&amp;'1_BD questio brut'!B173,'Données 1_BD questio'!A:A&amp;'Données 1_BD questio'!B:B,0))</f>
        <v>CAPV</v>
      </c>
      <c r="E173" s="191" t="str">
        <f t="array" ref="E173">INDEX('Données 1_BD questio'!C:C,MATCH('1_BD questio brut'!$C$1&amp;'1_BD questio brut'!C173,'Données 1_BD questio'!A:A&amp;'Données 1_BD questio'!B:B,0))</f>
        <v>Retraité</v>
      </c>
      <c r="F173" s="191" t="str">
        <f t="array" ref="F173">INDEX('Données 1_BD questio'!C:C,MATCH('1_BD questio brut'!$D$1&amp;'1_BD questio brut'!D173,'Données 1_BD questio'!A:A&amp;'Données 1_BD questio'!B:B,0))</f>
        <v>Retraité</v>
      </c>
      <c r="G173" s="191" t="str">
        <f>'1_BD questio brut'!E173</f>
        <v>65 ans et plus</v>
      </c>
      <c r="H173" s="191">
        <f>'1_BD questio brut'!F173</f>
        <v>2</v>
      </c>
      <c r="I173" s="191" t="str">
        <f>'1_BD questio brut'!G173</f>
        <v>Pas de réponse</v>
      </c>
      <c r="J173" s="191" t="str">
        <f t="array" ref="J173">INDEX('Données 1_BD questio'!C:C,MATCH('1_BD questio brut'!$H$1&amp;'1_BD questio brut'!H173,'Données 1_BD questio'!A:A&amp;'Données 1_BD questio'!B:B,0))</f>
        <v>Maison avec jardin</v>
      </c>
      <c r="K173" s="191">
        <f>'1_BD questio brut'!I173</f>
        <v>60</v>
      </c>
      <c r="L173" s="191" t="str">
        <f>'1_BD questio brut'!J173</f>
        <v>1949-1975</v>
      </c>
      <c r="M173" s="191" t="str">
        <f>'1_BD questio brut'!K173</f>
        <v>1; 2; 4</v>
      </c>
      <c r="N173" s="191" t="str">
        <f>'1_BD questio brut'!L173</f>
        <v>Pas de réponse</v>
      </c>
      <c r="O173" s="191" t="str">
        <f>'1_BD questio brut'!M173</f>
        <v>Propriétaire occupant</v>
      </c>
      <c r="P173" s="191" t="str">
        <f>'1_BD questio brut'!N173</f>
        <v>Insert / foyer fermé</v>
      </c>
      <c r="Q173" s="191" t="str">
        <f>'1_BD questio brut'!O173</f>
        <v>Chauffage d'apoint</v>
      </c>
      <c r="R173" s="191" t="str">
        <f>'1_BD questio brut'!P173</f>
        <v>3 à 4 jours/semaine</v>
      </c>
      <c r="S173" s="191" t="str">
        <f>'1_BD questio brut'!Q173</f>
        <v>2; 3; 4</v>
      </c>
      <c r="T173" s="191" t="str">
        <f>'1_BD questio brut'!R173</f>
        <v>Avant 1990</v>
      </c>
      <c r="U173" s="191" t="str">
        <f>'1_BD questio brut'!S173</f>
        <v>Bois bûche</v>
      </c>
      <c r="V173" s="191" t="str">
        <f>'1_BD questio brut'!T173</f>
        <v/>
      </c>
      <c r="W173" s="191" t="str">
        <f>'1_BD questio brut'!U173</f>
        <v>3</v>
      </c>
      <c r="X173" s="191" t="str">
        <f>'1_BD questio brut'!V173</f>
        <v>stères</v>
      </c>
      <c r="Y173" s="191" t="str">
        <f>'1_BD questio brut'!W173</f>
        <v>1</v>
      </c>
      <c r="Z173" s="191" t="str">
        <f>'1_BD questio brut'!X173</f>
        <v/>
      </c>
      <c r="AA173" s="191" t="str">
        <f t="array" ref="AA173">INDEX('Données 1_BD questio'!C:C,MATCH('1_BD questio brut'!$Y$1&amp;'1_BD questio brut'!Y173,'Données 1_BD questio'!A:A&amp;'Données 1_BD questio'!B:B,0))</f>
        <v>France hors Rhône-Alpes</v>
      </c>
      <c r="AB173" s="191" t="str">
        <f>'1_BD questio brut'!Z173</f>
        <v>2</v>
      </c>
      <c r="AC173" s="191" t="str">
        <f>'1_BD questio brut'!AA173</f>
        <v>1 à 2 ans</v>
      </c>
      <c r="AD173" s="191" t="str">
        <f>'1_BD questio brut'!AB173</f>
        <v>Les deux</v>
      </c>
      <c r="AE173" s="191" t="str">
        <f t="array" ref="AE173">INDEX('Données 1_BD questio'!C:C,MATCH('1_BD questio brut'!$AC$1&amp;'1_BD questio brut'!AC173,'Données 1_BD questio'!A:A&amp;'Données 1_BD questio'!B:B,0))</f>
        <v>vous-même</v>
      </c>
      <c r="AF173" s="191" t="str">
        <f>'1_BD questio brut'!AD173</f>
        <v>1 fois tous les 2 ans</v>
      </c>
      <c r="AG173" s="191" t="str">
        <f>'1_BD questio brut'!AE173</f>
        <v/>
      </c>
      <c r="AH173" s="191" t="str">
        <f>'1_BD questio brut'!AF173</f>
        <v>Poêle</v>
      </c>
      <c r="AI173" s="191" t="str">
        <f>'1_BD questio brut'!AG173</f>
        <v>1</v>
      </c>
      <c r="AJ173" s="191" t="str">
        <f>'1_BD questio brut'!AH173</f>
        <v/>
      </c>
      <c r="AK173" s="191" t="str">
        <f>'1_BD questio brut'!AI173</f>
        <v>Chauffage d'appoint</v>
      </c>
      <c r="AL173" s="191" t="str">
        <f>'1_BD questio brut'!AJ173</f>
        <v>Pas de réponse</v>
      </c>
      <c r="AM173" s="191" t="str">
        <f>'1_BD questio brut'!AK173</f>
        <v>1; 5; 6</v>
      </c>
      <c r="AN173" s="191" t="str">
        <f>'1_BD questio brut'!AL173</f>
        <v>faciliter l'usage</v>
      </c>
      <c r="AO173" s="191" t="str">
        <f>'1_BD questio brut'!AM173</f>
        <v>7</v>
      </c>
      <c r="AP173" s="191" t="str">
        <f>'1_BD questio brut'!AN173</f>
        <v/>
      </c>
      <c r="AQ173" s="191" t="str">
        <f>'1_BD questio brut'!AO173</f>
        <v/>
      </c>
    </row>
    <row r="174" spans="1:43" ht="43.5" hidden="1">
      <c r="A174" s="98">
        <f>INDEX('3_BD instruction total'!A:A,MATCH(C174,'3_BD instruction total'!F:F,0))</f>
        <v>2021</v>
      </c>
      <c r="B174" s="98" t="str">
        <f>INDEX('3_BD instruction total'!C:C,MATCH(C174,'3_BD instruction total'!F:F,0))</f>
        <v>non</v>
      </c>
      <c r="C174" s="191" t="str">
        <f>'1_BD questio brut'!A174</f>
        <v>VRB0181</v>
      </c>
      <c r="D174" s="191" t="str">
        <f t="array" ref="D174">INDEX('Données 1_BD questio'!C:C,MATCH('1_BD questio brut'!$B$1&amp;'1_BD questio brut'!B174,'Données 1_BD questio'!A:A&amp;'Données 1_BD questio'!B:B,0))</f>
        <v>CAPV</v>
      </c>
      <c r="E174" s="191" t="str">
        <f t="array" ref="E174">INDEX('Données 1_BD questio'!C:C,MATCH('1_BD questio brut'!$C$1&amp;'1_BD questio brut'!C174,'Données 1_BD questio'!A:A&amp;'Données 1_BD questio'!B:B,0))</f>
        <v>Cadre</v>
      </c>
      <c r="F174" s="191" t="str">
        <f t="array" ref="F174">INDEX('Données 1_BD questio'!C:C,MATCH('1_BD questio brut'!$D$1&amp;'1_BD questio brut'!D174,'Données 1_BD questio'!A:A&amp;'Données 1_BD questio'!B:B,0))</f>
        <v>Employé</v>
      </c>
      <c r="G174" s="191" t="str">
        <f>'1_BD questio brut'!E174</f>
        <v>35 à 49 ans</v>
      </c>
      <c r="H174" s="191">
        <f>'1_BD questio brut'!F174</f>
        <v>5</v>
      </c>
      <c r="I174" s="191" t="str">
        <f>'1_BD questio brut'!G174</f>
        <v>Pas de réponse</v>
      </c>
      <c r="J174" s="191" t="str">
        <f t="array" ref="J174">INDEX('Données 1_BD questio'!C:C,MATCH('1_BD questio brut'!$H$1&amp;'1_BD questio brut'!H174,'Données 1_BD questio'!A:A&amp;'Données 1_BD questio'!B:B,0))</f>
        <v>Maison avec jardin</v>
      </c>
      <c r="K174" s="191">
        <f>'1_BD questio brut'!I174</f>
        <v>110</v>
      </c>
      <c r="L174" s="191" t="str">
        <f>'1_BD questio brut'!J174</f>
        <v>Avant 1949</v>
      </c>
      <c r="M174" s="191" t="str">
        <f>'1_BD questio brut'!K174</f>
        <v>1</v>
      </c>
      <c r="N174" s="191" t="str">
        <f>'1_BD questio brut'!L174</f>
        <v>Pas de réponse</v>
      </c>
      <c r="O174" s="191" t="str">
        <f>'1_BD questio brut'!M174</f>
        <v>Propriétaire occupant</v>
      </c>
      <c r="P174" s="191" t="str">
        <f>'1_BD questio brut'!N174</f>
        <v>Insert / foyer fermé</v>
      </c>
      <c r="Q174" s="191" t="str">
        <f>'1_BD questio brut'!O174</f>
        <v>Chauffage de base</v>
      </c>
      <c r="R174" s="191" t="str">
        <f>'1_BD questio brut'!P174</f>
        <v>Tous les jours</v>
      </c>
      <c r="S174" s="191" t="str">
        <f>'1_BD questio brut'!Q174</f>
        <v>4; 5</v>
      </c>
      <c r="T174" s="191" t="str">
        <f>'1_BD questio brut'!R174</f>
        <v>1996-2002</v>
      </c>
      <c r="U174" s="191" t="str">
        <f>'1_BD questio brut'!S174</f>
        <v>Bois bûche</v>
      </c>
      <c r="V174" s="191" t="str">
        <f>'1_BD questio brut'!T174</f>
        <v/>
      </c>
      <c r="W174" s="191" t="str">
        <f>'1_BD questio brut'!U174</f>
        <v>10</v>
      </c>
      <c r="X174" s="191" t="str">
        <f>'1_BD questio brut'!V174</f>
        <v>m3</v>
      </c>
      <c r="Y174" s="191" t="str">
        <f>'1_BD questio brut'!W174</f>
        <v>2</v>
      </c>
      <c r="Z174" s="191" t="str">
        <f>'1_BD questio brut'!X174</f>
        <v/>
      </c>
      <c r="AA174" s="191" t="str">
        <f t="array" ref="AA174">INDEX('Données 1_BD questio'!C:C,MATCH('1_BD questio brut'!$Y$1&amp;'1_BD questio brut'!Y174,'Données 1_BD questio'!A:A&amp;'Données 1_BD questio'!B:B,0))</f>
        <v>Rhône-Alpes hors RA2B</v>
      </c>
      <c r="AB174" s="191" t="str">
        <f>'1_BD questio brut'!Z174</f>
        <v>2</v>
      </c>
      <c r="AC174" s="191" t="str">
        <f>'1_BD questio brut'!AA174</f>
        <v>1 à 2 ans</v>
      </c>
      <c r="AD174" s="191" t="str">
        <f>'1_BD questio brut'!AB174</f>
        <v>Les deux</v>
      </c>
      <c r="AE174" s="191" t="str">
        <f t="array" ref="AE174">INDEX('Données 1_BD questio'!C:C,MATCH('1_BD questio brut'!$AC$1&amp;'1_BD questio brut'!AC174,'Données 1_BD questio'!A:A&amp;'Données 1_BD questio'!B:B,0))</f>
        <v>un professionnel</v>
      </c>
      <c r="AF174" s="191" t="str">
        <f>'1_BD questio brut'!AD174</f>
        <v>1 fois par an</v>
      </c>
      <c r="AG174" s="191" t="str">
        <f>'1_BD questio brut'!AE174</f>
        <v/>
      </c>
      <c r="AH174" s="191" t="str">
        <f>'1_BD questio brut'!AF174</f>
        <v>Insert cheminée</v>
      </c>
      <c r="AI174" s="191" t="str">
        <f>'1_BD questio brut'!AG174</f>
        <v>1</v>
      </c>
      <c r="AJ174" s="191" t="str">
        <f>'1_BD questio brut'!AH174</f>
        <v/>
      </c>
      <c r="AK174" s="191" t="str">
        <f>'1_BD questio brut'!AI174</f>
        <v>Chauffage de base</v>
      </c>
      <c r="AL174" s="191" t="str">
        <f>'1_BD questio brut'!AJ174</f>
        <v>Pas de réponse</v>
      </c>
      <c r="AM174" s="191" t="str">
        <f>'1_BD questio brut'!AK174</f>
        <v>1; 2; 4; 5</v>
      </c>
      <c r="AN174" s="191" t="str">
        <f>'1_BD questio brut'!AL174</f>
        <v/>
      </c>
      <c r="AO174" s="191" t="str">
        <f>'1_BD questio brut'!AM174</f>
        <v>1; 5</v>
      </c>
      <c r="AP174" s="191" t="str">
        <f>'1_BD questio brut'!AN174</f>
        <v/>
      </c>
      <c r="AQ174" s="191" t="str">
        <f>'1_BD questio brut'!AO174</f>
        <v/>
      </c>
    </row>
    <row r="175" spans="1:43" ht="29" hidden="1">
      <c r="A175" s="98" t="e">
        <f>INDEX('3_BD instruction total'!A:A,MATCH(C175,'3_BD instruction total'!F:F,0))</f>
        <v>#VALUE!</v>
      </c>
      <c r="B175" s="98" t="str">
        <f>INDEX('3_BD instruction total'!C:C,MATCH(C175,'3_BD instruction total'!F:F,0))</f>
        <v>oui</v>
      </c>
      <c r="C175" s="191" t="str">
        <f>'1_BD questio brut'!A175</f>
        <v>VRB0182</v>
      </c>
      <c r="D175" s="191" t="str">
        <f t="array" ref="D175">INDEX('Données 1_BD questio'!C:C,MATCH('1_BD questio brut'!$B$1&amp;'1_BD questio brut'!B175,'Données 1_BD questio'!A:A&amp;'Données 1_BD questio'!B:B,0))</f>
        <v>CAPV</v>
      </c>
      <c r="E175" s="191" t="str">
        <f t="array" ref="E175">INDEX('Données 1_BD questio'!C:C,MATCH('1_BD questio brut'!$C$1&amp;'1_BD questio brut'!C175,'Données 1_BD questio'!A:A&amp;'Données 1_BD questio'!B:B,0))</f>
        <v>Cadre</v>
      </c>
      <c r="F175" s="191" t="str">
        <f t="array" ref="F175">INDEX('Données 1_BD questio'!C:C,MATCH('1_BD questio brut'!$D$1&amp;'1_BD questio brut'!D175,'Données 1_BD questio'!A:A&amp;'Données 1_BD questio'!B:B,0))</f>
        <v>Employé</v>
      </c>
      <c r="G175" s="191" t="str">
        <f>'1_BD questio brut'!E175</f>
        <v>50 à 64 ans</v>
      </c>
      <c r="H175" s="191">
        <f>'1_BD questio brut'!F175</f>
        <v>2</v>
      </c>
      <c r="I175" s="191" t="str">
        <f>'1_BD questio brut'!G175</f>
        <v>Pas de réponse</v>
      </c>
      <c r="J175" s="191" t="str">
        <f t="array" ref="J175">INDEX('Données 1_BD questio'!C:C,MATCH('1_BD questio brut'!$H$1&amp;'1_BD questio brut'!H175,'Données 1_BD questio'!A:A&amp;'Données 1_BD questio'!B:B,0))</f>
        <v>Maison avec jardin</v>
      </c>
      <c r="K175" s="191">
        <f>'1_BD questio brut'!I175</f>
        <v>100</v>
      </c>
      <c r="L175" s="191" t="str">
        <f>'1_BD questio brut'!J175</f>
        <v>1990-2005</v>
      </c>
      <c r="M175" s="191" t="str">
        <f>'1_BD questio brut'!K175</f>
        <v>6</v>
      </c>
      <c r="N175" s="191" t="str">
        <f>'1_BD questio brut'!L175</f>
        <v>Pas de réponse</v>
      </c>
      <c r="O175" s="191" t="str">
        <f>'1_BD questio brut'!M175</f>
        <v>Propriétaire occupant</v>
      </c>
      <c r="P175" s="191" t="str">
        <f>'1_BD questio brut'!N175</f>
        <v>Insert / foyer fermé</v>
      </c>
      <c r="Q175" s="191" t="str">
        <f>'1_BD questio brut'!O175</f>
        <v>Chauffage de base</v>
      </c>
      <c r="R175" s="191" t="str">
        <f>'1_BD questio brut'!P175</f>
        <v>Tous les jours</v>
      </c>
      <c r="S175" s="191" t="str">
        <f>'1_BD questio brut'!Q175</f>
        <v>4</v>
      </c>
      <c r="T175" s="191" t="str">
        <f>'1_BD questio brut'!R175</f>
        <v>1996-2002</v>
      </c>
      <c r="U175" s="191" t="str">
        <f>'1_BD questio brut'!S175</f>
        <v>Bois bûche</v>
      </c>
      <c r="V175" s="191" t="str">
        <f>'1_BD questio brut'!T175</f>
        <v/>
      </c>
      <c r="W175" s="191" t="str">
        <f>'1_BD questio brut'!U175</f>
        <v>12</v>
      </c>
      <c r="X175" s="191" t="str">
        <f>'1_BD questio brut'!V175</f>
        <v>stères</v>
      </c>
      <c r="Y175" s="191" t="str">
        <f>'1_BD questio brut'!W175</f>
        <v>2</v>
      </c>
      <c r="Z175" s="191" t="str">
        <f>'1_BD questio brut'!X175</f>
        <v/>
      </c>
      <c r="AA175" s="191" t="str">
        <f t="array" ref="AA175">INDEX('Données 1_BD questio'!C:C,MATCH('1_BD questio brut'!$Y$1&amp;'1_BD questio brut'!Y175,'Données 1_BD questio'!A:A&amp;'Données 1_BD questio'!B:B,0))</f>
        <v>RA2B</v>
      </c>
      <c r="AB175" s="191" t="str">
        <f>'1_BD questio brut'!Z175</f>
        <v>2</v>
      </c>
      <c r="AC175" s="191" t="str">
        <f>'1_BD questio brut'!AA175</f>
        <v>&gt; 2 ans</v>
      </c>
      <c r="AD175" s="191" t="str">
        <f>'1_BD questio brut'!AB175</f>
        <v>Feuillus</v>
      </c>
      <c r="AE175" s="191" t="str">
        <f t="array" ref="AE175">INDEX('Données 1_BD questio'!C:C,MATCH('1_BD questio brut'!$AC$1&amp;'1_BD questio brut'!AC175,'Données 1_BD questio'!A:A&amp;'Données 1_BD questio'!B:B,0))</f>
        <v>vous-même</v>
      </c>
      <c r="AF175" s="191" t="str">
        <f>'1_BD questio brut'!AD175</f>
        <v>2 fois par an</v>
      </c>
      <c r="AG175" s="191" t="str">
        <f>'1_BD questio brut'!AE175</f>
        <v/>
      </c>
      <c r="AH175" s="191" t="str">
        <f>'1_BD questio brut'!AF175</f>
        <v>Poêle</v>
      </c>
      <c r="AI175" s="191" t="str">
        <f>'1_BD questio brut'!AG175</f>
        <v>2</v>
      </c>
      <c r="AJ175" s="191" t="str">
        <f>'1_BD questio brut'!AH175</f>
        <v/>
      </c>
      <c r="AK175" s="191" t="str">
        <f>'1_BD questio brut'!AI175</f>
        <v>Chauffage de base</v>
      </c>
      <c r="AL175" s="191" t="str">
        <f>'1_BD questio brut'!AJ175</f>
        <v>Pas de réponse</v>
      </c>
      <c r="AM175" s="191" t="str">
        <f>'1_BD questio brut'!AK175</f>
        <v>2; 4; 5</v>
      </c>
      <c r="AN175" s="191" t="str">
        <f>'1_BD questio brut'!AL175</f>
        <v/>
      </c>
      <c r="AO175" s="191" t="str">
        <f>'1_BD questio brut'!AM175</f>
        <v>5</v>
      </c>
      <c r="AP175" s="191" t="str">
        <f>'1_BD questio brut'!AN175</f>
        <v/>
      </c>
      <c r="AQ175" s="191" t="str">
        <f>'1_BD questio brut'!AO175</f>
        <v/>
      </c>
    </row>
    <row r="176" spans="1:43" ht="43.5" hidden="1">
      <c r="A176" s="98">
        <f>INDEX('3_BD instruction total'!A:A,MATCH(C176,'3_BD instruction total'!F:F,0))</f>
        <v>2021</v>
      </c>
      <c r="B176" s="98" t="str">
        <f>INDEX('3_BD instruction total'!C:C,MATCH(C176,'3_BD instruction total'!F:F,0))</f>
        <v>non</v>
      </c>
      <c r="C176" s="191" t="str">
        <f>'1_BD questio brut'!A176</f>
        <v>VRB0183</v>
      </c>
      <c r="D176" s="191" t="str">
        <f t="array" ref="D176">INDEX('Données 1_BD questio'!C:C,MATCH('1_BD questio brut'!$B$1&amp;'1_BD questio brut'!B176,'Données 1_BD questio'!A:A&amp;'Données 1_BD questio'!B:B,0))</f>
        <v>CAPV</v>
      </c>
      <c r="E176" s="191" t="str">
        <f t="array" ref="E176">INDEX('Données 1_BD questio'!C:C,MATCH('1_BD questio brut'!$C$1&amp;'1_BD questio brut'!C176,'Données 1_BD questio'!A:A&amp;'Données 1_BD questio'!B:B,0))</f>
        <v>Artisan,commerçant,chef d'entreprise</v>
      </c>
      <c r="F176" s="191" t="str">
        <f t="array" ref="F176">INDEX('Données 1_BD questio'!C:C,MATCH('1_BD questio brut'!$D$1&amp;'1_BD questio brut'!D176,'Données 1_BD questio'!A:A&amp;'Données 1_BD questio'!B:B,0))</f>
        <v>Artisan,commerçant,chef d'entreprise</v>
      </c>
      <c r="G176" s="191" t="str">
        <f>'1_BD questio brut'!E176</f>
        <v>25 à 34 ans</v>
      </c>
      <c r="H176" s="191">
        <f>'1_BD questio brut'!F176</f>
        <v>2</v>
      </c>
      <c r="I176" s="191" t="str">
        <f>'1_BD questio brut'!G176</f>
        <v>Pas de réponse</v>
      </c>
      <c r="J176" s="191" t="str">
        <f t="array" ref="J176">INDEX('Données 1_BD questio'!C:C,MATCH('1_BD questio brut'!$H$1&amp;'1_BD questio brut'!H176,'Données 1_BD questio'!A:A&amp;'Données 1_BD questio'!B:B,0))</f>
        <v>Maison avec jardin</v>
      </c>
      <c r="K176" s="191">
        <f>'1_BD questio brut'!I176</f>
        <v>150</v>
      </c>
      <c r="L176" s="191" t="str">
        <f>'1_BD questio brut'!J176</f>
        <v>1990-2005</v>
      </c>
      <c r="M176" s="191" t="str">
        <f>'1_BD questio brut'!K176</f>
        <v>6</v>
      </c>
      <c r="N176" s="191" t="str">
        <f>'1_BD questio brut'!L176</f>
        <v>C</v>
      </c>
      <c r="O176" s="191" t="str">
        <f>'1_BD questio brut'!M176</f>
        <v>Propriétaire occupant</v>
      </c>
      <c r="P176" s="191" t="str">
        <f>'1_BD questio brut'!N176</f>
        <v>Insert / foyer fermé</v>
      </c>
      <c r="Q176" s="191" t="str">
        <f>'1_BD questio brut'!O176</f>
        <v>Plaisir/agrément</v>
      </c>
      <c r="R176" s="191" t="str">
        <f>'1_BD questio brut'!P176</f>
        <v>Moins de 15 fois par an</v>
      </c>
      <c r="S176" s="191" t="str">
        <f>'1_BD questio brut'!Q176</f>
        <v>4</v>
      </c>
      <c r="T176" s="191" t="str">
        <f>'1_BD questio brut'!R176</f>
        <v>1990-1995</v>
      </c>
      <c r="U176" s="191" t="str">
        <f>'1_BD questio brut'!S176</f>
        <v>Bois bûche</v>
      </c>
      <c r="V176" s="191" t="str">
        <f>'1_BD questio brut'!T176</f>
        <v/>
      </c>
      <c r="W176" s="191" t="str">
        <f>'1_BD questio brut'!U176</f>
        <v/>
      </c>
      <c r="X176" s="191" t="str">
        <f>'1_BD questio brut'!V176</f>
        <v/>
      </c>
      <c r="Y176" s="191" t="str">
        <f>'1_BD questio brut'!W176</f>
        <v>1</v>
      </c>
      <c r="Z176" s="191" t="str">
        <f>'1_BD questio brut'!X176</f>
        <v/>
      </c>
      <c r="AA176" s="191" t="str">
        <f t="array" ref="AA176">INDEX('Données 1_BD questio'!C:C,MATCH('1_BD questio brut'!$Y$1&amp;'1_BD questio brut'!Y176,'Données 1_BD questio'!A:A&amp;'Données 1_BD questio'!B:B,0))</f>
        <v>Ne sait pas</v>
      </c>
      <c r="AB176" s="191" t="str">
        <f>'1_BD questio brut'!Z176</f>
        <v>1</v>
      </c>
      <c r="AC176" s="191" t="str">
        <f>'1_BD questio brut'!AA176</f>
        <v>1 à 2 ans</v>
      </c>
      <c r="AD176" s="191" t="str">
        <f>'1_BD questio brut'!AB176</f>
        <v>Les deux</v>
      </c>
      <c r="AE176" s="191" t="str">
        <f t="array" ref="AE176">INDEX('Données 1_BD questio'!C:C,MATCH('1_BD questio brut'!$AC$1&amp;'1_BD questio brut'!AC176,'Données 1_BD questio'!A:A&amp;'Données 1_BD questio'!B:B,0))</f>
        <v>un professionnel</v>
      </c>
      <c r="AF176" s="191" t="str">
        <f>'1_BD questio brut'!AD176</f>
        <v>1 fois par an</v>
      </c>
      <c r="AG176" s="191" t="str">
        <f>'1_BD questio brut'!AE176</f>
        <v/>
      </c>
      <c r="AH176" s="191" t="str">
        <f>'1_BD questio brut'!AF176</f>
        <v>Poêle</v>
      </c>
      <c r="AI176" s="191" t="str">
        <f>'1_BD questio brut'!AG176</f>
        <v>1</v>
      </c>
      <c r="AJ176" s="191" t="str">
        <f>'1_BD questio brut'!AH176</f>
        <v/>
      </c>
      <c r="AK176" s="191" t="str">
        <f>'1_BD questio brut'!AI176</f>
        <v>Chauffage d'appoint</v>
      </c>
      <c r="AL176" s="191" t="str">
        <f>'1_BD questio brut'!AJ176</f>
        <v>Pas de réponse</v>
      </c>
      <c r="AM176" s="191" t="str">
        <f>'1_BD questio brut'!AK176</f>
        <v>2; 4; 5</v>
      </c>
      <c r="AN176" s="191" t="str">
        <f>'1_BD questio brut'!AL176</f>
        <v/>
      </c>
      <c r="AO176" s="191" t="str">
        <f>'1_BD questio brut'!AM176</f>
        <v>5; 7</v>
      </c>
      <c r="AP176" s="191" t="str">
        <f>'1_BD questio brut'!AN176</f>
        <v/>
      </c>
      <c r="AQ176" s="191" t="str">
        <f>'1_BD questio brut'!AO176</f>
        <v/>
      </c>
    </row>
    <row r="177" spans="1:43" ht="43.5" hidden="1">
      <c r="A177" s="98">
        <f>INDEX('3_BD instruction total'!A:A,MATCH(C177,'3_BD instruction total'!F:F,0))</f>
        <v>2021</v>
      </c>
      <c r="B177" s="98" t="str">
        <f>INDEX('3_BD instruction total'!C:C,MATCH(C177,'3_BD instruction total'!F:F,0))</f>
        <v>non</v>
      </c>
      <c r="C177" s="191" t="str">
        <f>'1_BD questio brut'!A177</f>
        <v>VRB0184</v>
      </c>
      <c r="D177" s="191" t="str">
        <f t="array" ref="D177">INDEX('Données 1_BD questio'!C:C,MATCH('1_BD questio brut'!$B$1&amp;'1_BD questio brut'!B177,'Données 1_BD questio'!A:A&amp;'Données 1_BD questio'!B:B,0))</f>
        <v>CAPV</v>
      </c>
      <c r="E177" s="191" t="str">
        <f t="array" ref="E177">INDEX('Données 1_BD questio'!C:C,MATCH('1_BD questio brut'!$C$1&amp;'1_BD questio brut'!C177,'Données 1_BD questio'!A:A&amp;'Données 1_BD questio'!B:B,0))</f>
        <v>Employé</v>
      </c>
      <c r="F177" s="191" t="str">
        <f t="array" ref="F177">INDEX('Données 1_BD questio'!C:C,MATCH('1_BD questio brut'!$D$1&amp;'1_BD questio brut'!D177,'Données 1_BD questio'!A:A&amp;'Données 1_BD questio'!B:B,0))</f>
        <v>Employé</v>
      </c>
      <c r="G177" s="191" t="str">
        <f>'1_BD questio brut'!E177</f>
        <v>35 à 49 ans</v>
      </c>
      <c r="H177" s="191">
        <f>'1_BD questio brut'!F177</f>
        <v>4</v>
      </c>
      <c r="I177" s="191" t="str">
        <f>'1_BD questio brut'!G177</f>
        <v>Pas de réponse</v>
      </c>
      <c r="J177" s="191" t="str">
        <f t="array" ref="J177">INDEX('Données 1_BD questio'!C:C,MATCH('1_BD questio brut'!$H$1&amp;'1_BD questio brut'!H177,'Données 1_BD questio'!A:A&amp;'Données 1_BD questio'!B:B,0))</f>
        <v>Maison avec jardin</v>
      </c>
      <c r="K177" s="191">
        <f>'1_BD questio brut'!I177</f>
        <v>0</v>
      </c>
      <c r="L177" s="191" t="str">
        <f>'1_BD questio brut'!J177</f>
        <v>1990-2005</v>
      </c>
      <c r="M177" s="191" t="str">
        <f>'1_BD questio brut'!K177</f>
        <v>6</v>
      </c>
      <c r="N177" s="191" t="str">
        <f>'1_BD questio brut'!L177</f>
        <v>Pas de réponse</v>
      </c>
      <c r="O177" s="191" t="str">
        <f>'1_BD questio brut'!M177</f>
        <v>Propriétaire occupant</v>
      </c>
      <c r="P177" s="191" t="str">
        <f>'1_BD questio brut'!N177</f>
        <v>Insert / foyer fermé</v>
      </c>
      <c r="Q177" s="191" t="str">
        <f>'1_BD questio brut'!O177</f>
        <v>Chauffage de base</v>
      </c>
      <c r="R177" s="191" t="str">
        <f>'1_BD questio brut'!P177</f>
        <v>Tous les jours</v>
      </c>
      <c r="S177" s="191" t="str">
        <f>'1_BD questio brut'!Q177</f>
        <v>4</v>
      </c>
      <c r="T177" s="191" t="str">
        <f>'1_BD questio brut'!R177</f>
        <v>1996-2002</v>
      </c>
      <c r="U177" s="191" t="str">
        <f>'1_BD questio brut'!S177</f>
        <v>Bois bûche</v>
      </c>
      <c r="V177" s="191" t="str">
        <f>'1_BD questio brut'!T177</f>
        <v/>
      </c>
      <c r="W177" s="191" t="str">
        <f>'1_BD questio brut'!U177</f>
        <v>10</v>
      </c>
      <c r="X177" s="191" t="str">
        <f>'1_BD questio brut'!V177</f>
        <v>stères</v>
      </c>
      <c r="Y177" s="191" t="str">
        <f>'1_BD questio brut'!W177</f>
        <v>2</v>
      </c>
      <c r="Z177" s="191" t="str">
        <f>'1_BD questio brut'!X177</f>
        <v/>
      </c>
      <c r="AA177" s="191" t="str">
        <f t="array" ref="AA177">INDEX('Données 1_BD questio'!C:C,MATCH('1_BD questio brut'!$Y$1&amp;'1_BD questio brut'!Y177,'Données 1_BD questio'!A:A&amp;'Données 1_BD questio'!B:B,0))</f>
        <v>RA2B</v>
      </c>
      <c r="AB177" s="191" t="str">
        <f>'1_BD questio brut'!Z177</f>
        <v>2</v>
      </c>
      <c r="AC177" s="191" t="str">
        <f>'1_BD questio brut'!AA177</f>
        <v>&gt; 2 ans</v>
      </c>
      <c r="AD177" s="191" t="str">
        <f>'1_BD questio brut'!AB177</f>
        <v>Les deux</v>
      </c>
      <c r="AE177" s="191" t="str">
        <f t="array" ref="AE177">INDEX('Données 1_BD questio'!C:C,MATCH('1_BD questio brut'!$AC$1&amp;'1_BD questio brut'!AC177,'Données 1_BD questio'!A:A&amp;'Données 1_BD questio'!B:B,0))</f>
        <v>un professionnel</v>
      </c>
      <c r="AF177" s="191" t="str">
        <f>'1_BD questio brut'!AD177</f>
        <v>1 fois par an</v>
      </c>
      <c r="AG177" s="191" t="str">
        <f>'1_BD questio brut'!AE177</f>
        <v/>
      </c>
      <c r="AH177" s="191" t="str">
        <f>'1_BD questio brut'!AF177</f>
        <v>Poêle</v>
      </c>
      <c r="AI177" s="191" t="str">
        <f>'1_BD questio brut'!AG177</f>
        <v>1</v>
      </c>
      <c r="AJ177" s="191" t="str">
        <f>'1_BD questio brut'!AH177</f>
        <v/>
      </c>
      <c r="AK177" s="191" t="str">
        <f>'1_BD questio brut'!AI177</f>
        <v>Chauffage de base</v>
      </c>
      <c r="AL177" s="191" t="str">
        <f>'1_BD questio brut'!AJ177</f>
        <v>Pas de réponse</v>
      </c>
      <c r="AM177" s="191" t="str">
        <f>'1_BD questio brut'!AK177</f>
        <v>1; 2; 4</v>
      </c>
      <c r="AN177" s="191" t="str">
        <f>'1_BD questio brut'!AL177</f>
        <v/>
      </c>
      <c r="AO177" s="191" t="str">
        <f>'1_BD questio brut'!AM177</f>
        <v>5</v>
      </c>
      <c r="AP177" s="191" t="str">
        <f>'1_BD questio brut'!AN177</f>
        <v/>
      </c>
      <c r="AQ177" s="191" t="str">
        <f>'1_BD questio brut'!AO177</f>
        <v/>
      </c>
    </row>
    <row r="178" spans="1:43" ht="29" hidden="1">
      <c r="A178" s="98">
        <f>INDEX('3_BD instruction total'!A:A,MATCH(C178,'3_BD instruction total'!F:F,0))</f>
        <v>2021</v>
      </c>
      <c r="B178" s="98" t="str">
        <f>INDEX('3_BD instruction total'!C:C,MATCH(C178,'3_BD instruction total'!F:F,0))</f>
        <v>non</v>
      </c>
      <c r="C178" s="191" t="str">
        <f>'1_BD questio brut'!A178</f>
        <v>VRB0185</v>
      </c>
      <c r="D178" s="191" t="str">
        <f t="array" ref="D178">INDEX('Données 1_BD questio'!C:C,MATCH('1_BD questio brut'!$B$1&amp;'1_BD questio brut'!B178,'Données 1_BD questio'!A:A&amp;'Données 1_BD questio'!B:B,0))</f>
        <v>CAPV</v>
      </c>
      <c r="E178" s="191" t="str">
        <f t="array" ref="E178">INDEX('Données 1_BD questio'!C:C,MATCH('1_BD questio brut'!$C$1&amp;'1_BD questio brut'!C178,'Données 1_BD questio'!A:A&amp;'Données 1_BD questio'!B:B,0))</f>
        <v>Employé</v>
      </c>
      <c r="F178" s="191" t="str">
        <f t="array" ref="F178">INDEX('Données 1_BD questio'!C:C,MATCH('1_BD questio brut'!$D$1&amp;'1_BD questio brut'!D178,'Données 1_BD questio'!A:A&amp;'Données 1_BD questio'!B:B,0))</f>
        <v>Employé</v>
      </c>
      <c r="G178" s="191" t="str">
        <f>'1_BD questio brut'!E178</f>
        <v>50 à 64 ans</v>
      </c>
      <c r="H178" s="191">
        <f>'1_BD questio brut'!F178</f>
        <v>2</v>
      </c>
      <c r="I178" s="191" t="str">
        <f>'1_BD questio brut'!G178</f>
        <v>Pas de réponse</v>
      </c>
      <c r="J178" s="191" t="str">
        <f t="array" ref="J178">INDEX('Données 1_BD questio'!C:C,MATCH('1_BD questio brut'!$H$1&amp;'1_BD questio brut'!H178,'Données 1_BD questio'!A:A&amp;'Données 1_BD questio'!B:B,0))</f>
        <v>Maison avec jardin</v>
      </c>
      <c r="K178" s="191">
        <f>'1_BD questio brut'!I178</f>
        <v>106</v>
      </c>
      <c r="L178" s="191" t="str">
        <f>'1_BD questio brut'!J178</f>
        <v>1990-2005</v>
      </c>
      <c r="M178" s="191" t="str">
        <f>'1_BD questio brut'!K178</f>
        <v>6</v>
      </c>
      <c r="N178" s="191" t="str">
        <f>'1_BD questio brut'!L178</f>
        <v>Pas de réponse</v>
      </c>
      <c r="O178" s="191" t="str">
        <f>'1_BD questio brut'!M178</f>
        <v>Propriétaire occupant</v>
      </c>
      <c r="P178" s="191" t="str">
        <f>'1_BD questio brut'!N178</f>
        <v>Foyer ouvert</v>
      </c>
      <c r="Q178" s="191" t="str">
        <f>'1_BD questio brut'!O178</f>
        <v>Chauffage de base</v>
      </c>
      <c r="R178" s="191" t="str">
        <f>'1_BD questio brut'!P178</f>
        <v>Tous les jours</v>
      </c>
      <c r="S178" s="191" t="str">
        <f>'1_BD questio brut'!Q178</f>
        <v>4; 5; 6</v>
      </c>
      <c r="T178" s="191" t="str">
        <f>'1_BD questio brut'!R178</f>
        <v>1996-2002</v>
      </c>
      <c r="U178" s="191" t="str">
        <f>'1_BD questio brut'!S178</f>
        <v>Bois bûche</v>
      </c>
      <c r="V178" s="191" t="str">
        <f>'1_BD questio brut'!T178</f>
        <v/>
      </c>
      <c r="W178" s="191" t="str">
        <f>'1_BD questio brut'!U178</f>
        <v>10</v>
      </c>
      <c r="X178" s="191" t="str">
        <f>'1_BD questio brut'!V178</f>
        <v>stères</v>
      </c>
      <c r="Y178" s="191" t="str">
        <f>'1_BD questio brut'!W178</f>
        <v>2</v>
      </c>
      <c r="Z178" s="191" t="str">
        <f>'1_BD questio brut'!X178</f>
        <v/>
      </c>
      <c r="AA178" s="191" t="str">
        <f t="array" ref="AA178">INDEX('Données 1_BD questio'!C:C,MATCH('1_BD questio brut'!$Y$1&amp;'1_BD questio brut'!Y178,'Données 1_BD questio'!A:A&amp;'Données 1_BD questio'!B:B,0))</f>
        <v>Ne sait pas</v>
      </c>
      <c r="AB178" s="191" t="str">
        <f>'1_BD questio brut'!Z178</f>
        <v>2</v>
      </c>
      <c r="AC178" s="191" t="str">
        <f>'1_BD questio brut'!AA178</f>
        <v>1 à 2 ans</v>
      </c>
      <c r="AD178" s="191" t="str">
        <f>'1_BD questio brut'!AB178</f>
        <v>Les deux</v>
      </c>
      <c r="AE178" s="191" t="str">
        <f t="array" ref="AE178">INDEX('Données 1_BD questio'!C:C,MATCH('1_BD questio brut'!$AC$1&amp;'1_BD questio brut'!AC178,'Données 1_BD questio'!A:A&amp;'Données 1_BD questio'!B:B,0))</f>
        <v>vous-même</v>
      </c>
      <c r="AF178" s="191" t="str">
        <f>'1_BD questio brut'!AD178</f>
        <v>1 fois par an</v>
      </c>
      <c r="AG178" s="191" t="str">
        <f>'1_BD questio brut'!AE178</f>
        <v/>
      </c>
      <c r="AH178" s="191" t="str">
        <f>'1_BD questio brut'!AF178</f>
        <v>Poêle</v>
      </c>
      <c r="AI178" s="191" t="str">
        <f>'1_BD questio brut'!AG178</f>
        <v>2</v>
      </c>
      <c r="AJ178" s="191" t="str">
        <f>'1_BD questio brut'!AH178</f>
        <v/>
      </c>
      <c r="AK178" s="191" t="str">
        <f>'1_BD questio brut'!AI178</f>
        <v>Chauffage de base</v>
      </c>
      <c r="AL178" s="191" t="str">
        <f>'1_BD questio brut'!AJ178</f>
        <v>Pas de réponse</v>
      </c>
      <c r="AM178" s="191" t="str">
        <f>'1_BD questio brut'!AK178</f>
        <v>2; 4; 5</v>
      </c>
      <c r="AN178" s="191" t="str">
        <f>'1_BD questio brut'!AL178</f>
        <v/>
      </c>
      <c r="AO178" s="191" t="str">
        <f>'1_BD questio brut'!AM178</f>
        <v>5</v>
      </c>
      <c r="AP178" s="191" t="str">
        <f>'1_BD questio brut'!AN178</f>
        <v/>
      </c>
      <c r="AQ178" s="191" t="str">
        <f>'1_BD questio brut'!AO178</f>
        <v/>
      </c>
    </row>
    <row r="179" spans="1:43" ht="43.5" hidden="1">
      <c r="A179" s="98">
        <f>INDEX('3_BD instruction total'!A:A,MATCH(C179,'3_BD instruction total'!F:F,0))</f>
        <v>2021</v>
      </c>
      <c r="B179" s="98" t="str">
        <f>INDEX('3_BD instruction total'!C:C,MATCH(C179,'3_BD instruction total'!F:F,0))</f>
        <v>non</v>
      </c>
      <c r="C179" s="191" t="str">
        <f>'1_BD questio brut'!A179</f>
        <v>VRB0186</v>
      </c>
      <c r="D179" s="191" t="str">
        <f t="array" ref="D179">INDEX('Données 1_BD questio'!C:C,MATCH('1_BD questio brut'!$B$1&amp;'1_BD questio brut'!B179,'Données 1_BD questio'!A:A&amp;'Données 1_BD questio'!B:B,0))</f>
        <v>CAPV</v>
      </c>
      <c r="E179" s="191" t="str">
        <f t="array" ref="E179">INDEX('Données 1_BD questio'!C:C,MATCH('1_BD questio brut'!$C$1&amp;'1_BD questio brut'!C179,'Données 1_BD questio'!A:A&amp;'Données 1_BD questio'!B:B,0))</f>
        <v>Retraité</v>
      </c>
      <c r="F179" s="191" t="str">
        <f t="array" ref="F179">INDEX('Données 1_BD questio'!C:C,MATCH('1_BD questio brut'!$D$1&amp;'1_BD questio brut'!D179,'Données 1_BD questio'!A:A&amp;'Données 1_BD questio'!B:B,0))</f>
        <v>Retraité</v>
      </c>
      <c r="G179" s="191" t="str">
        <f>'1_BD questio brut'!E179</f>
        <v>65 ans et plus</v>
      </c>
      <c r="H179" s="191">
        <f>'1_BD questio brut'!F179</f>
        <v>2</v>
      </c>
      <c r="I179" s="191" t="str">
        <f>'1_BD questio brut'!G179</f>
        <v>Pas de réponse</v>
      </c>
      <c r="J179" s="191" t="str">
        <f t="array" ref="J179">INDEX('Données 1_BD questio'!C:C,MATCH('1_BD questio brut'!$H$1&amp;'1_BD questio brut'!H179,'Données 1_BD questio'!A:A&amp;'Données 1_BD questio'!B:B,0))</f>
        <v>Maison avec jardin</v>
      </c>
      <c r="K179" s="191">
        <f>'1_BD questio brut'!I179</f>
        <v>120</v>
      </c>
      <c r="L179" s="191" t="str">
        <f>'1_BD questio brut'!J179</f>
        <v>Après 2005</v>
      </c>
      <c r="M179" s="191" t="str">
        <f>'1_BD questio brut'!K179</f>
        <v>6</v>
      </c>
      <c r="N179" s="191" t="str">
        <f>'1_BD questio brut'!L179</f>
        <v>Pas de réponse</v>
      </c>
      <c r="O179" s="191" t="str">
        <f>'1_BD questio brut'!M179</f>
        <v>Propriétaire occupant</v>
      </c>
      <c r="P179" s="191" t="str">
        <f>'1_BD questio brut'!N179</f>
        <v>Poêle</v>
      </c>
      <c r="Q179" s="191" t="str">
        <f>'1_BD questio brut'!O179</f>
        <v>Chauffage de base</v>
      </c>
      <c r="R179" s="191" t="str">
        <f>'1_BD questio brut'!P179</f>
        <v>Tous les jours</v>
      </c>
      <c r="S179" s="191" t="str">
        <f>'1_BD questio brut'!Q179</f>
        <v>1; 2; 3</v>
      </c>
      <c r="T179" s="191" t="str">
        <f>'1_BD questio brut'!R179</f>
        <v>Avant 1990</v>
      </c>
      <c r="U179" s="191" t="str">
        <f>'1_BD questio brut'!S179</f>
        <v>Bois bûche</v>
      </c>
      <c r="V179" s="191" t="str">
        <f>'1_BD questio brut'!T179</f>
        <v/>
      </c>
      <c r="W179" s="191" t="str">
        <f>'1_BD questio brut'!U179</f>
        <v>6</v>
      </c>
      <c r="X179" s="191" t="str">
        <f>'1_BD questio brut'!V179</f>
        <v>stères</v>
      </c>
      <c r="Y179" s="191" t="str">
        <f>'1_BD questio brut'!W179</f>
        <v>2</v>
      </c>
      <c r="Z179" s="191" t="str">
        <f>'1_BD questio brut'!X179</f>
        <v/>
      </c>
      <c r="AA179" s="191" t="str">
        <f t="array" ref="AA179">INDEX('Données 1_BD questio'!C:C,MATCH('1_BD questio brut'!$Y$1&amp;'1_BD questio brut'!Y179,'Données 1_BD questio'!A:A&amp;'Données 1_BD questio'!B:B,0))</f>
        <v>RA2B</v>
      </c>
      <c r="AB179" s="191" t="str">
        <f>'1_BD questio brut'!Z179</f>
        <v>1</v>
      </c>
      <c r="AC179" s="191" t="str">
        <f>'1_BD questio brut'!AA179</f>
        <v>&gt; 2 ans</v>
      </c>
      <c r="AD179" s="191" t="str">
        <f>'1_BD questio brut'!AB179</f>
        <v>Feuillus</v>
      </c>
      <c r="AE179" s="191" t="str">
        <f t="array" ref="AE179">INDEX('Données 1_BD questio'!C:C,MATCH('1_BD questio brut'!$AC$1&amp;'1_BD questio brut'!AC179,'Données 1_BD questio'!A:A&amp;'Données 1_BD questio'!B:B,0))</f>
        <v>un professionnel</v>
      </c>
      <c r="AF179" s="191" t="str">
        <f>'1_BD questio brut'!AD179</f>
        <v>1 fois par an</v>
      </c>
      <c r="AG179" s="191" t="str">
        <f>'1_BD questio brut'!AE179</f>
        <v/>
      </c>
      <c r="AH179" s="191" t="str">
        <f>'1_BD questio brut'!AF179</f>
        <v>Poêle</v>
      </c>
      <c r="AI179" s="191" t="str">
        <f>'1_BD questio brut'!AG179</f>
        <v>2</v>
      </c>
      <c r="AJ179" s="191" t="str">
        <f>'1_BD questio brut'!AH179</f>
        <v/>
      </c>
      <c r="AK179" s="191" t="str">
        <f>'1_BD questio brut'!AI179</f>
        <v>Chauffage de base</v>
      </c>
      <c r="AL179" s="191" t="str">
        <f>'1_BD questio brut'!AJ179</f>
        <v>Pas de réponse</v>
      </c>
      <c r="AM179" s="191" t="str">
        <f>'1_BD questio brut'!AK179</f>
        <v>1; 2; 4; 5</v>
      </c>
      <c r="AN179" s="191" t="str">
        <f>'1_BD questio brut'!AL179</f>
        <v/>
      </c>
      <c r="AO179" s="191" t="str">
        <f>'1_BD questio brut'!AM179</f>
        <v>5</v>
      </c>
      <c r="AP179" s="191" t="str">
        <f>'1_BD questio brut'!AN179</f>
        <v/>
      </c>
      <c r="AQ179" s="191" t="str">
        <f>'1_BD questio brut'!AO179</f>
        <v/>
      </c>
    </row>
    <row r="180" spans="1:43" ht="43.5" hidden="1">
      <c r="A180" s="98">
        <f>INDEX('3_BD instruction total'!A:A,MATCH(C180,'3_BD instruction total'!F:F,0))</f>
        <v>2021</v>
      </c>
      <c r="B180" s="98" t="str">
        <f>INDEX('3_BD instruction total'!C:C,MATCH(C180,'3_BD instruction total'!F:F,0))</f>
        <v>non</v>
      </c>
      <c r="C180" s="191" t="str">
        <f>'1_BD questio brut'!A180</f>
        <v>VRB0187</v>
      </c>
      <c r="D180" s="191" t="str">
        <f t="array" ref="D180">INDEX('Données 1_BD questio'!C:C,MATCH('1_BD questio brut'!$B$1&amp;'1_BD questio brut'!B180,'Données 1_BD questio'!A:A&amp;'Données 1_BD questio'!B:B,0))</f>
        <v>CAPV</v>
      </c>
      <c r="E180" s="191" t="str">
        <f t="array" ref="E180">INDEX('Données 1_BD questio'!C:C,MATCH('1_BD questio brut'!$C$1&amp;'1_BD questio brut'!C180,'Données 1_BD questio'!A:A&amp;'Données 1_BD questio'!B:B,0))</f>
        <v>Retraité</v>
      </c>
      <c r="F180" s="191" t="str">
        <f t="array" ref="F180">INDEX('Données 1_BD questio'!C:C,MATCH('1_BD questio brut'!$D$1&amp;'1_BD questio brut'!D180,'Données 1_BD questio'!A:A&amp;'Données 1_BD questio'!B:B,0))</f>
        <v>Retraité</v>
      </c>
      <c r="G180" s="191" t="str">
        <f>'1_BD questio brut'!E180</f>
        <v>50 à 64 ans</v>
      </c>
      <c r="H180" s="191">
        <f>'1_BD questio brut'!F180</f>
        <v>3</v>
      </c>
      <c r="I180" s="191" t="str">
        <f>'1_BD questio brut'!G180</f>
        <v>Pas de réponse</v>
      </c>
      <c r="J180" s="191" t="str">
        <f t="array" ref="J180">INDEX('Données 1_BD questio'!C:C,MATCH('1_BD questio brut'!$H$1&amp;'1_BD questio brut'!H180,'Données 1_BD questio'!A:A&amp;'Données 1_BD questio'!B:B,0))</f>
        <v>Maison avec jardin</v>
      </c>
      <c r="K180" s="191">
        <f>'1_BD questio brut'!I180</f>
        <v>161</v>
      </c>
      <c r="L180" s="191" t="str">
        <f>'1_BD questio brut'!J180</f>
        <v>Pas de réponse</v>
      </c>
      <c r="M180" s="191" t="str">
        <f>'1_BD questio brut'!K180</f>
        <v>6</v>
      </c>
      <c r="N180" s="191" t="str">
        <f>'1_BD questio brut'!L180</f>
        <v>Pas de réponse</v>
      </c>
      <c r="O180" s="191" t="str">
        <f>'1_BD questio brut'!M180</f>
        <v>Propriétaire occupant</v>
      </c>
      <c r="P180" s="191" t="str">
        <f>'1_BD questio brut'!N180</f>
        <v>Cuisinière</v>
      </c>
      <c r="Q180" s="191" t="str">
        <f>'1_BD questio brut'!O180</f>
        <v>Chauffage de base</v>
      </c>
      <c r="R180" s="191" t="str">
        <f>'1_BD questio brut'!P180</f>
        <v>Tous les jours</v>
      </c>
      <c r="S180" s="191" t="str">
        <f>'1_BD questio brut'!Q180</f>
        <v>1</v>
      </c>
      <c r="T180" s="191" t="str">
        <f>'1_BD questio brut'!R180</f>
        <v>Avant 1990</v>
      </c>
      <c r="U180" s="191" t="str">
        <f>'1_BD questio brut'!S180</f>
        <v>Bois bûche</v>
      </c>
      <c r="V180" s="191" t="str">
        <f>'1_BD questio brut'!T180</f>
        <v/>
      </c>
      <c r="W180" s="191" t="str">
        <f>'1_BD questio brut'!U180</f>
        <v>7</v>
      </c>
      <c r="X180" s="191" t="str">
        <f>'1_BD questio brut'!V180</f>
        <v>stères</v>
      </c>
      <c r="Y180" s="191" t="str">
        <f>'1_BD questio brut'!W180</f>
        <v>2</v>
      </c>
      <c r="Z180" s="191" t="str">
        <f>'1_BD questio brut'!X180</f>
        <v/>
      </c>
      <c r="AA180" s="191" t="str">
        <f t="array" ref="AA180">INDEX('Données 1_BD questio'!C:C,MATCH('1_BD questio brut'!$Y$1&amp;'1_BD questio brut'!Y180,'Données 1_BD questio'!A:A&amp;'Données 1_BD questio'!B:B,0))</f>
        <v>Rhône-Alpes hors RA2B</v>
      </c>
      <c r="AB180" s="191" t="str">
        <f>'1_BD questio brut'!Z180</f>
        <v>2</v>
      </c>
      <c r="AC180" s="191" t="str">
        <f>'1_BD questio brut'!AA180</f>
        <v>&gt; 2 ans</v>
      </c>
      <c r="AD180" s="191" t="str">
        <f>'1_BD questio brut'!AB180</f>
        <v>Feuillus</v>
      </c>
      <c r="AE180" s="191" t="str">
        <f t="array" ref="AE180">INDEX('Données 1_BD questio'!C:C,MATCH('1_BD questio brut'!$AC$1&amp;'1_BD questio brut'!AC180,'Données 1_BD questio'!A:A&amp;'Données 1_BD questio'!B:B,0))</f>
        <v>un professionnel</v>
      </c>
      <c r="AF180" s="191" t="str">
        <f>'1_BD questio brut'!AD180</f>
        <v>1 fois par an</v>
      </c>
      <c r="AG180" s="191" t="str">
        <f>'1_BD questio brut'!AE180</f>
        <v/>
      </c>
      <c r="AH180" s="191" t="str">
        <f>'1_BD questio brut'!AF180</f>
        <v>Cuisinière</v>
      </c>
      <c r="AI180" s="191" t="str">
        <f>'1_BD questio brut'!AG180</f>
        <v>1</v>
      </c>
      <c r="AJ180" s="191" t="str">
        <f>'1_BD questio brut'!AH180</f>
        <v/>
      </c>
      <c r="AK180" s="191" t="str">
        <f>'1_BD questio brut'!AI180</f>
        <v>Chauffage de base</v>
      </c>
      <c r="AL180" s="191" t="str">
        <f>'1_BD questio brut'!AJ180</f>
        <v>Pas de réponse</v>
      </c>
      <c r="AM180" s="191" t="str">
        <f>'1_BD questio brut'!AK180</f>
        <v>2; 4; 5</v>
      </c>
      <c r="AN180" s="191" t="str">
        <f>'1_BD questio brut'!AL180</f>
        <v/>
      </c>
      <c r="AO180" s="191" t="str">
        <f>'1_BD questio brut'!AM180</f>
        <v>5</v>
      </c>
      <c r="AP180" s="191" t="str">
        <f>'1_BD questio brut'!AN180</f>
        <v/>
      </c>
      <c r="AQ180" s="191" t="str">
        <f>'1_BD questio brut'!AO180</f>
        <v/>
      </c>
    </row>
    <row r="181" spans="1:43" ht="43.5" hidden="1">
      <c r="A181" s="98">
        <f>INDEX('3_BD instruction total'!A:A,MATCH(C181,'3_BD instruction total'!F:F,0))</f>
        <v>2021</v>
      </c>
      <c r="B181" s="98" t="str">
        <f>INDEX('3_BD instruction total'!C:C,MATCH(C181,'3_BD instruction total'!F:F,0))</f>
        <v>non</v>
      </c>
      <c r="C181" s="191" t="str">
        <f>'1_BD questio brut'!A181</f>
        <v>VRB0188</v>
      </c>
      <c r="D181" s="191" t="str">
        <f t="array" ref="D181">INDEX('Données 1_BD questio'!C:C,MATCH('1_BD questio brut'!$B$1&amp;'1_BD questio brut'!B181,'Données 1_BD questio'!A:A&amp;'Données 1_BD questio'!B:B,0))</f>
        <v>CAPV</v>
      </c>
      <c r="E181" s="191" t="str">
        <f t="array" ref="E181">INDEX('Données 1_BD questio'!C:C,MATCH('1_BD questio brut'!$C$1&amp;'1_BD questio brut'!C181,'Données 1_BD questio'!A:A&amp;'Données 1_BD questio'!B:B,0))</f>
        <v>Retraité</v>
      </c>
      <c r="F181" s="191" t="str">
        <f t="array" ref="F181">INDEX('Données 1_BD questio'!C:C,MATCH('1_BD questio brut'!$D$1&amp;'1_BD questio brut'!D181,'Données 1_BD questio'!A:A&amp;'Données 1_BD questio'!B:B,0))</f>
        <v>Autre,sans activité</v>
      </c>
      <c r="G181" s="191" t="str">
        <f>'1_BD questio brut'!E181</f>
        <v>65 ans et plus</v>
      </c>
      <c r="H181" s="191">
        <f>'1_BD questio brut'!F181</f>
        <v>2</v>
      </c>
      <c r="I181" s="191" t="str">
        <f>'1_BD questio brut'!G181</f>
        <v>Pas de réponse</v>
      </c>
      <c r="J181" s="191" t="str">
        <f t="array" ref="J181">INDEX('Données 1_BD questio'!C:C,MATCH('1_BD questio brut'!$H$1&amp;'1_BD questio brut'!H181,'Données 1_BD questio'!A:A&amp;'Données 1_BD questio'!B:B,0))</f>
        <v>Maison avec jardin</v>
      </c>
      <c r="K181" s="191">
        <f>'1_BD questio brut'!I181</f>
        <v>95</v>
      </c>
      <c r="L181" s="191" t="str">
        <f>'1_BD questio brut'!J181</f>
        <v>1975-1990</v>
      </c>
      <c r="M181" s="191" t="str">
        <f>'1_BD questio brut'!K181</f>
        <v>1; 4</v>
      </c>
      <c r="N181" s="191" t="str">
        <f>'1_BD questio brut'!L181</f>
        <v>Pas de réponse</v>
      </c>
      <c r="O181" s="191" t="str">
        <f>'1_BD questio brut'!M181</f>
        <v>Propriétaire occupant</v>
      </c>
      <c r="P181" s="191" t="str">
        <f>'1_BD questio brut'!N181</f>
        <v>Insert / foyer fermé</v>
      </c>
      <c r="Q181" s="191" t="str">
        <f>'1_BD questio brut'!O181</f>
        <v>Chauffage d'apoint</v>
      </c>
      <c r="R181" s="191" t="str">
        <f>'1_BD questio brut'!P181</f>
        <v>Tous les jours</v>
      </c>
      <c r="S181" s="191" t="str">
        <f>'1_BD questio brut'!Q181</f>
        <v>4</v>
      </c>
      <c r="T181" s="191" t="str">
        <f>'1_BD questio brut'!R181</f>
        <v>Avant 1990</v>
      </c>
      <c r="U181" s="191" t="str">
        <f>'1_BD questio brut'!S181</f>
        <v>Bois bûche</v>
      </c>
      <c r="V181" s="191" t="str">
        <f>'1_BD questio brut'!T181</f>
        <v/>
      </c>
      <c r="W181" s="191" t="str">
        <f>'1_BD questio brut'!U181</f>
        <v>8</v>
      </c>
      <c r="X181" s="191" t="str">
        <f>'1_BD questio brut'!V181</f>
        <v>stères</v>
      </c>
      <c r="Y181" s="191" t="str">
        <f>'1_BD questio brut'!W181</f>
        <v>2</v>
      </c>
      <c r="Z181" s="191" t="str">
        <f>'1_BD questio brut'!X181</f>
        <v/>
      </c>
      <c r="AA181" s="191" t="str">
        <f t="array" ref="AA181">INDEX('Données 1_BD questio'!C:C,MATCH('1_BD questio brut'!$Y$1&amp;'1_BD questio brut'!Y181,'Données 1_BD questio'!A:A&amp;'Données 1_BD questio'!B:B,0))</f>
        <v>RA2B</v>
      </c>
      <c r="AB181" s="191" t="str">
        <f>'1_BD questio brut'!Z181</f>
        <v>2</v>
      </c>
      <c r="AC181" s="191" t="str">
        <f>'1_BD questio brut'!AA181</f>
        <v>&gt; 2 ans</v>
      </c>
      <c r="AD181" s="191" t="str">
        <f>'1_BD questio brut'!AB181</f>
        <v>Feuillus</v>
      </c>
      <c r="AE181" s="191" t="str">
        <f t="array" ref="AE181">INDEX('Données 1_BD questio'!C:C,MATCH('1_BD questio brut'!$AC$1&amp;'1_BD questio brut'!AC181,'Données 1_BD questio'!A:A&amp;'Données 1_BD questio'!B:B,0))</f>
        <v>un professionnel</v>
      </c>
      <c r="AF181" s="191" t="str">
        <f>'1_BD questio brut'!AD181</f>
        <v>1 fois par an</v>
      </c>
      <c r="AG181" s="191" t="str">
        <f>'1_BD questio brut'!AE181</f>
        <v/>
      </c>
      <c r="AH181" s="191" t="str">
        <f>'1_BD questio brut'!AF181</f>
        <v>Poêle</v>
      </c>
      <c r="AI181" s="191" t="str">
        <f>'1_BD questio brut'!AG181</f>
        <v>1</v>
      </c>
      <c r="AJ181" s="191" t="str">
        <f>'1_BD questio brut'!AH181</f>
        <v/>
      </c>
      <c r="AK181" s="191" t="str">
        <f>'1_BD questio brut'!AI181</f>
        <v>Chauffage d'appoint</v>
      </c>
      <c r="AL181" s="191" t="str">
        <f>'1_BD questio brut'!AJ181</f>
        <v>Pas de réponse</v>
      </c>
      <c r="AM181" s="191" t="str">
        <f>'1_BD questio brut'!AK181</f>
        <v>1; 2; 4</v>
      </c>
      <c r="AN181" s="191" t="str">
        <f>'1_BD questio brut'!AL181</f>
        <v/>
      </c>
      <c r="AO181" s="191" t="str">
        <f>'1_BD questio brut'!AM181</f>
        <v>5</v>
      </c>
      <c r="AP181" s="191" t="str">
        <f>'1_BD questio brut'!AN181</f>
        <v/>
      </c>
      <c r="AQ181" s="191" t="str">
        <f>'1_BD questio brut'!AO181</f>
        <v/>
      </c>
    </row>
    <row r="182" spans="1:43" ht="29" hidden="1">
      <c r="A182" s="98">
        <f>INDEX('3_BD instruction total'!A:A,MATCH(C182,'3_BD instruction total'!F:F,0))</f>
        <v>2021</v>
      </c>
      <c r="B182" s="98" t="str">
        <f>INDEX('3_BD instruction total'!C:C,MATCH(C182,'3_BD instruction total'!F:F,0))</f>
        <v>non</v>
      </c>
      <c r="C182" s="191" t="str">
        <f>'1_BD questio brut'!A182</f>
        <v>VRB0189</v>
      </c>
      <c r="D182" s="191" t="str">
        <f t="array" ref="D182">INDEX('Données 1_BD questio'!C:C,MATCH('1_BD questio brut'!$B$1&amp;'1_BD questio brut'!B182,'Données 1_BD questio'!A:A&amp;'Données 1_BD questio'!B:B,0))</f>
        <v>CAPV</v>
      </c>
      <c r="E182" s="191" t="str">
        <f t="array" ref="E182">INDEX('Données 1_BD questio'!C:C,MATCH('1_BD questio brut'!$C$1&amp;'1_BD questio brut'!C182,'Données 1_BD questio'!A:A&amp;'Données 1_BD questio'!B:B,0))</f>
        <v>Retraité</v>
      </c>
      <c r="F182" s="191" t="str">
        <f t="array" ref="F182">INDEX('Données 1_BD questio'!C:C,MATCH('1_BD questio brut'!$D$1&amp;'1_BD questio brut'!D182,'Données 1_BD questio'!A:A&amp;'Données 1_BD questio'!B:B,0))</f>
        <v>Retraité</v>
      </c>
      <c r="G182" s="191" t="str">
        <f>'1_BD questio brut'!E182</f>
        <v>65 ans et plus</v>
      </c>
      <c r="H182" s="191">
        <f>'1_BD questio brut'!F182</f>
        <v>2</v>
      </c>
      <c r="I182" s="191" t="str">
        <f>'1_BD questio brut'!G182</f>
        <v>Pas de réponse</v>
      </c>
      <c r="J182" s="191" t="str">
        <f t="array" ref="J182">INDEX('Données 1_BD questio'!C:C,MATCH('1_BD questio brut'!$H$1&amp;'1_BD questio brut'!H182,'Données 1_BD questio'!A:A&amp;'Données 1_BD questio'!B:B,0))</f>
        <v>Maison avec jardin</v>
      </c>
      <c r="K182" s="191">
        <f>'1_BD questio brut'!I182</f>
        <v>100</v>
      </c>
      <c r="L182" s="191" t="str">
        <f>'1_BD questio brut'!J182</f>
        <v>Après 2005</v>
      </c>
      <c r="M182" s="191" t="str">
        <f>'1_BD questio brut'!K182</f>
        <v>6</v>
      </c>
      <c r="N182" s="191" t="str">
        <f>'1_BD questio brut'!L182</f>
        <v>Pas de réponse</v>
      </c>
      <c r="O182" s="191" t="str">
        <f>'1_BD questio brut'!M182</f>
        <v>Propriétaire occupant</v>
      </c>
      <c r="P182" s="191" t="str">
        <f>'1_BD questio brut'!N182</f>
        <v>Poêle</v>
      </c>
      <c r="Q182" s="191" t="str">
        <f>'1_BD questio brut'!O182</f>
        <v>Chauffage de base</v>
      </c>
      <c r="R182" s="191" t="str">
        <f>'1_BD questio brut'!P182</f>
        <v>Tous les jours</v>
      </c>
      <c r="S182" s="191" t="str">
        <f>'1_BD questio brut'!Q182</f>
        <v>4; 5; 6</v>
      </c>
      <c r="T182" s="191" t="str">
        <f>'1_BD questio brut'!R182</f>
        <v>1996-2002</v>
      </c>
      <c r="U182" s="191" t="str">
        <f>'1_BD questio brut'!S182</f>
        <v>Bois bûche</v>
      </c>
      <c r="V182" s="191" t="str">
        <f>'1_BD questio brut'!T182</f>
        <v/>
      </c>
      <c r="W182" s="191" t="str">
        <f>'1_BD questio brut'!U182</f>
        <v>10</v>
      </c>
      <c r="X182" s="191" t="str">
        <f>'1_BD questio brut'!V182</f>
        <v>stères</v>
      </c>
      <c r="Y182" s="191" t="str">
        <f>'1_BD questio brut'!W182</f>
        <v>1</v>
      </c>
      <c r="Z182" s="191" t="str">
        <f>'1_BD questio brut'!X182</f>
        <v/>
      </c>
      <c r="AA182" s="191" t="str">
        <f t="array" ref="AA182">INDEX('Données 1_BD questio'!C:C,MATCH('1_BD questio brut'!$Y$1&amp;'1_BD questio brut'!Y182,'Données 1_BD questio'!A:A&amp;'Données 1_BD questio'!B:B,0))</f>
        <v>RA2B</v>
      </c>
      <c r="AB182" s="191" t="str">
        <f>'1_BD questio brut'!Z182</f>
        <v>2</v>
      </c>
      <c r="AC182" s="191" t="str">
        <f>'1_BD questio brut'!AA182</f>
        <v>&gt; 2 ans</v>
      </c>
      <c r="AD182" s="191" t="str">
        <f>'1_BD questio brut'!AB182</f>
        <v>Feuillus</v>
      </c>
      <c r="AE182" s="191" t="str">
        <f t="array" ref="AE182">INDEX('Données 1_BD questio'!C:C,MATCH('1_BD questio brut'!$AC$1&amp;'1_BD questio brut'!AC182,'Données 1_BD questio'!A:A&amp;'Données 1_BD questio'!B:B,0))</f>
        <v>vous-même</v>
      </c>
      <c r="AF182" s="191" t="str">
        <f>'1_BD questio brut'!AD182</f>
        <v>2 fois par an</v>
      </c>
      <c r="AG182" s="191" t="str">
        <f>'1_BD questio brut'!AE182</f>
        <v/>
      </c>
      <c r="AH182" s="191" t="str">
        <f>'1_BD questio brut'!AF182</f>
        <v>Poêle</v>
      </c>
      <c r="AI182" s="191" t="str">
        <f>'1_BD questio brut'!AG182</f>
        <v>2</v>
      </c>
      <c r="AJ182" s="191" t="str">
        <f>'1_BD questio brut'!AH182</f>
        <v/>
      </c>
      <c r="AK182" s="191" t="str">
        <f>'1_BD questio brut'!AI182</f>
        <v>Chauffage de base</v>
      </c>
      <c r="AL182" s="191" t="str">
        <f>'1_BD questio brut'!AJ182</f>
        <v>Pas de réponse</v>
      </c>
      <c r="AM182" s="191" t="str">
        <f>'1_BD questio brut'!AK182</f>
        <v>1; 2; 4</v>
      </c>
      <c r="AN182" s="191" t="str">
        <f>'1_BD questio brut'!AL182</f>
        <v/>
      </c>
      <c r="AO182" s="191" t="str">
        <f>'1_BD questio brut'!AM182</f>
        <v>5</v>
      </c>
      <c r="AP182" s="191" t="str">
        <f>'1_BD questio brut'!AN182</f>
        <v/>
      </c>
      <c r="AQ182" s="191" t="str">
        <f>'1_BD questio brut'!AO182</f>
        <v/>
      </c>
    </row>
    <row r="183" spans="1:43" ht="29" hidden="1">
      <c r="A183" s="98">
        <f>INDEX('3_BD instruction total'!A:A,MATCH(C183,'3_BD instruction total'!F:F,0))</f>
        <v>2021</v>
      </c>
      <c r="B183" s="98" t="str">
        <f>INDEX('3_BD instruction total'!C:C,MATCH(C183,'3_BD instruction total'!F:F,0))</f>
        <v>non</v>
      </c>
      <c r="C183" s="191" t="str">
        <f>'1_BD questio brut'!A183</f>
        <v>VRB0190</v>
      </c>
      <c r="D183" s="191" t="str">
        <f t="array" ref="D183">INDEX('Données 1_BD questio'!C:C,MATCH('1_BD questio brut'!$B$1&amp;'1_BD questio brut'!B183,'Données 1_BD questio'!A:A&amp;'Données 1_BD questio'!B:B,0))</f>
        <v>CAPV</v>
      </c>
      <c r="E183" s="191" t="str">
        <f t="array" ref="E183">INDEX('Données 1_BD questio'!C:C,MATCH('1_BD questio brut'!$C$1&amp;'1_BD questio brut'!C183,'Données 1_BD questio'!A:A&amp;'Données 1_BD questio'!B:B,0))</f>
        <v>Retraité</v>
      </c>
      <c r="F183" s="191" t="str">
        <f t="array" ref="F183">INDEX('Données 1_BD questio'!C:C,MATCH('1_BD questio brut'!$D$1&amp;'1_BD questio brut'!D183,'Données 1_BD questio'!A:A&amp;'Données 1_BD questio'!B:B,0))</f>
        <v>Pas de réponse</v>
      </c>
      <c r="G183" s="191" t="str">
        <f>'1_BD questio brut'!E183</f>
        <v>65 ans et plus</v>
      </c>
      <c r="H183" s="191">
        <f>'1_BD questio brut'!F183</f>
        <v>1</v>
      </c>
      <c r="I183" s="191" t="str">
        <f>'1_BD questio brut'!G183</f>
        <v>Pas de réponse</v>
      </c>
      <c r="J183" s="191" t="str">
        <f t="array" ref="J183">INDEX('Données 1_BD questio'!C:C,MATCH('1_BD questio brut'!$H$1&amp;'1_BD questio brut'!H183,'Données 1_BD questio'!A:A&amp;'Données 1_BD questio'!B:B,0))</f>
        <v>Maison avec jardin</v>
      </c>
      <c r="K183" s="191">
        <f>'1_BD questio brut'!I183</f>
        <v>110</v>
      </c>
      <c r="L183" s="191" t="str">
        <f>'1_BD questio brut'!J183</f>
        <v>1975-1990</v>
      </c>
      <c r="M183" s="191" t="str">
        <f>'1_BD questio brut'!K183</f>
        <v>1</v>
      </c>
      <c r="N183" s="191" t="str">
        <f>'1_BD questio brut'!L183</f>
        <v>Pas de réponse</v>
      </c>
      <c r="O183" s="191" t="str">
        <f>'1_BD questio brut'!M183</f>
        <v>Propriétaire occupant</v>
      </c>
      <c r="P183" s="191" t="str">
        <f>'1_BD questio brut'!N183</f>
        <v>Insert / foyer fermé</v>
      </c>
      <c r="Q183" s="191" t="str">
        <f>'1_BD questio brut'!O183</f>
        <v>Chauffage de base</v>
      </c>
      <c r="R183" s="191" t="str">
        <f>'1_BD questio brut'!P183</f>
        <v>Tous les jours</v>
      </c>
      <c r="S183" s="191" t="str">
        <f>'1_BD questio brut'!Q183</f>
        <v>2</v>
      </c>
      <c r="T183" s="191" t="str">
        <f>'1_BD questio brut'!R183</f>
        <v>1990-1995</v>
      </c>
      <c r="U183" s="191" t="str">
        <f>'1_BD questio brut'!S183</f>
        <v>Bois bûche</v>
      </c>
      <c r="V183" s="191" t="str">
        <f>'1_BD questio brut'!T183</f>
        <v/>
      </c>
      <c r="W183" s="191" t="str">
        <f>'1_BD questio brut'!U183</f>
        <v>10</v>
      </c>
      <c r="X183" s="191" t="str">
        <f>'1_BD questio brut'!V183</f>
        <v>stères</v>
      </c>
      <c r="Y183" s="191" t="str">
        <f>'1_BD questio brut'!W183</f>
        <v>1</v>
      </c>
      <c r="Z183" s="191" t="str">
        <f>'1_BD questio brut'!X183</f>
        <v/>
      </c>
      <c r="AA183" s="191" t="str">
        <f t="array" ref="AA183">INDEX('Données 1_BD questio'!C:C,MATCH('1_BD questio brut'!$Y$1&amp;'1_BD questio brut'!Y183,'Données 1_BD questio'!A:A&amp;'Données 1_BD questio'!B:B,0))</f>
        <v>Pas de réponse</v>
      </c>
      <c r="AB183" s="191" t="str">
        <f>'1_BD questio brut'!Z183</f>
        <v>2</v>
      </c>
      <c r="AC183" s="191" t="str">
        <f>'1_BD questio brut'!AA183</f>
        <v>&gt; 2 ans</v>
      </c>
      <c r="AD183" s="191" t="str">
        <f>'1_BD questio brut'!AB183</f>
        <v>Feuillus</v>
      </c>
      <c r="AE183" s="191" t="str">
        <f t="array" ref="AE183">INDEX('Données 1_BD questio'!C:C,MATCH('1_BD questio brut'!$AC$1&amp;'1_BD questio brut'!AC183,'Données 1_BD questio'!A:A&amp;'Données 1_BD questio'!B:B,0))</f>
        <v>vous-même</v>
      </c>
      <c r="AF183" s="191" t="str">
        <f>'1_BD questio brut'!AD183</f>
        <v>2 fois par an</v>
      </c>
      <c r="AG183" s="191" t="str">
        <f>'1_BD questio brut'!AE183</f>
        <v/>
      </c>
      <c r="AH183" s="191" t="str">
        <f>'1_BD questio brut'!AF183</f>
        <v>Insert cheminée</v>
      </c>
      <c r="AI183" s="191" t="str">
        <f>'1_BD questio brut'!AG183</f>
        <v>1</v>
      </c>
      <c r="AJ183" s="191" t="str">
        <f>'1_BD questio brut'!AH183</f>
        <v/>
      </c>
      <c r="AK183" s="191" t="str">
        <f>'1_BD questio brut'!AI183</f>
        <v>Chauffage de base</v>
      </c>
      <c r="AL183" s="191" t="str">
        <f>'1_BD questio brut'!AJ183</f>
        <v>Pas de réponse</v>
      </c>
      <c r="AM183" s="191" t="str">
        <f>'1_BD questio brut'!AK183</f>
        <v>2; 5</v>
      </c>
      <c r="AN183" s="191" t="str">
        <f>'1_BD questio brut'!AL183</f>
        <v/>
      </c>
      <c r="AO183" s="191" t="str">
        <f>'1_BD questio brut'!AM183</f>
        <v>11</v>
      </c>
      <c r="AP183" s="191" t="str">
        <f>'1_BD questio brut'!AN183</f>
        <v/>
      </c>
      <c r="AQ183" s="191" t="str">
        <f>'1_BD questio brut'!AO183</f>
        <v/>
      </c>
    </row>
    <row r="184" spans="1:43" ht="29" hidden="1">
      <c r="A184" s="98">
        <f>INDEX('3_BD instruction total'!A:A,MATCH(C184,'3_BD instruction total'!F:F,0))</f>
        <v>2021</v>
      </c>
      <c r="B184" s="98" t="str">
        <f>INDEX('3_BD instruction total'!C:C,MATCH(C184,'3_BD instruction total'!F:F,0))</f>
        <v>non</v>
      </c>
      <c r="C184" s="191" t="str">
        <f>'1_BD questio brut'!A184</f>
        <v>VRB0191</v>
      </c>
      <c r="D184" s="191" t="str">
        <f t="array" ref="D184">INDEX('Données 1_BD questio'!C:C,MATCH('1_BD questio brut'!$B$1&amp;'1_BD questio brut'!B184,'Données 1_BD questio'!A:A&amp;'Données 1_BD questio'!B:B,0))</f>
        <v>CAPV</v>
      </c>
      <c r="E184" s="191" t="str">
        <f t="array" ref="E184">INDEX('Données 1_BD questio'!C:C,MATCH('1_BD questio brut'!$C$1&amp;'1_BD questio brut'!C184,'Données 1_BD questio'!A:A&amp;'Données 1_BD questio'!B:B,0))</f>
        <v>Retraité</v>
      </c>
      <c r="F184" s="191" t="str">
        <f t="array" ref="F184">INDEX('Données 1_BD questio'!C:C,MATCH('1_BD questio brut'!$D$1&amp;'1_BD questio brut'!D184,'Données 1_BD questio'!A:A&amp;'Données 1_BD questio'!B:B,0))</f>
        <v>Retraité</v>
      </c>
      <c r="G184" s="191" t="str">
        <f>'1_BD questio brut'!E184</f>
        <v>65 ans et plus</v>
      </c>
      <c r="H184" s="191">
        <f>'1_BD questio brut'!F184</f>
        <v>2</v>
      </c>
      <c r="I184" s="191" t="str">
        <f>'1_BD questio brut'!G184</f>
        <v>Pas de réponse</v>
      </c>
      <c r="J184" s="191" t="str">
        <f t="array" ref="J184">INDEX('Données 1_BD questio'!C:C,MATCH('1_BD questio brut'!$H$1&amp;'1_BD questio brut'!H184,'Données 1_BD questio'!A:A&amp;'Données 1_BD questio'!B:B,0))</f>
        <v>Maison avec jardin</v>
      </c>
      <c r="K184" s="191">
        <f>'1_BD questio brut'!I184</f>
        <v>100</v>
      </c>
      <c r="L184" s="191" t="str">
        <f>'1_BD questio brut'!J184</f>
        <v>1949-1975</v>
      </c>
      <c r="M184" s="191" t="str">
        <f>'1_BD questio brut'!K184</f>
        <v>4</v>
      </c>
      <c r="N184" s="191" t="str">
        <f>'1_BD questio brut'!L184</f>
        <v>Pas de réponse</v>
      </c>
      <c r="O184" s="191" t="str">
        <f>'1_BD questio brut'!M184</f>
        <v>Propriétaire occupant</v>
      </c>
      <c r="P184" s="191" t="str">
        <f>'1_BD questio brut'!N184</f>
        <v>Poêle</v>
      </c>
      <c r="Q184" s="191" t="str">
        <f>'1_BD questio brut'!O184</f>
        <v>Chauffage de base</v>
      </c>
      <c r="R184" s="191" t="str">
        <f>'1_BD questio brut'!P184</f>
        <v>Tous les jours</v>
      </c>
      <c r="S184" s="191" t="str">
        <f>'1_BD questio brut'!Q184</f>
        <v>1; 4</v>
      </c>
      <c r="T184" s="191" t="str">
        <f>'1_BD questio brut'!R184</f>
        <v>Avant 1990</v>
      </c>
      <c r="U184" s="191" t="str">
        <f>'1_BD questio brut'!S184</f>
        <v>Bois bûche</v>
      </c>
      <c r="V184" s="191" t="str">
        <f>'1_BD questio brut'!T184</f>
        <v/>
      </c>
      <c r="W184" s="191" t="str">
        <f>'1_BD questio brut'!U184</f>
        <v>10</v>
      </c>
      <c r="X184" s="191" t="str">
        <f>'1_BD questio brut'!V184</f>
        <v>stères</v>
      </c>
      <c r="Y184" s="191" t="str">
        <f>'1_BD questio brut'!W184</f>
        <v>2</v>
      </c>
      <c r="Z184" s="191" t="str">
        <f>'1_BD questio brut'!X184</f>
        <v/>
      </c>
      <c r="AA184" s="191" t="str">
        <f t="array" ref="AA184">INDEX('Données 1_BD questio'!C:C,MATCH('1_BD questio brut'!$Y$1&amp;'1_BD questio brut'!Y184,'Données 1_BD questio'!A:A&amp;'Données 1_BD questio'!B:B,0))</f>
        <v>Ne sait pas</v>
      </c>
      <c r="AB184" s="191" t="str">
        <f>'1_BD questio brut'!Z184</f>
        <v>2</v>
      </c>
      <c r="AC184" s="191" t="str">
        <f>'1_BD questio brut'!AA184</f>
        <v>1 à 2 ans</v>
      </c>
      <c r="AD184" s="191" t="str">
        <f>'1_BD questio brut'!AB184</f>
        <v>Feuillus</v>
      </c>
      <c r="AE184" s="191" t="str">
        <f t="array" ref="AE184">INDEX('Données 1_BD questio'!C:C,MATCH('1_BD questio brut'!$AC$1&amp;'1_BD questio brut'!AC184,'Données 1_BD questio'!A:A&amp;'Données 1_BD questio'!B:B,0))</f>
        <v>vous-même</v>
      </c>
      <c r="AF184" s="191" t="str">
        <f>'1_BD questio brut'!AD184</f>
        <v>1 fois par an</v>
      </c>
      <c r="AG184" s="191" t="str">
        <f>'1_BD questio brut'!AE184</f>
        <v/>
      </c>
      <c r="AH184" s="191" t="str">
        <f>'1_BD questio brut'!AF184</f>
        <v>Poêle</v>
      </c>
      <c r="AI184" s="191" t="str">
        <f>'1_BD questio brut'!AG184</f>
        <v>2</v>
      </c>
      <c r="AJ184" s="191" t="str">
        <f>'1_BD questio brut'!AH184</f>
        <v/>
      </c>
      <c r="AK184" s="191" t="str">
        <f>'1_BD questio brut'!AI184</f>
        <v>Chauffage de base</v>
      </c>
      <c r="AL184" s="191" t="str">
        <f>'1_BD questio brut'!AJ184</f>
        <v>Pas de réponse</v>
      </c>
      <c r="AM184" s="191" t="str">
        <f>'1_BD questio brut'!AK184</f>
        <v>1; 2; 4; 5</v>
      </c>
      <c r="AN184" s="191" t="str">
        <f>'1_BD questio brut'!AL184</f>
        <v/>
      </c>
      <c r="AO184" s="191" t="str">
        <f>'1_BD questio brut'!AM184</f>
        <v>5</v>
      </c>
      <c r="AP184" s="191" t="str">
        <f>'1_BD questio brut'!AN184</f>
        <v/>
      </c>
      <c r="AQ184" s="191" t="str">
        <f>'1_BD questio brut'!AO184</f>
        <v/>
      </c>
    </row>
    <row r="185" spans="1:43" ht="43.5" hidden="1">
      <c r="A185" s="98">
        <f>INDEX('3_BD instruction total'!A:A,MATCH(C185,'3_BD instruction total'!F:F,0))</f>
        <v>2021</v>
      </c>
      <c r="B185" s="98" t="str">
        <f>INDEX('3_BD instruction total'!C:C,MATCH(C185,'3_BD instruction total'!F:F,0))</f>
        <v>non</v>
      </c>
      <c r="C185" s="191" t="str">
        <f>'1_BD questio brut'!A185</f>
        <v>VRB0192</v>
      </c>
      <c r="D185" s="191" t="str">
        <f t="array" ref="D185">INDEX('Données 1_BD questio'!C:C,MATCH('1_BD questio brut'!$B$1&amp;'1_BD questio brut'!B185,'Données 1_BD questio'!A:A&amp;'Données 1_BD questio'!B:B,0))</f>
        <v>CAPV</v>
      </c>
      <c r="E185" s="191" t="str">
        <f t="array" ref="E185">INDEX('Données 1_BD questio'!C:C,MATCH('1_BD questio brut'!$C$1&amp;'1_BD questio brut'!C185,'Données 1_BD questio'!A:A&amp;'Données 1_BD questio'!B:B,0))</f>
        <v>Retraité</v>
      </c>
      <c r="F185" s="191" t="str">
        <f t="array" ref="F185">INDEX('Données 1_BD questio'!C:C,MATCH('1_BD questio brut'!$D$1&amp;'1_BD questio brut'!D185,'Données 1_BD questio'!A:A&amp;'Données 1_BD questio'!B:B,0))</f>
        <v>Pas de réponse</v>
      </c>
      <c r="G185" s="191" t="str">
        <f>'1_BD questio brut'!E185</f>
        <v>65 ans et plus</v>
      </c>
      <c r="H185" s="191">
        <f>'1_BD questio brut'!F185</f>
        <v>1</v>
      </c>
      <c r="I185" s="191" t="str">
        <f>'1_BD questio brut'!G185</f>
        <v>Pas de réponse</v>
      </c>
      <c r="J185" s="191" t="str">
        <f t="array" ref="J185">INDEX('Données 1_BD questio'!C:C,MATCH('1_BD questio brut'!$H$1&amp;'1_BD questio brut'!H185,'Données 1_BD questio'!A:A&amp;'Données 1_BD questio'!B:B,0))</f>
        <v>Maison avec jardin</v>
      </c>
      <c r="K185" s="191">
        <f>'1_BD questio brut'!I185</f>
        <v>120</v>
      </c>
      <c r="L185" s="191" t="str">
        <f>'1_BD questio brut'!J185</f>
        <v>1990-2005</v>
      </c>
      <c r="M185" s="191" t="str">
        <f>'1_BD questio brut'!K185</f>
        <v>6</v>
      </c>
      <c r="N185" s="191" t="str">
        <f>'1_BD questio brut'!L185</f>
        <v>Pas de réponse</v>
      </c>
      <c r="O185" s="191" t="str">
        <f>'1_BD questio brut'!M185</f>
        <v>Propriétaire occupant</v>
      </c>
      <c r="P185" s="191" t="str">
        <f>'1_BD questio brut'!N185</f>
        <v>Insert / foyer fermé</v>
      </c>
      <c r="Q185" s="191" t="str">
        <f>'1_BD questio brut'!O185</f>
        <v>Chauffage de base</v>
      </c>
      <c r="R185" s="191" t="str">
        <f>'1_BD questio brut'!P185</f>
        <v>Tous les jours</v>
      </c>
      <c r="S185" s="191" t="str">
        <f>'1_BD questio brut'!Q185</f>
        <v>2</v>
      </c>
      <c r="T185" s="191" t="str">
        <f>'1_BD questio brut'!R185</f>
        <v>1990-1995</v>
      </c>
      <c r="U185" s="191" t="str">
        <f>'1_BD questio brut'!S185</f>
        <v>Bois bûche</v>
      </c>
      <c r="V185" s="191" t="str">
        <f>'1_BD questio brut'!T185</f>
        <v/>
      </c>
      <c r="W185" s="191" t="str">
        <f>'1_BD questio brut'!U185</f>
        <v>5</v>
      </c>
      <c r="X185" s="191" t="str">
        <f>'1_BD questio brut'!V185</f>
        <v>stères</v>
      </c>
      <c r="Y185" s="191" t="str">
        <f>'1_BD questio brut'!W185</f>
        <v>2</v>
      </c>
      <c r="Z185" s="191" t="str">
        <f>'1_BD questio brut'!X185</f>
        <v/>
      </c>
      <c r="AA185" s="191" t="str">
        <f t="array" ref="AA185">INDEX('Données 1_BD questio'!C:C,MATCH('1_BD questio brut'!$Y$1&amp;'1_BD questio brut'!Y185,'Données 1_BD questio'!A:A&amp;'Données 1_BD questio'!B:B,0))</f>
        <v>RA2B</v>
      </c>
      <c r="AB185" s="191" t="str">
        <f>'1_BD questio brut'!Z185</f>
        <v>1; 2</v>
      </c>
      <c r="AC185" s="191" t="str">
        <f>'1_BD questio brut'!AA185</f>
        <v>&gt; 2 ans</v>
      </c>
      <c r="AD185" s="191" t="str">
        <f>'1_BD questio brut'!AB185</f>
        <v>Feuillus</v>
      </c>
      <c r="AE185" s="191" t="str">
        <f t="array" ref="AE185">INDEX('Données 1_BD questio'!C:C,MATCH('1_BD questio brut'!$AC$1&amp;'1_BD questio brut'!AC185,'Données 1_BD questio'!A:A&amp;'Données 1_BD questio'!B:B,0))</f>
        <v>un professionnel</v>
      </c>
      <c r="AF185" s="191" t="str">
        <f>'1_BD questio brut'!AD185</f>
        <v>1 fois par an</v>
      </c>
      <c r="AG185" s="191" t="str">
        <f>'1_BD questio brut'!AE185</f>
        <v/>
      </c>
      <c r="AH185" s="191" t="str">
        <f>'1_BD questio brut'!AF185</f>
        <v>Insert cheminée</v>
      </c>
      <c r="AI185" s="191" t="str">
        <f>'1_BD questio brut'!AG185</f>
        <v>1</v>
      </c>
      <c r="AJ185" s="191" t="str">
        <f>'1_BD questio brut'!AH185</f>
        <v/>
      </c>
      <c r="AK185" s="191" t="str">
        <f>'1_BD questio brut'!AI185</f>
        <v>Chauffage de base</v>
      </c>
      <c r="AL185" s="191" t="str">
        <f>'1_BD questio brut'!AJ185</f>
        <v>Pas de réponse</v>
      </c>
      <c r="AM185" s="191" t="str">
        <f>'1_BD questio brut'!AK185</f>
        <v>2; 5</v>
      </c>
      <c r="AN185" s="191" t="str">
        <f>'1_BD questio brut'!AL185</f>
        <v/>
      </c>
      <c r="AO185" s="191" t="str">
        <f>'1_BD questio brut'!AM185</f>
        <v>7</v>
      </c>
      <c r="AP185" s="191" t="str">
        <f>'1_BD questio brut'!AN185</f>
        <v/>
      </c>
      <c r="AQ185" s="191" t="str">
        <f>'1_BD questio brut'!AO185</f>
        <v/>
      </c>
    </row>
    <row r="186" spans="1:43" ht="43.5" hidden="1">
      <c r="A186" s="98">
        <f>INDEX('3_BD instruction total'!A:A,MATCH(C186,'3_BD instruction total'!F:F,0))</f>
        <v>2021</v>
      </c>
      <c r="B186" s="98" t="str">
        <f>INDEX('3_BD instruction total'!C:C,MATCH(C186,'3_BD instruction total'!F:F,0))</f>
        <v>non</v>
      </c>
      <c r="C186" s="191" t="str">
        <f>'1_BD questio brut'!A186</f>
        <v>VRB0193</v>
      </c>
      <c r="D186" s="191" t="str">
        <f t="array" ref="D186">INDEX('Données 1_BD questio'!C:C,MATCH('1_BD questio brut'!$B$1&amp;'1_BD questio brut'!B186,'Données 1_BD questio'!A:A&amp;'Données 1_BD questio'!B:B,0))</f>
        <v>CAPV</v>
      </c>
      <c r="E186" s="191" t="str">
        <f t="array" ref="E186">INDEX('Données 1_BD questio'!C:C,MATCH('1_BD questio brut'!$C$1&amp;'1_BD questio brut'!C186,'Données 1_BD questio'!A:A&amp;'Données 1_BD questio'!B:B,0))</f>
        <v>Retraité</v>
      </c>
      <c r="F186" s="191" t="str">
        <f t="array" ref="F186">INDEX('Données 1_BD questio'!C:C,MATCH('1_BD questio brut'!$D$1&amp;'1_BD questio brut'!D186,'Données 1_BD questio'!A:A&amp;'Données 1_BD questio'!B:B,0))</f>
        <v>Pas de réponse</v>
      </c>
      <c r="G186" s="191" t="str">
        <f>'1_BD questio brut'!E186</f>
        <v>65 ans et plus</v>
      </c>
      <c r="H186" s="191">
        <f>'1_BD questio brut'!F186</f>
        <v>1</v>
      </c>
      <c r="I186" s="191" t="str">
        <f>'1_BD questio brut'!G186</f>
        <v>Pas de réponse</v>
      </c>
      <c r="J186" s="191" t="str">
        <f t="array" ref="J186">INDEX('Données 1_BD questio'!C:C,MATCH('1_BD questio brut'!$H$1&amp;'1_BD questio brut'!H186,'Données 1_BD questio'!A:A&amp;'Données 1_BD questio'!B:B,0))</f>
        <v>Maison avec jardin</v>
      </c>
      <c r="K186" s="191">
        <f>'1_BD questio brut'!I186</f>
        <v>120</v>
      </c>
      <c r="L186" s="191" t="str">
        <f>'1_BD questio brut'!J186</f>
        <v>1975-1990</v>
      </c>
      <c r="M186" s="191" t="str">
        <f>'1_BD questio brut'!K186</f>
        <v>6</v>
      </c>
      <c r="N186" s="191" t="str">
        <f>'1_BD questio brut'!L186</f>
        <v>Pas de réponse</v>
      </c>
      <c r="O186" s="191" t="str">
        <f>'1_BD questio brut'!M186</f>
        <v>Propriétaire occupant</v>
      </c>
      <c r="P186" s="191" t="str">
        <f>'1_BD questio brut'!N186</f>
        <v>Insert / foyer fermé</v>
      </c>
      <c r="Q186" s="191" t="str">
        <f>'1_BD questio brut'!O186</f>
        <v>Chauffage de base</v>
      </c>
      <c r="R186" s="191" t="str">
        <f>'1_BD questio brut'!P186</f>
        <v>Tous les jours</v>
      </c>
      <c r="S186" s="191" t="str">
        <f>'1_BD questio brut'!Q186</f>
        <v>1; 2; 3; 4; 5; 6</v>
      </c>
      <c r="T186" s="191" t="str">
        <f>'1_BD questio brut'!R186</f>
        <v>Avant 1990</v>
      </c>
      <c r="U186" s="191" t="str">
        <f>'1_BD questio brut'!S186</f>
        <v>Bois bûche</v>
      </c>
      <c r="V186" s="191" t="str">
        <f>'1_BD questio brut'!T186</f>
        <v/>
      </c>
      <c r="W186" s="191" t="str">
        <f>'1_BD questio brut'!U186</f>
        <v>18</v>
      </c>
      <c r="X186" s="191" t="str">
        <f>'1_BD questio brut'!V186</f>
        <v>stères</v>
      </c>
      <c r="Y186" s="191" t="str">
        <f>'1_BD questio brut'!W186</f>
        <v>1</v>
      </c>
      <c r="Z186" s="191" t="str">
        <f>'1_BD questio brut'!X186</f>
        <v/>
      </c>
      <c r="AA186" s="191" t="str">
        <f t="array" ref="AA186">INDEX('Données 1_BD questio'!C:C,MATCH('1_BD questio brut'!$Y$1&amp;'1_BD questio brut'!Y186,'Données 1_BD questio'!A:A&amp;'Données 1_BD questio'!B:B,0))</f>
        <v>RA2B</v>
      </c>
      <c r="AB186" s="191" t="str">
        <f>'1_BD questio brut'!Z186</f>
        <v>2</v>
      </c>
      <c r="AC186" s="191" t="str">
        <f>'1_BD questio brut'!AA186</f>
        <v>&gt; 2 ans</v>
      </c>
      <c r="AD186" s="191" t="str">
        <f>'1_BD questio brut'!AB186</f>
        <v>Feuillus</v>
      </c>
      <c r="AE186" s="191" t="str">
        <f t="array" ref="AE186">INDEX('Données 1_BD questio'!C:C,MATCH('1_BD questio brut'!$AC$1&amp;'1_BD questio brut'!AC186,'Données 1_BD questio'!A:A&amp;'Données 1_BD questio'!B:B,0))</f>
        <v>un professionnel</v>
      </c>
      <c r="AF186" s="191" t="str">
        <f>'1_BD questio brut'!AD186</f>
        <v>1 fois par an</v>
      </c>
      <c r="AG186" s="191" t="str">
        <f>'1_BD questio brut'!AE186</f>
        <v/>
      </c>
      <c r="AH186" s="191" t="str">
        <f>'1_BD questio brut'!AF186</f>
        <v>Insert cheminée</v>
      </c>
      <c r="AI186" s="191" t="str">
        <f>'1_BD questio brut'!AG186</f>
        <v>1</v>
      </c>
      <c r="AJ186" s="191" t="str">
        <f>'1_BD questio brut'!AH186</f>
        <v/>
      </c>
      <c r="AK186" s="191" t="str">
        <f>'1_BD questio brut'!AI186</f>
        <v>Chauffage de base</v>
      </c>
      <c r="AL186" s="191" t="str">
        <f>'1_BD questio brut'!AJ186</f>
        <v>Pas de réponse</v>
      </c>
      <c r="AM186" s="191" t="str">
        <f>'1_BD questio brut'!AK186</f>
        <v>1; 2; 4; 5</v>
      </c>
      <c r="AN186" s="191" t="str">
        <f>'1_BD questio brut'!AL186</f>
        <v/>
      </c>
      <c r="AO186" s="191" t="str">
        <f>'1_BD questio brut'!AM186</f>
        <v>5</v>
      </c>
      <c r="AP186" s="191" t="str">
        <f>'1_BD questio brut'!AN186</f>
        <v/>
      </c>
      <c r="AQ186" s="191" t="str">
        <f>'1_BD questio brut'!AO186</f>
        <v/>
      </c>
    </row>
    <row r="187" spans="1:43" ht="29" hidden="1">
      <c r="A187" s="98">
        <f>INDEX('3_BD instruction total'!A:A,MATCH(C187,'3_BD instruction total'!F:F,0))</f>
        <v>2021</v>
      </c>
      <c r="B187" s="98" t="str">
        <f>INDEX('3_BD instruction total'!C:C,MATCH(C187,'3_BD instruction total'!F:F,0))</f>
        <v>non</v>
      </c>
      <c r="C187" s="191" t="str">
        <f>'1_BD questio brut'!A187</f>
        <v>VRB0194</v>
      </c>
      <c r="D187" s="191" t="str">
        <f t="array" ref="D187">INDEX('Données 1_BD questio'!C:C,MATCH('1_BD questio brut'!$B$1&amp;'1_BD questio brut'!B187,'Données 1_BD questio'!A:A&amp;'Données 1_BD questio'!B:B,0))</f>
        <v>CAPV</v>
      </c>
      <c r="E187" s="191" t="str">
        <f t="array" ref="E187">INDEX('Données 1_BD questio'!C:C,MATCH('1_BD questio brut'!$C$1&amp;'1_BD questio brut'!C187,'Données 1_BD questio'!A:A&amp;'Données 1_BD questio'!B:B,0))</f>
        <v>Retraité</v>
      </c>
      <c r="F187" s="191" t="str">
        <f t="array" ref="F187">INDEX('Données 1_BD questio'!C:C,MATCH('1_BD questio brut'!$D$1&amp;'1_BD questio brut'!D187,'Données 1_BD questio'!A:A&amp;'Données 1_BD questio'!B:B,0))</f>
        <v>Pas de réponse</v>
      </c>
      <c r="G187" s="191" t="str">
        <f>'1_BD questio brut'!E187</f>
        <v>65 ans et plus</v>
      </c>
      <c r="H187" s="191">
        <f>'1_BD questio brut'!F187</f>
        <v>1</v>
      </c>
      <c r="I187" s="191" t="str">
        <f>'1_BD questio brut'!G187</f>
        <v>Pas de réponse</v>
      </c>
      <c r="J187" s="191" t="str">
        <f t="array" ref="J187">INDEX('Données 1_BD questio'!C:C,MATCH('1_BD questio brut'!$H$1&amp;'1_BD questio brut'!H187,'Données 1_BD questio'!A:A&amp;'Données 1_BD questio'!B:B,0))</f>
        <v>Maison avec jardin</v>
      </c>
      <c r="K187" s="191">
        <f>'1_BD questio brut'!I187</f>
        <v>120</v>
      </c>
      <c r="L187" s="191" t="str">
        <f>'1_BD questio brut'!J187</f>
        <v>1975-1990</v>
      </c>
      <c r="M187" s="191" t="str">
        <f>'1_BD questio brut'!K187</f>
        <v>6</v>
      </c>
      <c r="N187" s="191" t="str">
        <f>'1_BD questio brut'!L187</f>
        <v>Pas de réponse</v>
      </c>
      <c r="O187" s="191" t="str">
        <f>'1_BD questio brut'!M187</f>
        <v>Propriétaire occupant</v>
      </c>
      <c r="P187" s="191" t="str">
        <f>'1_BD questio brut'!N187</f>
        <v>Insert / foyer fermé</v>
      </c>
      <c r="Q187" s="191" t="str">
        <f>'1_BD questio brut'!O187</f>
        <v>Chauffage de base</v>
      </c>
      <c r="R187" s="191" t="str">
        <f>'1_BD questio brut'!P187</f>
        <v>Tous les jours</v>
      </c>
      <c r="S187" s="191" t="str">
        <f>'1_BD questio brut'!Q187</f>
        <v>1; 2; 5</v>
      </c>
      <c r="T187" s="191" t="str">
        <f>'1_BD questio brut'!R187</f>
        <v>1996-2002</v>
      </c>
      <c r="U187" s="191" t="str">
        <f>'1_BD questio brut'!S187</f>
        <v>Bois bûche</v>
      </c>
      <c r="V187" s="191" t="str">
        <f>'1_BD questio brut'!T187</f>
        <v/>
      </c>
      <c r="W187" s="191" t="str">
        <f>'1_BD questio brut'!U187</f>
        <v>8</v>
      </c>
      <c r="X187" s="191" t="str">
        <f>'1_BD questio brut'!V187</f>
        <v>stères</v>
      </c>
      <c r="Y187" s="191" t="str">
        <f>'1_BD questio brut'!W187</f>
        <v>2</v>
      </c>
      <c r="Z187" s="191" t="str">
        <f>'1_BD questio brut'!X187</f>
        <v/>
      </c>
      <c r="AA187" s="191" t="str">
        <f t="array" ref="AA187">INDEX('Données 1_BD questio'!C:C,MATCH('1_BD questio brut'!$Y$1&amp;'1_BD questio brut'!Y187,'Données 1_BD questio'!A:A&amp;'Données 1_BD questio'!B:B,0))</f>
        <v>RA2B</v>
      </c>
      <c r="AB187" s="191" t="str">
        <f>'1_BD questio brut'!Z187</f>
        <v>2</v>
      </c>
      <c r="AC187" s="191" t="str">
        <f>'1_BD questio brut'!AA187</f>
        <v>1 à 2 ans</v>
      </c>
      <c r="AD187" s="191" t="str">
        <f>'1_BD questio brut'!AB187</f>
        <v>Les deux</v>
      </c>
      <c r="AE187" s="191" t="str">
        <f t="array" ref="AE187">INDEX('Données 1_BD questio'!C:C,MATCH('1_BD questio brut'!$AC$1&amp;'1_BD questio brut'!AC187,'Données 1_BD questio'!A:A&amp;'Données 1_BD questio'!B:B,0))</f>
        <v>vous-même</v>
      </c>
      <c r="AF187" s="191" t="str">
        <f>'1_BD questio brut'!AD187</f>
        <v>1 fois par an</v>
      </c>
      <c r="AG187" s="191" t="str">
        <f>'1_BD questio brut'!AE187</f>
        <v/>
      </c>
      <c r="AH187" s="191" t="str">
        <f>'1_BD questio brut'!AF187</f>
        <v>Poêle</v>
      </c>
      <c r="AI187" s="191" t="str">
        <f>'1_BD questio brut'!AG187</f>
        <v>2</v>
      </c>
      <c r="AJ187" s="191" t="str">
        <f>'1_BD questio brut'!AH187</f>
        <v/>
      </c>
      <c r="AK187" s="191" t="str">
        <f>'1_BD questio brut'!AI187</f>
        <v>Chauffage de base</v>
      </c>
      <c r="AL187" s="191" t="str">
        <f>'1_BD questio brut'!AJ187</f>
        <v>Pas de réponse</v>
      </c>
      <c r="AM187" s="191" t="str">
        <f>'1_BD questio brut'!AK187</f>
        <v>1; 4</v>
      </c>
      <c r="AN187" s="191" t="str">
        <f>'1_BD questio brut'!AL187</f>
        <v/>
      </c>
      <c r="AO187" s="191" t="str">
        <f>'1_BD questio brut'!AM187</f>
        <v>1</v>
      </c>
      <c r="AP187" s="191" t="str">
        <f>'1_BD questio brut'!AN187</f>
        <v/>
      </c>
      <c r="AQ187" s="191" t="str">
        <f>'1_BD questio brut'!AO187</f>
        <v/>
      </c>
    </row>
    <row r="188" spans="1:43" ht="43.5" hidden="1">
      <c r="A188" s="98">
        <f>INDEX('3_BD instruction total'!A:A,MATCH(C188,'3_BD instruction total'!F:F,0))</f>
        <v>2021</v>
      </c>
      <c r="B188" s="98" t="str">
        <f>INDEX('3_BD instruction total'!C:C,MATCH(C188,'3_BD instruction total'!F:F,0))</f>
        <v>non</v>
      </c>
      <c r="C188" s="191" t="str">
        <f>'1_BD questio brut'!A188</f>
        <v>VRB0195</v>
      </c>
      <c r="D188" s="191" t="str">
        <f t="array" ref="D188">INDEX('Données 1_BD questio'!C:C,MATCH('1_BD questio brut'!$B$1&amp;'1_BD questio brut'!B188,'Données 1_BD questio'!A:A&amp;'Données 1_BD questio'!B:B,0))</f>
        <v>CAPV</v>
      </c>
      <c r="E188" s="191" t="str">
        <f t="array" ref="E188">INDEX('Données 1_BD questio'!C:C,MATCH('1_BD questio brut'!$C$1&amp;'1_BD questio brut'!C188,'Données 1_BD questio'!A:A&amp;'Données 1_BD questio'!B:B,0))</f>
        <v>Pas de réponse</v>
      </c>
      <c r="F188" s="191" t="str">
        <f t="array" ref="F188">INDEX('Données 1_BD questio'!C:C,MATCH('1_BD questio brut'!$D$1&amp;'1_BD questio brut'!D188,'Données 1_BD questio'!A:A&amp;'Données 1_BD questio'!B:B,0))</f>
        <v>Pas de réponse</v>
      </c>
      <c r="G188" s="191" t="str">
        <f>'1_BD questio brut'!E188</f>
        <v>50 à 64 ans</v>
      </c>
      <c r="H188" s="191">
        <f>'1_BD questio brut'!F188</f>
        <v>3</v>
      </c>
      <c r="I188" s="191" t="str">
        <f>'1_BD questio brut'!G188</f>
        <v>Pas de réponse</v>
      </c>
      <c r="J188" s="191" t="str">
        <f t="array" ref="J188">INDEX('Données 1_BD questio'!C:C,MATCH('1_BD questio brut'!$H$1&amp;'1_BD questio brut'!H188,'Données 1_BD questio'!A:A&amp;'Données 1_BD questio'!B:B,0))</f>
        <v>Maison avec jardin</v>
      </c>
      <c r="K188" s="191">
        <f>'1_BD questio brut'!I188</f>
        <v>100</v>
      </c>
      <c r="L188" s="191" t="str">
        <f>'1_BD questio brut'!J188</f>
        <v>1949-1975</v>
      </c>
      <c r="M188" s="191" t="str">
        <f>'1_BD questio brut'!K188</f>
        <v>6</v>
      </c>
      <c r="N188" s="191" t="str">
        <f>'1_BD questio brut'!L188</f>
        <v>Pas de réponse</v>
      </c>
      <c r="O188" s="191" t="str">
        <f>'1_BD questio brut'!M188</f>
        <v>Propriétaire occupant</v>
      </c>
      <c r="P188" s="191" t="str">
        <f>'1_BD questio brut'!N188</f>
        <v>Insert / foyer fermé</v>
      </c>
      <c r="Q188" s="191" t="str">
        <f>'1_BD questio brut'!O188</f>
        <v>Chauffage d'apoint</v>
      </c>
      <c r="R188" s="191" t="str">
        <f>'1_BD questio brut'!P188</f>
        <v>3 à 4 jours/semaine</v>
      </c>
      <c r="S188" s="191" t="str">
        <f>'1_BD questio brut'!Q188</f>
        <v>2</v>
      </c>
      <c r="T188" s="191" t="str">
        <f>'1_BD questio brut'!R188</f>
        <v>1990-1995</v>
      </c>
      <c r="U188" s="191" t="str">
        <f>'1_BD questio brut'!S188</f>
        <v>Bois bûche</v>
      </c>
      <c r="V188" s="191" t="str">
        <f>'1_BD questio brut'!T188</f>
        <v/>
      </c>
      <c r="W188" s="191" t="str">
        <f>'1_BD questio brut'!U188</f>
        <v>6</v>
      </c>
      <c r="X188" s="191" t="str">
        <f>'1_BD questio brut'!V188</f>
        <v>stères</v>
      </c>
      <c r="Y188" s="191" t="str">
        <f>'1_BD questio brut'!W188</f>
        <v>1; 2</v>
      </c>
      <c r="Z188" s="191" t="str">
        <f>'1_BD questio brut'!X188</f>
        <v/>
      </c>
      <c r="AA188" s="191" t="str">
        <f t="array" ref="AA188">INDEX('Données 1_BD questio'!C:C,MATCH('1_BD questio brut'!$Y$1&amp;'1_BD questio brut'!Y188,'Données 1_BD questio'!A:A&amp;'Données 1_BD questio'!B:B,0))</f>
        <v>Ne sait pas</v>
      </c>
      <c r="AB188" s="191" t="str">
        <f>'1_BD questio brut'!Z188</f>
        <v>2</v>
      </c>
      <c r="AC188" s="191" t="str">
        <f>'1_BD questio brut'!AA188</f>
        <v>&gt; 2 ans</v>
      </c>
      <c r="AD188" s="191" t="str">
        <f>'1_BD questio brut'!AB188</f>
        <v>Les deux</v>
      </c>
      <c r="AE188" s="191" t="str">
        <f t="array" ref="AE188">INDEX('Données 1_BD questio'!C:C,MATCH('1_BD questio brut'!$AC$1&amp;'1_BD questio brut'!AC188,'Données 1_BD questio'!A:A&amp;'Données 1_BD questio'!B:B,0))</f>
        <v>un professionnel</v>
      </c>
      <c r="AF188" s="191" t="str">
        <f>'1_BD questio brut'!AD188</f>
        <v>1 fois par an</v>
      </c>
      <c r="AG188" s="191" t="str">
        <f>'1_BD questio brut'!AE188</f>
        <v/>
      </c>
      <c r="AH188" s="191" t="str">
        <f>'1_BD questio brut'!AF188</f>
        <v>Poêle</v>
      </c>
      <c r="AI188" s="191" t="str">
        <f>'1_BD questio brut'!AG188</f>
        <v>1</v>
      </c>
      <c r="AJ188" s="191" t="str">
        <f>'1_BD questio brut'!AH188</f>
        <v/>
      </c>
      <c r="AK188" s="191" t="str">
        <f>'1_BD questio brut'!AI188</f>
        <v>Chauffage d'appoint</v>
      </c>
      <c r="AL188" s="191" t="str">
        <f>'1_BD questio brut'!AJ188</f>
        <v>Pas de réponse</v>
      </c>
      <c r="AM188" s="191" t="str">
        <f>'1_BD questio brut'!AK188</f>
        <v>1</v>
      </c>
      <c r="AN188" s="191" t="str">
        <f>'1_BD questio brut'!AL188</f>
        <v/>
      </c>
      <c r="AO188" s="191" t="str">
        <f>'1_BD questio brut'!AM188</f>
        <v>5</v>
      </c>
      <c r="AP188" s="191" t="str">
        <f>'1_BD questio brut'!AN188</f>
        <v/>
      </c>
      <c r="AQ188" s="191" t="str">
        <f>'1_BD questio brut'!AO188</f>
        <v/>
      </c>
    </row>
    <row r="189" spans="1:43" ht="29" hidden="1">
      <c r="A189" s="98">
        <f>INDEX('3_BD instruction total'!A:A,MATCH(C189,'3_BD instruction total'!F:F,0))</f>
        <v>2021</v>
      </c>
      <c r="B189" s="98" t="str">
        <f>INDEX('3_BD instruction total'!C:C,MATCH(C189,'3_BD instruction total'!F:F,0))</f>
        <v>non</v>
      </c>
      <c r="C189" s="191" t="str">
        <f>'1_BD questio brut'!A189</f>
        <v>VRB0196</v>
      </c>
      <c r="D189" s="191" t="str">
        <f t="array" ref="D189">INDEX('Données 1_BD questio'!C:C,MATCH('1_BD questio brut'!$B$1&amp;'1_BD questio brut'!B189,'Données 1_BD questio'!A:A&amp;'Données 1_BD questio'!B:B,0))</f>
        <v>CAPV</v>
      </c>
      <c r="E189" s="191" t="str">
        <f t="array" ref="E189">INDEX('Données 1_BD questio'!C:C,MATCH('1_BD questio brut'!$C$1&amp;'1_BD questio brut'!C189,'Données 1_BD questio'!A:A&amp;'Données 1_BD questio'!B:B,0))</f>
        <v>Agriculteur exploitant</v>
      </c>
      <c r="F189" s="191" t="str">
        <f t="array" ref="F189">INDEX('Données 1_BD questio'!C:C,MATCH('1_BD questio brut'!$D$1&amp;'1_BD questio brut'!D189,'Données 1_BD questio'!A:A&amp;'Données 1_BD questio'!B:B,0))</f>
        <v>Pas de réponse</v>
      </c>
      <c r="G189" s="191" t="str">
        <f>'1_BD questio brut'!E189</f>
        <v>50 à 64 ans</v>
      </c>
      <c r="H189" s="191">
        <f>'1_BD questio brut'!F189</f>
        <v>1</v>
      </c>
      <c r="I189" s="191" t="str">
        <f>'1_BD questio brut'!G189</f>
        <v>Pas de réponse</v>
      </c>
      <c r="J189" s="191" t="str">
        <f t="array" ref="J189">INDEX('Données 1_BD questio'!C:C,MATCH('1_BD questio brut'!$H$1&amp;'1_BD questio brut'!H189,'Données 1_BD questio'!A:A&amp;'Données 1_BD questio'!B:B,0))</f>
        <v>Maison avec jardin</v>
      </c>
      <c r="K189" s="191">
        <f>'1_BD questio brut'!I189</f>
        <v>80</v>
      </c>
      <c r="L189" s="191" t="str">
        <f>'1_BD questio brut'!J189</f>
        <v>Avant 1949</v>
      </c>
      <c r="M189" s="191" t="str">
        <f>'1_BD questio brut'!K189</f>
        <v>4</v>
      </c>
      <c r="N189" s="191" t="str">
        <f>'1_BD questio brut'!L189</f>
        <v>Pas de réponse</v>
      </c>
      <c r="O189" s="191" t="str">
        <f>'1_BD questio brut'!M189</f>
        <v>Propriétaire occupant</v>
      </c>
      <c r="P189" s="191" t="str">
        <f>'1_BD questio brut'!N189</f>
        <v>Poêle</v>
      </c>
      <c r="Q189" s="191" t="str">
        <f>'1_BD questio brut'!O189</f>
        <v>Chauffage de base</v>
      </c>
      <c r="R189" s="191" t="str">
        <f>'1_BD questio brut'!P189</f>
        <v>Tous les jours</v>
      </c>
      <c r="S189" s="191" t="str">
        <f>'1_BD questio brut'!Q189</f>
        <v>4</v>
      </c>
      <c r="T189" s="191" t="str">
        <f>'1_BD questio brut'!R189</f>
        <v>1996-2002</v>
      </c>
      <c r="U189" s="191" t="str">
        <f>'1_BD questio brut'!S189</f>
        <v>Bois bûche</v>
      </c>
      <c r="V189" s="191" t="str">
        <f>'1_BD questio brut'!T189</f>
        <v/>
      </c>
      <c r="W189" s="191" t="str">
        <f>'1_BD questio brut'!U189</f>
        <v>25</v>
      </c>
      <c r="X189" s="191" t="str">
        <f>'1_BD questio brut'!V189</f>
        <v>stères</v>
      </c>
      <c r="Y189" s="191" t="str">
        <f>'1_BD questio brut'!W189</f>
        <v>1</v>
      </c>
      <c r="Z189" s="191" t="str">
        <f>'1_BD questio brut'!X189</f>
        <v/>
      </c>
      <c r="AA189" s="191" t="str">
        <f t="array" ref="AA189">INDEX('Données 1_BD questio'!C:C,MATCH('1_BD questio brut'!$Y$1&amp;'1_BD questio brut'!Y189,'Données 1_BD questio'!A:A&amp;'Données 1_BD questio'!B:B,0))</f>
        <v>RA2B</v>
      </c>
      <c r="AB189" s="191" t="str">
        <f>'1_BD questio brut'!Z189</f>
        <v>2</v>
      </c>
      <c r="AC189" s="191" t="str">
        <f>'1_BD questio brut'!AA189</f>
        <v>&gt; 2 ans</v>
      </c>
      <c r="AD189" s="191" t="str">
        <f>'1_BD questio brut'!AB189</f>
        <v>Feuillus</v>
      </c>
      <c r="AE189" s="191" t="str">
        <f t="array" ref="AE189">INDEX('Données 1_BD questio'!C:C,MATCH('1_BD questio brut'!$AC$1&amp;'1_BD questio brut'!AC189,'Données 1_BD questio'!A:A&amp;'Données 1_BD questio'!B:B,0))</f>
        <v>vous-même</v>
      </c>
      <c r="AF189" s="191" t="str">
        <f>'1_BD questio brut'!AD189</f>
        <v>2 fois par an</v>
      </c>
      <c r="AG189" s="191" t="str">
        <f>'1_BD questio brut'!AE189</f>
        <v/>
      </c>
      <c r="AH189" s="191" t="str">
        <f>'1_BD questio brut'!AF189</f>
        <v>Poêle</v>
      </c>
      <c r="AI189" s="191" t="str">
        <f>'1_BD questio brut'!AG189</f>
        <v>1</v>
      </c>
      <c r="AJ189" s="191" t="str">
        <f>'1_BD questio brut'!AH189</f>
        <v/>
      </c>
      <c r="AK189" s="191" t="str">
        <f>'1_BD questio brut'!AI189</f>
        <v>Chauffage de base</v>
      </c>
      <c r="AL189" s="191" t="str">
        <f>'1_BD questio brut'!AJ189</f>
        <v>Pas de réponse</v>
      </c>
      <c r="AM189" s="191" t="str">
        <f>'1_BD questio brut'!AK189</f>
        <v>1; 2; 4; 5</v>
      </c>
      <c r="AN189" s="191" t="str">
        <f>'1_BD questio brut'!AL189</f>
        <v/>
      </c>
      <c r="AO189" s="191" t="str">
        <f>'1_BD questio brut'!AM189</f>
        <v>5</v>
      </c>
      <c r="AP189" s="191" t="str">
        <f>'1_BD questio brut'!AN189</f>
        <v/>
      </c>
      <c r="AQ189" s="191" t="str">
        <f>'1_BD questio brut'!AO189</f>
        <v/>
      </c>
    </row>
    <row r="190" spans="1:43" ht="43.5" hidden="1">
      <c r="A190" s="98">
        <f>INDEX('3_BD instruction total'!A:A,MATCH(C190,'3_BD instruction total'!F:F,0))</f>
        <v>2021</v>
      </c>
      <c r="B190" s="98" t="str">
        <f>INDEX('3_BD instruction total'!C:C,MATCH(C190,'3_BD instruction total'!F:F,0))</f>
        <v>non</v>
      </c>
      <c r="C190" s="191" t="str">
        <f>'1_BD questio brut'!A190</f>
        <v>VRB0197</v>
      </c>
      <c r="D190" s="191" t="str">
        <f t="array" ref="D190">INDEX('Données 1_BD questio'!C:C,MATCH('1_BD questio brut'!$B$1&amp;'1_BD questio brut'!B190,'Données 1_BD questio'!A:A&amp;'Données 1_BD questio'!B:B,0))</f>
        <v>CAPV</v>
      </c>
      <c r="E190" s="191" t="str">
        <f t="array" ref="E190">INDEX('Données 1_BD questio'!C:C,MATCH('1_BD questio brut'!$C$1&amp;'1_BD questio brut'!C190,'Données 1_BD questio'!A:A&amp;'Données 1_BD questio'!B:B,0))</f>
        <v>Retraité</v>
      </c>
      <c r="F190" s="191" t="str">
        <f t="array" ref="F190">INDEX('Données 1_BD questio'!C:C,MATCH('1_BD questio brut'!$D$1&amp;'1_BD questio brut'!D190,'Données 1_BD questio'!A:A&amp;'Données 1_BD questio'!B:B,0))</f>
        <v>Pas de réponse</v>
      </c>
      <c r="G190" s="191" t="str">
        <f>'1_BD questio brut'!E190</f>
        <v>65 ans et plus</v>
      </c>
      <c r="H190" s="191">
        <f>'1_BD questio brut'!F190</f>
        <v>1</v>
      </c>
      <c r="I190" s="191" t="str">
        <f>'1_BD questio brut'!G190</f>
        <v>Pas de réponse</v>
      </c>
      <c r="J190" s="191" t="str">
        <f t="array" ref="J190">INDEX('Données 1_BD questio'!C:C,MATCH('1_BD questio brut'!$H$1&amp;'1_BD questio brut'!H190,'Données 1_BD questio'!A:A&amp;'Données 1_BD questio'!B:B,0))</f>
        <v>Maison avec jardin</v>
      </c>
      <c r="K190" s="191">
        <f>'1_BD questio brut'!I190</f>
        <v>32</v>
      </c>
      <c r="L190" s="191" t="str">
        <f>'1_BD questio brut'!J190</f>
        <v>Avant 1949</v>
      </c>
      <c r="M190" s="191" t="str">
        <f>'1_BD questio brut'!K190</f>
        <v>6</v>
      </c>
      <c r="N190" s="191" t="str">
        <f>'1_BD questio brut'!L190</f>
        <v>Pas de réponse</v>
      </c>
      <c r="O190" s="191" t="str">
        <f>'1_BD questio brut'!M190</f>
        <v>Propriétaire occupant</v>
      </c>
      <c r="P190" s="191" t="str">
        <f>'1_BD questio brut'!N190</f>
        <v>Cuisinière</v>
      </c>
      <c r="Q190" s="191" t="str">
        <f>'1_BD questio brut'!O190</f>
        <v>Chauffage d'apoint</v>
      </c>
      <c r="R190" s="191" t="str">
        <f>'1_BD questio brut'!P190</f>
        <v>1 à 2 jours/semaine</v>
      </c>
      <c r="S190" s="191" t="str">
        <f>'1_BD questio brut'!Q190</f>
        <v>4</v>
      </c>
      <c r="T190" s="191" t="str">
        <f>'1_BD questio brut'!R190</f>
        <v>1990-1995</v>
      </c>
      <c r="U190" s="191" t="str">
        <f>'1_BD questio brut'!S190</f>
        <v>Bois bûche</v>
      </c>
      <c r="V190" s="191" t="str">
        <f>'1_BD questio brut'!T190</f>
        <v/>
      </c>
      <c r="W190" s="191" t="str">
        <f>'1_BD questio brut'!U190</f>
        <v/>
      </c>
      <c r="X190" s="191" t="str">
        <f>'1_BD questio brut'!V190</f>
        <v/>
      </c>
      <c r="Y190" s="191" t="str">
        <f>'1_BD questio brut'!W190</f>
        <v>1</v>
      </c>
      <c r="Z190" s="191" t="str">
        <f>'1_BD questio brut'!X190</f>
        <v/>
      </c>
      <c r="AA190" s="191" t="str">
        <f t="array" ref="AA190">INDEX('Données 1_BD questio'!C:C,MATCH('1_BD questio brut'!$Y$1&amp;'1_BD questio brut'!Y190,'Données 1_BD questio'!A:A&amp;'Données 1_BD questio'!B:B,0))</f>
        <v>Pas de réponse</v>
      </c>
      <c r="AB190" s="191" t="str">
        <f>'1_BD questio brut'!Z190</f>
        <v>1; 2</v>
      </c>
      <c r="AC190" s="191" t="str">
        <f>'1_BD questio brut'!AA190</f>
        <v>Pas de réponse</v>
      </c>
      <c r="AD190" s="191" t="str">
        <f>'1_BD questio brut'!AB190</f>
        <v>Les deux</v>
      </c>
      <c r="AE190" s="191" t="e">
        <f t="array" ref="AE190">INDEX('Données 1_BD questio'!C:C,MATCH('1_BD questio brut'!$AC$1&amp;'1_BD questio brut'!AC190,'Données 1_BD questio'!A:A&amp;'Données 1_BD questio'!B:B,0))</f>
        <v>#N/A</v>
      </c>
      <c r="AF190" s="191" t="str">
        <f>'1_BD questio brut'!AD190</f>
        <v>1 fois par an</v>
      </c>
      <c r="AG190" s="191" t="str">
        <f>'1_BD questio brut'!AE190</f>
        <v/>
      </c>
      <c r="AH190" s="191" t="str">
        <f>'1_BD questio brut'!AF190</f>
        <v>Poêle</v>
      </c>
      <c r="AI190" s="191" t="str">
        <f>'1_BD questio brut'!AG190</f>
        <v>1</v>
      </c>
      <c r="AJ190" s="191" t="str">
        <f>'1_BD questio brut'!AH190</f>
        <v/>
      </c>
      <c r="AK190" s="191" t="str">
        <f>'1_BD questio brut'!AI190</f>
        <v>Chauffage d'appoint</v>
      </c>
      <c r="AL190" s="191" t="str">
        <f>'1_BD questio brut'!AJ190</f>
        <v>Pas de réponse</v>
      </c>
      <c r="AM190" s="191" t="str">
        <f>'1_BD questio brut'!AK190</f>
        <v>1; 5</v>
      </c>
      <c r="AN190" s="191" t="str">
        <f>'1_BD questio brut'!AL190</f>
        <v/>
      </c>
      <c r="AO190" s="191" t="str">
        <f>'1_BD questio brut'!AM190</f>
        <v>7</v>
      </c>
      <c r="AP190" s="191" t="str">
        <f>'1_BD questio brut'!AN190</f>
        <v/>
      </c>
      <c r="AQ190" s="191" t="str">
        <f>'1_BD questio brut'!AO190</f>
        <v/>
      </c>
    </row>
    <row r="191" spans="1:43" ht="29" hidden="1">
      <c r="A191" s="98">
        <f>INDEX('3_BD instruction total'!A:A,MATCH(C191,'3_BD instruction total'!F:F,0))</f>
        <v>2021</v>
      </c>
      <c r="B191" s="98" t="str">
        <f>INDEX('3_BD instruction total'!C:C,MATCH(C191,'3_BD instruction total'!F:F,0))</f>
        <v>non</v>
      </c>
      <c r="C191" s="191" t="str">
        <f>'1_BD questio brut'!A191</f>
        <v>VRB0198</v>
      </c>
      <c r="D191" s="191" t="str">
        <f t="array" ref="D191">INDEX('Données 1_BD questio'!C:C,MATCH('1_BD questio brut'!$B$1&amp;'1_BD questio brut'!B191,'Données 1_BD questio'!A:A&amp;'Données 1_BD questio'!B:B,0))</f>
        <v>CAPV</v>
      </c>
      <c r="E191" s="191" t="str">
        <f t="array" ref="E191">INDEX('Données 1_BD questio'!C:C,MATCH('1_BD questio brut'!$C$1&amp;'1_BD questio brut'!C191,'Données 1_BD questio'!A:A&amp;'Données 1_BD questio'!B:B,0))</f>
        <v>Retraité</v>
      </c>
      <c r="F191" s="191" t="str">
        <f t="array" ref="F191">INDEX('Données 1_BD questio'!C:C,MATCH('1_BD questio brut'!$D$1&amp;'1_BD questio brut'!D191,'Données 1_BD questio'!A:A&amp;'Données 1_BD questio'!B:B,0))</f>
        <v>Pas de réponse</v>
      </c>
      <c r="G191" s="191" t="str">
        <f>'1_BD questio brut'!E191</f>
        <v>65 ans et plus</v>
      </c>
      <c r="H191" s="191">
        <f>'1_BD questio brut'!F191</f>
        <v>1</v>
      </c>
      <c r="I191" s="191" t="str">
        <f>'1_BD questio brut'!G191</f>
        <v>Pas de réponse</v>
      </c>
      <c r="J191" s="191" t="str">
        <f t="array" ref="J191">INDEX('Données 1_BD questio'!C:C,MATCH('1_BD questio brut'!$H$1&amp;'1_BD questio brut'!H191,'Données 1_BD questio'!A:A&amp;'Données 1_BD questio'!B:B,0))</f>
        <v>Maison avec jardin</v>
      </c>
      <c r="K191" s="191">
        <f>'1_BD questio brut'!I191</f>
        <v>120</v>
      </c>
      <c r="L191" s="191" t="str">
        <f>'1_BD questio brut'!J191</f>
        <v>1975-1990</v>
      </c>
      <c r="M191" s="191" t="str">
        <f>'1_BD questio brut'!K191</f>
        <v>6</v>
      </c>
      <c r="N191" s="191" t="str">
        <f>'1_BD questio brut'!L191</f>
        <v>Pas de réponse</v>
      </c>
      <c r="O191" s="191" t="str">
        <f>'1_BD questio brut'!M191</f>
        <v>Propriétaire occupant</v>
      </c>
      <c r="P191" s="191" t="str">
        <f>'1_BD questio brut'!N191</f>
        <v>Insert / foyer fermé</v>
      </c>
      <c r="Q191" s="191" t="str">
        <f>'1_BD questio brut'!O191</f>
        <v>Chauffage d'apoint</v>
      </c>
      <c r="R191" s="191" t="str">
        <f>'1_BD questio brut'!P191</f>
        <v>Tous les jours</v>
      </c>
      <c r="S191" s="191" t="str">
        <f>'1_BD questio brut'!Q191</f>
        <v>4</v>
      </c>
      <c r="T191" s="191" t="str">
        <f>'1_BD questio brut'!R191</f>
        <v>Avant 1990</v>
      </c>
      <c r="U191" s="191" t="str">
        <f>'1_BD questio brut'!S191</f>
        <v>Bois bûche</v>
      </c>
      <c r="V191" s="191" t="str">
        <f>'1_BD questio brut'!T191</f>
        <v/>
      </c>
      <c r="W191" s="191" t="str">
        <f>'1_BD questio brut'!U191</f>
        <v>8</v>
      </c>
      <c r="X191" s="191" t="str">
        <f>'1_BD questio brut'!V191</f>
        <v>stères</v>
      </c>
      <c r="Y191" s="191" t="str">
        <f>'1_BD questio brut'!W191</f>
        <v>1</v>
      </c>
      <c r="Z191" s="191" t="str">
        <f>'1_BD questio brut'!X191</f>
        <v/>
      </c>
      <c r="AA191" s="191" t="str">
        <f t="array" ref="AA191">INDEX('Données 1_BD questio'!C:C,MATCH('1_BD questio brut'!$Y$1&amp;'1_BD questio brut'!Y191,'Données 1_BD questio'!A:A&amp;'Données 1_BD questio'!B:B,0))</f>
        <v>Pas de réponse</v>
      </c>
      <c r="AB191" s="191" t="str">
        <f>'1_BD questio brut'!Z191</f>
        <v>1</v>
      </c>
      <c r="AC191" s="191" t="str">
        <f>'1_BD questio brut'!AA191</f>
        <v>&gt; 2 ans</v>
      </c>
      <c r="AD191" s="191" t="str">
        <f>'1_BD questio brut'!AB191</f>
        <v>Feuillus</v>
      </c>
      <c r="AE191" s="191" t="str">
        <f t="array" ref="AE191">INDEX('Données 1_BD questio'!C:C,MATCH('1_BD questio brut'!$AC$1&amp;'1_BD questio brut'!AC191,'Données 1_BD questio'!A:A&amp;'Données 1_BD questio'!B:B,0))</f>
        <v>vous-même</v>
      </c>
      <c r="AF191" s="191" t="str">
        <f>'1_BD questio brut'!AD191</f>
        <v>2 fois par an</v>
      </c>
      <c r="AG191" s="191" t="str">
        <f>'1_BD questio brut'!AE191</f>
        <v/>
      </c>
      <c r="AH191" s="191" t="str">
        <f>'1_BD questio brut'!AF191</f>
        <v>Insert cheminée</v>
      </c>
      <c r="AI191" s="191" t="str">
        <f>'1_BD questio brut'!AG191</f>
        <v>1</v>
      </c>
      <c r="AJ191" s="191" t="str">
        <f>'1_BD questio brut'!AH191</f>
        <v/>
      </c>
      <c r="AK191" s="191" t="str">
        <f>'1_BD questio brut'!AI191</f>
        <v>Chauffage d'appoint</v>
      </c>
      <c r="AL191" s="191" t="str">
        <f>'1_BD questio brut'!AJ191</f>
        <v>Pas de réponse</v>
      </c>
      <c r="AM191" s="191" t="str">
        <f>'1_BD questio brut'!AK191</f>
        <v>1; 2</v>
      </c>
      <c r="AN191" s="191" t="str">
        <f>'1_BD questio brut'!AL191</f>
        <v/>
      </c>
      <c r="AO191" s="191" t="str">
        <f>'1_BD questio brut'!AM191</f>
        <v>7</v>
      </c>
      <c r="AP191" s="191" t="str">
        <f>'1_BD questio brut'!AN191</f>
        <v/>
      </c>
      <c r="AQ191" s="191" t="str">
        <f>'1_BD questio brut'!AO191</f>
        <v/>
      </c>
    </row>
    <row r="192" spans="1:43" ht="29" hidden="1">
      <c r="A192" s="98">
        <f>INDEX('3_BD instruction total'!A:A,MATCH(C192,'3_BD instruction total'!F:F,0))</f>
        <v>2021</v>
      </c>
      <c r="B192" s="98" t="str">
        <f>INDEX('3_BD instruction total'!C:C,MATCH(C192,'3_BD instruction total'!F:F,0))</f>
        <v>non</v>
      </c>
      <c r="C192" s="191" t="str">
        <f>'1_BD questio brut'!A192</f>
        <v>VRB0199</v>
      </c>
      <c r="D192" s="191" t="str">
        <f t="array" ref="D192">INDEX('Données 1_BD questio'!C:C,MATCH('1_BD questio brut'!$B$1&amp;'1_BD questio brut'!B192,'Données 1_BD questio'!A:A&amp;'Données 1_BD questio'!B:B,0))</f>
        <v>CAPV</v>
      </c>
      <c r="E192" s="191" t="str">
        <f t="array" ref="E192">INDEX('Données 1_BD questio'!C:C,MATCH('1_BD questio brut'!$C$1&amp;'1_BD questio brut'!C192,'Données 1_BD questio'!A:A&amp;'Données 1_BD questio'!B:B,0))</f>
        <v>Retraité</v>
      </c>
      <c r="F192" s="191" t="str">
        <f t="array" ref="F192">INDEX('Données 1_BD questio'!C:C,MATCH('1_BD questio brut'!$D$1&amp;'1_BD questio brut'!D192,'Données 1_BD questio'!A:A&amp;'Données 1_BD questio'!B:B,0))</f>
        <v>Pas de réponse</v>
      </c>
      <c r="G192" s="191" t="str">
        <f>'1_BD questio brut'!E192</f>
        <v>50 à 64 ans</v>
      </c>
      <c r="H192" s="191">
        <f>'1_BD questio brut'!F192</f>
        <v>1</v>
      </c>
      <c r="I192" s="191" t="str">
        <f>'1_BD questio brut'!G192</f>
        <v>Pas de réponse</v>
      </c>
      <c r="J192" s="191" t="str">
        <f t="array" ref="J192">INDEX('Données 1_BD questio'!C:C,MATCH('1_BD questio brut'!$H$1&amp;'1_BD questio brut'!H192,'Données 1_BD questio'!A:A&amp;'Données 1_BD questio'!B:B,0))</f>
        <v>Maison avec jardin</v>
      </c>
      <c r="K192" s="191">
        <f>'1_BD questio brut'!I192</f>
        <v>88</v>
      </c>
      <c r="L192" s="191" t="str">
        <f>'1_BD questio brut'!J192</f>
        <v>1990-2005</v>
      </c>
      <c r="M192" s="191" t="str">
        <f>'1_BD questio brut'!K192</f>
        <v>6</v>
      </c>
      <c r="N192" s="191" t="str">
        <f>'1_BD questio brut'!L192</f>
        <v>Pas de réponse</v>
      </c>
      <c r="O192" s="191" t="str">
        <f>'1_BD questio brut'!M192</f>
        <v>Propriétaire occupant</v>
      </c>
      <c r="P192" s="191" t="str">
        <f>'1_BD questio brut'!N192</f>
        <v>Insert / foyer fermé</v>
      </c>
      <c r="Q192" s="191" t="str">
        <f>'1_BD questio brut'!O192</f>
        <v>Chauffage de base</v>
      </c>
      <c r="R192" s="191" t="str">
        <f>'1_BD questio brut'!P192</f>
        <v>Tous les jours</v>
      </c>
      <c r="S192" s="191" t="str">
        <f>'1_BD questio brut'!Q192</f>
        <v>1; 2; 3; 4; 5</v>
      </c>
      <c r="T192" s="191" t="str">
        <f>'1_BD questio brut'!R192</f>
        <v>1990-1995</v>
      </c>
      <c r="U192" s="191" t="str">
        <f>'1_BD questio brut'!S192</f>
        <v>Bois bûche</v>
      </c>
      <c r="V192" s="191" t="str">
        <f>'1_BD questio brut'!T192</f>
        <v/>
      </c>
      <c r="W192" s="191" t="str">
        <f>'1_BD questio brut'!U192</f>
        <v>8</v>
      </c>
      <c r="X192" s="191" t="str">
        <f>'1_BD questio brut'!V192</f>
        <v>stères</v>
      </c>
      <c r="Y192" s="191" t="str">
        <f>'1_BD questio brut'!W192</f>
        <v>2</v>
      </c>
      <c r="Z192" s="191" t="str">
        <f>'1_BD questio brut'!X192</f>
        <v/>
      </c>
      <c r="AA192" s="191" t="str">
        <f t="array" ref="AA192">INDEX('Données 1_BD questio'!C:C,MATCH('1_BD questio brut'!$Y$1&amp;'1_BD questio brut'!Y192,'Données 1_BD questio'!A:A&amp;'Données 1_BD questio'!B:B,0))</f>
        <v>Ne sait pas</v>
      </c>
      <c r="AB192" s="191" t="str">
        <f>'1_BD questio brut'!Z192</f>
        <v>2</v>
      </c>
      <c r="AC192" s="191" t="str">
        <f>'1_BD questio brut'!AA192</f>
        <v>&gt; 2 ans</v>
      </c>
      <c r="AD192" s="191" t="str">
        <f>'1_BD questio brut'!AB192</f>
        <v>Feuillus</v>
      </c>
      <c r="AE192" s="191" t="str">
        <f t="array" ref="AE192">INDEX('Données 1_BD questio'!C:C,MATCH('1_BD questio brut'!$AC$1&amp;'1_BD questio brut'!AC192,'Données 1_BD questio'!A:A&amp;'Données 1_BD questio'!B:B,0))</f>
        <v>vous-même</v>
      </c>
      <c r="AF192" s="191" t="str">
        <f>'1_BD questio brut'!AD192</f>
        <v>1 fois par an</v>
      </c>
      <c r="AG192" s="191" t="str">
        <f>'1_BD questio brut'!AE192</f>
        <v/>
      </c>
      <c r="AH192" s="191" t="str">
        <f>'1_BD questio brut'!AF192</f>
        <v>Poêle</v>
      </c>
      <c r="AI192" s="191" t="str">
        <f>'1_BD questio brut'!AG192</f>
        <v>2</v>
      </c>
      <c r="AJ192" s="191" t="str">
        <f>'1_BD questio brut'!AH192</f>
        <v/>
      </c>
      <c r="AK192" s="191" t="str">
        <f>'1_BD questio brut'!AI192</f>
        <v>Chauffage de base</v>
      </c>
      <c r="AL192" s="191" t="str">
        <f>'1_BD questio brut'!AJ192</f>
        <v>Pas de réponse</v>
      </c>
      <c r="AM192" s="191" t="str">
        <f>'1_BD questio brut'!AK192</f>
        <v>1; 2; 5</v>
      </c>
      <c r="AN192" s="191" t="str">
        <f>'1_BD questio brut'!AL192</f>
        <v/>
      </c>
      <c r="AO192" s="191" t="str">
        <f>'1_BD questio brut'!AM192</f>
        <v>5; 7</v>
      </c>
      <c r="AP192" s="191" t="str">
        <f>'1_BD questio brut'!AN192</f>
        <v/>
      </c>
      <c r="AQ192" s="191" t="str">
        <f>'1_BD questio brut'!AO192</f>
        <v/>
      </c>
    </row>
    <row r="193" spans="1:43" ht="43.5" hidden="1">
      <c r="A193" s="98">
        <f>INDEX('3_BD instruction total'!A:A,MATCH(C193,'3_BD instruction total'!F:F,0))</f>
        <v>2021</v>
      </c>
      <c r="B193" s="98" t="str">
        <f>INDEX('3_BD instruction total'!C:C,MATCH(C193,'3_BD instruction total'!F:F,0))</f>
        <v>non</v>
      </c>
      <c r="C193" s="191" t="str">
        <f>'1_BD questio brut'!A193</f>
        <v>VRB0200</v>
      </c>
      <c r="D193" s="191" t="str">
        <f t="array" ref="D193">INDEX('Données 1_BD questio'!C:C,MATCH('1_BD questio brut'!$B$1&amp;'1_BD questio brut'!B193,'Données 1_BD questio'!A:A&amp;'Données 1_BD questio'!B:B,0))</f>
        <v>CAPV</v>
      </c>
      <c r="E193" s="191" t="str">
        <f t="array" ref="E193">INDEX('Données 1_BD questio'!C:C,MATCH('1_BD questio brut'!$C$1&amp;'1_BD questio brut'!C193,'Données 1_BD questio'!A:A&amp;'Données 1_BD questio'!B:B,0))</f>
        <v>Employé</v>
      </c>
      <c r="F193" s="191" t="str">
        <f t="array" ref="F193">INDEX('Données 1_BD questio'!C:C,MATCH('1_BD questio brut'!$D$1&amp;'1_BD questio brut'!D193,'Données 1_BD questio'!A:A&amp;'Données 1_BD questio'!B:B,0))</f>
        <v>Employé</v>
      </c>
      <c r="G193" s="191" t="str">
        <f>'1_BD questio brut'!E193</f>
        <v>25 à 34 ans</v>
      </c>
      <c r="H193" s="191">
        <f>'1_BD questio brut'!F193</f>
        <v>3</v>
      </c>
      <c r="I193" s="191" t="str">
        <f>'1_BD questio brut'!G193</f>
        <v>Pas de réponse</v>
      </c>
      <c r="J193" s="191" t="str">
        <f t="array" ref="J193">INDEX('Données 1_BD questio'!C:C,MATCH('1_BD questio brut'!$H$1&amp;'1_BD questio brut'!H193,'Données 1_BD questio'!A:A&amp;'Données 1_BD questio'!B:B,0))</f>
        <v>Maison avec jardin</v>
      </c>
      <c r="K193" s="191">
        <f>'1_BD questio brut'!I193</f>
        <v>90</v>
      </c>
      <c r="L193" s="191" t="str">
        <f>'1_BD questio brut'!J193</f>
        <v>1990-2005</v>
      </c>
      <c r="M193" s="191" t="str">
        <f>'1_BD questio brut'!K193</f>
        <v>4</v>
      </c>
      <c r="N193" s="191" t="str">
        <f>'1_BD questio brut'!L193</f>
        <v>Pas de réponse</v>
      </c>
      <c r="O193" s="191" t="str">
        <f>'1_BD questio brut'!M193</f>
        <v>Propriétaire occupant</v>
      </c>
      <c r="P193" s="191" t="str">
        <f>'1_BD questio brut'!N193</f>
        <v>Poêle</v>
      </c>
      <c r="Q193" s="191" t="str">
        <f>'1_BD questio brut'!O193</f>
        <v>Chauffage de base</v>
      </c>
      <c r="R193" s="191" t="str">
        <f>'1_BD questio brut'!P193</f>
        <v>Tous les jours</v>
      </c>
      <c r="S193" s="191" t="str">
        <f>'1_BD questio brut'!Q193</f>
        <v>4; 6</v>
      </c>
      <c r="T193" s="191" t="str">
        <f>'1_BD questio brut'!R193</f>
        <v>1996-2002</v>
      </c>
      <c r="U193" s="191" t="str">
        <f>'1_BD questio brut'!S193</f>
        <v>Bois bûche</v>
      </c>
      <c r="V193" s="191" t="str">
        <f>'1_BD questio brut'!T193</f>
        <v/>
      </c>
      <c r="W193" s="191" t="str">
        <f>'1_BD questio brut'!U193</f>
        <v>5</v>
      </c>
      <c r="X193" s="191" t="str">
        <f>'1_BD questio brut'!V193</f>
        <v>stères</v>
      </c>
      <c r="Y193" s="191" t="str">
        <f>'1_BD questio brut'!W193</f>
        <v>2</v>
      </c>
      <c r="Z193" s="191" t="str">
        <f>'1_BD questio brut'!X193</f>
        <v/>
      </c>
      <c r="AA193" s="191" t="str">
        <f t="array" ref="AA193">INDEX('Données 1_BD questio'!C:C,MATCH('1_BD questio brut'!$Y$1&amp;'1_BD questio brut'!Y193,'Données 1_BD questio'!A:A&amp;'Données 1_BD questio'!B:B,0))</f>
        <v>Ne sait pas</v>
      </c>
      <c r="AB193" s="191" t="str">
        <f>'1_BD questio brut'!Z193</f>
        <v>2</v>
      </c>
      <c r="AC193" s="191" t="str">
        <f>'1_BD questio brut'!AA193</f>
        <v>&lt; 1 an</v>
      </c>
      <c r="AD193" s="191" t="str">
        <f>'1_BD questio brut'!AB193</f>
        <v>Résineux</v>
      </c>
      <c r="AE193" s="191" t="str">
        <f t="array" ref="AE193">INDEX('Données 1_BD questio'!C:C,MATCH('1_BD questio brut'!$AC$1&amp;'1_BD questio brut'!AC193,'Données 1_BD questio'!A:A&amp;'Données 1_BD questio'!B:B,0))</f>
        <v>un professionnel</v>
      </c>
      <c r="AF193" s="191" t="str">
        <f>'1_BD questio brut'!AD193</f>
        <v>1 fois par an</v>
      </c>
      <c r="AG193" s="191" t="str">
        <f>'1_BD questio brut'!AE193</f>
        <v/>
      </c>
      <c r="AH193" s="191" t="str">
        <f>'1_BD questio brut'!AF193</f>
        <v>Poêle</v>
      </c>
      <c r="AI193" s="191" t="str">
        <f>'1_BD questio brut'!AG193</f>
        <v>2</v>
      </c>
      <c r="AJ193" s="191" t="str">
        <f>'1_BD questio brut'!AH193</f>
        <v/>
      </c>
      <c r="AK193" s="191" t="str">
        <f>'1_BD questio brut'!AI193</f>
        <v>Chauffage de base</v>
      </c>
      <c r="AL193" s="191" t="str">
        <f>'1_BD questio brut'!AJ193</f>
        <v>Pas de réponse</v>
      </c>
      <c r="AM193" s="191" t="str">
        <f>'1_BD questio brut'!AK193</f>
        <v>1; 4; 5</v>
      </c>
      <c r="AN193" s="191" t="str">
        <f>'1_BD questio brut'!AL193</f>
        <v/>
      </c>
      <c r="AO193" s="191" t="str">
        <f>'1_BD questio brut'!AM193</f>
        <v>5; 7</v>
      </c>
      <c r="AP193" s="191" t="str">
        <f>'1_BD questio brut'!AN193</f>
        <v/>
      </c>
      <c r="AQ193" s="191" t="str">
        <f>'1_BD questio brut'!AO193</f>
        <v/>
      </c>
    </row>
    <row r="194" spans="1:43" ht="43.5" hidden="1">
      <c r="A194" s="98">
        <f>INDEX('3_BD instruction total'!A:A,MATCH(C194,'3_BD instruction total'!F:F,0))</f>
        <v>2021</v>
      </c>
      <c r="B194" s="98" t="str">
        <f>INDEX('3_BD instruction total'!C:C,MATCH(C194,'3_BD instruction total'!F:F,0))</f>
        <v>non</v>
      </c>
      <c r="C194" s="191" t="str">
        <f>'1_BD questio brut'!A194</f>
        <v>VRB0201</v>
      </c>
      <c r="D194" s="191" t="str">
        <f t="array" ref="D194">INDEX('Données 1_BD questio'!C:C,MATCH('1_BD questio brut'!$B$1&amp;'1_BD questio brut'!B194,'Données 1_BD questio'!A:A&amp;'Données 1_BD questio'!B:B,0))</f>
        <v>CAPV</v>
      </c>
      <c r="E194" s="191" t="str">
        <f t="array" ref="E194">INDEX('Données 1_BD questio'!C:C,MATCH('1_BD questio brut'!$C$1&amp;'1_BD questio brut'!C194,'Données 1_BD questio'!A:A&amp;'Données 1_BD questio'!B:B,0))</f>
        <v>Retraité</v>
      </c>
      <c r="F194" s="191" t="str">
        <f t="array" ref="F194">INDEX('Données 1_BD questio'!C:C,MATCH('1_BD questio brut'!$D$1&amp;'1_BD questio brut'!D194,'Données 1_BD questio'!A:A&amp;'Données 1_BD questio'!B:B,0))</f>
        <v>Retraité</v>
      </c>
      <c r="G194" s="191" t="str">
        <f>'1_BD questio brut'!E194</f>
        <v>65 ans et plus</v>
      </c>
      <c r="H194" s="191">
        <f>'1_BD questio brut'!F194</f>
        <v>2</v>
      </c>
      <c r="I194" s="191" t="str">
        <f>'1_BD questio brut'!G194</f>
        <v>Pas de réponse</v>
      </c>
      <c r="J194" s="191" t="str">
        <f t="array" ref="J194">INDEX('Données 1_BD questio'!C:C,MATCH('1_BD questio brut'!$H$1&amp;'1_BD questio brut'!H194,'Données 1_BD questio'!A:A&amp;'Données 1_BD questio'!B:B,0))</f>
        <v>Maison avec jardin</v>
      </c>
      <c r="K194" s="191">
        <f>'1_BD questio brut'!I194</f>
        <v>130</v>
      </c>
      <c r="L194" s="191" t="str">
        <f>'1_BD questio brut'!J194</f>
        <v>1975-1990</v>
      </c>
      <c r="M194" s="191" t="str">
        <f>'1_BD questio brut'!K194</f>
        <v>4</v>
      </c>
      <c r="N194" s="191" t="str">
        <f>'1_BD questio brut'!L194</f>
        <v>D</v>
      </c>
      <c r="O194" s="191" t="str">
        <f>'1_BD questio brut'!M194</f>
        <v>Propriétaire occupant</v>
      </c>
      <c r="P194" s="191" t="str">
        <f>'1_BD questio brut'!N194</f>
        <v>Poêle</v>
      </c>
      <c r="Q194" s="191" t="str">
        <f>'1_BD questio brut'!O194</f>
        <v>Chauffage d'apoint</v>
      </c>
      <c r="R194" s="191" t="str">
        <f>'1_BD questio brut'!P194</f>
        <v>3 à 4 jours/semaine</v>
      </c>
      <c r="S194" s="191" t="str">
        <f>'1_BD questio brut'!Q194</f>
        <v>2; 6</v>
      </c>
      <c r="T194" s="191" t="str">
        <f>'1_BD questio brut'!R194</f>
        <v>Avant 1990</v>
      </c>
      <c r="U194" s="191" t="str">
        <f>'1_BD questio brut'!S194</f>
        <v>Bois bûche</v>
      </c>
      <c r="V194" s="191" t="str">
        <f>'1_BD questio brut'!T194</f>
        <v/>
      </c>
      <c r="W194" s="191" t="str">
        <f>'1_BD questio brut'!U194</f>
        <v>5</v>
      </c>
      <c r="X194" s="191" t="str">
        <f>'1_BD questio brut'!V194</f>
        <v>stères</v>
      </c>
      <c r="Y194" s="191" t="str">
        <f>'1_BD questio brut'!W194</f>
        <v>2</v>
      </c>
      <c r="Z194" s="191" t="str">
        <f>'1_BD questio brut'!X194</f>
        <v/>
      </c>
      <c r="AA194" s="191" t="str">
        <f t="array" ref="AA194">INDEX('Données 1_BD questio'!C:C,MATCH('1_BD questio brut'!$Y$1&amp;'1_BD questio brut'!Y194,'Données 1_BD questio'!A:A&amp;'Données 1_BD questio'!B:B,0))</f>
        <v>Rhône-Alpes hors RA2B</v>
      </c>
      <c r="AB194" s="191" t="str">
        <f>'1_BD questio brut'!Z194</f>
        <v>2</v>
      </c>
      <c r="AC194" s="191" t="str">
        <f>'1_BD questio brut'!AA194</f>
        <v>&lt; 1 an</v>
      </c>
      <c r="AD194" s="191" t="str">
        <f>'1_BD questio brut'!AB194</f>
        <v>Feuillus</v>
      </c>
      <c r="AE194" s="191" t="str">
        <f t="array" ref="AE194">INDEX('Données 1_BD questio'!C:C,MATCH('1_BD questio brut'!$AC$1&amp;'1_BD questio brut'!AC194,'Données 1_BD questio'!A:A&amp;'Données 1_BD questio'!B:B,0))</f>
        <v>un professionnel</v>
      </c>
      <c r="AF194" s="191" t="str">
        <f>'1_BD questio brut'!AD194</f>
        <v>1 fois par an</v>
      </c>
      <c r="AG194" s="191" t="str">
        <f>'1_BD questio brut'!AE194</f>
        <v/>
      </c>
      <c r="AH194" s="191" t="str">
        <f>'1_BD questio brut'!AF194</f>
        <v>Poêle</v>
      </c>
      <c r="AI194" s="191" t="str">
        <f>'1_BD questio brut'!AG194</f>
        <v>1</v>
      </c>
      <c r="AJ194" s="191" t="str">
        <f>'1_BD questio brut'!AH194</f>
        <v/>
      </c>
      <c r="AK194" s="191" t="str">
        <f>'1_BD questio brut'!AI194</f>
        <v>Chauffage d'appoint</v>
      </c>
      <c r="AL194" s="191" t="str">
        <f>'1_BD questio brut'!AJ194</f>
        <v>Pas de réponse</v>
      </c>
      <c r="AM194" s="191" t="str">
        <f>'1_BD questio brut'!AK194</f>
        <v>1; 2; 5</v>
      </c>
      <c r="AN194" s="191" t="str">
        <f>'1_BD questio brut'!AL194</f>
        <v/>
      </c>
      <c r="AO194" s="191" t="str">
        <f>'1_BD questio brut'!AM194</f>
        <v>2</v>
      </c>
      <c r="AP194" s="191" t="str">
        <f>'1_BD questio brut'!AN194</f>
        <v/>
      </c>
      <c r="AQ194" s="191" t="str">
        <f>'1_BD questio brut'!AO194</f>
        <v/>
      </c>
    </row>
    <row r="195" spans="1:43" ht="29" hidden="1">
      <c r="A195" s="98">
        <f>INDEX('3_BD instruction total'!A:A,MATCH(C195,'3_BD instruction total'!F:F,0))</f>
        <v>2021</v>
      </c>
      <c r="B195" s="98" t="str">
        <f>INDEX('3_BD instruction total'!C:C,MATCH(C195,'3_BD instruction total'!F:F,0))</f>
        <v>oui</v>
      </c>
      <c r="C195" s="191" t="str">
        <f>'1_BD questio brut'!A195</f>
        <v>VRB0202</v>
      </c>
      <c r="D195" s="191" t="str">
        <f t="array" ref="D195">INDEX('Données 1_BD questio'!C:C,MATCH('1_BD questio brut'!$B$1&amp;'1_BD questio brut'!B195,'Données 1_BD questio'!A:A&amp;'Données 1_BD questio'!B:B,0))</f>
        <v>CAPV</v>
      </c>
      <c r="E195" s="191" t="str">
        <f t="array" ref="E195">INDEX('Données 1_BD questio'!C:C,MATCH('1_BD questio brut'!$C$1&amp;'1_BD questio brut'!C195,'Données 1_BD questio'!A:A&amp;'Données 1_BD questio'!B:B,0))</f>
        <v>Retraité</v>
      </c>
      <c r="F195" s="191" t="str">
        <f t="array" ref="F195">INDEX('Données 1_BD questio'!C:C,MATCH('1_BD questio brut'!$D$1&amp;'1_BD questio brut'!D195,'Données 1_BD questio'!A:A&amp;'Données 1_BD questio'!B:B,0))</f>
        <v>Retraité</v>
      </c>
      <c r="G195" s="191" t="str">
        <f>'1_BD questio brut'!E195</f>
        <v>65 ans et plus</v>
      </c>
      <c r="H195" s="191">
        <f>'1_BD questio brut'!F195</f>
        <v>1</v>
      </c>
      <c r="I195" s="191" t="str">
        <f>'1_BD questio brut'!G195</f>
        <v>Pas de réponse</v>
      </c>
      <c r="J195" s="191" t="str">
        <f t="array" ref="J195">INDEX('Données 1_BD questio'!C:C,MATCH('1_BD questio brut'!$H$1&amp;'1_BD questio brut'!H195,'Données 1_BD questio'!A:A&amp;'Données 1_BD questio'!B:B,0))</f>
        <v>Maison avec jardin</v>
      </c>
      <c r="K195" s="191">
        <f>'1_BD questio brut'!I195</f>
        <v>120</v>
      </c>
      <c r="L195" s="191" t="str">
        <f>'1_BD questio brut'!J195</f>
        <v>Avant 1949</v>
      </c>
      <c r="M195" s="191" t="str">
        <f>'1_BD questio brut'!K195</f>
        <v>4</v>
      </c>
      <c r="N195" s="191" t="str">
        <f>'1_BD questio brut'!L195</f>
        <v>Ne sait pas</v>
      </c>
      <c r="O195" s="191" t="str">
        <f>'1_BD questio brut'!M195</f>
        <v>Propriétaire occupant</v>
      </c>
      <c r="P195" s="191" t="str">
        <f>'1_BD questio brut'!N195</f>
        <v>Poêle</v>
      </c>
      <c r="Q195" s="191" t="str">
        <f>'1_BD questio brut'!O195</f>
        <v>Chauffage de base</v>
      </c>
      <c r="R195" s="191" t="str">
        <f>'1_BD questio brut'!P195</f>
        <v>Tous les jours</v>
      </c>
      <c r="S195" s="191" t="str">
        <f>'1_BD questio brut'!Q195</f>
        <v>4</v>
      </c>
      <c r="T195" s="191" t="str">
        <f>'1_BD questio brut'!R195</f>
        <v>Avant 1990</v>
      </c>
      <c r="U195" s="191" t="str">
        <f>'1_BD questio brut'!S195</f>
        <v>Bois bûche</v>
      </c>
      <c r="V195" s="191" t="str">
        <f>'1_BD questio brut'!T195</f>
        <v/>
      </c>
      <c r="W195" s="191" t="str">
        <f>'1_BD questio brut'!U195</f>
        <v>14</v>
      </c>
      <c r="X195" s="191" t="str">
        <f>'1_BD questio brut'!V195</f>
        <v>M3</v>
      </c>
      <c r="Y195" s="191" t="str">
        <f>'1_BD questio brut'!W195</f>
        <v>1</v>
      </c>
      <c r="Z195" s="191" t="str">
        <f>'1_BD questio brut'!X195</f>
        <v/>
      </c>
      <c r="AA195" s="191" t="str">
        <f t="array" ref="AA195">INDEX('Données 1_BD questio'!C:C,MATCH('1_BD questio brut'!$Y$1&amp;'1_BD questio brut'!Y195,'Données 1_BD questio'!A:A&amp;'Données 1_BD questio'!B:B,0))</f>
        <v>Pas de réponse</v>
      </c>
      <c r="AB195" s="191" t="str">
        <f>'1_BD questio brut'!Z195</f>
        <v>2</v>
      </c>
      <c r="AC195" s="191" t="str">
        <f>'1_BD questio brut'!AA195</f>
        <v>1 à 2 ans</v>
      </c>
      <c r="AD195" s="191" t="str">
        <f>'1_BD questio brut'!AB195</f>
        <v>Feuillus</v>
      </c>
      <c r="AE195" s="191" t="str">
        <f t="array" ref="AE195">INDEX('Données 1_BD questio'!C:C,MATCH('1_BD questio brut'!$AC$1&amp;'1_BD questio brut'!AC195,'Données 1_BD questio'!A:A&amp;'Données 1_BD questio'!B:B,0))</f>
        <v>vous-même</v>
      </c>
      <c r="AF195" s="191" t="str">
        <f>'1_BD questio brut'!AD195</f>
        <v>2 fois par an</v>
      </c>
      <c r="AG195" s="191" t="str">
        <f>'1_BD questio brut'!AE195</f>
        <v/>
      </c>
      <c r="AH195" s="191" t="str">
        <f>'1_BD questio brut'!AF195</f>
        <v>Poêle</v>
      </c>
      <c r="AI195" s="191" t="str">
        <f>'1_BD questio brut'!AG195</f>
        <v>2</v>
      </c>
      <c r="AJ195" s="191" t="str">
        <f>'1_BD questio brut'!AH195</f>
        <v/>
      </c>
      <c r="AK195" s="191" t="str">
        <f>'1_BD questio brut'!AI195</f>
        <v>Chauffage de base</v>
      </c>
      <c r="AL195" s="191" t="str">
        <f>'1_BD questio brut'!AJ195</f>
        <v>Pas de réponse</v>
      </c>
      <c r="AM195" s="191" t="str">
        <f>'1_BD questio brut'!AK195</f>
        <v>2; 4</v>
      </c>
      <c r="AN195" s="191" t="str">
        <f>'1_BD questio brut'!AL195</f>
        <v/>
      </c>
      <c r="AO195" s="191" t="str">
        <f>'1_BD questio brut'!AM195</f>
        <v>5; 7</v>
      </c>
      <c r="AP195" s="191" t="str">
        <f>'1_BD questio brut'!AN195</f>
        <v/>
      </c>
      <c r="AQ195" s="191" t="str">
        <f>'1_BD questio brut'!AO195</f>
        <v/>
      </c>
    </row>
    <row r="196" spans="1:43" ht="43.5" hidden="1">
      <c r="A196" s="98">
        <f>INDEX('3_BD instruction total'!A:A,MATCH(C196,'3_BD instruction total'!F:F,0))</f>
        <v>2021</v>
      </c>
      <c r="B196" s="98" t="str">
        <f>INDEX('3_BD instruction total'!C:C,MATCH(C196,'3_BD instruction total'!F:F,0))</f>
        <v>non</v>
      </c>
      <c r="C196" s="191" t="str">
        <f>'1_BD questio brut'!A196</f>
        <v>VRB0203</v>
      </c>
      <c r="D196" s="191" t="str">
        <f t="array" ref="D196">INDEX('Données 1_BD questio'!C:C,MATCH('1_BD questio brut'!$B$1&amp;'1_BD questio brut'!B196,'Données 1_BD questio'!A:A&amp;'Données 1_BD questio'!B:B,0))</f>
        <v>CAPV</v>
      </c>
      <c r="E196" s="191" t="str">
        <f t="array" ref="E196">INDEX('Données 1_BD questio'!C:C,MATCH('1_BD questio brut'!$C$1&amp;'1_BD questio brut'!C196,'Données 1_BD questio'!A:A&amp;'Données 1_BD questio'!B:B,0))</f>
        <v>Employé</v>
      </c>
      <c r="F196" s="191" t="str">
        <f t="array" ref="F196">INDEX('Données 1_BD questio'!C:C,MATCH('1_BD questio brut'!$D$1&amp;'1_BD questio brut'!D196,'Données 1_BD questio'!A:A&amp;'Données 1_BD questio'!B:B,0))</f>
        <v>Artisan,commerçant,chef d'entreprise</v>
      </c>
      <c r="G196" s="191" t="str">
        <f>'1_BD questio brut'!E196</f>
        <v>35 à 49 ans</v>
      </c>
      <c r="H196" s="191">
        <f>'1_BD questio brut'!F196</f>
        <v>3</v>
      </c>
      <c r="I196" s="191" t="str">
        <f>'1_BD questio brut'!G196</f>
        <v>Pas de réponse</v>
      </c>
      <c r="J196" s="191" t="str">
        <f t="array" ref="J196">INDEX('Données 1_BD questio'!C:C,MATCH('1_BD questio brut'!$H$1&amp;'1_BD questio brut'!H196,'Données 1_BD questio'!A:A&amp;'Données 1_BD questio'!B:B,0))</f>
        <v>Maison avec jardin</v>
      </c>
      <c r="K196" s="191">
        <f>'1_BD questio brut'!I196</f>
        <v>115</v>
      </c>
      <c r="L196" s="191" t="str">
        <f>'1_BD questio brut'!J196</f>
        <v>1949-1975</v>
      </c>
      <c r="M196" s="191" t="str">
        <f>'1_BD questio brut'!K196</f>
        <v>3; 4</v>
      </c>
      <c r="N196" s="191" t="str">
        <f>'1_BD questio brut'!L196</f>
        <v>Pas de réponse</v>
      </c>
      <c r="O196" s="191" t="str">
        <f>'1_BD questio brut'!M196</f>
        <v>Propriétaire occupant</v>
      </c>
      <c r="P196" s="191" t="str">
        <f>'1_BD questio brut'!N196</f>
        <v>Insert / foyer fermé</v>
      </c>
      <c r="Q196" s="191" t="str">
        <f>'1_BD questio brut'!O196</f>
        <v>Chauffage de base</v>
      </c>
      <c r="R196" s="191" t="str">
        <f>'1_BD questio brut'!P196</f>
        <v>Tous les jours</v>
      </c>
      <c r="S196" s="191" t="str">
        <f>'1_BD questio brut'!Q196</f>
        <v>2; 4</v>
      </c>
      <c r="T196" s="191" t="str">
        <f>'1_BD questio brut'!R196</f>
        <v>1996-2002</v>
      </c>
      <c r="U196" s="191" t="str">
        <f>'1_BD questio brut'!S196</f>
        <v>Bois bûche</v>
      </c>
      <c r="V196" s="191" t="str">
        <f>'1_BD questio brut'!T196</f>
        <v/>
      </c>
      <c r="W196" s="191" t="str">
        <f>'1_BD questio brut'!U196</f>
        <v>5</v>
      </c>
      <c r="X196" s="191" t="str">
        <f>'1_BD questio brut'!V196</f>
        <v>stères</v>
      </c>
      <c r="Y196" s="191" t="str">
        <f>'1_BD questio brut'!W196</f>
        <v>2</v>
      </c>
      <c r="Z196" s="191" t="str">
        <f>'1_BD questio brut'!X196</f>
        <v/>
      </c>
      <c r="AA196" s="191" t="str">
        <f t="array" ref="AA196">INDEX('Données 1_BD questio'!C:C,MATCH('1_BD questio brut'!$Y$1&amp;'1_BD questio brut'!Y196,'Données 1_BD questio'!A:A&amp;'Données 1_BD questio'!B:B,0))</f>
        <v>Ne sait pas</v>
      </c>
      <c r="AB196" s="191" t="str">
        <f>'1_BD questio brut'!Z196</f>
        <v>2</v>
      </c>
      <c r="AC196" s="191" t="str">
        <f>'1_BD questio brut'!AA196</f>
        <v>&gt; 2 ans</v>
      </c>
      <c r="AD196" s="191" t="str">
        <f>'1_BD questio brut'!AB196</f>
        <v>Les deux</v>
      </c>
      <c r="AE196" s="191" t="str">
        <f t="array" ref="AE196">INDEX('Données 1_BD questio'!C:C,MATCH('1_BD questio brut'!$AC$1&amp;'1_BD questio brut'!AC196,'Données 1_BD questio'!A:A&amp;'Données 1_BD questio'!B:B,0))</f>
        <v>un professionnel</v>
      </c>
      <c r="AF196" s="191" t="str">
        <f>'1_BD questio brut'!AD196</f>
        <v>1 fois par an</v>
      </c>
      <c r="AG196" s="191" t="str">
        <f>'1_BD questio brut'!AE196</f>
        <v/>
      </c>
      <c r="AH196" s="191" t="str">
        <f>'1_BD questio brut'!AF196</f>
        <v>Poêle</v>
      </c>
      <c r="AI196" s="191" t="str">
        <f>'1_BD questio brut'!AG196</f>
        <v>2</v>
      </c>
      <c r="AJ196" s="191" t="str">
        <f>'1_BD questio brut'!AH196</f>
        <v/>
      </c>
      <c r="AK196" s="191" t="str">
        <f>'1_BD questio brut'!AI196</f>
        <v>Chauffage de base</v>
      </c>
      <c r="AL196" s="191" t="str">
        <f>'1_BD questio brut'!AJ196</f>
        <v>Pas de réponse</v>
      </c>
      <c r="AM196" s="191" t="str">
        <f>'1_BD questio brut'!AK196</f>
        <v>1; 2; 5</v>
      </c>
      <c r="AN196" s="191" t="str">
        <f>'1_BD questio brut'!AL196</f>
        <v/>
      </c>
      <c r="AO196" s="191" t="str">
        <f>'1_BD questio brut'!AM196</f>
        <v>7</v>
      </c>
      <c r="AP196" s="191" t="str">
        <f>'1_BD questio brut'!AN196</f>
        <v/>
      </c>
      <c r="AQ196" s="191" t="str">
        <f>'1_BD questio brut'!AO196</f>
        <v/>
      </c>
    </row>
    <row r="197" spans="1:43" ht="43.5" hidden="1">
      <c r="A197" s="98">
        <f>INDEX('3_BD instruction total'!A:A,MATCH(C197,'3_BD instruction total'!F:F,0))</f>
        <v>2021</v>
      </c>
      <c r="B197" s="98" t="str">
        <f>INDEX('3_BD instruction total'!C:C,MATCH(C197,'3_BD instruction total'!F:F,0))</f>
        <v>non</v>
      </c>
      <c r="C197" s="191" t="str">
        <f>'1_BD questio brut'!A197</f>
        <v>VRB0204</v>
      </c>
      <c r="D197" s="191" t="str">
        <f t="array" ref="D197">INDEX('Données 1_BD questio'!C:C,MATCH('1_BD questio brut'!$B$1&amp;'1_BD questio brut'!B197,'Données 1_BD questio'!A:A&amp;'Données 1_BD questio'!B:B,0))</f>
        <v>CAPV</v>
      </c>
      <c r="E197" s="191" t="str">
        <f t="array" ref="E197">INDEX('Données 1_BD questio'!C:C,MATCH('1_BD questio brut'!$C$1&amp;'1_BD questio brut'!C197,'Données 1_BD questio'!A:A&amp;'Données 1_BD questio'!B:B,0))</f>
        <v>Employé</v>
      </c>
      <c r="F197" s="191" t="str">
        <f t="array" ref="F197">INDEX('Données 1_BD questio'!C:C,MATCH('1_BD questio brut'!$D$1&amp;'1_BD questio brut'!D197,'Données 1_BD questio'!A:A&amp;'Données 1_BD questio'!B:B,0))</f>
        <v>Employé</v>
      </c>
      <c r="G197" s="191" t="str">
        <f>'1_BD questio brut'!E197</f>
        <v>Pas de réponse</v>
      </c>
      <c r="H197" s="191">
        <f>'1_BD questio brut'!F197</f>
        <v>3</v>
      </c>
      <c r="I197" s="191" t="str">
        <f>'1_BD questio brut'!G197</f>
        <v>Pas de réponse</v>
      </c>
      <c r="J197" s="191" t="str">
        <f t="array" ref="J197">INDEX('Données 1_BD questio'!C:C,MATCH('1_BD questio brut'!$H$1&amp;'1_BD questio brut'!H197,'Données 1_BD questio'!A:A&amp;'Données 1_BD questio'!B:B,0))</f>
        <v>Maison avec jardin</v>
      </c>
      <c r="K197" s="191">
        <f>'1_BD questio brut'!I197</f>
        <v>150</v>
      </c>
      <c r="L197" s="191" t="str">
        <f>'1_BD questio brut'!J197</f>
        <v>Avant 1949</v>
      </c>
      <c r="M197" s="191" t="str">
        <f>'1_BD questio brut'!K197</f>
        <v>4</v>
      </c>
      <c r="N197" s="191" t="str">
        <f>'1_BD questio brut'!L197</f>
        <v>Pas de réponse</v>
      </c>
      <c r="O197" s="191" t="str">
        <f>'1_BD questio brut'!M197</f>
        <v>Propriétaire occupant</v>
      </c>
      <c r="P197" s="191" t="str">
        <f>'1_BD questio brut'!N197</f>
        <v>Insert / foyer fermé</v>
      </c>
      <c r="Q197" s="191" t="str">
        <f>'1_BD questio brut'!O197</f>
        <v>Chauffage de base</v>
      </c>
      <c r="R197" s="191" t="str">
        <f>'1_BD questio brut'!P197</f>
        <v>Tous les jours</v>
      </c>
      <c r="S197" s="191" t="str">
        <f>'1_BD questio brut'!Q197</f>
        <v>1; 2; 5</v>
      </c>
      <c r="T197" s="191" t="str">
        <f>'1_BD questio brut'!R197</f>
        <v>1996-2002</v>
      </c>
      <c r="U197" s="191" t="str">
        <f>'1_BD questio brut'!S197</f>
        <v>Bois bûche</v>
      </c>
      <c r="V197" s="191" t="str">
        <f>'1_BD questio brut'!T197</f>
        <v/>
      </c>
      <c r="W197" s="191" t="str">
        <f>'1_BD questio brut'!U197</f>
        <v>10</v>
      </c>
      <c r="X197" s="191" t="str">
        <f>'1_BD questio brut'!V197</f>
        <v>m3</v>
      </c>
      <c r="Y197" s="191" t="str">
        <f>'1_BD questio brut'!W197</f>
        <v>2</v>
      </c>
      <c r="Z197" s="191" t="str">
        <f>'1_BD questio brut'!X197</f>
        <v/>
      </c>
      <c r="AA197" s="191" t="str">
        <f t="array" ref="AA197">INDEX('Données 1_BD questio'!C:C,MATCH('1_BD questio brut'!$Y$1&amp;'1_BD questio brut'!Y197,'Données 1_BD questio'!A:A&amp;'Données 1_BD questio'!B:B,0))</f>
        <v>RA2B</v>
      </c>
      <c r="AB197" s="191" t="str">
        <f>'1_BD questio brut'!Z197</f>
        <v>2</v>
      </c>
      <c r="AC197" s="191" t="str">
        <f>'1_BD questio brut'!AA197</f>
        <v>1 à 2 ans</v>
      </c>
      <c r="AD197" s="191" t="str">
        <f>'1_BD questio brut'!AB197</f>
        <v>Feuillus</v>
      </c>
      <c r="AE197" s="191" t="str">
        <f t="array" ref="AE197">INDEX('Données 1_BD questio'!C:C,MATCH('1_BD questio brut'!$AC$1&amp;'1_BD questio brut'!AC197,'Données 1_BD questio'!A:A&amp;'Données 1_BD questio'!B:B,0))</f>
        <v>un professionnel</v>
      </c>
      <c r="AF197" s="191" t="str">
        <f>'1_BD questio brut'!AD197</f>
        <v>1 fois par an</v>
      </c>
      <c r="AG197" s="191" t="str">
        <f>'1_BD questio brut'!AE197</f>
        <v/>
      </c>
      <c r="AH197" s="191" t="str">
        <f>'1_BD questio brut'!AF197</f>
        <v>Poêle</v>
      </c>
      <c r="AI197" s="191" t="str">
        <f>'1_BD questio brut'!AG197</f>
        <v>2</v>
      </c>
      <c r="AJ197" s="191" t="str">
        <f>'1_BD questio brut'!AH197</f>
        <v/>
      </c>
      <c r="AK197" s="191" t="str">
        <f>'1_BD questio brut'!AI197</f>
        <v>Chauffage de base</v>
      </c>
      <c r="AL197" s="191" t="str">
        <f>'1_BD questio brut'!AJ197</f>
        <v>Pas de réponse</v>
      </c>
      <c r="AM197" s="191" t="str">
        <f>'1_BD questio brut'!AK197</f>
        <v>2; 4; 5</v>
      </c>
      <c r="AN197" s="191" t="str">
        <f>'1_BD questio brut'!AL197</f>
        <v/>
      </c>
      <c r="AO197" s="191" t="str">
        <f>'1_BD questio brut'!AM197</f>
        <v>5</v>
      </c>
      <c r="AP197" s="191" t="str">
        <f>'1_BD questio brut'!AN197</f>
        <v/>
      </c>
      <c r="AQ197" s="191" t="str">
        <f>'1_BD questio brut'!AO197</f>
        <v/>
      </c>
    </row>
    <row r="198" spans="1:43" ht="43.5" hidden="1">
      <c r="A198" s="98">
        <f>INDEX('3_BD instruction total'!A:A,MATCH(C198,'3_BD instruction total'!F:F,0))</f>
        <v>2021</v>
      </c>
      <c r="B198" s="98" t="str">
        <f>INDEX('3_BD instruction total'!C:C,MATCH(C198,'3_BD instruction total'!F:F,0))</f>
        <v>non</v>
      </c>
      <c r="C198" s="191" t="str">
        <f>'1_BD questio brut'!A198</f>
        <v>VRB0205</v>
      </c>
      <c r="D198" s="191" t="str">
        <f t="array" ref="D198">INDEX('Données 1_BD questio'!C:C,MATCH('1_BD questio brut'!$B$1&amp;'1_BD questio brut'!B198,'Données 1_BD questio'!A:A&amp;'Données 1_BD questio'!B:B,0))</f>
        <v>CAPV</v>
      </c>
      <c r="E198" s="191" t="str">
        <f t="array" ref="E198">INDEX('Données 1_BD questio'!C:C,MATCH('1_BD questio brut'!$C$1&amp;'1_BD questio brut'!C198,'Données 1_BD questio'!A:A&amp;'Données 1_BD questio'!B:B,0))</f>
        <v>Employé</v>
      </c>
      <c r="F198" s="191" t="str">
        <f t="array" ref="F198">INDEX('Données 1_BD questio'!C:C,MATCH('1_BD questio brut'!$D$1&amp;'1_BD questio brut'!D198,'Données 1_BD questio'!A:A&amp;'Données 1_BD questio'!B:B,0))</f>
        <v>Employé</v>
      </c>
      <c r="G198" s="191" t="str">
        <f>'1_BD questio brut'!E198</f>
        <v>Pas de réponse</v>
      </c>
      <c r="H198" s="191">
        <f>'1_BD questio brut'!F198</f>
        <v>4</v>
      </c>
      <c r="I198" s="191" t="str">
        <f>'1_BD questio brut'!G198</f>
        <v>Pas de réponse</v>
      </c>
      <c r="J198" s="191" t="str">
        <f t="array" ref="J198">INDEX('Données 1_BD questio'!C:C,MATCH('1_BD questio brut'!$H$1&amp;'1_BD questio brut'!H198,'Données 1_BD questio'!A:A&amp;'Données 1_BD questio'!B:B,0))</f>
        <v>Maison avec jardin</v>
      </c>
      <c r="K198" s="191">
        <f>'1_BD questio brut'!I198</f>
        <v>100</v>
      </c>
      <c r="L198" s="191" t="str">
        <f>'1_BD questio brut'!J198</f>
        <v>Avant 1949</v>
      </c>
      <c r="M198" s="191" t="str">
        <f>'1_BD questio brut'!K198</f>
        <v>4</v>
      </c>
      <c r="N198" s="191" t="str">
        <f>'1_BD questio brut'!L198</f>
        <v>Pas de réponse</v>
      </c>
      <c r="O198" s="191" t="str">
        <f>'1_BD questio brut'!M198</f>
        <v>Propriétaire occupant</v>
      </c>
      <c r="P198" s="191" t="str">
        <f>'1_BD questio brut'!N198</f>
        <v>Poêle</v>
      </c>
      <c r="Q198" s="191" t="str">
        <f>'1_BD questio brut'!O198</f>
        <v>Chauffage de base</v>
      </c>
      <c r="R198" s="191" t="str">
        <f>'1_BD questio brut'!P198</f>
        <v>Tous les jours</v>
      </c>
      <c r="S198" s="191" t="str">
        <f>'1_BD questio brut'!Q198</f>
        <v>1; 2; 3; 4; 5; 6</v>
      </c>
      <c r="T198" s="191" t="str">
        <f>'1_BD questio brut'!R198</f>
        <v>Avant 1990</v>
      </c>
      <c r="U198" s="191" t="str">
        <f>'1_BD questio brut'!S198</f>
        <v>Bois bûche</v>
      </c>
      <c r="V198" s="191" t="str">
        <f>'1_BD questio brut'!T198</f>
        <v/>
      </c>
      <c r="W198" s="191" t="str">
        <f>'1_BD questio brut'!U198</f>
        <v>14</v>
      </c>
      <c r="X198" s="191" t="str">
        <f>'1_BD questio brut'!V198</f>
        <v>stères</v>
      </c>
      <c r="Y198" s="191" t="str">
        <f>'1_BD questio brut'!W198</f>
        <v>1</v>
      </c>
      <c r="Z198" s="191" t="str">
        <f>'1_BD questio brut'!X198</f>
        <v/>
      </c>
      <c r="AA198" s="191" t="str">
        <f t="array" ref="AA198">INDEX('Données 1_BD questio'!C:C,MATCH('1_BD questio brut'!$Y$1&amp;'1_BD questio brut'!Y198,'Données 1_BD questio'!A:A&amp;'Données 1_BD questio'!B:B,0))</f>
        <v>RA2B</v>
      </c>
      <c r="AB198" s="191" t="str">
        <f>'1_BD questio brut'!Z198</f>
        <v>1</v>
      </c>
      <c r="AC198" s="191" t="str">
        <f>'1_BD questio brut'!AA198</f>
        <v>&gt; 2 ans</v>
      </c>
      <c r="AD198" s="191" t="str">
        <f>'1_BD questio brut'!AB198</f>
        <v>Feuillus</v>
      </c>
      <c r="AE198" s="191" t="str">
        <f t="array" ref="AE198">INDEX('Données 1_BD questio'!C:C,MATCH('1_BD questio brut'!$AC$1&amp;'1_BD questio brut'!AC198,'Données 1_BD questio'!A:A&amp;'Données 1_BD questio'!B:B,0))</f>
        <v>un professionnel</v>
      </c>
      <c r="AF198" s="191" t="str">
        <f>'1_BD questio brut'!AD198</f>
        <v>2 fois par an</v>
      </c>
      <c r="AG198" s="191" t="str">
        <f>'1_BD questio brut'!AE198</f>
        <v/>
      </c>
      <c r="AH198" s="191" t="str">
        <f>'1_BD questio brut'!AF198</f>
        <v>Poêle</v>
      </c>
      <c r="AI198" s="191" t="str">
        <f>'1_BD questio brut'!AG198</f>
        <v>1</v>
      </c>
      <c r="AJ198" s="191" t="str">
        <f>'1_BD questio brut'!AH198</f>
        <v/>
      </c>
      <c r="AK198" s="191" t="str">
        <f>'1_BD questio brut'!AI198</f>
        <v>Chauffage de base</v>
      </c>
      <c r="AL198" s="191" t="str">
        <f>'1_BD questio brut'!AJ198</f>
        <v>Pas de réponse</v>
      </c>
      <c r="AM198" s="191" t="str">
        <f>'1_BD questio brut'!AK198</f>
        <v>1; 2; 4; 5</v>
      </c>
      <c r="AN198" s="191" t="str">
        <f>'1_BD questio brut'!AL198</f>
        <v/>
      </c>
      <c r="AO198" s="191" t="str">
        <f>'1_BD questio brut'!AM198</f>
        <v>5</v>
      </c>
      <c r="AP198" s="191" t="str">
        <f>'1_BD questio brut'!AN198</f>
        <v/>
      </c>
      <c r="AQ198" s="191" t="str">
        <f>'1_BD questio brut'!AO198</f>
        <v/>
      </c>
    </row>
    <row r="199" spans="1:43" ht="43.5" hidden="1">
      <c r="A199" s="98">
        <f>INDEX('3_BD instruction total'!A:A,MATCH(C199,'3_BD instruction total'!F:F,0))</f>
        <v>2021</v>
      </c>
      <c r="B199" s="98" t="str">
        <f>INDEX('3_BD instruction total'!C:C,MATCH(C199,'3_BD instruction total'!F:F,0))</f>
        <v>non</v>
      </c>
      <c r="C199" s="191" t="str">
        <f>'1_BD questio brut'!A199</f>
        <v>VRB0206</v>
      </c>
      <c r="D199" s="191" t="str">
        <f t="array" ref="D199">INDEX('Données 1_BD questio'!C:C,MATCH('1_BD questio brut'!$B$1&amp;'1_BD questio brut'!B199,'Données 1_BD questio'!A:A&amp;'Données 1_BD questio'!B:B,0))</f>
        <v>CAPV</v>
      </c>
      <c r="E199" s="191" t="str">
        <f t="array" ref="E199">INDEX('Données 1_BD questio'!C:C,MATCH('1_BD questio brut'!$C$1&amp;'1_BD questio brut'!C199,'Données 1_BD questio'!A:A&amp;'Données 1_BD questio'!B:B,0))</f>
        <v>Artisan,commerçant,chef d'entreprise</v>
      </c>
      <c r="F199" s="191" t="str">
        <f t="array" ref="F199">INDEX('Données 1_BD questio'!C:C,MATCH('1_BD questio brut'!$D$1&amp;'1_BD questio brut'!D199,'Données 1_BD questio'!A:A&amp;'Données 1_BD questio'!B:B,0))</f>
        <v>Employé</v>
      </c>
      <c r="G199" s="191" t="str">
        <f>'1_BD questio brut'!E199</f>
        <v>35 à 49 ans</v>
      </c>
      <c r="H199" s="191">
        <f>'1_BD questio brut'!F199</f>
        <v>2</v>
      </c>
      <c r="I199" s="191" t="str">
        <f>'1_BD questio brut'!G199</f>
        <v>Pas de réponse</v>
      </c>
      <c r="J199" s="191" t="str">
        <f t="array" ref="J199">INDEX('Données 1_BD questio'!C:C,MATCH('1_BD questio brut'!$H$1&amp;'1_BD questio brut'!H199,'Données 1_BD questio'!A:A&amp;'Données 1_BD questio'!B:B,0))</f>
        <v>Maison avec jardin</v>
      </c>
      <c r="K199" s="191">
        <f>'1_BD questio brut'!I199</f>
        <v>85</v>
      </c>
      <c r="L199" s="191" t="str">
        <f>'1_BD questio brut'!J199</f>
        <v>1949-1975</v>
      </c>
      <c r="M199" s="191" t="str">
        <f>'1_BD questio brut'!K199</f>
        <v>4</v>
      </c>
      <c r="N199" s="191" t="str">
        <f>'1_BD questio brut'!L199</f>
        <v>Pas de réponse</v>
      </c>
      <c r="O199" s="191" t="str">
        <f>'1_BD questio brut'!M199</f>
        <v>Propriétaire occupant</v>
      </c>
      <c r="P199" s="191" t="str">
        <f>'1_BD questio brut'!N199</f>
        <v>Foyer ouvert</v>
      </c>
      <c r="Q199" s="191" t="str">
        <f>'1_BD questio brut'!O199</f>
        <v>Chauffage d'apoint</v>
      </c>
      <c r="R199" s="191" t="str">
        <f>'1_BD questio brut'!P199</f>
        <v>3 à 4 jours/semaine</v>
      </c>
      <c r="S199" s="191" t="str">
        <f>'1_BD questio brut'!Q199</f>
        <v>4</v>
      </c>
      <c r="T199" s="191" t="str">
        <f>'1_BD questio brut'!R199</f>
        <v>Avant 1990</v>
      </c>
      <c r="U199" s="191" t="str">
        <f>'1_BD questio brut'!S199</f>
        <v>Bois bûche</v>
      </c>
      <c r="V199" s="191" t="str">
        <f>'1_BD questio brut'!T199</f>
        <v/>
      </c>
      <c r="W199" s="191" t="str">
        <f>'1_BD questio brut'!U199</f>
        <v>7</v>
      </c>
      <c r="X199" s="191" t="str">
        <f>'1_BD questio brut'!V199</f>
        <v>stères</v>
      </c>
      <c r="Y199" s="191" t="str">
        <f>'1_BD questio brut'!W199</f>
        <v>2</v>
      </c>
      <c r="Z199" s="191" t="str">
        <f>'1_BD questio brut'!X199</f>
        <v/>
      </c>
      <c r="AA199" s="191" t="str">
        <f t="array" ref="AA199">INDEX('Données 1_BD questio'!C:C,MATCH('1_BD questio brut'!$Y$1&amp;'1_BD questio brut'!Y199,'Données 1_BD questio'!A:A&amp;'Données 1_BD questio'!B:B,0))</f>
        <v>Ne sait pas</v>
      </c>
      <c r="AB199" s="191" t="str">
        <f>'1_BD questio brut'!Z199</f>
        <v>2</v>
      </c>
      <c r="AC199" s="191" t="str">
        <f>'1_BD questio brut'!AA199</f>
        <v>1 à 2 ans</v>
      </c>
      <c r="AD199" s="191" t="str">
        <f>'1_BD questio brut'!AB199</f>
        <v>Feuillus</v>
      </c>
      <c r="AE199" s="191" t="str">
        <f t="array" ref="AE199">INDEX('Données 1_BD questio'!C:C,MATCH('1_BD questio brut'!$AC$1&amp;'1_BD questio brut'!AC199,'Données 1_BD questio'!A:A&amp;'Données 1_BD questio'!B:B,0))</f>
        <v>un professionnel</v>
      </c>
      <c r="AF199" s="191" t="str">
        <f>'1_BD questio brut'!AD199</f>
        <v>1 fois par an</v>
      </c>
      <c r="AG199" s="191" t="str">
        <f>'1_BD questio brut'!AE199</f>
        <v/>
      </c>
      <c r="AH199" s="191" t="str">
        <f>'1_BD questio brut'!AF199</f>
        <v>Poêle</v>
      </c>
      <c r="AI199" s="191" t="str">
        <f>'1_BD questio brut'!AG199</f>
        <v>1</v>
      </c>
      <c r="AJ199" s="191" t="str">
        <f>'1_BD questio brut'!AH199</f>
        <v/>
      </c>
      <c r="AK199" s="191" t="str">
        <f>'1_BD questio brut'!AI199</f>
        <v>Chauffage de base</v>
      </c>
      <c r="AL199" s="191" t="str">
        <f>'1_BD questio brut'!AJ199</f>
        <v>Pas de réponse</v>
      </c>
      <c r="AM199" s="191" t="str">
        <f>'1_BD questio brut'!AK199</f>
        <v>2; 4; 5</v>
      </c>
      <c r="AN199" s="191" t="str">
        <f>'1_BD questio brut'!AL199</f>
        <v/>
      </c>
      <c r="AO199" s="191" t="str">
        <f>'1_BD questio brut'!AM199</f>
        <v>5</v>
      </c>
      <c r="AP199" s="191" t="str">
        <f>'1_BD questio brut'!AN199</f>
        <v/>
      </c>
      <c r="AQ199" s="191" t="str">
        <f>'1_BD questio brut'!AO199</f>
        <v/>
      </c>
    </row>
    <row r="200" spans="1:43" ht="43.5" hidden="1">
      <c r="A200" s="98">
        <f>INDEX('3_BD instruction total'!A:A,MATCH(C200,'3_BD instruction total'!F:F,0))</f>
        <v>2021</v>
      </c>
      <c r="B200" s="98" t="str">
        <f>INDEX('3_BD instruction total'!C:C,MATCH(C200,'3_BD instruction total'!F:F,0))</f>
        <v>non</v>
      </c>
      <c r="C200" s="191" t="str">
        <f>'1_BD questio brut'!A200</f>
        <v>VRB0207</v>
      </c>
      <c r="D200" s="191" t="str">
        <f t="array" ref="D200">INDEX('Données 1_BD questio'!C:C,MATCH('1_BD questio brut'!$B$1&amp;'1_BD questio brut'!B200,'Données 1_BD questio'!A:A&amp;'Données 1_BD questio'!B:B,0))</f>
        <v>CAPV</v>
      </c>
      <c r="E200" s="191" t="str">
        <f t="array" ref="E200">INDEX('Données 1_BD questio'!C:C,MATCH('1_BD questio brut'!$C$1&amp;'1_BD questio brut'!C200,'Données 1_BD questio'!A:A&amp;'Données 1_BD questio'!B:B,0))</f>
        <v>Retraité</v>
      </c>
      <c r="F200" s="191" t="str">
        <f t="array" ref="F200">INDEX('Données 1_BD questio'!C:C,MATCH('1_BD questio brut'!$D$1&amp;'1_BD questio brut'!D200,'Données 1_BD questio'!A:A&amp;'Données 1_BD questio'!B:B,0))</f>
        <v>Retraité</v>
      </c>
      <c r="G200" s="191" t="str">
        <f>'1_BD questio brut'!E200</f>
        <v>50 à 64 ans</v>
      </c>
      <c r="H200" s="191">
        <f>'1_BD questio brut'!F200</f>
        <v>2</v>
      </c>
      <c r="I200" s="191" t="str">
        <f>'1_BD questio brut'!G200</f>
        <v>Pas de réponse</v>
      </c>
      <c r="J200" s="191" t="str">
        <f t="array" ref="J200">INDEX('Données 1_BD questio'!C:C,MATCH('1_BD questio brut'!$H$1&amp;'1_BD questio brut'!H200,'Données 1_BD questio'!A:A&amp;'Données 1_BD questio'!B:B,0))</f>
        <v>Maison avec jardin</v>
      </c>
      <c r="K200" s="191">
        <f>'1_BD questio brut'!I200</f>
        <v>120</v>
      </c>
      <c r="L200" s="191" t="str">
        <f>'1_BD questio brut'!J200</f>
        <v>1975-1990</v>
      </c>
      <c r="M200" s="191" t="str">
        <f>'1_BD questio brut'!K200</f>
        <v>4</v>
      </c>
      <c r="N200" s="191" t="str">
        <f>'1_BD questio brut'!L200</f>
        <v>Pas de réponse</v>
      </c>
      <c r="O200" s="191" t="str">
        <f>'1_BD questio brut'!M200</f>
        <v>Propriétaire occupant</v>
      </c>
      <c r="P200" s="191" t="str">
        <f>'1_BD questio brut'!N200</f>
        <v>Foyer ouvert</v>
      </c>
      <c r="Q200" s="191" t="str">
        <f>'1_BD questio brut'!O200</f>
        <v>Chauffage d'apoint</v>
      </c>
      <c r="R200" s="191" t="str">
        <f>'1_BD questio brut'!P200</f>
        <v>3 à 4 jours/semaine</v>
      </c>
      <c r="S200" s="191" t="str">
        <f>'1_BD questio brut'!Q200</f>
        <v>3; 4</v>
      </c>
      <c r="T200" s="191" t="str">
        <f>'1_BD questio brut'!R200</f>
        <v>Avant 1990</v>
      </c>
      <c r="U200" s="191" t="str">
        <f>'1_BD questio brut'!S200</f>
        <v>Bois bûche</v>
      </c>
      <c r="V200" s="191" t="str">
        <f>'1_BD questio brut'!T200</f>
        <v/>
      </c>
      <c r="W200" s="191" t="str">
        <f>'1_BD questio brut'!U200</f>
        <v>2</v>
      </c>
      <c r="X200" s="191" t="str">
        <f>'1_BD questio brut'!V200</f>
        <v>stères</v>
      </c>
      <c r="Y200" s="191" t="str">
        <f>'1_BD questio brut'!W200</f>
        <v>2</v>
      </c>
      <c r="Z200" s="191" t="str">
        <f>'1_BD questio brut'!X200</f>
        <v/>
      </c>
      <c r="AA200" s="191" t="str">
        <f t="array" ref="AA200">INDEX('Données 1_BD questio'!C:C,MATCH('1_BD questio brut'!$Y$1&amp;'1_BD questio brut'!Y200,'Données 1_BD questio'!A:A&amp;'Données 1_BD questio'!B:B,0))</f>
        <v>Rhône-Alpes hors RA2B</v>
      </c>
      <c r="AB200" s="191" t="str">
        <f>'1_BD questio brut'!Z200</f>
        <v>2</v>
      </c>
      <c r="AC200" s="191" t="str">
        <f>'1_BD questio brut'!AA200</f>
        <v>&gt; 2 ans</v>
      </c>
      <c r="AD200" s="191" t="str">
        <f>'1_BD questio brut'!AB200</f>
        <v>Pas de réponse</v>
      </c>
      <c r="AE200" s="191" t="str">
        <f t="array" ref="AE200">INDEX('Données 1_BD questio'!C:C,MATCH('1_BD questio brut'!$AC$1&amp;'1_BD questio brut'!AC200,'Données 1_BD questio'!A:A&amp;'Données 1_BD questio'!B:B,0))</f>
        <v>un professionnel</v>
      </c>
      <c r="AF200" s="191" t="str">
        <f>'1_BD questio brut'!AD200</f>
        <v>1 fois par an</v>
      </c>
      <c r="AG200" s="191" t="str">
        <f>'1_BD questio brut'!AE200</f>
        <v/>
      </c>
      <c r="AH200" s="191" t="str">
        <f>'1_BD questio brut'!AF200</f>
        <v>Poêle</v>
      </c>
      <c r="AI200" s="191" t="str">
        <f>'1_BD questio brut'!AG200</f>
        <v>1</v>
      </c>
      <c r="AJ200" s="191" t="str">
        <f>'1_BD questio brut'!AH200</f>
        <v/>
      </c>
      <c r="AK200" s="191" t="str">
        <f>'1_BD questio brut'!AI200</f>
        <v>Chauffage d'appoint</v>
      </c>
      <c r="AL200" s="191" t="str">
        <f>'1_BD questio brut'!AJ200</f>
        <v>Pas de réponse</v>
      </c>
      <c r="AM200" s="191" t="str">
        <f>'1_BD questio brut'!AK200</f>
        <v>2; 5</v>
      </c>
      <c r="AN200" s="191" t="str">
        <f>'1_BD questio brut'!AL200</f>
        <v/>
      </c>
      <c r="AO200" s="191" t="str">
        <f>'1_BD questio brut'!AM200</f>
        <v>1; 5</v>
      </c>
      <c r="AP200" s="191" t="str">
        <f>'1_BD questio brut'!AN200</f>
        <v/>
      </c>
      <c r="AQ200" s="191" t="str">
        <f>'1_BD questio brut'!AO200</f>
        <v/>
      </c>
    </row>
    <row r="201" spans="1:43" ht="29">
      <c r="A201" s="98">
        <f>INDEX('3_BD instruction total'!A:A,MATCH(C201,'3_BD instruction total'!F:F,0))</f>
        <v>2021</v>
      </c>
      <c r="B201" s="98" t="str">
        <f>INDEX('3_BD instruction total'!C:C,MATCH(C201,'3_BD instruction total'!F:F,0))</f>
        <v>non</v>
      </c>
      <c r="C201" s="191" t="str">
        <f>'1_BD questio brut'!A201</f>
        <v>VRB0208</v>
      </c>
      <c r="D201" s="191" t="str">
        <f t="array" ref="D201">INDEX('Données 1_BD questio'!C:C,MATCH('1_BD questio brut'!$B$1&amp;'1_BD questio brut'!B201,'Données 1_BD questio'!A:A&amp;'Données 1_BD questio'!B:B,0))</f>
        <v>CAPV</v>
      </c>
      <c r="E201" s="191" t="str">
        <f t="array" ref="E201">INDEX('Données 1_BD questio'!C:C,MATCH('1_BD questio brut'!$C$1&amp;'1_BD questio brut'!C201,'Données 1_BD questio'!A:A&amp;'Données 1_BD questio'!B:B,0))</f>
        <v>Retraité</v>
      </c>
      <c r="F201" s="191" t="str">
        <f t="array" ref="F201">INDEX('Données 1_BD questio'!C:C,MATCH('1_BD questio brut'!$D$1&amp;'1_BD questio brut'!D201,'Données 1_BD questio'!A:A&amp;'Données 1_BD questio'!B:B,0))</f>
        <v>Retraité</v>
      </c>
      <c r="G201" s="191" t="str">
        <f>'1_BD questio brut'!E201</f>
        <v>50 à 64 ans</v>
      </c>
      <c r="H201" s="191">
        <f>'1_BD questio brut'!F201</f>
        <v>2</v>
      </c>
      <c r="I201" s="191" t="str">
        <f>'1_BD questio brut'!G201</f>
        <v>Pas de réponse</v>
      </c>
      <c r="J201" s="191" t="str">
        <f t="array" ref="J201">INDEX('Données 1_BD questio'!C:C,MATCH('1_BD questio brut'!$H$1&amp;'1_BD questio brut'!H201,'Données 1_BD questio'!A:A&amp;'Données 1_BD questio'!B:B,0))</f>
        <v>Maison avec jardin</v>
      </c>
      <c r="K201" s="191">
        <f>'1_BD questio brut'!I201</f>
        <v>85</v>
      </c>
      <c r="L201" s="191" t="str">
        <f>'1_BD questio brut'!J201</f>
        <v>Avant 1949</v>
      </c>
      <c r="M201" s="191" t="str">
        <f>'1_BD questio brut'!K201</f>
        <v>1; 2; 4</v>
      </c>
      <c r="N201" s="191" t="str">
        <f>'1_BD questio brut'!L201</f>
        <v>Pas de réponse</v>
      </c>
      <c r="O201" s="191" t="str">
        <f>'1_BD questio brut'!M201</f>
        <v>Propriétaire occupant</v>
      </c>
      <c r="P201" s="191" t="str">
        <f>'1_BD questio brut'!N201</f>
        <v>Poêle</v>
      </c>
      <c r="Q201" s="191" t="str">
        <f>'1_BD questio brut'!O201</f>
        <v>Chauffage de base</v>
      </c>
      <c r="R201" s="191" t="str">
        <f>'1_BD questio brut'!P201</f>
        <v>Tous les jours</v>
      </c>
      <c r="S201" s="191" t="str">
        <f>'1_BD questio brut'!Q201</f>
        <v>1; 2; 3; 4; 5; 6</v>
      </c>
      <c r="T201" s="191" t="str">
        <f>'1_BD questio brut'!R201</f>
        <v>1996-2002</v>
      </c>
      <c r="U201" s="191" t="str">
        <f>'1_BD questio brut'!S201</f>
        <v>Bois bûche</v>
      </c>
      <c r="V201" s="191" t="str">
        <f>'1_BD questio brut'!T201</f>
        <v/>
      </c>
      <c r="W201" s="191" t="str">
        <f>'1_BD questio brut'!U201</f>
        <v>9</v>
      </c>
      <c r="X201" s="191" t="str">
        <f>'1_BD questio brut'!V201</f>
        <v>tonnes</v>
      </c>
      <c r="Y201" s="191" t="str">
        <f>'1_BD questio brut'!W201</f>
        <v>1</v>
      </c>
      <c r="Z201" s="191" t="str">
        <f>'1_BD questio brut'!X201</f>
        <v/>
      </c>
      <c r="AA201" s="191" t="str">
        <f t="array" ref="AA201">INDEX('Données 1_BD questio'!C:C,MATCH('1_BD questio brut'!$Y$1&amp;'1_BD questio brut'!Y201,'Données 1_BD questio'!A:A&amp;'Données 1_BD questio'!B:B,0))</f>
        <v>Ne sait pas</v>
      </c>
      <c r="AB201" s="191" t="str">
        <f>'1_BD questio brut'!Z201</f>
        <v>2</v>
      </c>
      <c r="AC201" s="191" t="str">
        <f>'1_BD questio brut'!AA201</f>
        <v>&gt; 2 ans</v>
      </c>
      <c r="AD201" s="191" t="str">
        <f>'1_BD questio brut'!AB201</f>
        <v>Feuillus</v>
      </c>
      <c r="AE201" s="191" t="e">
        <f t="array" ref="AE201">INDEX('Données 1_BD questio'!C:C,MATCH('1_BD questio brut'!$AC$1&amp;'1_BD questio brut'!AC201,'Données 1_BD questio'!A:A&amp;'Données 1_BD questio'!B:B,0))</f>
        <v>#N/A</v>
      </c>
      <c r="AF201" s="191" t="str">
        <f>'1_BD questio brut'!AD201</f>
        <v>1 fois par an</v>
      </c>
      <c r="AG201" s="191" t="str">
        <f>'1_BD questio brut'!AE201</f>
        <v/>
      </c>
      <c r="AH201" s="191" t="str">
        <f>'1_BD questio brut'!AF201</f>
        <v>Poêle</v>
      </c>
      <c r="AI201" s="191" t="str">
        <f>'1_BD questio brut'!AG201</f>
        <v>2</v>
      </c>
      <c r="AJ201" s="191" t="str">
        <f>'1_BD questio brut'!AH201</f>
        <v/>
      </c>
      <c r="AK201" s="191" t="str">
        <f>'1_BD questio brut'!AI201</f>
        <v>Chauffage de base</v>
      </c>
      <c r="AL201" s="191" t="str">
        <f>'1_BD questio brut'!AJ201</f>
        <v>Pas de réponse</v>
      </c>
      <c r="AM201" s="191" t="str">
        <f>'1_BD questio brut'!AK201</f>
        <v>1; 4; 5</v>
      </c>
      <c r="AN201" s="191" t="str">
        <f>'1_BD questio brut'!AL201</f>
        <v/>
      </c>
      <c r="AO201" s="191" t="str">
        <f>'1_BD questio brut'!AM201</f>
        <v>3</v>
      </c>
      <c r="AP201" s="191" t="str">
        <f>'1_BD questio brut'!AN201</f>
        <v/>
      </c>
      <c r="AQ201" s="191" t="str">
        <f>'1_BD questio brut'!AO201</f>
        <v>recherches personnelles</v>
      </c>
    </row>
    <row r="202" spans="1:43" ht="29" hidden="1">
      <c r="A202" s="98">
        <f>INDEX('3_BD instruction total'!A:A,MATCH(C202,'3_BD instruction total'!F:F,0))</f>
        <v>2021</v>
      </c>
      <c r="B202" s="98" t="str">
        <f>INDEX('3_BD instruction total'!C:C,MATCH(C202,'3_BD instruction total'!F:F,0))</f>
        <v>non</v>
      </c>
      <c r="C202" s="191" t="str">
        <f>'1_BD questio brut'!A202</f>
        <v>VRB0209</v>
      </c>
      <c r="D202" s="191" t="str">
        <f t="array" ref="D202">INDEX('Données 1_BD questio'!C:C,MATCH('1_BD questio brut'!$B$1&amp;'1_BD questio brut'!B202,'Données 1_BD questio'!A:A&amp;'Données 1_BD questio'!B:B,0))</f>
        <v>CAPV</v>
      </c>
      <c r="E202" s="191" t="str">
        <f t="array" ref="E202">INDEX('Données 1_BD questio'!C:C,MATCH('1_BD questio brut'!$C$1&amp;'1_BD questio brut'!C202,'Données 1_BD questio'!A:A&amp;'Données 1_BD questio'!B:B,0))</f>
        <v>Cadre</v>
      </c>
      <c r="F202" s="191" t="str">
        <f t="array" ref="F202">INDEX('Données 1_BD questio'!C:C,MATCH('1_BD questio brut'!$D$1&amp;'1_BD questio brut'!D202,'Données 1_BD questio'!A:A&amp;'Données 1_BD questio'!B:B,0))</f>
        <v>Profession intermédiaire</v>
      </c>
      <c r="G202" s="191" t="str">
        <f>'1_BD questio brut'!E202</f>
        <v>25 à 34 ans</v>
      </c>
      <c r="H202" s="191">
        <f>'1_BD questio brut'!F202</f>
        <v>2</v>
      </c>
      <c r="I202" s="191" t="str">
        <f>'1_BD questio brut'!G202</f>
        <v>Pas de réponse</v>
      </c>
      <c r="J202" s="191" t="str">
        <f t="array" ref="J202">INDEX('Données 1_BD questio'!C:C,MATCH('1_BD questio brut'!$H$1&amp;'1_BD questio brut'!H202,'Données 1_BD questio'!A:A&amp;'Données 1_BD questio'!B:B,0))</f>
        <v>Maison avec jardin</v>
      </c>
      <c r="K202" s="191">
        <f>'1_BD questio brut'!I202</f>
        <v>82</v>
      </c>
      <c r="L202" s="191" t="str">
        <f>'1_BD questio brut'!J202</f>
        <v>1975-1990</v>
      </c>
      <c r="M202" s="191" t="str">
        <f>'1_BD questio brut'!K202</f>
        <v>4</v>
      </c>
      <c r="N202" s="191" t="str">
        <f>'1_BD questio brut'!L202</f>
        <v>E</v>
      </c>
      <c r="O202" s="191" t="str">
        <f>'1_BD questio brut'!M202</f>
        <v>Propriétaire occupant</v>
      </c>
      <c r="P202" s="191" t="str">
        <f>'1_BD questio brut'!N202</f>
        <v>Foyer ouvert</v>
      </c>
      <c r="Q202" s="191" t="str">
        <f>'1_BD questio brut'!O202</f>
        <v>Plaisir/agrément</v>
      </c>
      <c r="R202" s="191" t="str">
        <f>'1_BD questio brut'!P202</f>
        <v>Pas de réponse</v>
      </c>
      <c r="S202" s="191" t="str">
        <f>'1_BD questio brut'!Q202</f>
        <v>7</v>
      </c>
      <c r="T202" s="191" t="str">
        <f>'1_BD questio brut'!R202</f>
        <v>Avant 1990</v>
      </c>
      <c r="U202" s="191" t="str">
        <f>'1_BD questio brut'!S202</f>
        <v>Bois bûche</v>
      </c>
      <c r="V202" s="191" t="str">
        <f>'1_BD questio brut'!T202</f>
        <v/>
      </c>
      <c r="W202" s="191" t="str">
        <f>'1_BD questio brut'!U202</f>
        <v/>
      </c>
      <c r="X202" s="191" t="str">
        <f>'1_BD questio brut'!V202</f>
        <v/>
      </c>
      <c r="Y202" s="191" t="str">
        <f>'1_BD questio brut'!W202</f>
        <v>5</v>
      </c>
      <c r="Z202" s="191" t="str">
        <f>'1_BD questio brut'!X202</f>
        <v/>
      </c>
      <c r="AA202" s="191" t="str">
        <f t="array" ref="AA202">INDEX('Données 1_BD questio'!C:C,MATCH('1_BD questio brut'!$Y$1&amp;'1_BD questio brut'!Y202,'Données 1_BD questio'!A:A&amp;'Données 1_BD questio'!B:B,0))</f>
        <v>Ne sait pas</v>
      </c>
      <c r="AB202" s="191" t="str">
        <f>'1_BD questio brut'!Z202</f>
        <v>4</v>
      </c>
      <c r="AC202" s="191" t="str">
        <f>'1_BD questio brut'!AA202</f>
        <v>Pas de réponse</v>
      </c>
      <c r="AD202" s="191" t="str">
        <f>'1_BD questio brut'!AB202</f>
        <v>Pas de réponse</v>
      </c>
      <c r="AE202" s="191" t="str">
        <f t="array" ref="AE202">INDEX('Données 1_BD questio'!C:C,MATCH('1_BD questio brut'!$AC$1&amp;'1_BD questio brut'!AC202,'Données 1_BD questio'!A:A&amp;'Données 1_BD questio'!B:B,0))</f>
        <v>Pas de réponse</v>
      </c>
      <c r="AF202" s="191" t="str">
        <f>'1_BD questio brut'!AD202</f>
        <v>Pas de réponse</v>
      </c>
      <c r="AG202" s="191" t="str">
        <f>'1_BD questio brut'!AE202</f>
        <v/>
      </c>
      <c r="AH202" s="191" t="str">
        <f>'1_BD questio brut'!AF202</f>
        <v>Poêle</v>
      </c>
      <c r="AI202" s="191" t="str">
        <f>'1_BD questio brut'!AG202</f>
        <v>2</v>
      </c>
      <c r="AJ202" s="191" t="str">
        <f>'1_BD questio brut'!AH202</f>
        <v/>
      </c>
      <c r="AK202" s="191" t="str">
        <f>'1_BD questio brut'!AI202</f>
        <v>Chauffage de base</v>
      </c>
      <c r="AL202" s="191" t="str">
        <f>'1_BD questio brut'!AJ202</f>
        <v>Pas de réponse</v>
      </c>
      <c r="AM202" s="191" t="str">
        <f>'1_BD questio brut'!AK202</f>
        <v>2; 5</v>
      </c>
      <c r="AN202" s="191" t="str">
        <f>'1_BD questio brut'!AL202</f>
        <v/>
      </c>
      <c r="AO202" s="191" t="str">
        <f>'1_BD questio brut'!AM202</f>
        <v>1</v>
      </c>
      <c r="AP202" s="191" t="str">
        <f>'1_BD questio brut'!AN202</f>
        <v/>
      </c>
      <c r="AQ202" s="191" t="str">
        <f>'1_BD questio brut'!AO202</f>
        <v/>
      </c>
    </row>
    <row r="203" spans="1:43" ht="29" hidden="1">
      <c r="A203" s="98">
        <f>INDEX('3_BD instruction total'!A:A,MATCH(C203,'3_BD instruction total'!F:F,0))</f>
        <v>2021</v>
      </c>
      <c r="B203" s="98" t="str">
        <f>INDEX('3_BD instruction total'!C:C,MATCH(C203,'3_BD instruction total'!F:F,0))</f>
        <v>non</v>
      </c>
      <c r="C203" s="191" t="str">
        <f>'1_BD questio brut'!A203</f>
        <v>VRB0210</v>
      </c>
      <c r="D203" s="191" t="str">
        <f t="array" ref="D203">INDEX('Données 1_BD questio'!C:C,MATCH('1_BD questio brut'!$B$1&amp;'1_BD questio brut'!B203,'Données 1_BD questio'!A:A&amp;'Données 1_BD questio'!B:B,0))</f>
        <v>CAPV</v>
      </c>
      <c r="E203" s="191" t="str">
        <f t="array" ref="E203">INDEX('Données 1_BD questio'!C:C,MATCH('1_BD questio brut'!$C$1&amp;'1_BD questio brut'!C203,'Données 1_BD questio'!A:A&amp;'Données 1_BD questio'!B:B,0))</f>
        <v>Cadre</v>
      </c>
      <c r="F203" s="191" t="str">
        <f t="array" ref="F203">INDEX('Données 1_BD questio'!C:C,MATCH('1_BD questio brut'!$D$1&amp;'1_BD questio brut'!D203,'Données 1_BD questio'!A:A&amp;'Données 1_BD questio'!B:B,0))</f>
        <v>Employé</v>
      </c>
      <c r="G203" s="191" t="str">
        <f>'1_BD questio brut'!E203</f>
        <v>35 à 49 ans</v>
      </c>
      <c r="H203" s="191">
        <f>'1_BD questio brut'!F203</f>
        <v>4</v>
      </c>
      <c r="I203" s="191" t="str">
        <f>'1_BD questio brut'!G203</f>
        <v>Pas de réponse</v>
      </c>
      <c r="J203" s="191" t="str">
        <f t="array" ref="J203">INDEX('Données 1_BD questio'!C:C,MATCH('1_BD questio brut'!$H$1&amp;'1_BD questio brut'!H203,'Données 1_BD questio'!A:A&amp;'Données 1_BD questio'!B:B,0))</f>
        <v>Maison avec jardin</v>
      </c>
      <c r="K203" s="191">
        <f>'1_BD questio brut'!I203</f>
        <v>120</v>
      </c>
      <c r="L203" s="191" t="str">
        <f>'1_BD questio brut'!J203</f>
        <v>Avant 1949</v>
      </c>
      <c r="M203" s="191" t="str">
        <f>'1_BD questio brut'!K203</f>
        <v>2; 3; 4</v>
      </c>
      <c r="N203" s="191" t="str">
        <f>'1_BD questio brut'!L203</f>
        <v>Pas de réponse</v>
      </c>
      <c r="O203" s="191" t="str">
        <f>'1_BD questio brut'!M203</f>
        <v>Propriétaire occupant</v>
      </c>
      <c r="P203" s="191" t="str">
        <f>'1_BD questio brut'!N203</f>
        <v>Poêle</v>
      </c>
      <c r="Q203" s="191" t="str">
        <f>'1_BD questio brut'!O203</f>
        <v>Chauffage de base</v>
      </c>
      <c r="R203" s="191" t="str">
        <f>'1_BD questio brut'!P203</f>
        <v>Tous les jours</v>
      </c>
      <c r="S203" s="191" t="str">
        <f>'1_BD questio brut'!Q203</f>
        <v>4</v>
      </c>
      <c r="T203" s="191" t="str">
        <f>'1_BD questio brut'!R203</f>
        <v>1996-2002</v>
      </c>
      <c r="U203" s="191" t="str">
        <f>'1_BD questio brut'!S203</f>
        <v>Bois bûche</v>
      </c>
      <c r="V203" s="191" t="str">
        <f>'1_BD questio brut'!T203</f>
        <v/>
      </c>
      <c r="W203" s="191" t="str">
        <f>'1_BD questio brut'!U203</f>
        <v>15</v>
      </c>
      <c r="X203" s="191" t="str">
        <f>'1_BD questio brut'!V203</f>
        <v>stères</v>
      </c>
      <c r="Y203" s="191" t="str">
        <f>'1_BD questio brut'!W203</f>
        <v>1</v>
      </c>
      <c r="Z203" s="191" t="str">
        <f>'1_BD questio brut'!X203</f>
        <v/>
      </c>
      <c r="AA203" s="191" t="str">
        <f t="array" ref="AA203">INDEX('Données 1_BD questio'!C:C,MATCH('1_BD questio brut'!$Y$1&amp;'1_BD questio brut'!Y203,'Données 1_BD questio'!A:A&amp;'Données 1_BD questio'!B:B,0))</f>
        <v>RA2B</v>
      </c>
      <c r="AB203" s="191" t="str">
        <f>'1_BD questio brut'!Z203</f>
        <v>2</v>
      </c>
      <c r="AC203" s="191" t="str">
        <f>'1_BD questio brut'!AA203</f>
        <v>&gt; 2 ans</v>
      </c>
      <c r="AD203" s="191" t="str">
        <f>'1_BD questio brut'!AB203</f>
        <v>Feuillus</v>
      </c>
      <c r="AE203" s="191" t="str">
        <f t="array" ref="AE203">INDEX('Données 1_BD questio'!C:C,MATCH('1_BD questio brut'!$AC$1&amp;'1_BD questio brut'!AC203,'Données 1_BD questio'!A:A&amp;'Données 1_BD questio'!B:B,0))</f>
        <v>vous-même</v>
      </c>
      <c r="AF203" s="191" t="str">
        <f>'1_BD questio brut'!AD203</f>
        <v>1 fois par an</v>
      </c>
      <c r="AG203" s="191" t="str">
        <f>'1_BD questio brut'!AE203</f>
        <v/>
      </c>
      <c r="AH203" s="191" t="str">
        <f>'1_BD questio brut'!AF203</f>
        <v>Poêle</v>
      </c>
      <c r="AI203" s="191" t="str">
        <f>'1_BD questio brut'!AG203</f>
        <v>1</v>
      </c>
      <c r="AJ203" s="191" t="str">
        <f>'1_BD questio brut'!AH203</f>
        <v/>
      </c>
      <c r="AK203" s="191" t="str">
        <f>'1_BD questio brut'!AI203</f>
        <v>Chauffage de base</v>
      </c>
      <c r="AL203" s="191" t="str">
        <f>'1_BD questio brut'!AJ203</f>
        <v>Pas de réponse</v>
      </c>
      <c r="AM203" s="191" t="str">
        <f>'1_BD questio brut'!AK203</f>
        <v>2; 4; 5</v>
      </c>
      <c r="AN203" s="191" t="str">
        <f>'1_BD questio brut'!AL203</f>
        <v/>
      </c>
      <c r="AO203" s="191" t="str">
        <f>'1_BD questio brut'!AM203</f>
        <v>4; 7</v>
      </c>
      <c r="AP203" s="191" t="str">
        <f>'1_BD questio brut'!AN203</f>
        <v/>
      </c>
      <c r="AQ203" s="191" t="str">
        <f>'1_BD questio brut'!AO203</f>
        <v/>
      </c>
    </row>
    <row r="204" spans="1:43" ht="43.5" hidden="1">
      <c r="A204" s="98">
        <f>INDEX('3_BD instruction total'!A:A,MATCH(C204,'3_BD instruction total'!F:F,0))</f>
        <v>2021</v>
      </c>
      <c r="B204" s="98" t="str">
        <f>INDEX('3_BD instruction total'!C:C,MATCH(C204,'3_BD instruction total'!F:F,0))</f>
        <v>non</v>
      </c>
      <c r="C204" s="191" t="str">
        <f>'1_BD questio brut'!A204</f>
        <v>VRB0211</v>
      </c>
      <c r="D204" s="191" t="str">
        <f t="array" ref="D204">INDEX('Données 1_BD questio'!C:C,MATCH('1_BD questio brut'!$B$1&amp;'1_BD questio brut'!B204,'Données 1_BD questio'!A:A&amp;'Données 1_BD questio'!B:B,0))</f>
        <v>CAPV</v>
      </c>
      <c r="E204" s="191" t="str">
        <f t="array" ref="E204">INDEX('Données 1_BD questio'!C:C,MATCH('1_BD questio brut'!$C$1&amp;'1_BD questio brut'!C204,'Données 1_BD questio'!A:A&amp;'Données 1_BD questio'!B:B,0))</f>
        <v>Employé</v>
      </c>
      <c r="F204" s="191" t="str">
        <f t="array" ref="F204">INDEX('Données 1_BD questio'!C:C,MATCH('1_BD questio brut'!$D$1&amp;'1_BD questio brut'!D204,'Données 1_BD questio'!A:A&amp;'Données 1_BD questio'!B:B,0))</f>
        <v>Employé</v>
      </c>
      <c r="G204" s="191" t="str">
        <f>'1_BD questio brut'!E204</f>
        <v>25 à 34 ans</v>
      </c>
      <c r="H204" s="191">
        <f>'1_BD questio brut'!F204</f>
        <v>2</v>
      </c>
      <c r="I204" s="191" t="str">
        <f>'1_BD questio brut'!G204</f>
        <v>Pas de réponse</v>
      </c>
      <c r="J204" s="191" t="str">
        <f t="array" ref="J204">INDEX('Données 1_BD questio'!C:C,MATCH('1_BD questio brut'!$H$1&amp;'1_BD questio brut'!H204,'Données 1_BD questio'!A:A&amp;'Données 1_BD questio'!B:B,0))</f>
        <v>Maison avec jardin</v>
      </c>
      <c r="K204" s="191">
        <f>'1_BD questio brut'!I204</f>
        <v>102</v>
      </c>
      <c r="L204" s="191" t="str">
        <f>'1_BD questio brut'!J204</f>
        <v>1990-2005</v>
      </c>
      <c r="M204" s="191" t="str">
        <f>'1_BD questio brut'!K204</f>
        <v>6</v>
      </c>
      <c r="N204" s="191" t="str">
        <f>'1_BD questio brut'!L204</f>
        <v>E</v>
      </c>
      <c r="O204" s="191" t="str">
        <f>'1_BD questio brut'!M204</f>
        <v>Propriétaire occupant</v>
      </c>
      <c r="P204" s="191" t="str">
        <f>'1_BD questio brut'!N204</f>
        <v>Foyer ouvert</v>
      </c>
      <c r="Q204" s="191" t="str">
        <f>'1_BD questio brut'!O204</f>
        <v>Chauffage d'apoint</v>
      </c>
      <c r="R204" s="191" t="str">
        <f>'1_BD questio brut'!P204</f>
        <v>Tous les jours</v>
      </c>
      <c r="S204" s="191" t="str">
        <f>'1_BD questio brut'!Q204</f>
        <v>4; 5; 6</v>
      </c>
      <c r="T204" s="191" t="str">
        <f>'1_BD questio brut'!R204</f>
        <v>1996-2002</v>
      </c>
      <c r="U204" s="191" t="str">
        <f>'1_BD questio brut'!S204</f>
        <v>Bois bûche</v>
      </c>
      <c r="V204" s="191" t="str">
        <f>'1_BD questio brut'!T204</f>
        <v/>
      </c>
      <c r="W204" s="191" t="str">
        <f>'1_BD questio brut'!U204</f>
        <v>9</v>
      </c>
      <c r="X204" s="191" t="str">
        <f>'1_BD questio brut'!V204</f>
        <v>stères</v>
      </c>
      <c r="Y204" s="191" t="str">
        <f>'1_BD questio brut'!W204</f>
        <v>2</v>
      </c>
      <c r="Z204" s="191" t="str">
        <f>'1_BD questio brut'!X204</f>
        <v/>
      </c>
      <c r="AA204" s="191" t="str">
        <f t="array" ref="AA204">INDEX('Données 1_BD questio'!C:C,MATCH('1_BD questio brut'!$Y$1&amp;'1_BD questio brut'!Y204,'Données 1_BD questio'!A:A&amp;'Données 1_BD questio'!B:B,0))</f>
        <v>Ne sait pas</v>
      </c>
      <c r="AB204" s="191" t="str">
        <f>'1_BD questio brut'!Z204</f>
        <v>2</v>
      </c>
      <c r="AC204" s="191" t="str">
        <f>'1_BD questio brut'!AA204</f>
        <v>1 à 2 ans</v>
      </c>
      <c r="AD204" s="191" t="str">
        <f>'1_BD questio brut'!AB204</f>
        <v>Feuillus</v>
      </c>
      <c r="AE204" s="191" t="str">
        <f t="array" ref="AE204">INDEX('Données 1_BD questio'!C:C,MATCH('1_BD questio brut'!$AC$1&amp;'1_BD questio brut'!AC204,'Données 1_BD questio'!A:A&amp;'Données 1_BD questio'!B:B,0))</f>
        <v>un professionnel</v>
      </c>
      <c r="AF204" s="191" t="str">
        <f>'1_BD questio brut'!AD204</f>
        <v>1 fois par an</v>
      </c>
      <c r="AG204" s="191" t="str">
        <f>'1_BD questio brut'!AE204</f>
        <v/>
      </c>
      <c r="AH204" s="191" t="str">
        <f>'1_BD questio brut'!AF204</f>
        <v>Poêle</v>
      </c>
      <c r="AI204" s="191" t="str">
        <f>'1_BD questio brut'!AG204</f>
        <v>1</v>
      </c>
      <c r="AJ204" s="191" t="str">
        <f>'1_BD questio brut'!AH204</f>
        <v/>
      </c>
      <c r="AK204" s="191" t="str">
        <f>'1_BD questio brut'!AI204</f>
        <v>Chauffage d'appoint</v>
      </c>
      <c r="AL204" s="191" t="str">
        <f>'1_BD questio brut'!AJ204</f>
        <v>Pas de réponse</v>
      </c>
      <c r="AM204" s="191" t="str">
        <f>'1_BD questio brut'!AK204</f>
        <v>4; 5</v>
      </c>
      <c r="AN204" s="191" t="str">
        <f>'1_BD questio brut'!AL204</f>
        <v/>
      </c>
      <c r="AO204" s="191" t="str">
        <f>'1_BD questio brut'!AM204</f>
        <v>1; 5</v>
      </c>
      <c r="AP204" s="191" t="str">
        <f>'1_BD questio brut'!AN204</f>
        <v/>
      </c>
      <c r="AQ204" s="191" t="str">
        <f>'1_BD questio brut'!AO204</f>
        <v/>
      </c>
    </row>
    <row r="205" spans="1:43" ht="43.5" hidden="1">
      <c r="A205" s="98">
        <f>INDEX('3_BD instruction total'!A:A,MATCH(C205,'3_BD instruction total'!F:F,0))</f>
        <v>2021</v>
      </c>
      <c r="B205" s="98" t="str">
        <f>INDEX('3_BD instruction total'!C:C,MATCH(C205,'3_BD instruction total'!F:F,0))</f>
        <v>non</v>
      </c>
      <c r="C205" s="191" t="str">
        <f>'1_BD questio brut'!A205</f>
        <v>VRB0212</v>
      </c>
      <c r="D205" s="191" t="str">
        <f t="array" ref="D205">INDEX('Données 1_BD questio'!C:C,MATCH('1_BD questio brut'!$B$1&amp;'1_BD questio brut'!B205,'Données 1_BD questio'!A:A&amp;'Données 1_BD questio'!B:B,0))</f>
        <v>CAPV</v>
      </c>
      <c r="E205" s="191" t="str">
        <f t="array" ref="E205">INDEX('Données 1_BD questio'!C:C,MATCH('1_BD questio brut'!$C$1&amp;'1_BD questio brut'!C205,'Données 1_BD questio'!A:A&amp;'Données 1_BD questio'!B:B,0))</f>
        <v>Artisan,commerçant,chef d'entreprise</v>
      </c>
      <c r="F205" s="191" t="str">
        <f t="array" ref="F205">INDEX('Données 1_BD questio'!C:C,MATCH('1_BD questio brut'!$D$1&amp;'1_BD questio brut'!D205,'Données 1_BD questio'!A:A&amp;'Données 1_BD questio'!B:B,0))</f>
        <v>Artisan,commerçant,chef d'entreprise</v>
      </c>
      <c r="G205" s="191" t="str">
        <f>'1_BD questio brut'!E205</f>
        <v>25 à 34 ans</v>
      </c>
      <c r="H205" s="191">
        <f>'1_BD questio brut'!F205</f>
        <v>2</v>
      </c>
      <c r="I205" s="191" t="str">
        <f>'1_BD questio brut'!G205</f>
        <v>Pas de réponse</v>
      </c>
      <c r="J205" s="191" t="str">
        <f t="array" ref="J205">INDEX('Données 1_BD questio'!C:C,MATCH('1_BD questio brut'!$H$1&amp;'1_BD questio brut'!H205,'Données 1_BD questio'!A:A&amp;'Données 1_BD questio'!B:B,0))</f>
        <v>Maison sans jardin</v>
      </c>
      <c r="K205" s="191">
        <f>'1_BD questio brut'!I205</f>
        <v>113</v>
      </c>
      <c r="L205" s="191" t="str">
        <f>'1_BD questio brut'!J205</f>
        <v>1975-1990</v>
      </c>
      <c r="M205" s="191" t="str">
        <f>'1_BD questio brut'!K205</f>
        <v>6</v>
      </c>
      <c r="N205" s="191" t="str">
        <f>'1_BD questio brut'!L205</f>
        <v>D</v>
      </c>
      <c r="O205" s="191" t="str">
        <f>'1_BD questio brut'!M205</f>
        <v>Propriétaire occupant</v>
      </c>
      <c r="P205" s="191" t="str">
        <f>'1_BD questio brut'!N205</f>
        <v>Insert / foyer fermé</v>
      </c>
      <c r="Q205" s="191" t="str">
        <f>'1_BD questio brut'!O205</f>
        <v>Chauffage de base</v>
      </c>
      <c r="R205" s="191" t="str">
        <f>'1_BD questio brut'!P205</f>
        <v>3 à 4 jours/semaine</v>
      </c>
      <c r="S205" s="191" t="str">
        <f>'1_BD questio brut'!Q205</f>
        <v>2</v>
      </c>
      <c r="T205" s="191" t="str">
        <f>'1_BD questio brut'!R205</f>
        <v>Avant 1990</v>
      </c>
      <c r="U205" s="191" t="str">
        <f>'1_BD questio brut'!S205</f>
        <v>Bois bûche</v>
      </c>
      <c r="V205" s="191" t="str">
        <f>'1_BD questio brut'!T205</f>
        <v/>
      </c>
      <c r="W205" s="191" t="str">
        <f>'1_BD questio brut'!U205</f>
        <v>6</v>
      </c>
      <c r="X205" s="191" t="str">
        <f>'1_BD questio brut'!V205</f>
        <v>stères</v>
      </c>
      <c r="Y205" s="191" t="str">
        <f>'1_BD questio brut'!W205</f>
        <v>1</v>
      </c>
      <c r="Z205" s="191" t="str">
        <f>'1_BD questio brut'!X205</f>
        <v/>
      </c>
      <c r="AA205" s="191" t="str">
        <f t="array" ref="AA205">INDEX('Données 1_BD questio'!C:C,MATCH('1_BD questio brut'!$Y$1&amp;'1_BD questio brut'!Y205,'Données 1_BD questio'!A:A&amp;'Données 1_BD questio'!B:B,0))</f>
        <v>Rhône-Alpes hors RA2B</v>
      </c>
      <c r="AB205" s="191" t="str">
        <f>'1_BD questio brut'!Z205</f>
        <v>2</v>
      </c>
      <c r="AC205" s="191" t="str">
        <f>'1_BD questio brut'!AA205</f>
        <v>1 à 2 ans</v>
      </c>
      <c r="AD205" s="191" t="str">
        <f>'1_BD questio brut'!AB205</f>
        <v>Feuillus</v>
      </c>
      <c r="AE205" s="191" t="str">
        <f t="array" ref="AE205">INDEX('Données 1_BD questio'!C:C,MATCH('1_BD questio brut'!$AC$1&amp;'1_BD questio brut'!AC205,'Données 1_BD questio'!A:A&amp;'Données 1_BD questio'!B:B,0))</f>
        <v>un professionnel</v>
      </c>
      <c r="AF205" s="191" t="str">
        <f>'1_BD questio brut'!AD205</f>
        <v>1 fois par an</v>
      </c>
      <c r="AG205" s="191" t="str">
        <f>'1_BD questio brut'!AE205</f>
        <v/>
      </c>
      <c r="AH205" s="191" t="str">
        <f>'1_BD questio brut'!AF205</f>
        <v>Poêle</v>
      </c>
      <c r="AI205" s="191" t="str">
        <f>'1_BD questio brut'!AG205</f>
        <v>2</v>
      </c>
      <c r="AJ205" s="191" t="str">
        <f>'1_BD questio brut'!AH205</f>
        <v/>
      </c>
      <c r="AK205" s="191" t="str">
        <f>'1_BD questio brut'!AI205</f>
        <v>Chauffage de base</v>
      </c>
      <c r="AL205" s="191" t="str">
        <f>'1_BD questio brut'!AJ205</f>
        <v>Pas de réponse</v>
      </c>
      <c r="AM205" s="191" t="str">
        <f>'1_BD questio brut'!AK205</f>
        <v>1; 4; 5</v>
      </c>
      <c r="AN205" s="191" t="str">
        <f>'1_BD questio brut'!AL205</f>
        <v/>
      </c>
      <c r="AO205" s="191" t="str">
        <f>'1_BD questio brut'!AM205</f>
        <v>2</v>
      </c>
      <c r="AP205" s="191" t="str">
        <f>'1_BD questio brut'!AN205</f>
        <v/>
      </c>
      <c r="AQ205" s="191" t="str">
        <f>'1_BD questio brut'!AO205</f>
        <v/>
      </c>
    </row>
    <row r="206" spans="1:43" ht="29" hidden="1">
      <c r="A206" s="98">
        <f>INDEX('3_BD instruction total'!A:A,MATCH(C206,'3_BD instruction total'!F:F,0))</f>
        <v>2021</v>
      </c>
      <c r="B206" s="98" t="str">
        <f>INDEX('3_BD instruction total'!C:C,MATCH(C206,'3_BD instruction total'!F:F,0))</f>
        <v>non</v>
      </c>
      <c r="C206" s="191" t="str">
        <f>'1_BD questio brut'!A206</f>
        <v>VRB0213</v>
      </c>
      <c r="D206" s="191" t="str">
        <f t="array" ref="D206">INDEX('Données 1_BD questio'!C:C,MATCH('1_BD questio brut'!$B$1&amp;'1_BD questio brut'!B206,'Données 1_BD questio'!A:A&amp;'Données 1_BD questio'!B:B,0))</f>
        <v>CAPV</v>
      </c>
      <c r="E206" s="191" t="str">
        <f t="array" ref="E206">INDEX('Données 1_BD questio'!C:C,MATCH('1_BD questio brut'!$C$1&amp;'1_BD questio brut'!C206,'Données 1_BD questio'!A:A&amp;'Données 1_BD questio'!B:B,0))</f>
        <v>Ouvrier</v>
      </c>
      <c r="F206" s="191" t="str">
        <f t="array" ref="F206">INDEX('Données 1_BD questio'!C:C,MATCH('1_BD questio brut'!$D$1&amp;'1_BD questio brut'!D206,'Données 1_BD questio'!A:A&amp;'Données 1_BD questio'!B:B,0))</f>
        <v>Autre,sans activité</v>
      </c>
      <c r="G206" s="191" t="str">
        <f>'1_BD questio brut'!E206</f>
        <v>25 à 34 ans</v>
      </c>
      <c r="H206" s="191">
        <f>'1_BD questio brut'!F206</f>
        <v>5</v>
      </c>
      <c r="I206" s="191" t="str">
        <f>'1_BD questio brut'!G206</f>
        <v>Pas de réponse</v>
      </c>
      <c r="J206" s="191" t="str">
        <f t="array" ref="J206">INDEX('Données 1_BD questio'!C:C,MATCH('1_BD questio brut'!$H$1&amp;'1_BD questio brut'!H206,'Données 1_BD questio'!A:A&amp;'Données 1_BD questio'!B:B,0))</f>
        <v>Maison avec jardin</v>
      </c>
      <c r="K206" s="191">
        <f>'1_BD questio brut'!I206</f>
        <v>110</v>
      </c>
      <c r="L206" s="191" t="str">
        <f>'1_BD questio brut'!J206</f>
        <v>Avant 1949</v>
      </c>
      <c r="M206" s="191" t="str">
        <f>'1_BD questio brut'!K206</f>
        <v>4</v>
      </c>
      <c r="N206" s="191" t="str">
        <f>'1_BD questio brut'!L206</f>
        <v>Pas de réponse</v>
      </c>
      <c r="O206" s="191" t="str">
        <f>'1_BD questio brut'!M206</f>
        <v>Propriétaire occupant</v>
      </c>
      <c r="P206" s="191" t="str">
        <f>'1_BD questio brut'!N206</f>
        <v>Poêle</v>
      </c>
      <c r="Q206" s="191" t="str">
        <f>'1_BD questio brut'!O206</f>
        <v>Chauffage de base</v>
      </c>
      <c r="R206" s="191" t="str">
        <f>'1_BD questio brut'!P206</f>
        <v>Tous les jours</v>
      </c>
      <c r="S206" s="191" t="str">
        <f>'1_BD questio brut'!Q206</f>
        <v>7</v>
      </c>
      <c r="T206" s="191" t="str">
        <f>'1_BD questio brut'!R206</f>
        <v>1996-2002</v>
      </c>
      <c r="U206" s="191" t="str">
        <f>'1_BD questio brut'!S206</f>
        <v>Bois bûche</v>
      </c>
      <c r="V206" s="191" t="str">
        <f>'1_BD questio brut'!T206</f>
        <v/>
      </c>
      <c r="W206" s="191" t="str">
        <f>'1_BD questio brut'!U206</f>
        <v>3</v>
      </c>
      <c r="X206" s="191" t="str">
        <f>'1_BD questio brut'!V206</f>
        <v>stères</v>
      </c>
      <c r="Y206" s="191" t="str">
        <f>'1_BD questio brut'!W206</f>
        <v>1</v>
      </c>
      <c r="Z206" s="191" t="str">
        <f>'1_BD questio brut'!X206</f>
        <v/>
      </c>
      <c r="AA206" s="191" t="str">
        <f t="array" ref="AA206">INDEX('Données 1_BD questio'!C:C,MATCH('1_BD questio brut'!$Y$1&amp;'1_BD questio brut'!Y206,'Données 1_BD questio'!A:A&amp;'Données 1_BD questio'!B:B,0))</f>
        <v>RA2B</v>
      </c>
      <c r="AB206" s="191" t="str">
        <f>'1_BD questio brut'!Z206</f>
        <v>2</v>
      </c>
      <c r="AC206" s="191" t="str">
        <f>'1_BD questio brut'!AA206</f>
        <v>1 à 2 ans</v>
      </c>
      <c r="AD206" s="191" t="str">
        <f>'1_BD questio brut'!AB206</f>
        <v>Les deux</v>
      </c>
      <c r="AE206" s="191" t="str">
        <f t="array" ref="AE206">INDEX('Données 1_BD questio'!C:C,MATCH('1_BD questio brut'!$AC$1&amp;'1_BD questio brut'!AC206,'Données 1_BD questio'!A:A&amp;'Données 1_BD questio'!B:B,0))</f>
        <v>vous-même</v>
      </c>
      <c r="AF206" s="191" t="str">
        <f>'1_BD questio brut'!AD206</f>
        <v>1 fois par an</v>
      </c>
      <c r="AG206" s="191" t="str">
        <f>'1_BD questio brut'!AE206</f>
        <v/>
      </c>
      <c r="AH206" s="191" t="str">
        <f>'1_BD questio brut'!AF206</f>
        <v>Poêle</v>
      </c>
      <c r="AI206" s="191" t="str">
        <f>'1_BD questio brut'!AG206</f>
        <v>2</v>
      </c>
      <c r="AJ206" s="191" t="str">
        <f>'1_BD questio brut'!AH206</f>
        <v/>
      </c>
      <c r="AK206" s="191" t="str">
        <f>'1_BD questio brut'!AI206</f>
        <v>Chauffage de base</v>
      </c>
      <c r="AL206" s="191" t="str">
        <f>'1_BD questio brut'!AJ206</f>
        <v>Pas de réponse</v>
      </c>
      <c r="AM206" s="191" t="str">
        <f>'1_BD questio brut'!AK206</f>
        <v>1; 2; 5</v>
      </c>
      <c r="AN206" s="191" t="str">
        <f>'1_BD questio brut'!AL206</f>
        <v/>
      </c>
      <c r="AO206" s="191" t="str">
        <f>'1_BD questio brut'!AM206</f>
        <v>5</v>
      </c>
      <c r="AP206" s="191" t="str">
        <f>'1_BD questio brut'!AN206</f>
        <v/>
      </c>
      <c r="AQ206" s="191" t="str">
        <f>'1_BD questio brut'!AO206</f>
        <v/>
      </c>
    </row>
    <row r="207" spans="1:43" ht="43.5" hidden="1">
      <c r="A207" s="98">
        <f>INDEX('3_BD instruction total'!A:A,MATCH(C207,'3_BD instruction total'!F:F,0))</f>
        <v>2021</v>
      </c>
      <c r="B207" s="98" t="str">
        <f>INDEX('3_BD instruction total'!C:C,MATCH(C207,'3_BD instruction total'!F:F,0))</f>
        <v>non</v>
      </c>
      <c r="C207" s="191" t="str">
        <f>'1_BD questio brut'!A207</f>
        <v>VRB0214</v>
      </c>
      <c r="D207" s="191" t="str">
        <f t="array" ref="D207">INDEX('Données 1_BD questio'!C:C,MATCH('1_BD questio brut'!$B$1&amp;'1_BD questio brut'!B207,'Données 1_BD questio'!A:A&amp;'Données 1_BD questio'!B:B,0))</f>
        <v>CAPV</v>
      </c>
      <c r="E207" s="191" t="str">
        <f t="array" ref="E207">INDEX('Données 1_BD questio'!C:C,MATCH('1_BD questio brut'!$C$1&amp;'1_BD questio brut'!C207,'Données 1_BD questio'!A:A&amp;'Données 1_BD questio'!B:B,0))</f>
        <v>Profession intermédiaire</v>
      </c>
      <c r="F207" s="191" t="str">
        <f t="array" ref="F207">INDEX('Données 1_BD questio'!C:C,MATCH('1_BD questio brut'!$D$1&amp;'1_BD questio brut'!D207,'Données 1_BD questio'!A:A&amp;'Données 1_BD questio'!B:B,0))</f>
        <v>Cadre</v>
      </c>
      <c r="G207" s="191" t="str">
        <f>'1_BD questio brut'!E207</f>
        <v>35 à 49 ans</v>
      </c>
      <c r="H207" s="191">
        <f>'1_BD questio brut'!F207</f>
        <v>3</v>
      </c>
      <c r="I207" s="191" t="str">
        <f>'1_BD questio brut'!G207</f>
        <v>Pas de réponse</v>
      </c>
      <c r="J207" s="191" t="str">
        <f t="array" ref="J207">INDEX('Données 1_BD questio'!C:C,MATCH('1_BD questio brut'!$H$1&amp;'1_BD questio brut'!H207,'Données 1_BD questio'!A:A&amp;'Données 1_BD questio'!B:B,0))</f>
        <v>Maison avec jardin</v>
      </c>
      <c r="K207" s="191">
        <f>'1_BD questio brut'!I207</f>
        <v>90</v>
      </c>
      <c r="L207" s="191" t="str">
        <f>'1_BD questio brut'!J207</f>
        <v>Avant 1949</v>
      </c>
      <c r="M207" s="191" t="str">
        <f>'1_BD questio brut'!K207</f>
        <v>1; 4</v>
      </c>
      <c r="N207" s="191" t="str">
        <f>'1_BD questio brut'!L207</f>
        <v>Pas de réponse</v>
      </c>
      <c r="O207" s="191" t="str">
        <f>'1_BD questio brut'!M207</f>
        <v>Propriétaire occupant</v>
      </c>
      <c r="P207" s="191" t="str">
        <f>'1_BD questio brut'!N207</f>
        <v>Poêle</v>
      </c>
      <c r="Q207" s="191" t="str">
        <f>'1_BD questio brut'!O207</f>
        <v>Chauffage de base</v>
      </c>
      <c r="R207" s="191" t="str">
        <f>'1_BD questio brut'!P207</f>
        <v>Tous les jours</v>
      </c>
      <c r="S207" s="191" t="str">
        <f>'1_BD questio brut'!Q207</f>
        <v>2; 4</v>
      </c>
      <c r="T207" s="191" t="str">
        <f>'1_BD questio brut'!R207</f>
        <v>1996-2002</v>
      </c>
      <c r="U207" s="191" t="str">
        <f>'1_BD questio brut'!S207</f>
        <v>Bois bûche</v>
      </c>
      <c r="V207" s="191" t="str">
        <f>'1_BD questio brut'!T207</f>
        <v/>
      </c>
      <c r="W207" s="191" t="str">
        <f>'1_BD questio brut'!U207</f>
        <v>7</v>
      </c>
      <c r="X207" s="191" t="str">
        <f>'1_BD questio brut'!V207</f>
        <v>m3</v>
      </c>
      <c r="Y207" s="191" t="str">
        <f>'1_BD questio brut'!W207</f>
        <v>2</v>
      </c>
      <c r="Z207" s="191" t="str">
        <f>'1_BD questio brut'!X207</f>
        <v/>
      </c>
      <c r="AA207" s="191" t="str">
        <f t="array" ref="AA207">INDEX('Données 1_BD questio'!C:C,MATCH('1_BD questio brut'!$Y$1&amp;'1_BD questio brut'!Y207,'Données 1_BD questio'!A:A&amp;'Données 1_BD questio'!B:B,0))</f>
        <v>Rhône-Alpes hors RA2B</v>
      </c>
      <c r="AB207" s="191" t="str">
        <f>'1_BD questio brut'!Z207</f>
        <v>2</v>
      </c>
      <c r="AC207" s="191" t="str">
        <f>'1_BD questio brut'!AA207</f>
        <v>&gt; 2 ans</v>
      </c>
      <c r="AD207" s="191" t="str">
        <f>'1_BD questio brut'!AB207</f>
        <v>Les deux</v>
      </c>
      <c r="AE207" s="191" t="str">
        <f t="array" ref="AE207">INDEX('Données 1_BD questio'!C:C,MATCH('1_BD questio brut'!$AC$1&amp;'1_BD questio brut'!AC207,'Données 1_BD questio'!A:A&amp;'Données 1_BD questio'!B:B,0))</f>
        <v>un professionnel</v>
      </c>
      <c r="AF207" s="191" t="str">
        <f>'1_BD questio brut'!AD207</f>
        <v>1 fois par an</v>
      </c>
      <c r="AG207" s="191" t="str">
        <f>'1_BD questio brut'!AE207</f>
        <v/>
      </c>
      <c r="AH207" s="191" t="str">
        <f>'1_BD questio brut'!AF207</f>
        <v>Poêle</v>
      </c>
      <c r="AI207" s="191" t="str">
        <f>'1_BD questio brut'!AG207</f>
        <v>2</v>
      </c>
      <c r="AJ207" s="191" t="str">
        <f>'1_BD questio brut'!AH207</f>
        <v/>
      </c>
      <c r="AK207" s="191" t="str">
        <f>'1_BD questio brut'!AI207</f>
        <v>Chauffage de base</v>
      </c>
      <c r="AL207" s="191" t="str">
        <f>'1_BD questio brut'!AJ207</f>
        <v>Pas de réponse</v>
      </c>
      <c r="AM207" s="191" t="str">
        <f>'1_BD questio brut'!AK207</f>
        <v>3; 5</v>
      </c>
      <c r="AN207" s="191" t="str">
        <f>'1_BD questio brut'!AL207</f>
        <v/>
      </c>
      <c r="AO207" s="191" t="str">
        <f>'1_BD questio brut'!AM207</f>
        <v>1</v>
      </c>
      <c r="AP207" s="191" t="str">
        <f>'1_BD questio brut'!AN207</f>
        <v/>
      </c>
      <c r="AQ207" s="191" t="str">
        <f>'1_BD questio brut'!AO207</f>
        <v/>
      </c>
    </row>
    <row r="208" spans="1:43" ht="43.5" hidden="1">
      <c r="A208" s="98">
        <f>INDEX('3_BD instruction total'!A:A,MATCH(C208,'3_BD instruction total'!F:F,0))</f>
        <v>2021</v>
      </c>
      <c r="B208" s="98" t="str">
        <f>INDEX('3_BD instruction total'!C:C,MATCH(C208,'3_BD instruction total'!F:F,0))</f>
        <v>non</v>
      </c>
      <c r="C208" s="191" t="str">
        <f>'1_BD questio brut'!A208</f>
        <v>VRB0216</v>
      </c>
      <c r="D208" s="191" t="str">
        <f t="array" ref="D208">INDEX('Données 1_BD questio'!C:C,MATCH('1_BD questio brut'!$B$1&amp;'1_BD questio brut'!B208,'Données 1_BD questio'!A:A&amp;'Données 1_BD questio'!B:B,0))</f>
        <v>CAPV</v>
      </c>
      <c r="E208" s="191" t="str">
        <f t="array" ref="E208">INDEX('Données 1_BD questio'!C:C,MATCH('1_BD questio brut'!$C$1&amp;'1_BD questio brut'!C208,'Données 1_BD questio'!A:A&amp;'Données 1_BD questio'!B:B,0))</f>
        <v>Retraité</v>
      </c>
      <c r="F208" s="191" t="str">
        <f t="array" ref="F208">INDEX('Données 1_BD questio'!C:C,MATCH('1_BD questio brut'!$D$1&amp;'1_BD questio brut'!D208,'Données 1_BD questio'!A:A&amp;'Données 1_BD questio'!B:B,0))</f>
        <v>Pas de réponse</v>
      </c>
      <c r="G208" s="191" t="str">
        <f>'1_BD questio brut'!E208</f>
        <v>65 ans et plus</v>
      </c>
      <c r="H208" s="191">
        <f>'1_BD questio brut'!F208</f>
        <v>1</v>
      </c>
      <c r="I208" s="191" t="str">
        <f>'1_BD questio brut'!G208</f>
        <v>Pas de réponse</v>
      </c>
      <c r="J208" s="191" t="str">
        <f t="array" ref="J208">INDEX('Données 1_BD questio'!C:C,MATCH('1_BD questio brut'!$H$1&amp;'1_BD questio brut'!H208,'Données 1_BD questio'!A:A&amp;'Données 1_BD questio'!B:B,0))</f>
        <v>Maison avec jardin</v>
      </c>
      <c r="K208" s="191">
        <f>'1_BD questio brut'!I208</f>
        <v>100</v>
      </c>
      <c r="L208" s="191" t="str">
        <f>'1_BD questio brut'!J208</f>
        <v>Avant 1949</v>
      </c>
      <c r="M208" s="191" t="str">
        <f>'1_BD questio brut'!K208</f>
        <v>4</v>
      </c>
      <c r="N208" s="191" t="str">
        <f>'1_BD questio brut'!L208</f>
        <v>Pas de réponse</v>
      </c>
      <c r="O208" s="191" t="str">
        <f>'1_BD questio brut'!M208</f>
        <v>Propriétaire occupant</v>
      </c>
      <c r="P208" s="191" t="str">
        <f>'1_BD questio brut'!N208</f>
        <v>Poêle</v>
      </c>
      <c r="Q208" s="191" t="str">
        <f>'1_BD questio brut'!O208</f>
        <v>Chauffage de base</v>
      </c>
      <c r="R208" s="191" t="str">
        <f>'1_BD questio brut'!P208</f>
        <v>Tous les jours</v>
      </c>
      <c r="S208" s="191" t="str">
        <f>'1_BD questio brut'!Q208</f>
        <v>1; 2; 3; 4; 5</v>
      </c>
      <c r="T208" s="191" t="str">
        <f>'1_BD questio brut'!R208</f>
        <v>1990-1995</v>
      </c>
      <c r="U208" s="191" t="str">
        <f>'1_BD questio brut'!S208</f>
        <v>Bois bûche</v>
      </c>
      <c r="V208" s="191" t="str">
        <f>'1_BD questio brut'!T208</f>
        <v/>
      </c>
      <c r="W208" s="191" t="str">
        <f>'1_BD questio brut'!U208</f>
        <v>30</v>
      </c>
      <c r="X208" s="191" t="str">
        <f>'1_BD questio brut'!V208</f>
        <v>m3</v>
      </c>
      <c r="Y208" s="191" t="str">
        <f>'1_BD questio brut'!W208</f>
        <v>1</v>
      </c>
      <c r="Z208" s="191" t="str">
        <f>'1_BD questio brut'!X208</f>
        <v/>
      </c>
      <c r="AA208" s="191" t="str">
        <f t="array" ref="AA208">INDEX('Données 1_BD questio'!C:C,MATCH('1_BD questio brut'!$Y$1&amp;'1_BD questio brut'!Y208,'Données 1_BD questio'!A:A&amp;'Données 1_BD questio'!B:B,0))</f>
        <v>RA2B</v>
      </c>
      <c r="AB208" s="191" t="str">
        <f>'1_BD questio brut'!Z208</f>
        <v>2</v>
      </c>
      <c r="AC208" s="191" t="str">
        <f>'1_BD questio brut'!AA208</f>
        <v>&gt; 2 ans</v>
      </c>
      <c r="AD208" s="191" t="str">
        <f>'1_BD questio brut'!AB208</f>
        <v>Les deux</v>
      </c>
      <c r="AE208" s="191" t="str">
        <f t="array" ref="AE208">INDEX('Données 1_BD questio'!C:C,MATCH('1_BD questio brut'!$AC$1&amp;'1_BD questio brut'!AC208,'Données 1_BD questio'!A:A&amp;'Données 1_BD questio'!B:B,0))</f>
        <v>un professionnel</v>
      </c>
      <c r="AF208" s="191" t="str">
        <f>'1_BD questio brut'!AD208</f>
        <v>1 fois par an</v>
      </c>
      <c r="AG208" s="191" t="str">
        <f>'1_BD questio brut'!AE208</f>
        <v/>
      </c>
      <c r="AH208" s="191" t="str">
        <f>'1_BD questio brut'!AF208</f>
        <v>Pôele hydro</v>
      </c>
      <c r="AI208" s="191" t="str">
        <f>'1_BD questio brut'!AG208</f>
        <v>2</v>
      </c>
      <c r="AJ208" s="191" t="str">
        <f>'1_BD questio brut'!AH208</f>
        <v/>
      </c>
      <c r="AK208" s="191" t="str">
        <f>'1_BD questio brut'!AI208</f>
        <v>Chauffage de base</v>
      </c>
      <c r="AL208" s="191" t="str">
        <f>'1_BD questio brut'!AJ208</f>
        <v>Pas de réponse</v>
      </c>
      <c r="AM208" s="191" t="str">
        <f>'1_BD questio brut'!AK208</f>
        <v>1; 2; 4; 5</v>
      </c>
      <c r="AN208" s="191" t="str">
        <f>'1_BD questio brut'!AL208</f>
        <v/>
      </c>
      <c r="AO208" s="191" t="str">
        <f>'1_BD questio brut'!AM208</f>
        <v>5</v>
      </c>
      <c r="AP208" s="191" t="str">
        <f>'1_BD questio brut'!AN208</f>
        <v/>
      </c>
      <c r="AQ208" s="191" t="str">
        <f>'1_BD questio brut'!AO208</f>
        <v/>
      </c>
    </row>
    <row r="209" spans="1:43" ht="43.5" hidden="1">
      <c r="A209" s="98">
        <f>INDEX('3_BD instruction total'!A:A,MATCH(C209,'3_BD instruction total'!F:F,0))</f>
        <v>2021</v>
      </c>
      <c r="B209" s="98" t="str">
        <f>INDEX('3_BD instruction total'!C:C,MATCH(C209,'3_BD instruction total'!F:F,0))</f>
        <v>non</v>
      </c>
      <c r="C209" s="191" t="str">
        <f>'1_BD questio brut'!A209</f>
        <v>VRB0217</v>
      </c>
      <c r="D209" s="191" t="str">
        <f t="array" ref="D209">INDEX('Données 1_BD questio'!C:C,MATCH('1_BD questio brut'!$B$1&amp;'1_BD questio brut'!B209,'Données 1_BD questio'!A:A&amp;'Données 1_BD questio'!B:B,0))</f>
        <v>CAPV</v>
      </c>
      <c r="E209" s="191" t="str">
        <f t="array" ref="E209">INDEX('Données 1_BD questio'!C:C,MATCH('1_BD questio brut'!$C$1&amp;'1_BD questio brut'!C209,'Données 1_BD questio'!A:A&amp;'Données 1_BD questio'!B:B,0))</f>
        <v>Cadre</v>
      </c>
      <c r="F209" s="191" t="str">
        <f t="array" ref="F209">INDEX('Données 1_BD questio'!C:C,MATCH('1_BD questio brut'!$D$1&amp;'1_BD questio brut'!D209,'Données 1_BD questio'!A:A&amp;'Données 1_BD questio'!B:B,0))</f>
        <v>Pas de réponse</v>
      </c>
      <c r="G209" s="191" t="str">
        <f>'1_BD questio brut'!E209</f>
        <v>50 à 64 ans</v>
      </c>
      <c r="H209" s="191">
        <f>'1_BD questio brut'!F209</f>
        <v>2</v>
      </c>
      <c r="I209" s="191" t="str">
        <f>'1_BD questio brut'!G209</f>
        <v>Pas de réponse</v>
      </c>
      <c r="J209" s="191" t="str">
        <f t="array" ref="J209">INDEX('Données 1_BD questio'!C:C,MATCH('1_BD questio brut'!$H$1&amp;'1_BD questio brut'!H209,'Données 1_BD questio'!A:A&amp;'Données 1_BD questio'!B:B,0))</f>
        <v>Maison avec jardin</v>
      </c>
      <c r="K209" s="191">
        <f>'1_BD questio brut'!I209</f>
        <v>130</v>
      </c>
      <c r="L209" s="191" t="str">
        <f>'1_BD questio brut'!J209</f>
        <v>1975-1990</v>
      </c>
      <c r="M209" s="191" t="str">
        <f>'1_BD questio brut'!K209</f>
        <v>1</v>
      </c>
      <c r="N209" s="191" t="str">
        <f>'1_BD questio brut'!L209</f>
        <v>Pas de réponse</v>
      </c>
      <c r="O209" s="191" t="str">
        <f>'1_BD questio brut'!M209</f>
        <v>Propriétaire occupant</v>
      </c>
      <c r="P209" s="191" t="str">
        <f>'1_BD questio brut'!N209</f>
        <v>Poêle</v>
      </c>
      <c r="Q209" s="191" t="str">
        <f>'1_BD questio brut'!O209</f>
        <v>Chauffage de base</v>
      </c>
      <c r="R209" s="191" t="str">
        <f>'1_BD questio brut'!P209</f>
        <v>Tous les jours</v>
      </c>
      <c r="S209" s="191" t="str">
        <f>'1_BD questio brut'!Q209</f>
        <v>1; 2; 3; 4; 5; 6</v>
      </c>
      <c r="T209" s="191" t="str">
        <f>'1_BD questio brut'!R209</f>
        <v>1996-2002</v>
      </c>
      <c r="U209" s="191" t="str">
        <f>'1_BD questio brut'!S209</f>
        <v>Bois bûche</v>
      </c>
      <c r="V209" s="191" t="str">
        <f>'1_BD questio brut'!T209</f>
        <v/>
      </c>
      <c r="W209" s="191" t="str">
        <f>'1_BD questio brut'!U209</f>
        <v>6</v>
      </c>
      <c r="X209" s="191" t="str">
        <f>'1_BD questio brut'!V209</f>
        <v>stères</v>
      </c>
      <c r="Y209" s="191" t="str">
        <f>'1_BD questio brut'!W209</f>
        <v>2</v>
      </c>
      <c r="Z209" s="191" t="str">
        <f>'1_BD questio brut'!X209</f>
        <v/>
      </c>
      <c r="AA209" s="191" t="str">
        <f t="array" ref="AA209">INDEX('Données 1_BD questio'!C:C,MATCH('1_BD questio brut'!$Y$1&amp;'1_BD questio brut'!Y209,'Données 1_BD questio'!A:A&amp;'Données 1_BD questio'!B:B,0))</f>
        <v>RA2B</v>
      </c>
      <c r="AB209" s="191" t="str">
        <f>'1_BD questio brut'!Z209</f>
        <v>2</v>
      </c>
      <c r="AC209" s="191" t="str">
        <f>'1_BD questio brut'!AA209</f>
        <v>1 à 2 ans</v>
      </c>
      <c r="AD209" s="191" t="str">
        <f>'1_BD questio brut'!AB209</f>
        <v>Feuillus</v>
      </c>
      <c r="AE209" s="191" t="str">
        <f t="array" ref="AE209">INDEX('Données 1_BD questio'!C:C,MATCH('1_BD questio brut'!$AC$1&amp;'1_BD questio brut'!AC209,'Données 1_BD questio'!A:A&amp;'Données 1_BD questio'!B:B,0))</f>
        <v>un professionnel</v>
      </c>
      <c r="AF209" s="191" t="str">
        <f>'1_BD questio brut'!AD209</f>
        <v>1 fois par an</v>
      </c>
      <c r="AG209" s="191" t="str">
        <f>'1_BD questio brut'!AE209</f>
        <v/>
      </c>
      <c r="AH209" s="191" t="str">
        <f>'1_BD questio brut'!AF209</f>
        <v>Poêle</v>
      </c>
      <c r="AI209" s="191" t="str">
        <f>'1_BD questio brut'!AG209</f>
        <v>2</v>
      </c>
      <c r="AJ209" s="191" t="str">
        <f>'1_BD questio brut'!AH209</f>
        <v/>
      </c>
      <c r="AK209" s="191" t="str">
        <f>'1_BD questio brut'!AI209</f>
        <v>Chauffage de base</v>
      </c>
      <c r="AL209" s="191" t="str">
        <f>'1_BD questio brut'!AJ209</f>
        <v>Pas de réponse</v>
      </c>
      <c r="AM209" s="191" t="str">
        <f>'1_BD questio brut'!AK209</f>
        <v>1; 2; 5</v>
      </c>
      <c r="AN209" s="191" t="str">
        <f>'1_BD questio brut'!AL209</f>
        <v/>
      </c>
      <c r="AO209" s="191" t="str">
        <f>'1_BD questio brut'!AM209</f>
        <v>5</v>
      </c>
      <c r="AP209" s="191" t="str">
        <f>'1_BD questio brut'!AN209</f>
        <v/>
      </c>
      <c r="AQ209" s="191" t="str">
        <f>'1_BD questio brut'!AO209</f>
        <v/>
      </c>
    </row>
    <row r="210" spans="1:43" ht="43.5" hidden="1">
      <c r="A210" s="98">
        <f>INDEX('3_BD instruction total'!A:A,MATCH(C210,'3_BD instruction total'!F:F,0))</f>
        <v>2021</v>
      </c>
      <c r="B210" s="98" t="str">
        <f>INDEX('3_BD instruction total'!C:C,MATCH(C210,'3_BD instruction total'!F:F,0))</f>
        <v>non</v>
      </c>
      <c r="C210" s="191" t="str">
        <f>'1_BD questio brut'!A210</f>
        <v>VRB0218</v>
      </c>
      <c r="D210" s="191" t="str">
        <f t="array" ref="D210">INDEX('Données 1_BD questio'!C:C,MATCH('1_BD questio brut'!$B$1&amp;'1_BD questio brut'!B210,'Données 1_BD questio'!A:A&amp;'Données 1_BD questio'!B:B,0))</f>
        <v>CAPV</v>
      </c>
      <c r="E210" s="191" t="str">
        <f t="array" ref="E210">INDEX('Données 1_BD questio'!C:C,MATCH('1_BD questio brut'!$C$1&amp;'1_BD questio brut'!C210,'Données 1_BD questio'!A:A&amp;'Données 1_BD questio'!B:B,0))</f>
        <v>Employé</v>
      </c>
      <c r="F210" s="191" t="str">
        <f t="array" ref="F210">INDEX('Données 1_BD questio'!C:C,MATCH('1_BD questio brut'!$D$1&amp;'1_BD questio brut'!D210,'Données 1_BD questio'!A:A&amp;'Données 1_BD questio'!B:B,0))</f>
        <v>Artisan,commerçant,chef d'entreprise</v>
      </c>
      <c r="G210" s="191" t="str">
        <f>'1_BD questio brut'!E210</f>
        <v>35 à 49 ans</v>
      </c>
      <c r="H210" s="191">
        <f>'1_BD questio brut'!F210</f>
        <v>3</v>
      </c>
      <c r="I210" s="191" t="str">
        <f>'1_BD questio brut'!G210</f>
        <v>Pas de réponse</v>
      </c>
      <c r="J210" s="191" t="str">
        <f t="array" ref="J210">INDEX('Données 1_BD questio'!C:C,MATCH('1_BD questio brut'!$H$1&amp;'1_BD questio brut'!H210,'Données 1_BD questio'!A:A&amp;'Données 1_BD questio'!B:B,0))</f>
        <v>Maison avec jardin</v>
      </c>
      <c r="K210" s="191">
        <f>'1_BD questio brut'!I210</f>
        <v>92</v>
      </c>
      <c r="L210" s="191" t="str">
        <f>'1_BD questio brut'!J210</f>
        <v>1975-1990</v>
      </c>
      <c r="M210" s="191" t="str">
        <f>'1_BD questio brut'!K210</f>
        <v>6</v>
      </c>
      <c r="N210" s="191" t="str">
        <f>'1_BD questio brut'!L210</f>
        <v>Ne sait pas</v>
      </c>
      <c r="O210" s="191" t="str">
        <f>'1_BD questio brut'!M210</f>
        <v>Propriétaire occupant</v>
      </c>
      <c r="P210" s="191" t="str">
        <f>'1_BD questio brut'!N210</f>
        <v>Insert / foyer fermé</v>
      </c>
      <c r="Q210" s="191" t="str">
        <f>'1_BD questio brut'!O210</f>
        <v>Chauffage de base</v>
      </c>
      <c r="R210" s="191" t="str">
        <f>'1_BD questio brut'!P210</f>
        <v>Tous les jours</v>
      </c>
      <c r="S210" s="191" t="str">
        <f>'1_BD questio brut'!Q210</f>
        <v>1; 2; 3</v>
      </c>
      <c r="T210" s="191" t="str">
        <f>'1_BD questio brut'!R210</f>
        <v>Avant 1990</v>
      </c>
      <c r="U210" s="191" t="str">
        <f>'1_BD questio brut'!S210</f>
        <v>Bois bûche</v>
      </c>
      <c r="V210" s="191" t="str">
        <f>'1_BD questio brut'!T210</f>
        <v/>
      </c>
      <c r="W210" s="191" t="str">
        <f>'1_BD questio brut'!U210</f>
        <v>11</v>
      </c>
      <c r="X210" s="191" t="str">
        <f>'1_BD questio brut'!V210</f>
        <v>stère</v>
      </c>
      <c r="Y210" s="191" t="str">
        <f>'1_BD questio brut'!W210</f>
        <v>2</v>
      </c>
      <c r="Z210" s="191" t="str">
        <f>'1_BD questio brut'!X210</f>
        <v/>
      </c>
      <c r="AA210" s="191" t="str">
        <f t="array" ref="AA210">INDEX('Données 1_BD questio'!C:C,MATCH('1_BD questio brut'!$Y$1&amp;'1_BD questio brut'!Y210,'Données 1_BD questio'!A:A&amp;'Données 1_BD questio'!B:B,0))</f>
        <v>Ne sait pas</v>
      </c>
      <c r="AB210" s="191" t="str">
        <f>'1_BD questio brut'!Z210</f>
        <v>2</v>
      </c>
      <c r="AC210" s="191" t="str">
        <f>'1_BD questio brut'!AA210</f>
        <v>1 à 2 ans</v>
      </c>
      <c r="AD210" s="191" t="str">
        <f>'1_BD questio brut'!AB210</f>
        <v>Les deux</v>
      </c>
      <c r="AE210" s="191" t="str">
        <f t="array" ref="AE210">INDEX('Données 1_BD questio'!C:C,MATCH('1_BD questio brut'!$AC$1&amp;'1_BD questio brut'!AC210,'Données 1_BD questio'!A:A&amp;'Données 1_BD questio'!B:B,0))</f>
        <v>un professionnel</v>
      </c>
      <c r="AF210" s="191" t="str">
        <f>'1_BD questio brut'!AD210</f>
        <v>1 fois par an</v>
      </c>
      <c r="AG210" s="191" t="str">
        <f>'1_BD questio brut'!AE210</f>
        <v/>
      </c>
      <c r="AH210" s="191" t="str">
        <f>'1_BD questio brut'!AF210</f>
        <v>Poêle</v>
      </c>
      <c r="AI210" s="191" t="str">
        <f>'1_BD questio brut'!AG210</f>
        <v>2</v>
      </c>
      <c r="AJ210" s="191" t="str">
        <f>'1_BD questio brut'!AH210</f>
        <v/>
      </c>
      <c r="AK210" s="191" t="str">
        <f>'1_BD questio brut'!AI210</f>
        <v>Chauffage de base</v>
      </c>
      <c r="AL210" s="191" t="str">
        <f>'1_BD questio brut'!AJ210</f>
        <v>Pas de réponse</v>
      </c>
      <c r="AM210" s="191" t="str">
        <f>'1_BD questio brut'!AK210</f>
        <v>1; 2; 5</v>
      </c>
      <c r="AN210" s="191" t="str">
        <f>'1_BD questio brut'!AL210</f>
        <v/>
      </c>
      <c r="AO210" s="191" t="str">
        <f>'1_BD questio brut'!AM210</f>
        <v>1</v>
      </c>
      <c r="AP210" s="191" t="str">
        <f>'1_BD questio brut'!AN210</f>
        <v/>
      </c>
      <c r="AQ210" s="191" t="str">
        <f>'1_BD questio brut'!AO210</f>
        <v/>
      </c>
    </row>
    <row r="211" spans="1:43" ht="29" hidden="1">
      <c r="A211" s="98">
        <f>INDEX('3_BD instruction total'!A:A,MATCH(C211,'3_BD instruction total'!F:F,0))</f>
        <v>2021</v>
      </c>
      <c r="B211" s="98" t="str">
        <f>INDEX('3_BD instruction total'!C:C,MATCH(C211,'3_BD instruction total'!F:F,0))</f>
        <v>non</v>
      </c>
      <c r="C211" s="191" t="str">
        <f>'1_BD questio brut'!A211</f>
        <v>VRB0219</v>
      </c>
      <c r="D211" s="191" t="str">
        <f t="array" ref="D211">INDEX('Données 1_BD questio'!C:C,MATCH('1_BD questio brut'!$B$1&amp;'1_BD questio brut'!B211,'Données 1_BD questio'!A:A&amp;'Données 1_BD questio'!B:B,0))</f>
        <v>CAPV</v>
      </c>
      <c r="E211" s="191" t="str">
        <f t="array" ref="E211">INDEX('Données 1_BD questio'!C:C,MATCH('1_BD questio brut'!$C$1&amp;'1_BD questio brut'!C211,'Données 1_BD questio'!A:A&amp;'Données 1_BD questio'!B:B,0))</f>
        <v>Cadre</v>
      </c>
      <c r="F211" s="191" t="str">
        <f t="array" ref="F211">INDEX('Données 1_BD questio'!C:C,MATCH('1_BD questio brut'!$D$1&amp;'1_BD questio brut'!D211,'Données 1_BD questio'!A:A&amp;'Données 1_BD questio'!B:B,0))</f>
        <v>Cadre</v>
      </c>
      <c r="G211" s="191" t="str">
        <f>'1_BD questio brut'!E211</f>
        <v>35 à 49 ans</v>
      </c>
      <c r="H211" s="191">
        <f>'1_BD questio brut'!F211</f>
        <v>5</v>
      </c>
      <c r="I211" s="191" t="str">
        <f>'1_BD questio brut'!G211</f>
        <v>Pas de réponse</v>
      </c>
      <c r="J211" s="191" t="str">
        <f t="array" ref="J211">INDEX('Données 1_BD questio'!C:C,MATCH('1_BD questio brut'!$H$1&amp;'1_BD questio brut'!H211,'Données 1_BD questio'!A:A&amp;'Données 1_BD questio'!B:B,0))</f>
        <v>Maison avec jardin</v>
      </c>
      <c r="K211" s="191">
        <f>'1_BD questio brut'!I211</f>
        <v>127</v>
      </c>
      <c r="L211" s="191" t="str">
        <f>'1_BD questio brut'!J211</f>
        <v>1949-1975</v>
      </c>
      <c r="M211" s="191" t="str">
        <f>'1_BD questio brut'!K211</f>
        <v>1; 4</v>
      </c>
      <c r="N211" s="191" t="str">
        <f>'1_BD questio brut'!L211</f>
        <v>Pas de réponse</v>
      </c>
      <c r="O211" s="191" t="str">
        <f>'1_BD questio brut'!M211</f>
        <v>Propriétaire occupant</v>
      </c>
      <c r="P211" s="191" t="str">
        <f>'1_BD questio brut'!N211</f>
        <v>Insert / foyer fermé</v>
      </c>
      <c r="Q211" s="191" t="str">
        <f>'1_BD questio brut'!O211</f>
        <v>Chauffage d'apoint</v>
      </c>
      <c r="R211" s="191" t="str">
        <f>'1_BD questio brut'!P211</f>
        <v>Tous les jours</v>
      </c>
      <c r="S211" s="191" t="str">
        <f>'1_BD questio brut'!Q211</f>
        <v>2; 4; 6</v>
      </c>
      <c r="T211" s="191" t="str">
        <f>'1_BD questio brut'!R211</f>
        <v>1996-2002</v>
      </c>
      <c r="U211" s="191" t="str">
        <f>'1_BD questio brut'!S211</f>
        <v>Bois bûche</v>
      </c>
      <c r="V211" s="191" t="str">
        <f>'1_BD questio brut'!T211</f>
        <v/>
      </c>
      <c r="W211" s="191" t="str">
        <f>'1_BD questio brut'!U211</f>
        <v>4</v>
      </c>
      <c r="X211" s="191" t="str">
        <f>'1_BD questio brut'!V211</f>
        <v>stère</v>
      </c>
      <c r="Y211" s="191" t="str">
        <f>'1_BD questio brut'!W211</f>
        <v>1; 2</v>
      </c>
      <c r="Z211" s="191" t="str">
        <f>'1_BD questio brut'!X211</f>
        <v/>
      </c>
      <c r="AA211" s="191" t="str">
        <f t="array" ref="AA211">INDEX('Données 1_BD questio'!C:C,MATCH('1_BD questio brut'!$Y$1&amp;'1_BD questio brut'!Y211,'Données 1_BD questio'!A:A&amp;'Données 1_BD questio'!B:B,0))</f>
        <v>Rhône-Alpes hors RA2B</v>
      </c>
      <c r="AB211" s="191" t="str">
        <f>'1_BD questio brut'!Z211</f>
        <v>2</v>
      </c>
      <c r="AC211" s="191" t="str">
        <f>'1_BD questio brut'!AA211</f>
        <v>&gt; 2 ans</v>
      </c>
      <c r="AD211" s="191" t="str">
        <f>'1_BD questio brut'!AB211</f>
        <v>Feuillus</v>
      </c>
      <c r="AE211" s="191" t="str">
        <f t="array" ref="AE211">INDEX('Données 1_BD questio'!C:C,MATCH('1_BD questio brut'!$AC$1&amp;'1_BD questio brut'!AC211,'Données 1_BD questio'!A:A&amp;'Données 1_BD questio'!B:B,0))</f>
        <v>vous-même</v>
      </c>
      <c r="AF211" s="191" t="str">
        <f>'1_BD questio brut'!AD211</f>
        <v>1 fois par an</v>
      </c>
      <c r="AG211" s="191" t="str">
        <f>'1_BD questio brut'!AE211</f>
        <v/>
      </c>
      <c r="AH211" s="191" t="str">
        <f>'1_BD questio brut'!AF211</f>
        <v>Insert cheminée</v>
      </c>
      <c r="AI211" s="191" t="str">
        <f>'1_BD questio brut'!AG211</f>
        <v>1</v>
      </c>
      <c r="AJ211" s="191" t="str">
        <f>'1_BD questio brut'!AH211</f>
        <v/>
      </c>
      <c r="AK211" s="191" t="str">
        <f>'1_BD questio brut'!AI211</f>
        <v>Chauffage d'appoint</v>
      </c>
      <c r="AL211" s="191" t="str">
        <f>'1_BD questio brut'!AJ211</f>
        <v>Pas de réponse</v>
      </c>
      <c r="AM211" s="191" t="str">
        <f>'1_BD questio brut'!AK211</f>
        <v>2; 5</v>
      </c>
      <c r="AN211" s="191" t="str">
        <f>'1_BD questio brut'!AL211</f>
        <v/>
      </c>
      <c r="AO211" s="191" t="str">
        <f>'1_BD questio brut'!AM211</f>
        <v>7</v>
      </c>
      <c r="AP211" s="191" t="str">
        <f>'1_BD questio brut'!AN211</f>
        <v/>
      </c>
      <c r="AQ211" s="191" t="str">
        <f>'1_BD questio brut'!AO211</f>
        <v/>
      </c>
    </row>
    <row r="212" spans="1:43" ht="43.5" hidden="1">
      <c r="A212" s="98">
        <f>INDEX('3_BD instruction total'!A:A,MATCH(C212,'3_BD instruction total'!F:F,0))</f>
        <v>2021</v>
      </c>
      <c r="B212" s="98" t="str">
        <f>INDEX('3_BD instruction total'!C:C,MATCH(C212,'3_BD instruction total'!F:F,0))</f>
        <v>non</v>
      </c>
      <c r="C212" s="191" t="str">
        <f>'1_BD questio brut'!A212</f>
        <v>VRB0220</v>
      </c>
      <c r="D212" s="191" t="str">
        <f t="array" ref="D212">INDEX('Données 1_BD questio'!C:C,MATCH('1_BD questio brut'!$B$1&amp;'1_BD questio brut'!B212,'Données 1_BD questio'!A:A&amp;'Données 1_BD questio'!B:B,0))</f>
        <v>CAPV</v>
      </c>
      <c r="E212" s="191" t="str">
        <f t="array" ref="E212">INDEX('Données 1_BD questio'!C:C,MATCH('1_BD questio brut'!$C$1&amp;'1_BD questio brut'!C212,'Données 1_BD questio'!A:A&amp;'Données 1_BD questio'!B:B,0))</f>
        <v>Employé</v>
      </c>
      <c r="F212" s="191" t="str">
        <f t="array" ref="F212">INDEX('Données 1_BD questio'!C:C,MATCH('1_BD questio brut'!$D$1&amp;'1_BD questio brut'!D212,'Données 1_BD questio'!A:A&amp;'Données 1_BD questio'!B:B,0))</f>
        <v>Pas de réponse</v>
      </c>
      <c r="G212" s="191" t="str">
        <f>'1_BD questio brut'!E212</f>
        <v>35 à 49 ans</v>
      </c>
      <c r="H212" s="191">
        <f>'1_BD questio brut'!F212</f>
        <v>2</v>
      </c>
      <c r="I212" s="191" t="str">
        <f>'1_BD questio brut'!G212</f>
        <v>Pas de réponse</v>
      </c>
      <c r="J212" s="191" t="str">
        <f t="array" ref="J212">INDEX('Données 1_BD questio'!C:C,MATCH('1_BD questio brut'!$H$1&amp;'1_BD questio brut'!H212,'Données 1_BD questio'!A:A&amp;'Données 1_BD questio'!B:B,0))</f>
        <v>Appartement</v>
      </c>
      <c r="K212" s="191">
        <f>'1_BD questio brut'!I212</f>
        <v>95</v>
      </c>
      <c r="L212" s="191" t="str">
        <f>'1_BD questio brut'!J212</f>
        <v>Avant 1949</v>
      </c>
      <c r="M212" s="191" t="str">
        <f>'1_BD questio brut'!K212</f>
        <v>6</v>
      </c>
      <c r="N212" s="191" t="str">
        <f>'1_BD questio brut'!L212</f>
        <v>E</v>
      </c>
      <c r="O212" s="191" t="str">
        <f>'1_BD questio brut'!M212</f>
        <v>Propriétaire occupant</v>
      </c>
      <c r="P212" s="191" t="str">
        <f>'1_BD questio brut'!N212</f>
        <v>Insert / foyer fermé</v>
      </c>
      <c r="Q212" s="191" t="str">
        <f>'1_BD questio brut'!O212</f>
        <v>Chauffage d'apoint</v>
      </c>
      <c r="R212" s="191" t="str">
        <f>'1_BD questio brut'!P212</f>
        <v>Jamais</v>
      </c>
      <c r="S212" s="191" t="str">
        <f>'1_BD questio brut'!Q212</f>
        <v>7</v>
      </c>
      <c r="T212" s="191" t="str">
        <f>'1_BD questio brut'!R212</f>
        <v>1990-1995</v>
      </c>
      <c r="U212" s="191" t="str">
        <f>'1_BD questio brut'!S212</f>
        <v>Bois bûche</v>
      </c>
      <c r="V212" s="191" t="str">
        <f>'1_BD questio brut'!T212</f>
        <v/>
      </c>
      <c r="W212" s="191" t="str">
        <f>'1_BD questio brut'!U212</f>
        <v/>
      </c>
      <c r="X212" s="191" t="str">
        <f>'1_BD questio brut'!V212</f>
        <v/>
      </c>
      <c r="Y212" s="191" t="str">
        <f>'1_BD questio brut'!W212</f>
        <v>3</v>
      </c>
      <c r="Z212" s="191" t="str">
        <f>'1_BD questio brut'!X212</f>
        <v/>
      </c>
      <c r="AA212" s="191" t="str">
        <f t="array" ref="AA212">INDEX('Données 1_BD questio'!C:C,MATCH('1_BD questio brut'!$Y$1&amp;'1_BD questio brut'!Y212,'Données 1_BD questio'!A:A&amp;'Données 1_BD questio'!B:B,0))</f>
        <v>RA2B</v>
      </c>
      <c r="AB212" s="191" t="str">
        <f>'1_BD questio brut'!Z212</f>
        <v>3</v>
      </c>
      <c r="AC212" s="191" t="str">
        <f>'1_BD questio brut'!AA212</f>
        <v>Pas de réponse</v>
      </c>
      <c r="AD212" s="191" t="str">
        <f>'1_BD questio brut'!AB212</f>
        <v>Feuillus</v>
      </c>
      <c r="AE212" s="191" t="str">
        <f t="array" ref="AE212">INDEX('Données 1_BD questio'!C:C,MATCH('1_BD questio brut'!$AC$1&amp;'1_BD questio brut'!AC212,'Données 1_BD questio'!A:A&amp;'Données 1_BD questio'!B:B,0))</f>
        <v>un professionnel</v>
      </c>
      <c r="AF212" s="191" t="str">
        <f>'1_BD questio brut'!AD212</f>
        <v>Autre, à préciser</v>
      </c>
      <c r="AG212" s="191" t="str">
        <f>'1_BD questio brut'!AE212</f>
        <v>pas fait depuis 12 ans</v>
      </c>
      <c r="AH212" s="191" t="str">
        <f>'1_BD questio brut'!AF212</f>
        <v>Poêle</v>
      </c>
      <c r="AI212" s="191" t="str">
        <f>'1_BD questio brut'!AG212</f>
        <v>2</v>
      </c>
      <c r="AJ212" s="191" t="str">
        <f>'1_BD questio brut'!AH212</f>
        <v/>
      </c>
      <c r="AK212" s="191" t="str">
        <f>'1_BD questio brut'!AI212</f>
        <v>Chauffage de base</v>
      </c>
      <c r="AL212" s="191" t="str">
        <f>'1_BD questio brut'!AJ212</f>
        <v>Pas de réponse</v>
      </c>
      <c r="AM212" s="191" t="str">
        <f>'1_BD questio brut'!AK212</f>
        <v>2</v>
      </c>
      <c r="AN212" s="191" t="str">
        <f>'1_BD questio brut'!AL212</f>
        <v/>
      </c>
      <c r="AO212" s="191" t="str">
        <f>'1_BD questio brut'!AM212</f>
        <v>7</v>
      </c>
      <c r="AP212" s="191" t="str">
        <f>'1_BD questio brut'!AN212</f>
        <v/>
      </c>
      <c r="AQ212" s="191" t="str">
        <f>'1_BD questio brut'!AO212</f>
        <v/>
      </c>
    </row>
    <row r="213" spans="1:43" ht="43.5" hidden="1">
      <c r="A213" s="98">
        <f>INDEX('3_BD instruction total'!A:A,MATCH(C213,'3_BD instruction total'!F:F,0))</f>
        <v>2021</v>
      </c>
      <c r="B213" s="98" t="str">
        <f>INDEX('3_BD instruction total'!C:C,MATCH(C213,'3_BD instruction total'!F:F,0))</f>
        <v>non</v>
      </c>
      <c r="C213" s="191" t="str">
        <f>'1_BD questio brut'!A213</f>
        <v>VRB0221</v>
      </c>
      <c r="D213" s="191" t="str">
        <f t="array" ref="D213">INDEX('Données 1_BD questio'!C:C,MATCH('1_BD questio brut'!$B$1&amp;'1_BD questio brut'!B213,'Données 1_BD questio'!A:A&amp;'Données 1_BD questio'!B:B,0))</f>
        <v>CAPV</v>
      </c>
      <c r="E213" s="191" t="str">
        <f t="array" ref="E213">INDEX('Données 1_BD questio'!C:C,MATCH('1_BD questio brut'!$C$1&amp;'1_BD questio brut'!C213,'Données 1_BD questio'!A:A&amp;'Données 1_BD questio'!B:B,0))</f>
        <v>Employé</v>
      </c>
      <c r="F213" s="191" t="str">
        <f t="array" ref="F213">INDEX('Données 1_BD questio'!C:C,MATCH('1_BD questio brut'!$D$1&amp;'1_BD questio brut'!D213,'Données 1_BD questio'!A:A&amp;'Données 1_BD questio'!B:B,0))</f>
        <v>Pas de réponse</v>
      </c>
      <c r="G213" s="191" t="str">
        <f>'1_BD questio brut'!E213</f>
        <v>35 à 49 ans</v>
      </c>
      <c r="H213" s="191">
        <f>'1_BD questio brut'!F213</f>
        <v>3</v>
      </c>
      <c r="I213" s="191" t="str">
        <f>'1_BD questio brut'!G213</f>
        <v>Pas de réponse</v>
      </c>
      <c r="J213" s="191" t="str">
        <f t="array" ref="J213">INDEX('Données 1_BD questio'!C:C,MATCH('1_BD questio brut'!$H$1&amp;'1_BD questio brut'!H213,'Données 1_BD questio'!A:A&amp;'Données 1_BD questio'!B:B,0))</f>
        <v>Maison avec jardin</v>
      </c>
      <c r="K213" s="191">
        <f>'1_BD questio brut'!I213</f>
        <v>125</v>
      </c>
      <c r="L213" s="191" t="str">
        <f>'1_BD questio brut'!J213</f>
        <v>1975-1990</v>
      </c>
      <c r="M213" s="191" t="str">
        <f>'1_BD questio brut'!K213</f>
        <v>6</v>
      </c>
      <c r="N213" s="191" t="str">
        <f>'1_BD questio brut'!L213</f>
        <v>Ne sait pas</v>
      </c>
      <c r="O213" s="191" t="str">
        <f>'1_BD questio brut'!M213</f>
        <v>Propriétaire occupant</v>
      </c>
      <c r="P213" s="191" t="str">
        <f>'1_BD questio brut'!N213</f>
        <v>Insert / foyer fermé</v>
      </c>
      <c r="Q213" s="191" t="str">
        <f>'1_BD questio brut'!O213</f>
        <v>Chauffage de base</v>
      </c>
      <c r="R213" s="191" t="str">
        <f>'1_BD questio brut'!P213</f>
        <v>Tous les jours</v>
      </c>
      <c r="S213" s="191" t="str">
        <f>'1_BD questio brut'!Q213</f>
        <v>2</v>
      </c>
      <c r="T213" s="191" t="str">
        <f>'1_BD questio brut'!R213</f>
        <v>Avant 1990</v>
      </c>
      <c r="U213" s="191" t="str">
        <f>'1_BD questio brut'!S213</f>
        <v>Bois bûche</v>
      </c>
      <c r="V213" s="191" t="str">
        <f>'1_BD questio brut'!T213</f>
        <v/>
      </c>
      <c r="W213" s="191" t="str">
        <f>'1_BD questio brut'!U213</f>
        <v>3</v>
      </c>
      <c r="X213" s="191" t="str">
        <f>'1_BD questio brut'!V213</f>
        <v>tonne</v>
      </c>
      <c r="Y213" s="191" t="str">
        <f>'1_BD questio brut'!W213</f>
        <v>2</v>
      </c>
      <c r="Z213" s="191" t="str">
        <f>'1_BD questio brut'!X213</f>
        <v/>
      </c>
      <c r="AA213" s="191" t="str">
        <f t="array" ref="AA213">INDEX('Données 1_BD questio'!C:C,MATCH('1_BD questio brut'!$Y$1&amp;'1_BD questio brut'!Y213,'Données 1_BD questio'!A:A&amp;'Données 1_BD questio'!B:B,0))</f>
        <v>Ne sait pas</v>
      </c>
      <c r="AB213" s="191" t="str">
        <f>'1_BD questio brut'!Z213</f>
        <v>2</v>
      </c>
      <c r="AC213" s="191" t="str">
        <f>'1_BD questio brut'!AA213</f>
        <v>&lt; 1 an</v>
      </c>
      <c r="AD213" s="191" t="str">
        <f>'1_BD questio brut'!AB213</f>
        <v>Feuillus</v>
      </c>
      <c r="AE213" s="191" t="str">
        <f t="array" ref="AE213">INDEX('Données 1_BD questio'!C:C,MATCH('1_BD questio brut'!$AC$1&amp;'1_BD questio brut'!AC213,'Données 1_BD questio'!A:A&amp;'Données 1_BD questio'!B:B,0))</f>
        <v>un professionnel</v>
      </c>
      <c r="AF213" s="191" t="str">
        <f>'1_BD questio brut'!AD213</f>
        <v>1 fois par an</v>
      </c>
      <c r="AG213" s="191" t="str">
        <f>'1_BD questio brut'!AE213</f>
        <v/>
      </c>
      <c r="AH213" s="191" t="str">
        <f>'1_BD questio brut'!AF213</f>
        <v>Poêle</v>
      </c>
      <c r="AI213" s="191" t="str">
        <f>'1_BD questio brut'!AG213</f>
        <v>2</v>
      </c>
      <c r="AJ213" s="191" t="str">
        <f>'1_BD questio brut'!AH213</f>
        <v/>
      </c>
      <c r="AK213" s="191" t="str">
        <f>'1_BD questio brut'!AI213</f>
        <v>Chauffage de base</v>
      </c>
      <c r="AL213" s="191" t="str">
        <f>'1_BD questio brut'!AJ213</f>
        <v>Pas de réponse</v>
      </c>
      <c r="AM213" s="191" t="str">
        <f>'1_BD questio brut'!AK213</f>
        <v>2; 5</v>
      </c>
      <c r="AN213" s="191" t="str">
        <f>'1_BD questio brut'!AL213</f>
        <v/>
      </c>
      <c r="AO213" s="191" t="str">
        <f>'1_BD questio brut'!AM213</f>
        <v>1; 5</v>
      </c>
      <c r="AP213" s="191" t="str">
        <f>'1_BD questio brut'!AN213</f>
        <v/>
      </c>
      <c r="AQ213" s="191" t="str">
        <f>'1_BD questio brut'!AO213</f>
        <v/>
      </c>
    </row>
    <row r="214" spans="1:43" ht="43.5" hidden="1">
      <c r="A214" s="98">
        <f>INDEX('3_BD instruction total'!A:A,MATCH(C214,'3_BD instruction total'!F:F,0))</f>
        <v>2021</v>
      </c>
      <c r="B214" s="98" t="str">
        <f>INDEX('3_BD instruction total'!C:C,MATCH(C214,'3_BD instruction total'!F:F,0))</f>
        <v>non</v>
      </c>
      <c r="C214" s="191" t="str">
        <f>'1_BD questio brut'!A214</f>
        <v>VRB0222</v>
      </c>
      <c r="D214" s="191" t="str">
        <f t="array" ref="D214">INDEX('Données 1_BD questio'!C:C,MATCH('1_BD questio brut'!$B$1&amp;'1_BD questio brut'!B214,'Données 1_BD questio'!A:A&amp;'Données 1_BD questio'!B:B,0))</f>
        <v>CAPV</v>
      </c>
      <c r="E214" s="191" t="str">
        <f t="array" ref="E214">INDEX('Données 1_BD questio'!C:C,MATCH('1_BD questio brut'!$C$1&amp;'1_BD questio brut'!C214,'Données 1_BD questio'!A:A&amp;'Données 1_BD questio'!B:B,0))</f>
        <v>Retraité</v>
      </c>
      <c r="F214" s="191" t="str">
        <f t="array" ref="F214">INDEX('Données 1_BD questio'!C:C,MATCH('1_BD questio brut'!$D$1&amp;'1_BD questio brut'!D214,'Données 1_BD questio'!A:A&amp;'Données 1_BD questio'!B:B,0))</f>
        <v>Pas de réponse</v>
      </c>
      <c r="G214" s="191" t="str">
        <f>'1_BD questio brut'!E214</f>
        <v>65 ans et plus</v>
      </c>
      <c r="H214" s="191">
        <f>'1_BD questio brut'!F214</f>
        <v>1</v>
      </c>
      <c r="I214" s="191" t="str">
        <f>'1_BD questio brut'!G214</f>
        <v>Pas de réponse</v>
      </c>
      <c r="J214" s="191" t="str">
        <f t="array" ref="J214">INDEX('Données 1_BD questio'!C:C,MATCH('1_BD questio brut'!$H$1&amp;'1_BD questio brut'!H214,'Données 1_BD questio'!A:A&amp;'Données 1_BD questio'!B:B,0))</f>
        <v>Maison avec jardin</v>
      </c>
      <c r="K214" s="191">
        <f>'1_BD questio brut'!I214</f>
        <v>110</v>
      </c>
      <c r="L214" s="191" t="str">
        <f>'1_BD questio brut'!J214</f>
        <v>Avant 1949</v>
      </c>
      <c r="M214" s="191" t="str">
        <f>'1_BD questio brut'!K214</f>
        <v>4</v>
      </c>
      <c r="N214" s="191" t="str">
        <f>'1_BD questio brut'!L214</f>
        <v>Pas de réponse</v>
      </c>
      <c r="O214" s="191" t="str">
        <f>'1_BD questio brut'!M214</f>
        <v>Propriétaire occupant</v>
      </c>
      <c r="P214" s="191" t="str">
        <f>'1_BD questio brut'!N214</f>
        <v>Chaudière</v>
      </c>
      <c r="Q214" s="191" t="str">
        <f>'1_BD questio brut'!O214</f>
        <v>Chauffage de base</v>
      </c>
      <c r="R214" s="191" t="str">
        <f>'1_BD questio brut'!P214</f>
        <v>Tous les jours</v>
      </c>
      <c r="S214" s="191" t="str">
        <f>'1_BD questio brut'!Q214</f>
        <v>1; 2; 3</v>
      </c>
      <c r="T214" s="191" t="str">
        <f>'1_BD questio brut'!R214</f>
        <v>1990-1995</v>
      </c>
      <c r="U214" s="191" t="str">
        <f>'1_BD questio brut'!S214</f>
        <v>Bois bûche</v>
      </c>
      <c r="V214" s="191" t="str">
        <f>'1_BD questio brut'!T214</f>
        <v>+ charbon</v>
      </c>
      <c r="W214" s="191" t="str">
        <f>'1_BD questio brut'!U214</f>
        <v>8</v>
      </c>
      <c r="X214" s="191" t="str">
        <f>'1_BD questio brut'!V214</f>
        <v>stère</v>
      </c>
      <c r="Y214" s="191" t="str">
        <f>'1_BD questio brut'!W214</f>
        <v>5</v>
      </c>
      <c r="Z214" s="191" t="str">
        <f>'1_BD questio brut'!X214</f>
        <v/>
      </c>
      <c r="AA214" s="191" t="str">
        <f t="array" ref="AA214">INDEX('Données 1_BD questio'!C:C,MATCH('1_BD questio brut'!$Y$1&amp;'1_BD questio brut'!Y214,'Données 1_BD questio'!A:A&amp;'Données 1_BD questio'!B:B,0))</f>
        <v>RA2B</v>
      </c>
      <c r="AB214" s="191" t="str">
        <f>'1_BD questio brut'!Z214</f>
        <v>2</v>
      </c>
      <c r="AC214" s="191" t="str">
        <f>'1_BD questio brut'!AA214</f>
        <v>&gt; 2 ans</v>
      </c>
      <c r="AD214" s="191" t="str">
        <f>'1_BD questio brut'!AB214</f>
        <v>Résineux</v>
      </c>
      <c r="AE214" s="191" t="str">
        <f t="array" ref="AE214">INDEX('Données 1_BD questio'!C:C,MATCH('1_BD questio brut'!$AC$1&amp;'1_BD questio brut'!AC214,'Données 1_BD questio'!A:A&amp;'Données 1_BD questio'!B:B,0))</f>
        <v>un professionnel</v>
      </c>
      <c r="AF214" s="191" t="str">
        <f>'1_BD questio brut'!AD214</f>
        <v>1 fois par an</v>
      </c>
      <c r="AG214" s="191" t="str">
        <f>'1_BD questio brut'!AE214</f>
        <v/>
      </c>
      <c r="AH214" s="191" t="str">
        <f>'1_BD questio brut'!AF214</f>
        <v>Chaudière</v>
      </c>
      <c r="AI214" s="191" t="str">
        <f>'1_BD questio brut'!AG214</f>
        <v>2</v>
      </c>
      <c r="AJ214" s="191" t="str">
        <f>'1_BD questio brut'!AH214</f>
        <v/>
      </c>
      <c r="AK214" s="191" t="str">
        <f>'1_BD questio brut'!AI214</f>
        <v>Chauffage de base</v>
      </c>
      <c r="AL214" s="191" t="str">
        <f>'1_BD questio brut'!AJ214</f>
        <v>Pas de réponse</v>
      </c>
      <c r="AM214" s="191" t="str">
        <f>'1_BD questio brut'!AK214</f>
        <v>1; 2; 4; 5</v>
      </c>
      <c r="AN214" s="191" t="str">
        <f>'1_BD questio brut'!AL214</f>
        <v/>
      </c>
      <c r="AO214" s="191" t="str">
        <f>'1_BD questio brut'!AM214</f>
        <v>5</v>
      </c>
      <c r="AP214" s="191" t="str">
        <f>'1_BD questio brut'!AN214</f>
        <v/>
      </c>
      <c r="AQ214" s="191" t="str">
        <f>'1_BD questio brut'!AO214</f>
        <v/>
      </c>
    </row>
    <row r="215" spans="1:43" ht="43.5" hidden="1">
      <c r="A215" s="98">
        <f>INDEX('3_BD instruction total'!A:A,MATCH(C215,'3_BD instruction total'!F:F,0))</f>
        <v>2021</v>
      </c>
      <c r="B215" s="98" t="str">
        <f>INDEX('3_BD instruction total'!C:C,MATCH(C215,'3_BD instruction total'!F:F,0))</f>
        <v>non</v>
      </c>
      <c r="C215" s="191" t="str">
        <f>'1_BD questio brut'!A215</f>
        <v>VRB0223</v>
      </c>
      <c r="D215" s="191" t="str">
        <f t="array" ref="D215">INDEX('Données 1_BD questio'!C:C,MATCH('1_BD questio brut'!$B$1&amp;'1_BD questio brut'!B215,'Données 1_BD questio'!A:A&amp;'Données 1_BD questio'!B:B,0))</f>
        <v>CAPV</v>
      </c>
      <c r="E215" s="191" t="str">
        <f t="array" ref="E215">INDEX('Données 1_BD questio'!C:C,MATCH('1_BD questio brut'!$C$1&amp;'1_BD questio brut'!C215,'Données 1_BD questio'!A:A&amp;'Données 1_BD questio'!B:B,0))</f>
        <v>Artisan,commerçant,chef d'entreprise</v>
      </c>
      <c r="F215" s="191" t="str">
        <f t="array" ref="F215">INDEX('Données 1_BD questio'!C:C,MATCH('1_BD questio brut'!$D$1&amp;'1_BD questio brut'!D215,'Données 1_BD questio'!A:A&amp;'Données 1_BD questio'!B:B,0))</f>
        <v>Cadre</v>
      </c>
      <c r="G215" s="191" t="str">
        <f>'1_BD questio brut'!E215</f>
        <v>35 à 49 ans</v>
      </c>
      <c r="H215" s="191">
        <f>'1_BD questio brut'!F215</f>
        <v>4</v>
      </c>
      <c r="I215" s="191" t="str">
        <f>'1_BD questio brut'!G215</f>
        <v>Pas de réponse</v>
      </c>
      <c r="J215" s="191" t="str">
        <f t="array" ref="J215">INDEX('Données 1_BD questio'!C:C,MATCH('1_BD questio brut'!$H$1&amp;'1_BD questio brut'!H215,'Données 1_BD questio'!A:A&amp;'Données 1_BD questio'!B:B,0))</f>
        <v>Maison avec jardin</v>
      </c>
      <c r="K215" s="191">
        <f>'1_BD questio brut'!I215</f>
        <v>190</v>
      </c>
      <c r="L215" s="191" t="str">
        <f>'1_BD questio brut'!J215</f>
        <v>1990-2005</v>
      </c>
      <c r="M215" s="191" t="str">
        <f>'1_BD questio brut'!K215</f>
        <v>6</v>
      </c>
      <c r="N215" s="191" t="str">
        <f>'1_BD questio brut'!L215</f>
        <v>C</v>
      </c>
      <c r="O215" s="191" t="str">
        <f>'1_BD questio brut'!M215</f>
        <v>Propriétaire occupant</v>
      </c>
      <c r="P215" s="191" t="str">
        <f>'1_BD questio brut'!N215</f>
        <v>Insert / foyer fermé</v>
      </c>
      <c r="Q215" s="191" t="str">
        <f>'1_BD questio brut'!O215</f>
        <v>Chauffage d'apoint</v>
      </c>
      <c r="R215" s="191" t="str">
        <f>'1_BD questio brut'!P215</f>
        <v>1 à 2 jours/semaine</v>
      </c>
      <c r="S215" s="191" t="str">
        <f>'1_BD questio brut'!Q215</f>
        <v>2</v>
      </c>
      <c r="T215" s="191" t="str">
        <f>'1_BD questio brut'!R215</f>
        <v>1990-1995</v>
      </c>
      <c r="U215" s="191" t="str">
        <f>'1_BD questio brut'!S215</f>
        <v>Bois bûche</v>
      </c>
      <c r="V215" s="191" t="str">
        <f>'1_BD questio brut'!T215</f>
        <v/>
      </c>
      <c r="W215" s="191" t="str">
        <f>'1_BD questio brut'!U215</f>
        <v>3</v>
      </c>
      <c r="X215" s="191" t="str">
        <f>'1_BD questio brut'!V215</f>
        <v>stère</v>
      </c>
      <c r="Y215" s="191" t="str">
        <f>'1_BD questio brut'!W215</f>
        <v>2</v>
      </c>
      <c r="Z215" s="191" t="str">
        <f>'1_BD questio brut'!X215</f>
        <v/>
      </c>
      <c r="AA215" s="191" t="str">
        <f t="array" ref="AA215">INDEX('Données 1_BD questio'!C:C,MATCH('1_BD questio brut'!$Y$1&amp;'1_BD questio brut'!Y215,'Données 1_BD questio'!A:A&amp;'Données 1_BD questio'!B:B,0))</f>
        <v>Ne sait pas</v>
      </c>
      <c r="AB215" s="191" t="str">
        <f>'1_BD questio brut'!Z215</f>
        <v>2</v>
      </c>
      <c r="AC215" s="191" t="str">
        <f>'1_BD questio brut'!AA215</f>
        <v>1 à 2 ans</v>
      </c>
      <c r="AD215" s="191" t="str">
        <f>'1_BD questio brut'!AB215</f>
        <v>Feuillus</v>
      </c>
      <c r="AE215" s="191" t="str">
        <f t="array" ref="AE215">INDEX('Données 1_BD questio'!C:C,MATCH('1_BD questio brut'!$AC$1&amp;'1_BD questio brut'!AC215,'Données 1_BD questio'!A:A&amp;'Données 1_BD questio'!B:B,0))</f>
        <v>un professionnel</v>
      </c>
      <c r="AF215" s="191" t="str">
        <f>'1_BD questio brut'!AD215</f>
        <v>1 fois par an</v>
      </c>
      <c r="AG215" s="191" t="str">
        <f>'1_BD questio brut'!AE215</f>
        <v/>
      </c>
      <c r="AH215" s="191" t="str">
        <f>'1_BD questio brut'!AF215</f>
        <v>Poêle</v>
      </c>
      <c r="AI215" s="191" t="str">
        <f>'1_BD questio brut'!AG215</f>
        <v>1</v>
      </c>
      <c r="AJ215" s="191" t="str">
        <f>'1_BD questio brut'!AH215</f>
        <v/>
      </c>
      <c r="AK215" s="191" t="str">
        <f>'1_BD questio brut'!AI215</f>
        <v>Chauffage d'appoint</v>
      </c>
      <c r="AL215" s="191" t="str">
        <f>'1_BD questio brut'!AJ215</f>
        <v>Pas de réponse</v>
      </c>
      <c r="AM215" s="191" t="str">
        <f>'1_BD questio brut'!AK215</f>
        <v>4; 5</v>
      </c>
      <c r="AN215" s="191" t="str">
        <f>'1_BD questio brut'!AL215</f>
        <v/>
      </c>
      <c r="AO215" s="191" t="str">
        <f>'1_BD questio brut'!AM215</f>
        <v>1</v>
      </c>
      <c r="AP215" s="191" t="str">
        <f>'1_BD questio brut'!AN215</f>
        <v/>
      </c>
      <c r="AQ215" s="191" t="str">
        <f>'1_BD questio brut'!AO215</f>
        <v/>
      </c>
    </row>
    <row r="216" spans="1:43" ht="29" hidden="1">
      <c r="A216" s="98">
        <f>INDEX('3_BD instruction total'!A:A,MATCH(C216,'3_BD instruction total'!F:F,0))</f>
        <v>2021</v>
      </c>
      <c r="B216" s="98" t="str">
        <f>INDEX('3_BD instruction total'!C:C,MATCH(C216,'3_BD instruction total'!F:F,0))</f>
        <v>non</v>
      </c>
      <c r="C216" s="191" t="str">
        <f>'1_BD questio brut'!A216</f>
        <v>VRB0224</v>
      </c>
      <c r="D216" s="191" t="str">
        <f t="array" ref="D216">INDEX('Données 1_BD questio'!C:C,MATCH('1_BD questio brut'!$B$1&amp;'1_BD questio brut'!B216,'Données 1_BD questio'!A:A&amp;'Données 1_BD questio'!B:B,0))</f>
        <v>CAPV</v>
      </c>
      <c r="E216" s="191" t="str">
        <f t="array" ref="E216">INDEX('Données 1_BD questio'!C:C,MATCH('1_BD questio brut'!$C$1&amp;'1_BD questio brut'!C216,'Données 1_BD questio'!A:A&amp;'Données 1_BD questio'!B:B,0))</f>
        <v>Employé</v>
      </c>
      <c r="F216" s="191" t="str">
        <f t="array" ref="F216">INDEX('Données 1_BD questio'!C:C,MATCH('1_BD questio brut'!$D$1&amp;'1_BD questio brut'!D216,'Données 1_BD questio'!A:A&amp;'Données 1_BD questio'!B:B,0))</f>
        <v>Pas de réponse</v>
      </c>
      <c r="G216" s="191" t="str">
        <f>'1_BD questio brut'!E216</f>
        <v>25 à 34 ans</v>
      </c>
      <c r="H216" s="191">
        <f>'1_BD questio brut'!F216</f>
        <v>1</v>
      </c>
      <c r="I216" s="191" t="str">
        <f>'1_BD questio brut'!G216</f>
        <v>Pas de réponse</v>
      </c>
      <c r="J216" s="191" t="str">
        <f t="array" ref="J216">INDEX('Données 1_BD questio'!C:C,MATCH('1_BD questio brut'!$H$1&amp;'1_BD questio brut'!H216,'Données 1_BD questio'!A:A&amp;'Données 1_BD questio'!B:B,0))</f>
        <v>Maison avec jardin</v>
      </c>
      <c r="K216" s="191">
        <f>'1_BD questio brut'!I216</f>
        <v>110</v>
      </c>
      <c r="L216" s="191" t="str">
        <f>'1_BD questio brut'!J216</f>
        <v>Avant 1949</v>
      </c>
      <c r="M216" s="191" t="str">
        <f>'1_BD questio brut'!K216</f>
        <v>6</v>
      </c>
      <c r="N216" s="191" t="str">
        <f>'1_BD questio brut'!L216</f>
        <v>Pas de réponse</v>
      </c>
      <c r="O216" s="191" t="str">
        <f>'1_BD questio brut'!M216</f>
        <v>Propriétaire occupant</v>
      </c>
      <c r="P216" s="191" t="str">
        <f>'1_BD questio brut'!N216</f>
        <v>Insert / foyer fermé</v>
      </c>
      <c r="Q216" s="191" t="str">
        <f>'1_BD questio brut'!O216</f>
        <v>Chauffage de base</v>
      </c>
      <c r="R216" s="191" t="str">
        <f>'1_BD questio brut'!P216</f>
        <v>Tous les jours</v>
      </c>
      <c r="S216" s="191" t="str">
        <f>'1_BD questio brut'!Q216</f>
        <v>1; 2; 3; 4</v>
      </c>
      <c r="T216" s="191" t="str">
        <f>'1_BD questio brut'!R216</f>
        <v>1990-1995</v>
      </c>
      <c r="U216" s="191" t="str">
        <f>'1_BD questio brut'!S216</f>
        <v>Bois bûche</v>
      </c>
      <c r="V216" s="191" t="str">
        <f>'1_BD questio brut'!T216</f>
        <v/>
      </c>
      <c r="W216" s="191" t="str">
        <f>'1_BD questio brut'!U216</f>
        <v>13</v>
      </c>
      <c r="X216" s="191" t="str">
        <f>'1_BD questio brut'!V216</f>
        <v>stère</v>
      </c>
      <c r="Y216" s="191" t="str">
        <f>'1_BD questio brut'!W216</f>
        <v>2</v>
      </c>
      <c r="Z216" s="191" t="str">
        <f>'1_BD questio brut'!X216</f>
        <v/>
      </c>
      <c r="AA216" s="191" t="str">
        <f t="array" ref="AA216">INDEX('Données 1_BD questio'!C:C,MATCH('1_BD questio brut'!$Y$1&amp;'1_BD questio brut'!Y216,'Données 1_BD questio'!A:A&amp;'Données 1_BD questio'!B:B,0))</f>
        <v>Rhône-Alpes hors RA2B</v>
      </c>
      <c r="AB216" s="191" t="str">
        <f>'1_BD questio brut'!Z216</f>
        <v>2</v>
      </c>
      <c r="AC216" s="191" t="str">
        <f>'1_BD questio brut'!AA216</f>
        <v>1 à 2 ans</v>
      </c>
      <c r="AD216" s="191" t="str">
        <f>'1_BD questio brut'!AB216</f>
        <v>Feuillus</v>
      </c>
      <c r="AE216" s="191" t="str">
        <f t="array" ref="AE216">INDEX('Données 1_BD questio'!C:C,MATCH('1_BD questio brut'!$AC$1&amp;'1_BD questio brut'!AC216,'Données 1_BD questio'!A:A&amp;'Données 1_BD questio'!B:B,0))</f>
        <v>vous-même</v>
      </c>
      <c r="AF216" s="191" t="str">
        <f>'1_BD questio brut'!AD216</f>
        <v>2 fois par an</v>
      </c>
      <c r="AG216" s="191" t="str">
        <f>'1_BD questio brut'!AE216</f>
        <v/>
      </c>
      <c r="AH216" s="191" t="str">
        <f>'1_BD questio brut'!AF216</f>
        <v>Poêle</v>
      </c>
      <c r="AI216" s="191" t="str">
        <f>'1_BD questio brut'!AG216</f>
        <v>1</v>
      </c>
      <c r="AJ216" s="191" t="str">
        <f>'1_BD questio brut'!AH216</f>
        <v/>
      </c>
      <c r="AK216" s="191" t="str">
        <f>'1_BD questio brut'!AI216</f>
        <v>Chauffage de base</v>
      </c>
      <c r="AL216" s="191" t="str">
        <f>'1_BD questio brut'!AJ216</f>
        <v>Pas de réponse</v>
      </c>
      <c r="AM216" s="191" t="str">
        <f>'1_BD questio brut'!AK216</f>
        <v>1; 2; 4; 5</v>
      </c>
      <c r="AN216" s="191" t="str">
        <f>'1_BD questio brut'!AL216</f>
        <v/>
      </c>
      <c r="AO216" s="191" t="str">
        <f>'1_BD questio brut'!AM216</f>
        <v>11</v>
      </c>
      <c r="AP216" s="191" t="str">
        <f>'1_BD questio brut'!AN216</f>
        <v/>
      </c>
      <c r="AQ216" s="191" t="str">
        <f>'1_BD questio brut'!AO216</f>
        <v/>
      </c>
    </row>
    <row r="217" spans="1:43" ht="43.5" hidden="1">
      <c r="A217" s="98">
        <f>INDEX('3_BD instruction total'!A:A,MATCH(C217,'3_BD instruction total'!F:F,0))</f>
        <v>2021</v>
      </c>
      <c r="B217" s="98" t="str">
        <f>INDEX('3_BD instruction total'!C:C,MATCH(C217,'3_BD instruction total'!F:F,0))</f>
        <v>non</v>
      </c>
      <c r="C217" s="191" t="str">
        <f>'1_BD questio brut'!A217</f>
        <v>VRB0226</v>
      </c>
      <c r="D217" s="191" t="str">
        <f t="array" ref="D217">INDEX('Données 1_BD questio'!C:C,MATCH('1_BD questio brut'!$B$1&amp;'1_BD questio brut'!B217,'Données 1_BD questio'!A:A&amp;'Données 1_BD questio'!B:B,0))</f>
        <v>CAPV</v>
      </c>
      <c r="E217" s="191" t="str">
        <f t="array" ref="E217">INDEX('Données 1_BD questio'!C:C,MATCH('1_BD questio brut'!$C$1&amp;'1_BD questio brut'!C217,'Données 1_BD questio'!A:A&amp;'Données 1_BD questio'!B:B,0))</f>
        <v>Retraité</v>
      </c>
      <c r="F217" s="191" t="str">
        <f t="array" ref="F217">INDEX('Données 1_BD questio'!C:C,MATCH('1_BD questio brut'!$D$1&amp;'1_BD questio brut'!D217,'Données 1_BD questio'!A:A&amp;'Données 1_BD questio'!B:B,0))</f>
        <v>Retraité</v>
      </c>
      <c r="G217" s="191" t="str">
        <f>'1_BD questio brut'!E217</f>
        <v>65 ans et plus</v>
      </c>
      <c r="H217" s="191">
        <f>'1_BD questio brut'!F217</f>
        <v>2</v>
      </c>
      <c r="I217" s="191" t="str">
        <f>'1_BD questio brut'!G217</f>
        <v>Pas de réponse</v>
      </c>
      <c r="J217" s="191" t="str">
        <f t="array" ref="J217">INDEX('Données 1_BD questio'!C:C,MATCH('1_BD questio brut'!$H$1&amp;'1_BD questio brut'!H217,'Données 1_BD questio'!A:A&amp;'Données 1_BD questio'!B:B,0))</f>
        <v>Maison avec jardin</v>
      </c>
      <c r="K217" s="191">
        <f>'1_BD questio brut'!I217</f>
        <v>115</v>
      </c>
      <c r="L217" s="191" t="str">
        <f>'1_BD questio brut'!J217</f>
        <v>1990-2005</v>
      </c>
      <c r="M217" s="191" t="str">
        <f>'1_BD questio brut'!K217</f>
        <v>1</v>
      </c>
      <c r="N217" s="191" t="str">
        <f>'1_BD questio brut'!L217</f>
        <v>Pas de réponse</v>
      </c>
      <c r="O217" s="191" t="str">
        <f>'1_BD questio brut'!M217</f>
        <v>Propriétaire occupant</v>
      </c>
      <c r="P217" s="191" t="str">
        <f>'1_BD questio brut'!N217</f>
        <v>Insert / foyer fermé</v>
      </c>
      <c r="Q217" s="191" t="str">
        <f>'1_BD questio brut'!O217</f>
        <v>Chauffage de base</v>
      </c>
      <c r="R217" s="191" t="str">
        <f>'1_BD questio brut'!P217</f>
        <v>Tous les jours</v>
      </c>
      <c r="S217" s="191" t="str">
        <f>'1_BD questio brut'!Q217</f>
        <v>4; 6</v>
      </c>
      <c r="T217" s="191" t="str">
        <f>'1_BD questio brut'!R217</f>
        <v>1996-2002</v>
      </c>
      <c r="U217" s="191" t="str">
        <f>'1_BD questio brut'!S217</f>
        <v>Bois bûche</v>
      </c>
      <c r="V217" s="191" t="str">
        <f>'1_BD questio brut'!T217</f>
        <v/>
      </c>
      <c r="W217" s="191" t="str">
        <f>'1_BD questio brut'!U217</f>
        <v>7</v>
      </c>
      <c r="X217" s="191" t="str">
        <f>'1_BD questio brut'!V217</f>
        <v>stère</v>
      </c>
      <c r="Y217" s="191" t="str">
        <f>'1_BD questio brut'!W217</f>
        <v>2</v>
      </c>
      <c r="Z217" s="191" t="str">
        <f>'1_BD questio brut'!X217</f>
        <v/>
      </c>
      <c r="AA217" s="191" t="str">
        <f t="array" ref="AA217">INDEX('Données 1_BD questio'!C:C,MATCH('1_BD questio brut'!$Y$1&amp;'1_BD questio brut'!Y217,'Données 1_BD questio'!A:A&amp;'Données 1_BD questio'!B:B,0))</f>
        <v>Ne sait pas</v>
      </c>
      <c r="AB217" s="191" t="str">
        <f>'1_BD questio brut'!Z217</f>
        <v>2</v>
      </c>
      <c r="AC217" s="191" t="str">
        <f>'1_BD questio brut'!AA217</f>
        <v>1 à 2 ans</v>
      </c>
      <c r="AD217" s="191" t="str">
        <f>'1_BD questio brut'!AB217</f>
        <v>Feuillus</v>
      </c>
      <c r="AE217" s="191" t="str">
        <f t="array" ref="AE217">INDEX('Données 1_BD questio'!C:C,MATCH('1_BD questio brut'!$AC$1&amp;'1_BD questio brut'!AC217,'Données 1_BD questio'!A:A&amp;'Données 1_BD questio'!B:B,0))</f>
        <v>un professionnel</v>
      </c>
      <c r="AF217" s="191" t="str">
        <f>'1_BD questio brut'!AD217</f>
        <v>1 fois par an</v>
      </c>
      <c r="AG217" s="191" t="str">
        <f>'1_BD questio brut'!AE217</f>
        <v/>
      </c>
      <c r="AH217" s="191" t="str">
        <f>'1_BD questio brut'!AF217</f>
        <v>Poêle</v>
      </c>
      <c r="AI217" s="191" t="str">
        <f>'1_BD questio brut'!AG217</f>
        <v>1</v>
      </c>
      <c r="AJ217" s="191" t="str">
        <f>'1_BD questio brut'!AH217</f>
        <v/>
      </c>
      <c r="AK217" s="191" t="str">
        <f>'1_BD questio brut'!AI217</f>
        <v>Chauffage de base</v>
      </c>
      <c r="AL217" s="191" t="str">
        <f>'1_BD questio brut'!AJ217</f>
        <v>Pas de réponse</v>
      </c>
      <c r="AM217" s="191" t="str">
        <f>'1_BD questio brut'!AK217</f>
        <v>1; 2; 4; 5</v>
      </c>
      <c r="AN217" s="191" t="str">
        <f>'1_BD questio brut'!AL217</f>
        <v/>
      </c>
      <c r="AO217" s="191" t="str">
        <f>'1_BD questio brut'!AM217</f>
        <v>2</v>
      </c>
      <c r="AP217" s="191" t="str">
        <f>'1_BD questio brut'!AN217</f>
        <v/>
      </c>
      <c r="AQ217" s="191" t="str">
        <f>'1_BD questio brut'!AO217</f>
        <v/>
      </c>
    </row>
    <row r="218" spans="1:43" ht="43.5" hidden="1">
      <c r="A218" s="98">
        <f>INDEX('3_BD instruction total'!A:A,MATCH(C218,'3_BD instruction total'!F:F,0))</f>
        <v>2021</v>
      </c>
      <c r="B218" s="98" t="str">
        <f>INDEX('3_BD instruction total'!C:C,MATCH(C218,'3_BD instruction total'!F:F,0))</f>
        <v>non</v>
      </c>
      <c r="C218" s="191" t="str">
        <f>'1_BD questio brut'!A218</f>
        <v>VRB0227</v>
      </c>
      <c r="D218" s="191" t="str">
        <f t="array" ref="D218">INDEX('Données 1_BD questio'!C:C,MATCH('1_BD questio brut'!$B$1&amp;'1_BD questio brut'!B218,'Données 1_BD questio'!A:A&amp;'Données 1_BD questio'!B:B,0))</f>
        <v>CAPV</v>
      </c>
      <c r="E218" s="191" t="str">
        <f t="array" ref="E218">INDEX('Données 1_BD questio'!C:C,MATCH('1_BD questio brut'!$C$1&amp;'1_BD questio brut'!C218,'Données 1_BD questio'!A:A&amp;'Données 1_BD questio'!B:B,0))</f>
        <v>Retraité</v>
      </c>
      <c r="F218" s="191" t="str">
        <f t="array" ref="F218">INDEX('Données 1_BD questio'!C:C,MATCH('1_BD questio brut'!$D$1&amp;'1_BD questio brut'!D218,'Données 1_BD questio'!A:A&amp;'Données 1_BD questio'!B:B,0))</f>
        <v>Retraité</v>
      </c>
      <c r="G218" s="191" t="str">
        <f>'1_BD questio brut'!E218</f>
        <v>65 ans et plus</v>
      </c>
      <c r="H218" s="191">
        <f>'1_BD questio brut'!F218</f>
        <v>2</v>
      </c>
      <c r="I218" s="191" t="str">
        <f>'1_BD questio brut'!G218</f>
        <v>Pas de réponse</v>
      </c>
      <c r="J218" s="191" t="str">
        <f t="array" ref="J218">INDEX('Données 1_BD questio'!C:C,MATCH('1_BD questio brut'!$H$1&amp;'1_BD questio brut'!H218,'Données 1_BD questio'!A:A&amp;'Données 1_BD questio'!B:B,0))</f>
        <v>Maison avec jardin</v>
      </c>
      <c r="K218" s="191">
        <f>'1_BD questio brut'!I218</f>
        <v>108</v>
      </c>
      <c r="L218" s="191" t="str">
        <f>'1_BD questio brut'!J218</f>
        <v>1975-1990</v>
      </c>
      <c r="M218" s="191" t="str">
        <f>'1_BD questio brut'!K218</f>
        <v>4</v>
      </c>
      <c r="N218" s="191" t="str">
        <f>'1_BD questio brut'!L218</f>
        <v>Pas de réponse</v>
      </c>
      <c r="O218" s="191" t="str">
        <f>'1_BD questio brut'!M218</f>
        <v>Propriétaire occupant</v>
      </c>
      <c r="P218" s="191" t="str">
        <f>'1_BD questio brut'!N218</f>
        <v>Insert / foyer fermé</v>
      </c>
      <c r="Q218" s="191" t="str">
        <f>'1_BD questio brut'!O218</f>
        <v>Chauffage de base</v>
      </c>
      <c r="R218" s="191" t="str">
        <f>'1_BD questio brut'!P218</f>
        <v>Tous les jours</v>
      </c>
      <c r="S218" s="191" t="str">
        <f>'1_BD questio brut'!Q218</f>
        <v>4</v>
      </c>
      <c r="T218" s="191" t="str">
        <f>'1_BD questio brut'!R218</f>
        <v>Avant 1990</v>
      </c>
      <c r="U218" s="191" t="str">
        <f>'1_BD questio brut'!S218</f>
        <v>Bois bûche</v>
      </c>
      <c r="V218" s="191" t="str">
        <f>'1_BD questio brut'!T218</f>
        <v/>
      </c>
      <c r="W218" s="191" t="str">
        <f>'1_BD questio brut'!U218</f>
        <v>8</v>
      </c>
      <c r="X218" s="191" t="str">
        <f>'1_BD questio brut'!V218</f>
        <v>m²</v>
      </c>
      <c r="Y218" s="191" t="str">
        <f>'1_BD questio brut'!W218</f>
        <v>4</v>
      </c>
      <c r="Z218" s="191" t="str">
        <f>'1_BD questio brut'!X218</f>
        <v>achat de coupe de bois</v>
      </c>
      <c r="AA218" s="191" t="str">
        <f t="array" ref="AA218">INDEX('Données 1_BD questio'!C:C,MATCH('1_BD questio brut'!$Y$1&amp;'1_BD questio brut'!Y218,'Données 1_BD questio'!A:A&amp;'Données 1_BD questio'!B:B,0))</f>
        <v>Rhône-Alpes hors RA2B</v>
      </c>
      <c r="AB218" s="191" t="str">
        <f>'1_BD questio brut'!Z218</f>
        <v>2</v>
      </c>
      <c r="AC218" s="191" t="str">
        <f>'1_BD questio brut'!AA218</f>
        <v>&gt; 2 ans</v>
      </c>
      <c r="AD218" s="191" t="str">
        <f>'1_BD questio brut'!AB218</f>
        <v>Feuillus</v>
      </c>
      <c r="AE218" s="191" t="str">
        <f t="array" ref="AE218">INDEX('Données 1_BD questio'!C:C,MATCH('1_BD questio brut'!$AC$1&amp;'1_BD questio brut'!AC218,'Données 1_BD questio'!A:A&amp;'Données 1_BD questio'!B:B,0))</f>
        <v>un professionnel</v>
      </c>
      <c r="AF218" s="191" t="str">
        <f>'1_BD questio brut'!AD218</f>
        <v>1 fois par an</v>
      </c>
      <c r="AG218" s="191" t="str">
        <f>'1_BD questio brut'!AE218</f>
        <v/>
      </c>
      <c r="AH218" s="191" t="str">
        <f>'1_BD questio brut'!AF218</f>
        <v>Poêle</v>
      </c>
      <c r="AI218" s="191" t="str">
        <f>'1_BD questio brut'!AG218</f>
        <v>1</v>
      </c>
      <c r="AJ218" s="191" t="str">
        <f>'1_BD questio brut'!AH218</f>
        <v/>
      </c>
      <c r="AK218" s="191" t="str">
        <f>'1_BD questio brut'!AI218</f>
        <v>Chauffage de base</v>
      </c>
      <c r="AL218" s="191" t="str">
        <f>'1_BD questio brut'!AJ218</f>
        <v>Pas de réponse</v>
      </c>
      <c r="AM218" s="191" t="str">
        <f>'1_BD questio brut'!AK218</f>
        <v>5</v>
      </c>
      <c r="AN218" s="191" t="str">
        <f>'1_BD questio brut'!AL218</f>
        <v/>
      </c>
      <c r="AO218" s="191" t="str">
        <f>'1_BD questio brut'!AM218</f>
        <v>1</v>
      </c>
      <c r="AP218" s="191" t="str">
        <f>'1_BD questio brut'!AN218</f>
        <v/>
      </c>
      <c r="AQ218" s="191" t="str">
        <f>'1_BD questio brut'!AO218</f>
        <v/>
      </c>
    </row>
    <row r="219" spans="1:43" ht="58" hidden="1">
      <c r="A219" s="98">
        <f>INDEX('3_BD instruction total'!A:A,MATCH(C219,'3_BD instruction total'!F:F,0))</f>
        <v>2021</v>
      </c>
      <c r="B219" s="98" t="str">
        <f>INDEX('3_BD instruction total'!C:C,MATCH(C219,'3_BD instruction total'!F:F,0))</f>
        <v>non</v>
      </c>
      <c r="C219" s="191" t="str">
        <f>'1_BD questio brut'!A219</f>
        <v>VRB0228</v>
      </c>
      <c r="D219" s="191" t="str">
        <f t="array" ref="D219">INDEX('Données 1_BD questio'!C:C,MATCH('1_BD questio brut'!$B$1&amp;'1_BD questio brut'!B219,'Données 1_BD questio'!A:A&amp;'Données 1_BD questio'!B:B,0))</f>
        <v>CAPV</v>
      </c>
      <c r="E219" s="191" t="str">
        <f t="array" ref="E219">INDEX('Données 1_BD questio'!C:C,MATCH('1_BD questio brut'!$C$1&amp;'1_BD questio brut'!C219,'Données 1_BD questio'!A:A&amp;'Données 1_BD questio'!B:B,0))</f>
        <v>Retraité</v>
      </c>
      <c r="F219" s="191" t="str">
        <f t="array" ref="F219">INDEX('Données 1_BD questio'!C:C,MATCH('1_BD questio brut'!$D$1&amp;'1_BD questio brut'!D219,'Données 1_BD questio'!A:A&amp;'Données 1_BD questio'!B:B,0))</f>
        <v>Pas de réponse</v>
      </c>
      <c r="G219" s="191" t="str">
        <f>'1_BD questio brut'!E219</f>
        <v>65 ans et plus</v>
      </c>
      <c r="H219" s="191">
        <f>'1_BD questio brut'!F219</f>
        <v>1</v>
      </c>
      <c r="I219" s="191" t="str">
        <f>'1_BD questio brut'!G219</f>
        <v>Pas de réponse</v>
      </c>
      <c r="J219" s="191" t="str">
        <f t="array" ref="J219">INDEX('Données 1_BD questio'!C:C,MATCH('1_BD questio brut'!$H$1&amp;'1_BD questio brut'!H219,'Données 1_BD questio'!A:A&amp;'Données 1_BD questio'!B:B,0))</f>
        <v>Maison avec jardin</v>
      </c>
      <c r="K219" s="191">
        <f>'1_BD questio brut'!I219</f>
        <v>150</v>
      </c>
      <c r="L219" s="191" t="str">
        <f>'1_BD questio brut'!J219</f>
        <v>Avant 1949</v>
      </c>
      <c r="M219" s="191" t="str">
        <f>'1_BD questio brut'!K219</f>
        <v>1; 4</v>
      </c>
      <c r="N219" s="191" t="str">
        <f>'1_BD questio brut'!L219</f>
        <v>Ne sait pas</v>
      </c>
      <c r="O219" s="191" t="str">
        <f>'1_BD questio brut'!M219</f>
        <v>Propriétaire occupant</v>
      </c>
      <c r="P219" s="191" t="str">
        <f>'1_BD questio brut'!N219</f>
        <v>Poêle</v>
      </c>
      <c r="Q219" s="191" t="str">
        <f>'1_BD questio brut'!O219</f>
        <v>Chauffage d'apoint</v>
      </c>
      <c r="R219" s="191" t="str">
        <f>'1_BD questio brut'!P219</f>
        <v>Tous les jours</v>
      </c>
      <c r="S219" s="191" t="str">
        <f>'1_BD questio brut'!Q219</f>
        <v>1; 2; 4</v>
      </c>
      <c r="T219" s="191" t="str">
        <f>'1_BD questio brut'!R219</f>
        <v>Pas de réponse</v>
      </c>
      <c r="U219" s="191" t="str">
        <f>'1_BD questio brut'!S219</f>
        <v>Bois bûche</v>
      </c>
      <c r="V219" s="191" t="str">
        <f>'1_BD questio brut'!T219</f>
        <v/>
      </c>
      <c r="W219" s="191" t="str">
        <f>'1_BD questio brut'!U219</f>
        <v>3</v>
      </c>
      <c r="X219" s="191" t="str">
        <f>'1_BD questio brut'!V219</f>
        <v/>
      </c>
      <c r="Y219" s="191" t="str">
        <f>'1_BD questio brut'!W219</f>
        <v>2</v>
      </c>
      <c r="Z219" s="191" t="str">
        <f>'1_BD questio brut'!X219</f>
        <v/>
      </c>
      <c r="AA219" s="191" t="str">
        <f t="array" ref="AA219">INDEX('Données 1_BD questio'!C:C,MATCH('1_BD questio brut'!$Y$1&amp;'1_BD questio brut'!Y219,'Données 1_BD questio'!A:A&amp;'Données 1_BD questio'!B:B,0))</f>
        <v>Ne sait pas</v>
      </c>
      <c r="AB219" s="191" t="str">
        <f>'1_BD questio brut'!Z219</f>
        <v>1</v>
      </c>
      <c r="AC219" s="191" t="str">
        <f>'1_BD questio brut'!AA219</f>
        <v>1 à 2 ans</v>
      </c>
      <c r="AD219" s="191" t="str">
        <f>'1_BD questio brut'!AB219</f>
        <v>Les deux</v>
      </c>
      <c r="AE219" s="191" t="str">
        <f t="array" ref="AE219">INDEX('Données 1_BD questio'!C:C,MATCH('1_BD questio brut'!$AC$1&amp;'1_BD questio brut'!AC219,'Données 1_BD questio'!A:A&amp;'Données 1_BD questio'!B:B,0))</f>
        <v>un professionnel</v>
      </c>
      <c r="AF219" s="191" t="str">
        <f>'1_BD questio brut'!AD219</f>
        <v>1 fois tous les 2 ans</v>
      </c>
      <c r="AG219" s="191" t="str">
        <f>'1_BD questio brut'!AE219</f>
        <v/>
      </c>
      <c r="AH219" s="191" t="str">
        <f>'1_BD questio brut'!AF219</f>
        <v>Poêle</v>
      </c>
      <c r="AI219" s="191" t="str">
        <f>'1_BD questio brut'!AG219</f>
        <v>2</v>
      </c>
      <c r="AJ219" s="191" t="str">
        <f>'1_BD questio brut'!AH219</f>
        <v/>
      </c>
      <c r="AK219" s="191" t="str">
        <f>'1_BD questio brut'!AI219</f>
        <v>Chauffage d'appoint</v>
      </c>
      <c r="AL219" s="191" t="str">
        <f>'1_BD questio brut'!AJ219</f>
        <v>Pas de réponse</v>
      </c>
      <c r="AM219" s="191" t="str">
        <f>'1_BD questio brut'!AK219</f>
        <v>2; 4; 6</v>
      </c>
      <c r="AN219" s="191" t="str">
        <f>'1_BD questio brut'!AL219</f>
        <v>Diminution de manipulation de bûches</v>
      </c>
      <c r="AO219" s="191" t="str">
        <f>'1_BD questio brut'!AM219</f>
        <v>11</v>
      </c>
      <c r="AP219" s="191" t="str">
        <f>'1_BD questio brut'!AN219</f>
        <v/>
      </c>
      <c r="AQ219" s="191" t="str">
        <f>'1_BD questio brut'!AO219</f>
        <v/>
      </c>
    </row>
    <row r="220" spans="1:43" ht="43.5" hidden="1">
      <c r="A220" s="98">
        <f>INDEX('3_BD instruction total'!A:A,MATCH(C220,'3_BD instruction total'!F:F,0))</f>
        <v>2021</v>
      </c>
      <c r="B220" s="98" t="str">
        <f>INDEX('3_BD instruction total'!C:C,MATCH(C220,'3_BD instruction total'!F:F,0))</f>
        <v>non</v>
      </c>
      <c r="C220" s="191" t="str">
        <f>'1_BD questio brut'!A220</f>
        <v>VRB0229</v>
      </c>
      <c r="D220" s="191" t="str">
        <f t="array" ref="D220">INDEX('Données 1_BD questio'!C:C,MATCH('1_BD questio brut'!$B$1&amp;'1_BD questio brut'!B220,'Données 1_BD questio'!A:A&amp;'Données 1_BD questio'!B:B,0))</f>
        <v>CAPV</v>
      </c>
      <c r="E220" s="191" t="str">
        <f t="array" ref="E220">INDEX('Données 1_BD questio'!C:C,MATCH('1_BD questio brut'!$C$1&amp;'1_BD questio brut'!C220,'Données 1_BD questio'!A:A&amp;'Données 1_BD questio'!B:B,0))</f>
        <v>Cadre</v>
      </c>
      <c r="F220" s="191" t="str">
        <f t="array" ref="F220">INDEX('Données 1_BD questio'!C:C,MATCH('1_BD questio brut'!$D$1&amp;'1_BD questio brut'!D220,'Données 1_BD questio'!A:A&amp;'Données 1_BD questio'!B:B,0))</f>
        <v>Ouvrier</v>
      </c>
      <c r="G220" s="191" t="str">
        <f>'1_BD questio brut'!E220</f>
        <v>35 à 49 ans</v>
      </c>
      <c r="H220" s="191">
        <f>'1_BD questio brut'!F220</f>
        <v>3</v>
      </c>
      <c r="I220" s="191" t="str">
        <f>'1_BD questio brut'!G220</f>
        <v>Pas de réponse</v>
      </c>
      <c r="J220" s="191" t="str">
        <f t="array" ref="J220">INDEX('Données 1_BD questio'!C:C,MATCH('1_BD questio brut'!$H$1&amp;'1_BD questio brut'!H220,'Données 1_BD questio'!A:A&amp;'Données 1_BD questio'!B:B,0))</f>
        <v>Maison avec jardin</v>
      </c>
      <c r="K220" s="191">
        <f>'1_BD questio brut'!I220</f>
        <v>98</v>
      </c>
      <c r="L220" s="191" t="str">
        <f>'1_BD questio brut'!J220</f>
        <v>1975-1990</v>
      </c>
      <c r="M220" s="191" t="str">
        <f>'1_BD questio brut'!K220</f>
        <v>2; 4</v>
      </c>
      <c r="N220" s="191" t="str">
        <f>'1_BD questio brut'!L220</f>
        <v>E</v>
      </c>
      <c r="O220" s="191" t="str">
        <f>'1_BD questio brut'!M220</f>
        <v>Propriétaire occupant</v>
      </c>
      <c r="P220" s="191" t="str">
        <f>'1_BD questio brut'!N220</f>
        <v>Insert / foyer fermé</v>
      </c>
      <c r="Q220" s="191" t="str">
        <f>'1_BD questio brut'!O220</f>
        <v>Chauffage de base</v>
      </c>
      <c r="R220" s="191" t="str">
        <f>'1_BD questio brut'!P220</f>
        <v>Tous les jours</v>
      </c>
      <c r="S220" s="191" t="str">
        <f>'1_BD questio brut'!Q220</f>
        <v>1; 2; 3; 4; 6</v>
      </c>
      <c r="T220" s="191" t="str">
        <f>'1_BD questio brut'!R220</f>
        <v>1990-1995</v>
      </c>
      <c r="U220" s="191" t="str">
        <f>'1_BD questio brut'!S220</f>
        <v>Bois bûche</v>
      </c>
      <c r="V220" s="191" t="str">
        <f>'1_BD questio brut'!T220</f>
        <v/>
      </c>
      <c r="W220" s="191" t="str">
        <f>'1_BD questio brut'!U220</f>
        <v>5</v>
      </c>
      <c r="X220" s="191" t="str">
        <f>'1_BD questio brut'!V220</f>
        <v>stères</v>
      </c>
      <c r="Y220" s="191" t="str">
        <f>'1_BD questio brut'!W220</f>
        <v>2</v>
      </c>
      <c r="Z220" s="191" t="str">
        <f>'1_BD questio brut'!X220</f>
        <v/>
      </c>
      <c r="AA220" s="191" t="str">
        <f t="array" ref="AA220">INDEX('Données 1_BD questio'!C:C,MATCH('1_BD questio brut'!$Y$1&amp;'1_BD questio brut'!Y220,'Données 1_BD questio'!A:A&amp;'Données 1_BD questio'!B:B,0))</f>
        <v>Ne sait pas</v>
      </c>
      <c r="AB220" s="191" t="str">
        <f>'1_BD questio brut'!Z220</f>
        <v>2</v>
      </c>
      <c r="AC220" s="191" t="str">
        <f>'1_BD questio brut'!AA220</f>
        <v>&gt; 2 ans</v>
      </c>
      <c r="AD220" s="191" t="str">
        <f>'1_BD questio brut'!AB220</f>
        <v>Feuillus</v>
      </c>
      <c r="AE220" s="191" t="str">
        <f t="array" ref="AE220">INDEX('Données 1_BD questio'!C:C,MATCH('1_BD questio brut'!$AC$1&amp;'1_BD questio brut'!AC220,'Données 1_BD questio'!A:A&amp;'Données 1_BD questio'!B:B,0))</f>
        <v>un professionnel</v>
      </c>
      <c r="AF220" s="191" t="str">
        <f>'1_BD questio brut'!AD220</f>
        <v>1 fois par an</v>
      </c>
      <c r="AG220" s="191" t="str">
        <f>'1_BD questio brut'!AE220</f>
        <v/>
      </c>
      <c r="AH220" s="191" t="str">
        <f>'1_BD questio brut'!AF220</f>
        <v>Insert cheminée</v>
      </c>
      <c r="AI220" s="191" t="str">
        <f>'1_BD questio brut'!AG220</f>
        <v>1</v>
      </c>
      <c r="AJ220" s="191" t="str">
        <f>'1_BD questio brut'!AH220</f>
        <v/>
      </c>
      <c r="AK220" s="191" t="str">
        <f>'1_BD questio brut'!AI220</f>
        <v>Chauffage de base</v>
      </c>
      <c r="AL220" s="191" t="str">
        <f>'1_BD questio brut'!AJ220</f>
        <v>Pas de réponse</v>
      </c>
      <c r="AM220" s="191" t="str">
        <f>'1_BD questio brut'!AK220</f>
        <v>2; 4; 5</v>
      </c>
      <c r="AN220" s="191" t="str">
        <f>'1_BD questio brut'!AL220</f>
        <v/>
      </c>
      <c r="AO220" s="191" t="str">
        <f>'1_BD questio brut'!AM220</f>
        <v>5; 7</v>
      </c>
      <c r="AP220" s="191" t="str">
        <f>'1_BD questio brut'!AN220</f>
        <v/>
      </c>
      <c r="AQ220" s="191" t="str">
        <f>'1_BD questio brut'!AO220</f>
        <v/>
      </c>
    </row>
    <row r="221" spans="1:43" ht="29" hidden="1">
      <c r="A221" s="98">
        <f>INDEX('3_BD instruction total'!A:A,MATCH(C221,'3_BD instruction total'!F:F,0))</f>
        <v>2021</v>
      </c>
      <c r="B221" s="98" t="str">
        <f>INDEX('3_BD instruction total'!C:C,MATCH(C221,'3_BD instruction total'!F:F,0))</f>
        <v>non</v>
      </c>
      <c r="C221" s="191" t="str">
        <f>'1_BD questio brut'!A221</f>
        <v>VRB0230</v>
      </c>
      <c r="D221" s="191" t="str">
        <f t="array" ref="D221">INDEX('Données 1_BD questio'!C:C,MATCH('1_BD questio brut'!$B$1&amp;'1_BD questio brut'!B221,'Données 1_BD questio'!A:A&amp;'Données 1_BD questio'!B:B,0))</f>
        <v>CAPV</v>
      </c>
      <c r="E221" s="191" t="str">
        <f t="array" ref="E221">INDEX('Données 1_BD questio'!C:C,MATCH('1_BD questio brut'!$C$1&amp;'1_BD questio brut'!C221,'Données 1_BD questio'!A:A&amp;'Données 1_BD questio'!B:B,0))</f>
        <v>Retraité</v>
      </c>
      <c r="F221" s="191" t="str">
        <f t="array" ref="F221">INDEX('Données 1_BD questio'!C:C,MATCH('1_BD questio brut'!$D$1&amp;'1_BD questio brut'!D221,'Données 1_BD questio'!A:A&amp;'Données 1_BD questio'!B:B,0))</f>
        <v>Retraité</v>
      </c>
      <c r="G221" s="191" t="str">
        <f>'1_BD questio brut'!E221</f>
        <v>65 ans et plus</v>
      </c>
      <c r="H221" s="191">
        <f>'1_BD questio brut'!F221</f>
        <v>2</v>
      </c>
      <c r="I221" s="191" t="str">
        <f>'1_BD questio brut'!G221</f>
        <v>Pas de réponse</v>
      </c>
      <c r="J221" s="191" t="str">
        <f t="array" ref="J221">INDEX('Données 1_BD questio'!C:C,MATCH('1_BD questio brut'!$H$1&amp;'1_BD questio brut'!H221,'Données 1_BD questio'!A:A&amp;'Données 1_BD questio'!B:B,0))</f>
        <v>Maison avec jardin</v>
      </c>
      <c r="K221" s="191">
        <f>'1_BD questio brut'!I221</f>
        <v>160</v>
      </c>
      <c r="L221" s="191" t="str">
        <f>'1_BD questio brut'!J221</f>
        <v>1975-1990</v>
      </c>
      <c r="M221" s="191" t="str">
        <f>'1_BD questio brut'!K221</f>
        <v>6</v>
      </c>
      <c r="N221" s="191" t="str">
        <f>'1_BD questio brut'!L221</f>
        <v>Pas de réponse</v>
      </c>
      <c r="O221" s="191" t="str">
        <f>'1_BD questio brut'!M221</f>
        <v>Propriétaire occupant</v>
      </c>
      <c r="P221" s="191" t="str">
        <f>'1_BD questio brut'!N221</f>
        <v>Insert / foyer fermé</v>
      </c>
      <c r="Q221" s="191" t="str">
        <f>'1_BD questio brut'!O221</f>
        <v>Chauffage de base</v>
      </c>
      <c r="R221" s="191" t="str">
        <f>'1_BD questio brut'!P221</f>
        <v>Tous les jours</v>
      </c>
      <c r="S221" s="191" t="str">
        <f>'1_BD questio brut'!Q221</f>
        <v>4</v>
      </c>
      <c r="T221" s="191" t="str">
        <f>'1_BD questio brut'!R221</f>
        <v>1996-2002</v>
      </c>
      <c r="U221" s="191" t="str">
        <f>'1_BD questio brut'!S221</f>
        <v>Bois bûche</v>
      </c>
      <c r="V221" s="191" t="str">
        <f>'1_BD questio brut'!T221</f>
        <v/>
      </c>
      <c r="W221" s="191" t="str">
        <f>'1_BD questio brut'!U221</f>
        <v>8</v>
      </c>
      <c r="X221" s="191" t="str">
        <f>'1_BD questio brut'!V221</f>
        <v>m3</v>
      </c>
      <c r="Y221" s="191" t="str">
        <f>'1_BD questio brut'!W221</f>
        <v>2</v>
      </c>
      <c r="Z221" s="191" t="str">
        <f>'1_BD questio brut'!X221</f>
        <v/>
      </c>
      <c r="AA221" s="191" t="str">
        <f t="array" ref="AA221">INDEX('Données 1_BD questio'!C:C,MATCH('1_BD questio brut'!$Y$1&amp;'1_BD questio brut'!Y221,'Données 1_BD questio'!A:A&amp;'Données 1_BD questio'!B:B,0))</f>
        <v>Pas de réponse</v>
      </c>
      <c r="AB221" s="191" t="str">
        <f>'1_BD questio brut'!Z221</f>
        <v>2</v>
      </c>
      <c r="AC221" s="191" t="str">
        <f>'1_BD questio brut'!AA221</f>
        <v>&gt; 2 ans</v>
      </c>
      <c r="AD221" s="191" t="str">
        <f>'1_BD questio brut'!AB221</f>
        <v>Feuillus</v>
      </c>
      <c r="AE221" s="191" t="str">
        <f t="array" ref="AE221">INDEX('Données 1_BD questio'!C:C,MATCH('1_BD questio brut'!$AC$1&amp;'1_BD questio brut'!AC221,'Données 1_BD questio'!A:A&amp;'Données 1_BD questio'!B:B,0))</f>
        <v>vous-même</v>
      </c>
      <c r="AF221" s="191" t="str">
        <f>'1_BD questio brut'!AD221</f>
        <v>2 fois par an</v>
      </c>
      <c r="AG221" s="191" t="str">
        <f>'1_BD questio brut'!AE221</f>
        <v/>
      </c>
      <c r="AH221" s="191" t="str">
        <f>'1_BD questio brut'!AF221</f>
        <v>Insert cheminée</v>
      </c>
      <c r="AI221" s="191" t="str">
        <f>'1_BD questio brut'!AG221</f>
        <v>2</v>
      </c>
      <c r="AJ221" s="191" t="str">
        <f>'1_BD questio brut'!AH221</f>
        <v/>
      </c>
      <c r="AK221" s="191" t="str">
        <f>'1_BD questio brut'!AI221</f>
        <v>Chauffage de base</v>
      </c>
      <c r="AL221" s="191" t="str">
        <f>'1_BD questio brut'!AJ221</f>
        <v>Pas de réponse</v>
      </c>
      <c r="AM221" s="191" t="str">
        <f>'1_BD questio brut'!AK221</f>
        <v>1; 2; 4; 5</v>
      </c>
      <c r="AN221" s="191" t="str">
        <f>'1_BD questio brut'!AL221</f>
        <v/>
      </c>
      <c r="AO221" s="191" t="str">
        <f>'1_BD questio brut'!AM221</f>
        <v>5</v>
      </c>
      <c r="AP221" s="191" t="str">
        <f>'1_BD questio brut'!AN221</f>
        <v/>
      </c>
      <c r="AQ221" s="191" t="str">
        <f>'1_BD questio brut'!AO221</f>
        <v/>
      </c>
    </row>
    <row r="222" spans="1:43" ht="29" hidden="1">
      <c r="A222" s="98" t="e">
        <f>INDEX('3_BD instruction total'!A:A,MATCH(C222,'3_BD instruction total'!F:F,0))</f>
        <v>#VALUE!</v>
      </c>
      <c r="B222" s="98" t="str">
        <f>INDEX('3_BD instruction total'!C:C,MATCH(C222,'3_BD instruction total'!F:F,0))</f>
        <v>oui</v>
      </c>
      <c r="C222" s="191" t="str">
        <f>'1_BD questio brut'!A222</f>
        <v>VRB0232</v>
      </c>
      <c r="D222" s="191" t="str">
        <f t="array" ref="D222">INDEX('Données 1_BD questio'!C:C,MATCH('1_BD questio brut'!$B$1&amp;'1_BD questio brut'!B222,'Données 1_BD questio'!A:A&amp;'Données 1_BD questio'!B:B,0))</f>
        <v>CAPV</v>
      </c>
      <c r="E222" s="191" t="str">
        <f t="array" ref="E222">INDEX('Données 1_BD questio'!C:C,MATCH('1_BD questio brut'!$C$1&amp;'1_BD questio brut'!C222,'Données 1_BD questio'!A:A&amp;'Données 1_BD questio'!B:B,0))</f>
        <v>Employé</v>
      </c>
      <c r="F222" s="191" t="str">
        <f t="array" ref="F222">INDEX('Données 1_BD questio'!C:C,MATCH('1_BD questio brut'!$D$1&amp;'1_BD questio brut'!D222,'Données 1_BD questio'!A:A&amp;'Données 1_BD questio'!B:B,0))</f>
        <v>Artisan,commerçant,chef d'entreprise</v>
      </c>
      <c r="G222" s="191" t="str">
        <f>'1_BD questio brut'!E222</f>
        <v>35 à 49 ans</v>
      </c>
      <c r="H222" s="191">
        <f>'1_BD questio brut'!F222</f>
        <v>6</v>
      </c>
      <c r="I222" s="191" t="str">
        <f>'1_BD questio brut'!G222</f>
        <v>Pas de réponse</v>
      </c>
      <c r="J222" s="191" t="str">
        <f t="array" ref="J222">INDEX('Données 1_BD questio'!C:C,MATCH('1_BD questio brut'!$H$1&amp;'1_BD questio brut'!H222,'Données 1_BD questio'!A:A&amp;'Données 1_BD questio'!B:B,0))</f>
        <v>Maison avec jardin</v>
      </c>
      <c r="K222" s="191">
        <f>'1_BD questio brut'!I222</f>
        <v>0</v>
      </c>
      <c r="L222" s="191" t="str">
        <f>'1_BD questio brut'!J222</f>
        <v>1949-1975</v>
      </c>
      <c r="M222" s="191" t="str">
        <f>'1_BD questio brut'!K222</f>
        <v>4</v>
      </c>
      <c r="N222" s="191" t="str">
        <f>'1_BD questio brut'!L222</f>
        <v>Pas de réponse</v>
      </c>
      <c r="O222" s="191" t="str">
        <f>'1_BD questio brut'!M222</f>
        <v>Propriétaire occupant</v>
      </c>
      <c r="P222" s="191" t="str">
        <f>'1_BD questio brut'!N222</f>
        <v>Poêle</v>
      </c>
      <c r="Q222" s="191" t="str">
        <f>'1_BD questio brut'!O222</f>
        <v>Chauffage de base</v>
      </c>
      <c r="R222" s="191" t="str">
        <f>'1_BD questio brut'!P222</f>
        <v>Tous les jours</v>
      </c>
      <c r="S222" s="191" t="str">
        <f>'1_BD questio brut'!Q222</f>
        <v>4; 5; 6</v>
      </c>
      <c r="T222" s="191" t="str">
        <f>'1_BD questio brut'!R222</f>
        <v>Après 2002</v>
      </c>
      <c r="U222" s="191" t="str">
        <f>'1_BD questio brut'!S222</f>
        <v>Bois bûche</v>
      </c>
      <c r="V222" s="191" t="str">
        <f>'1_BD questio brut'!T222</f>
        <v/>
      </c>
      <c r="W222" s="191" t="str">
        <f>'1_BD questio brut'!U222</f>
        <v/>
      </c>
      <c r="X222" s="191" t="str">
        <f>'1_BD questio brut'!V222</f>
        <v/>
      </c>
      <c r="Y222" s="191" t="str">
        <f>'1_BD questio brut'!W222</f>
        <v>5</v>
      </c>
      <c r="Z222" s="191" t="str">
        <f>'1_BD questio brut'!X222</f>
        <v/>
      </c>
      <c r="AA222" s="191" t="str">
        <f t="array" ref="AA222">INDEX('Données 1_BD questio'!C:C,MATCH('1_BD questio brut'!$Y$1&amp;'1_BD questio brut'!Y222,'Données 1_BD questio'!A:A&amp;'Données 1_BD questio'!B:B,0))</f>
        <v>Pas de réponse</v>
      </c>
      <c r="AB222" s="191" t="str">
        <f>'1_BD questio brut'!Z222</f>
        <v>4</v>
      </c>
      <c r="AC222" s="191" t="str">
        <f>'1_BD questio brut'!AA222</f>
        <v>Pas de réponse</v>
      </c>
      <c r="AD222" s="191" t="str">
        <f>'1_BD questio brut'!AB222</f>
        <v>Pas de réponse</v>
      </c>
      <c r="AE222" s="191" t="str">
        <f t="array" ref="AE222">INDEX('Données 1_BD questio'!C:C,MATCH('1_BD questio brut'!$AC$1&amp;'1_BD questio brut'!AC222,'Données 1_BD questio'!A:A&amp;'Données 1_BD questio'!B:B,0))</f>
        <v>Pas de réponse</v>
      </c>
      <c r="AF222" s="191" t="str">
        <f>'1_BD questio brut'!AD222</f>
        <v>Pas de réponse</v>
      </c>
      <c r="AG222" s="191" t="str">
        <f>'1_BD questio brut'!AE222</f>
        <v/>
      </c>
      <c r="AH222" s="191" t="str">
        <f>'1_BD questio brut'!AF222</f>
        <v>Poêle</v>
      </c>
      <c r="AI222" s="191" t="str">
        <f>'1_BD questio brut'!AG222</f>
        <v>2</v>
      </c>
      <c r="AJ222" s="191" t="str">
        <f>'1_BD questio brut'!AH222</f>
        <v/>
      </c>
      <c r="AK222" s="191" t="str">
        <f>'1_BD questio brut'!AI222</f>
        <v>Chauffage de base</v>
      </c>
      <c r="AL222" s="191" t="str">
        <f>'1_BD questio brut'!AJ222</f>
        <v>Pas de réponse</v>
      </c>
      <c r="AM222" s="191" t="str">
        <f>'1_BD questio brut'!AK222</f>
        <v>1; 2; 5</v>
      </c>
      <c r="AN222" s="191" t="str">
        <f>'1_BD questio brut'!AL222</f>
        <v/>
      </c>
      <c r="AO222" s="191" t="str">
        <f>'1_BD questio brut'!AM222</f>
        <v>7</v>
      </c>
      <c r="AP222" s="191" t="str">
        <f>'1_BD questio brut'!AN222</f>
        <v/>
      </c>
      <c r="AQ222" s="191" t="str">
        <f>'1_BD questio brut'!AO222</f>
        <v/>
      </c>
    </row>
    <row r="223" spans="1:43" ht="43.5" hidden="1">
      <c r="A223" s="98">
        <f>INDEX('3_BD instruction total'!A:A,MATCH(C223,'3_BD instruction total'!F:F,0))</f>
        <v>2021</v>
      </c>
      <c r="B223" s="98" t="str">
        <f>INDEX('3_BD instruction total'!C:C,MATCH(C223,'3_BD instruction total'!F:F,0))</f>
        <v>non</v>
      </c>
      <c r="C223" s="191" t="str">
        <f>'1_BD questio brut'!A223</f>
        <v>VRB0233</v>
      </c>
      <c r="D223" s="191" t="str">
        <f t="array" ref="D223">INDEX('Données 1_BD questio'!C:C,MATCH('1_BD questio brut'!$B$1&amp;'1_BD questio brut'!B223,'Données 1_BD questio'!A:A&amp;'Données 1_BD questio'!B:B,0))</f>
        <v>CAPV</v>
      </c>
      <c r="E223" s="191" t="str">
        <f t="array" ref="E223">INDEX('Données 1_BD questio'!C:C,MATCH('1_BD questio brut'!$C$1&amp;'1_BD questio brut'!C223,'Données 1_BD questio'!A:A&amp;'Données 1_BD questio'!B:B,0))</f>
        <v>Retraité</v>
      </c>
      <c r="F223" s="191" t="str">
        <f t="array" ref="F223">INDEX('Données 1_BD questio'!C:C,MATCH('1_BD questio brut'!$D$1&amp;'1_BD questio brut'!D223,'Données 1_BD questio'!A:A&amp;'Données 1_BD questio'!B:B,0))</f>
        <v>Retraité</v>
      </c>
      <c r="G223" s="191" t="str">
        <f>'1_BD questio brut'!E223</f>
        <v>50 à 64 ans</v>
      </c>
      <c r="H223" s="191">
        <f>'1_BD questio brut'!F223</f>
        <v>2</v>
      </c>
      <c r="I223" s="191" t="str">
        <f>'1_BD questio brut'!G223</f>
        <v>Pas de réponse</v>
      </c>
      <c r="J223" s="191" t="str">
        <f t="array" ref="J223">INDEX('Données 1_BD questio'!C:C,MATCH('1_BD questio brut'!$H$1&amp;'1_BD questio brut'!H223,'Données 1_BD questio'!A:A&amp;'Données 1_BD questio'!B:B,0))</f>
        <v>Maison avec jardin</v>
      </c>
      <c r="K223" s="191">
        <f>'1_BD questio brut'!I223</f>
        <v>200</v>
      </c>
      <c r="L223" s="191" t="str">
        <f>'1_BD questio brut'!J223</f>
        <v>Avant 1949</v>
      </c>
      <c r="M223" s="191" t="str">
        <f>'1_BD questio brut'!K223</f>
        <v>6</v>
      </c>
      <c r="N223" s="191" t="str">
        <f>'1_BD questio brut'!L223</f>
        <v>Pas de réponse</v>
      </c>
      <c r="O223" s="191" t="str">
        <f>'1_BD questio brut'!M223</f>
        <v>Propriétaire occupant</v>
      </c>
      <c r="P223" s="191" t="str">
        <f>'1_BD questio brut'!N223</f>
        <v>Cuisinière</v>
      </c>
      <c r="Q223" s="191" t="str">
        <f>'1_BD questio brut'!O223</f>
        <v>Chauffage d'apoint</v>
      </c>
      <c r="R223" s="191" t="str">
        <f>'1_BD questio brut'!P223</f>
        <v>Tous les jours</v>
      </c>
      <c r="S223" s="191" t="str">
        <f>'1_BD questio brut'!Q223</f>
        <v>4; 5; 6</v>
      </c>
      <c r="T223" s="191" t="str">
        <f>'1_BD questio brut'!R223</f>
        <v>Avant 1990</v>
      </c>
      <c r="U223" s="191" t="str">
        <f>'1_BD questio brut'!S223</f>
        <v>Bois bûche</v>
      </c>
      <c r="V223" s="191" t="str">
        <f>'1_BD questio brut'!T223</f>
        <v/>
      </c>
      <c r="W223" s="191" t="str">
        <f>'1_BD questio brut'!U223</f>
        <v>4,5</v>
      </c>
      <c r="X223" s="191" t="str">
        <f>'1_BD questio brut'!V223</f>
        <v>stère</v>
      </c>
      <c r="Y223" s="191" t="str">
        <f>'1_BD questio brut'!W223</f>
        <v>1</v>
      </c>
      <c r="Z223" s="191" t="str">
        <f>'1_BD questio brut'!X223</f>
        <v/>
      </c>
      <c r="AA223" s="191" t="str">
        <f t="array" ref="AA223">INDEX('Données 1_BD questio'!C:C,MATCH('1_BD questio brut'!$Y$1&amp;'1_BD questio brut'!Y223,'Données 1_BD questio'!A:A&amp;'Données 1_BD questio'!B:B,0))</f>
        <v>Pas de réponse</v>
      </c>
      <c r="AB223" s="191" t="str">
        <f>'1_BD questio brut'!Z223</f>
        <v>2</v>
      </c>
      <c r="AC223" s="191" t="str">
        <f>'1_BD questio brut'!AA223</f>
        <v>1 à 2 ans</v>
      </c>
      <c r="AD223" s="191" t="str">
        <f>'1_BD questio brut'!AB223</f>
        <v>Les deux</v>
      </c>
      <c r="AE223" s="191" t="str">
        <f t="array" ref="AE223">INDEX('Données 1_BD questio'!C:C,MATCH('1_BD questio brut'!$AC$1&amp;'1_BD questio brut'!AC223,'Données 1_BD questio'!A:A&amp;'Données 1_BD questio'!B:B,0))</f>
        <v>un professionnel</v>
      </c>
      <c r="AF223" s="191" t="str">
        <f>'1_BD questio brut'!AD223</f>
        <v>1 fois par an</v>
      </c>
      <c r="AG223" s="191" t="str">
        <f>'1_BD questio brut'!AE223</f>
        <v/>
      </c>
      <c r="AH223" s="191" t="str">
        <f>'1_BD questio brut'!AF223</f>
        <v>Cuisinière</v>
      </c>
      <c r="AI223" s="191" t="str">
        <f>'1_BD questio brut'!AG223</f>
        <v>1</v>
      </c>
      <c r="AJ223" s="191" t="str">
        <f>'1_BD questio brut'!AH223</f>
        <v/>
      </c>
      <c r="AK223" s="191" t="str">
        <f>'1_BD questio brut'!AI223</f>
        <v>Chauffage d'appoint</v>
      </c>
      <c r="AL223" s="191" t="str">
        <f>'1_BD questio brut'!AJ223</f>
        <v>Pas de réponse</v>
      </c>
      <c r="AM223" s="191" t="str">
        <f>'1_BD questio brut'!AK223</f>
        <v>1; 4; 5; 6</v>
      </c>
      <c r="AN223" s="191" t="str">
        <f>'1_BD questio brut'!AL223</f>
        <v>remplacer un appareil trop vieux</v>
      </c>
      <c r="AO223" s="191" t="str">
        <f>'1_BD questio brut'!AM223</f>
        <v>7</v>
      </c>
      <c r="AP223" s="191" t="str">
        <f>'1_BD questio brut'!AN223</f>
        <v/>
      </c>
      <c r="AQ223" s="191" t="str">
        <f>'1_BD questio brut'!AO223</f>
        <v/>
      </c>
    </row>
    <row r="224" spans="1:43" ht="43.5" hidden="1">
      <c r="A224" s="98">
        <f>INDEX('3_BD instruction total'!A:A,MATCH(C224,'3_BD instruction total'!F:F,0))</f>
        <v>2021</v>
      </c>
      <c r="B224" s="98" t="str">
        <f>INDEX('3_BD instruction total'!C:C,MATCH(C224,'3_BD instruction total'!F:F,0))</f>
        <v>non</v>
      </c>
      <c r="C224" s="191" t="str">
        <f>'1_BD questio brut'!A224</f>
        <v>VRB0234</v>
      </c>
      <c r="D224" s="191" t="str">
        <f t="array" ref="D224">INDEX('Données 1_BD questio'!C:C,MATCH('1_BD questio brut'!$B$1&amp;'1_BD questio brut'!B224,'Données 1_BD questio'!A:A&amp;'Données 1_BD questio'!B:B,0))</f>
        <v>CAPV</v>
      </c>
      <c r="E224" s="191" t="str">
        <f t="array" ref="E224">INDEX('Données 1_BD questio'!C:C,MATCH('1_BD questio brut'!$C$1&amp;'1_BD questio brut'!C224,'Données 1_BD questio'!A:A&amp;'Données 1_BD questio'!B:B,0))</f>
        <v>Employé</v>
      </c>
      <c r="F224" s="191" t="str">
        <f t="array" ref="F224">INDEX('Données 1_BD questio'!C:C,MATCH('1_BD questio brut'!$D$1&amp;'1_BD questio brut'!D224,'Données 1_BD questio'!A:A&amp;'Données 1_BD questio'!B:B,0))</f>
        <v>Employé</v>
      </c>
      <c r="G224" s="191" t="str">
        <f>'1_BD questio brut'!E224</f>
        <v>50 à 64 ans</v>
      </c>
      <c r="H224" s="191">
        <f>'1_BD questio brut'!F224</f>
        <v>3</v>
      </c>
      <c r="I224" s="191" t="str">
        <f>'1_BD questio brut'!G224</f>
        <v>Pas de réponse</v>
      </c>
      <c r="J224" s="191" t="str">
        <f t="array" ref="J224">INDEX('Données 1_BD questio'!C:C,MATCH('1_BD questio brut'!$H$1&amp;'1_BD questio brut'!H224,'Données 1_BD questio'!A:A&amp;'Données 1_BD questio'!B:B,0))</f>
        <v>Maison avec jardin</v>
      </c>
      <c r="K224" s="191">
        <f>'1_BD questio brut'!I224</f>
        <v>140</v>
      </c>
      <c r="L224" s="191" t="str">
        <f>'1_BD questio brut'!J224</f>
        <v>Avant 1949</v>
      </c>
      <c r="M224" s="191" t="str">
        <f>'1_BD questio brut'!K224</f>
        <v>4</v>
      </c>
      <c r="N224" s="191" t="str">
        <f>'1_BD questio brut'!L224</f>
        <v>Pas de réponse</v>
      </c>
      <c r="O224" s="191" t="str">
        <f>'1_BD questio brut'!M224</f>
        <v>Propriétaire occupant</v>
      </c>
      <c r="P224" s="191" t="str">
        <f>'1_BD questio brut'!N224</f>
        <v>Insert / foyer fermé</v>
      </c>
      <c r="Q224" s="191" t="str">
        <f>'1_BD questio brut'!O224</f>
        <v>Chauffage de base</v>
      </c>
      <c r="R224" s="191" t="str">
        <f>'1_BD questio brut'!P224</f>
        <v>Tous les jours</v>
      </c>
      <c r="S224" s="191" t="str">
        <f>'1_BD questio brut'!Q224</f>
        <v>1; 2; 3</v>
      </c>
      <c r="T224" s="191" t="str">
        <f>'1_BD questio brut'!R224</f>
        <v>Avant 1990</v>
      </c>
      <c r="U224" s="191" t="str">
        <f>'1_BD questio brut'!S224</f>
        <v>Bois bûche</v>
      </c>
      <c r="V224" s="191" t="str">
        <f>'1_BD questio brut'!T224</f>
        <v/>
      </c>
      <c r="W224" s="191" t="str">
        <f>'1_BD questio brut'!U224</f>
        <v>3</v>
      </c>
      <c r="X224" s="191" t="str">
        <f>'1_BD questio brut'!V224</f>
        <v>stere</v>
      </c>
      <c r="Y224" s="191" t="str">
        <f>'1_BD questio brut'!W224</f>
        <v>1</v>
      </c>
      <c r="Z224" s="191" t="str">
        <f>'1_BD questio brut'!X224</f>
        <v/>
      </c>
      <c r="AA224" s="191" t="str">
        <f t="array" ref="AA224">INDEX('Données 1_BD questio'!C:C,MATCH('1_BD questio brut'!$Y$1&amp;'1_BD questio brut'!Y224,'Données 1_BD questio'!A:A&amp;'Données 1_BD questio'!B:B,0))</f>
        <v>Pas de réponse</v>
      </c>
      <c r="AB224" s="191" t="str">
        <f>'1_BD questio brut'!Z224</f>
        <v>1</v>
      </c>
      <c r="AC224" s="191" t="str">
        <f>'1_BD questio brut'!AA224</f>
        <v>1 à 2 ans</v>
      </c>
      <c r="AD224" s="191" t="str">
        <f>'1_BD questio brut'!AB224</f>
        <v>Feuillus</v>
      </c>
      <c r="AE224" s="191" t="str">
        <f t="array" ref="AE224">INDEX('Données 1_BD questio'!C:C,MATCH('1_BD questio brut'!$AC$1&amp;'1_BD questio brut'!AC224,'Données 1_BD questio'!A:A&amp;'Données 1_BD questio'!B:B,0))</f>
        <v>un professionnel</v>
      </c>
      <c r="AF224" s="191" t="str">
        <f>'1_BD questio brut'!AD224</f>
        <v>2 fois par an</v>
      </c>
      <c r="AG224" s="191" t="str">
        <f>'1_BD questio brut'!AE224</f>
        <v/>
      </c>
      <c r="AH224" s="191" t="str">
        <f>'1_BD questio brut'!AF224</f>
        <v>Poêle</v>
      </c>
      <c r="AI224" s="191" t="str">
        <f>'1_BD questio brut'!AG224</f>
        <v>2</v>
      </c>
      <c r="AJ224" s="191" t="str">
        <f>'1_BD questio brut'!AH224</f>
        <v/>
      </c>
      <c r="AK224" s="191" t="str">
        <f>'1_BD questio brut'!AI224</f>
        <v>Chauffage de base</v>
      </c>
      <c r="AL224" s="191" t="str">
        <f>'1_BD questio brut'!AJ224</f>
        <v>Pas de réponse</v>
      </c>
      <c r="AM224" s="191" t="str">
        <f>'1_BD questio brut'!AK224</f>
        <v>4; 5</v>
      </c>
      <c r="AN224" s="191" t="str">
        <f>'1_BD questio brut'!AL224</f>
        <v/>
      </c>
      <c r="AO224" s="191" t="str">
        <f>'1_BD questio brut'!AM224</f>
        <v>5; 7</v>
      </c>
      <c r="AP224" s="191" t="str">
        <f>'1_BD questio brut'!AN224</f>
        <v/>
      </c>
      <c r="AQ224" s="191" t="str">
        <f>'1_BD questio brut'!AO224</f>
        <v/>
      </c>
    </row>
    <row r="225" spans="1:43" ht="58" hidden="1">
      <c r="A225" s="98">
        <f>INDEX('3_BD instruction total'!A:A,MATCH(C225,'3_BD instruction total'!F:F,0))</f>
        <v>2021</v>
      </c>
      <c r="B225" s="98" t="str">
        <f>INDEX('3_BD instruction total'!C:C,MATCH(C225,'3_BD instruction total'!F:F,0))</f>
        <v>non</v>
      </c>
      <c r="C225" s="191" t="str">
        <f>'1_BD questio brut'!A225</f>
        <v>VRB0235</v>
      </c>
      <c r="D225" s="191" t="str">
        <f t="array" ref="D225">INDEX('Données 1_BD questio'!C:C,MATCH('1_BD questio brut'!$B$1&amp;'1_BD questio brut'!B225,'Données 1_BD questio'!A:A&amp;'Données 1_BD questio'!B:B,0))</f>
        <v>CAPV</v>
      </c>
      <c r="E225" s="191" t="str">
        <f t="array" ref="E225">INDEX('Données 1_BD questio'!C:C,MATCH('1_BD questio brut'!$C$1&amp;'1_BD questio brut'!C225,'Données 1_BD questio'!A:A&amp;'Données 1_BD questio'!B:B,0))</f>
        <v>Ouvrier</v>
      </c>
      <c r="F225" s="191" t="str">
        <f t="array" ref="F225">INDEX('Données 1_BD questio'!C:C,MATCH('1_BD questio brut'!$D$1&amp;'1_BD questio brut'!D225,'Données 1_BD questio'!A:A&amp;'Données 1_BD questio'!B:B,0))</f>
        <v>Ouvrier</v>
      </c>
      <c r="G225" s="191" t="str">
        <f>'1_BD questio brut'!E225</f>
        <v>25 à 34 ans</v>
      </c>
      <c r="H225" s="191">
        <f>'1_BD questio brut'!F225</f>
        <v>4</v>
      </c>
      <c r="I225" s="191" t="str">
        <f>'1_BD questio brut'!G225</f>
        <v>Pas de réponse</v>
      </c>
      <c r="J225" s="191" t="str">
        <f t="array" ref="J225">INDEX('Données 1_BD questio'!C:C,MATCH('1_BD questio brut'!$H$1&amp;'1_BD questio brut'!H225,'Données 1_BD questio'!A:A&amp;'Données 1_BD questio'!B:B,0))</f>
        <v>Maison avec jardin</v>
      </c>
      <c r="K225" s="191">
        <f>'1_BD questio brut'!I225</f>
        <v>145</v>
      </c>
      <c r="L225" s="191" t="str">
        <f>'1_BD questio brut'!J225</f>
        <v>1990-2005</v>
      </c>
      <c r="M225" s="191" t="str">
        <f>'1_BD questio brut'!K225</f>
        <v>6</v>
      </c>
      <c r="N225" s="191" t="str">
        <f>'1_BD questio brut'!L225</f>
        <v>Pas de réponse</v>
      </c>
      <c r="O225" s="191" t="str">
        <f>'1_BD questio brut'!M225</f>
        <v>Propriétaire occupant</v>
      </c>
      <c r="P225" s="191" t="str">
        <f>'1_BD questio brut'!N225</f>
        <v>Insert / foyer fermé</v>
      </c>
      <c r="Q225" s="191" t="str">
        <f>'1_BD questio brut'!O225</f>
        <v>Chauffage de base</v>
      </c>
      <c r="R225" s="191" t="str">
        <f>'1_BD questio brut'!P225</f>
        <v>Tous les jours</v>
      </c>
      <c r="S225" s="191" t="str">
        <f>'1_BD questio brut'!Q225</f>
        <v>1; 2</v>
      </c>
      <c r="T225" s="191" t="str">
        <f>'1_BD questio brut'!R225</f>
        <v>1990-1995</v>
      </c>
      <c r="U225" s="191" t="str">
        <f>'1_BD questio brut'!S225</f>
        <v>Bois bûche</v>
      </c>
      <c r="V225" s="191" t="str">
        <f>'1_BD questio brut'!T225</f>
        <v/>
      </c>
      <c r="W225" s="191" t="str">
        <f>'1_BD questio brut'!U225</f>
        <v>7</v>
      </c>
      <c r="X225" s="191" t="str">
        <f>'1_BD questio brut'!V225</f>
        <v>m3</v>
      </c>
      <c r="Y225" s="191" t="str">
        <f>'1_BD questio brut'!W225</f>
        <v>5</v>
      </c>
      <c r="Z225" s="191" t="str">
        <f>'1_BD questio brut'!X225</f>
        <v/>
      </c>
      <c r="AA225" s="191" t="str">
        <f t="array" ref="AA225">INDEX('Données 1_BD questio'!C:C,MATCH('1_BD questio brut'!$Y$1&amp;'1_BD questio brut'!Y225,'Données 1_BD questio'!A:A&amp;'Données 1_BD questio'!B:B,0))</f>
        <v>RA2B</v>
      </c>
      <c r="AB225" s="191" t="str">
        <f>'1_BD questio brut'!Z225</f>
        <v>2</v>
      </c>
      <c r="AC225" s="191" t="str">
        <f>'1_BD questio brut'!AA225</f>
        <v>1 à 2 ans</v>
      </c>
      <c r="AD225" s="191" t="str">
        <f>'1_BD questio brut'!AB225</f>
        <v>Les deux</v>
      </c>
      <c r="AE225" s="191" t="str">
        <f t="array" ref="AE225">INDEX('Données 1_BD questio'!C:C,MATCH('1_BD questio brut'!$AC$1&amp;'1_BD questio brut'!AC225,'Données 1_BD questio'!A:A&amp;'Données 1_BD questio'!B:B,0))</f>
        <v>un professionnel</v>
      </c>
      <c r="AF225" s="191" t="str">
        <f>'1_BD questio brut'!AD225</f>
        <v>1 fois par an</v>
      </c>
      <c r="AG225" s="191" t="str">
        <f>'1_BD questio brut'!AE225</f>
        <v/>
      </c>
      <c r="AH225" s="191" t="str">
        <f>'1_BD questio brut'!AF225</f>
        <v>Poêle</v>
      </c>
      <c r="AI225" s="191" t="str">
        <f>'1_BD questio brut'!AG225</f>
        <v>1</v>
      </c>
      <c r="AJ225" s="191" t="str">
        <f>'1_BD questio brut'!AH225</f>
        <v/>
      </c>
      <c r="AK225" s="191" t="str">
        <f>'1_BD questio brut'!AI225</f>
        <v>Chauffage de base</v>
      </c>
      <c r="AL225" s="191" t="str">
        <f>'1_BD questio brut'!AJ225</f>
        <v>Pas de réponse</v>
      </c>
      <c r="AM225" s="191" t="str">
        <f>'1_BD questio brut'!AK225</f>
        <v>1; 2; 4; 5</v>
      </c>
      <c r="AN225" s="191" t="str">
        <f>'1_BD questio brut'!AL225</f>
        <v>gagner en performance et rendement</v>
      </c>
      <c r="AO225" s="191" t="str">
        <f>'1_BD questio brut'!AM225</f>
        <v>5</v>
      </c>
      <c r="AP225" s="191" t="str">
        <f>'1_BD questio brut'!AN225</f>
        <v/>
      </c>
      <c r="AQ225" s="191" t="str">
        <f>'1_BD questio brut'!AO225</f>
        <v/>
      </c>
    </row>
    <row r="226" spans="1:43" ht="43.5" hidden="1">
      <c r="A226" s="98">
        <f>INDEX('3_BD instruction total'!A:A,MATCH(C226,'3_BD instruction total'!F:F,0))</f>
        <v>2021</v>
      </c>
      <c r="B226" s="98" t="str">
        <f>INDEX('3_BD instruction total'!C:C,MATCH(C226,'3_BD instruction total'!F:F,0))</f>
        <v>non</v>
      </c>
      <c r="C226" s="191" t="str">
        <f>'1_BD questio brut'!A226</f>
        <v>VRB0236</v>
      </c>
      <c r="D226" s="191" t="str">
        <f t="array" ref="D226">INDEX('Données 1_BD questio'!C:C,MATCH('1_BD questio brut'!$B$1&amp;'1_BD questio brut'!B226,'Données 1_BD questio'!A:A&amp;'Données 1_BD questio'!B:B,0))</f>
        <v>CAPV</v>
      </c>
      <c r="E226" s="191" t="str">
        <f t="array" ref="E226">INDEX('Données 1_BD questio'!C:C,MATCH('1_BD questio brut'!$C$1&amp;'1_BD questio brut'!C226,'Données 1_BD questio'!A:A&amp;'Données 1_BD questio'!B:B,0))</f>
        <v>Ouvrier</v>
      </c>
      <c r="F226" s="191" t="str">
        <f t="array" ref="F226">INDEX('Données 1_BD questio'!C:C,MATCH('1_BD questio brut'!$D$1&amp;'1_BD questio brut'!D226,'Données 1_BD questio'!A:A&amp;'Données 1_BD questio'!B:B,0))</f>
        <v>Autre,sans activité</v>
      </c>
      <c r="G226" s="191" t="str">
        <f>'1_BD questio brut'!E226</f>
        <v>50 à 64 ans</v>
      </c>
      <c r="H226" s="191">
        <f>'1_BD questio brut'!F226</f>
        <v>4</v>
      </c>
      <c r="I226" s="191" t="str">
        <f>'1_BD questio brut'!G226</f>
        <v>Pas de réponse</v>
      </c>
      <c r="J226" s="191" t="str">
        <f t="array" ref="J226">INDEX('Données 1_BD questio'!C:C,MATCH('1_BD questio brut'!$H$1&amp;'1_BD questio brut'!H226,'Données 1_BD questio'!A:A&amp;'Données 1_BD questio'!B:B,0))</f>
        <v>Maison avec jardin</v>
      </c>
      <c r="K226" s="191">
        <f>'1_BD questio brut'!I226</f>
        <v>90</v>
      </c>
      <c r="L226" s="191" t="str">
        <f>'1_BD questio brut'!J226</f>
        <v>Avant 1949</v>
      </c>
      <c r="M226" s="191" t="str">
        <f>'1_BD questio brut'!K226</f>
        <v>6</v>
      </c>
      <c r="N226" s="191" t="str">
        <f>'1_BD questio brut'!L226</f>
        <v>Pas de réponse</v>
      </c>
      <c r="O226" s="191" t="str">
        <f>'1_BD questio brut'!M226</f>
        <v>Propriétaire occupant</v>
      </c>
      <c r="P226" s="191" t="str">
        <f>'1_BD questio brut'!N226</f>
        <v>Poêle</v>
      </c>
      <c r="Q226" s="191" t="str">
        <f>'1_BD questio brut'!O226</f>
        <v>Chauffage de base</v>
      </c>
      <c r="R226" s="191" t="str">
        <f>'1_BD questio brut'!P226</f>
        <v>Tous les jours</v>
      </c>
      <c r="S226" s="191" t="str">
        <f>'1_BD questio brut'!Q226</f>
        <v>4</v>
      </c>
      <c r="T226" s="191" t="str">
        <f>'1_BD questio brut'!R226</f>
        <v>1996-2002</v>
      </c>
      <c r="U226" s="191" t="str">
        <f>'1_BD questio brut'!S226</f>
        <v>Bois bûche</v>
      </c>
      <c r="V226" s="191" t="str">
        <f>'1_BD questio brut'!T226</f>
        <v/>
      </c>
      <c r="W226" s="191" t="str">
        <f>'1_BD questio brut'!U226</f>
        <v>12</v>
      </c>
      <c r="X226" s="191" t="str">
        <f>'1_BD questio brut'!V226</f>
        <v>stère</v>
      </c>
      <c r="Y226" s="191" t="str">
        <f>'1_BD questio brut'!W226</f>
        <v>2</v>
      </c>
      <c r="Z226" s="191" t="str">
        <f>'1_BD questio brut'!X226</f>
        <v/>
      </c>
      <c r="AA226" s="191" t="str">
        <f t="array" ref="AA226">INDEX('Données 1_BD questio'!C:C,MATCH('1_BD questio brut'!$Y$1&amp;'1_BD questio brut'!Y226,'Données 1_BD questio'!A:A&amp;'Données 1_BD questio'!B:B,0))</f>
        <v>Ne sait pas</v>
      </c>
      <c r="AB226" s="191" t="str">
        <f>'1_BD questio brut'!Z226</f>
        <v>2</v>
      </c>
      <c r="AC226" s="191" t="str">
        <f>'1_BD questio brut'!AA226</f>
        <v>1 à 2 ans</v>
      </c>
      <c r="AD226" s="191" t="str">
        <f>'1_BD questio brut'!AB226</f>
        <v>Feuillus</v>
      </c>
      <c r="AE226" s="191" t="str">
        <f t="array" ref="AE226">INDEX('Données 1_BD questio'!C:C,MATCH('1_BD questio brut'!$AC$1&amp;'1_BD questio brut'!AC226,'Données 1_BD questio'!A:A&amp;'Données 1_BD questio'!B:B,0))</f>
        <v>un professionnel</v>
      </c>
      <c r="AF226" s="191" t="str">
        <f>'1_BD questio brut'!AD226</f>
        <v>2 fois par an</v>
      </c>
      <c r="AG226" s="191" t="str">
        <f>'1_BD questio brut'!AE226</f>
        <v/>
      </c>
      <c r="AH226" s="191" t="str">
        <f>'1_BD questio brut'!AF226</f>
        <v>Poêle</v>
      </c>
      <c r="AI226" s="191" t="str">
        <f>'1_BD questio brut'!AG226</f>
        <v>2</v>
      </c>
      <c r="AJ226" s="191" t="str">
        <f>'1_BD questio brut'!AH226</f>
        <v/>
      </c>
      <c r="AK226" s="191" t="str">
        <f>'1_BD questio brut'!AI226</f>
        <v>Chauffage de base</v>
      </c>
      <c r="AL226" s="191" t="str">
        <f>'1_BD questio brut'!AJ226</f>
        <v>Pas de réponse</v>
      </c>
      <c r="AM226" s="191" t="str">
        <f>'1_BD questio brut'!AK226</f>
        <v>2; 5</v>
      </c>
      <c r="AN226" s="191" t="str">
        <f>'1_BD questio brut'!AL226</f>
        <v/>
      </c>
      <c r="AO226" s="191" t="str">
        <f>'1_BD questio brut'!AM226</f>
        <v>7; 11</v>
      </c>
      <c r="AP226" s="191" t="str">
        <f>'1_BD questio brut'!AN226</f>
        <v/>
      </c>
      <c r="AQ226" s="191" t="str">
        <f>'1_BD questio brut'!AO226</f>
        <v/>
      </c>
    </row>
    <row r="227" spans="1:43" ht="43.5" hidden="1">
      <c r="A227" s="98">
        <f>INDEX('3_BD instruction total'!A:A,MATCH(C227,'3_BD instruction total'!F:F,0))</f>
        <v>2021</v>
      </c>
      <c r="B227" s="98" t="str">
        <f>INDEX('3_BD instruction total'!C:C,MATCH(C227,'3_BD instruction total'!F:F,0))</f>
        <v>oui</v>
      </c>
      <c r="C227" s="191" t="str">
        <f>'1_BD questio brut'!A227</f>
        <v>VRB0237</v>
      </c>
      <c r="D227" s="191" t="str">
        <f t="array" ref="D227">INDEX('Données 1_BD questio'!C:C,MATCH('1_BD questio brut'!$B$1&amp;'1_BD questio brut'!B227,'Données 1_BD questio'!A:A&amp;'Données 1_BD questio'!B:B,0))</f>
        <v>CAPV</v>
      </c>
      <c r="E227" s="191" t="str">
        <f t="array" ref="E227">INDEX('Données 1_BD questio'!C:C,MATCH('1_BD questio brut'!$C$1&amp;'1_BD questio brut'!C227,'Données 1_BD questio'!A:A&amp;'Données 1_BD questio'!B:B,0))</f>
        <v>Retraité</v>
      </c>
      <c r="F227" s="191" t="str">
        <f t="array" ref="F227">INDEX('Données 1_BD questio'!C:C,MATCH('1_BD questio brut'!$D$1&amp;'1_BD questio brut'!D227,'Données 1_BD questio'!A:A&amp;'Données 1_BD questio'!B:B,0))</f>
        <v>Pas de réponse</v>
      </c>
      <c r="G227" s="191" t="str">
        <f>'1_BD questio brut'!E227</f>
        <v>65 ans et plus</v>
      </c>
      <c r="H227" s="191">
        <f>'1_BD questio brut'!F227</f>
        <v>1</v>
      </c>
      <c r="I227" s="191" t="str">
        <f>'1_BD questio brut'!G227</f>
        <v>Pas de réponse</v>
      </c>
      <c r="J227" s="191" t="str">
        <f t="array" ref="J227">INDEX('Données 1_BD questio'!C:C,MATCH('1_BD questio brut'!$H$1&amp;'1_BD questio brut'!H227,'Données 1_BD questio'!A:A&amp;'Données 1_BD questio'!B:B,0))</f>
        <v>Maison avec jardin</v>
      </c>
      <c r="K227" s="191">
        <f>'1_BD questio brut'!I227</f>
        <v>130</v>
      </c>
      <c r="L227" s="191" t="str">
        <f>'1_BD questio brut'!J227</f>
        <v>Avant 1949</v>
      </c>
      <c r="M227" s="191" t="str">
        <f>'1_BD questio brut'!K227</f>
        <v>6</v>
      </c>
      <c r="N227" s="191" t="str">
        <f>'1_BD questio brut'!L227</f>
        <v>Pas de réponse</v>
      </c>
      <c r="O227" s="191" t="str">
        <f>'1_BD questio brut'!M227</f>
        <v>Occupant à titre gratuit</v>
      </c>
      <c r="P227" s="191" t="str">
        <f>'1_BD questio brut'!N227</f>
        <v>Cuisinière</v>
      </c>
      <c r="Q227" s="191" t="str">
        <f>'1_BD questio brut'!O227</f>
        <v>Chauffage de base</v>
      </c>
      <c r="R227" s="191" t="str">
        <f>'1_BD questio brut'!P227</f>
        <v>Tous les jours</v>
      </c>
      <c r="S227" s="191" t="str">
        <f>'1_BD questio brut'!Q227</f>
        <v>4; 5</v>
      </c>
      <c r="T227" s="191" t="str">
        <f>'1_BD questio brut'!R227</f>
        <v>Avant 1990</v>
      </c>
      <c r="U227" s="191" t="str">
        <f>'1_BD questio brut'!S227</f>
        <v>Bois bûche</v>
      </c>
      <c r="V227" s="191" t="str">
        <f>'1_BD questio brut'!T227</f>
        <v/>
      </c>
      <c r="W227" s="191" t="str">
        <f>'1_BD questio brut'!U227</f>
        <v>7,5</v>
      </c>
      <c r="X227" s="191" t="str">
        <f>'1_BD questio brut'!V227</f>
        <v>stère</v>
      </c>
      <c r="Y227" s="191" t="str">
        <f>'1_BD questio brut'!W227</f>
        <v>1; 2</v>
      </c>
      <c r="Z227" s="191" t="str">
        <f>'1_BD questio brut'!X227</f>
        <v/>
      </c>
      <c r="AA227" s="191" t="str">
        <f t="array" ref="AA227">INDEX('Données 1_BD questio'!C:C,MATCH('1_BD questio brut'!$Y$1&amp;'1_BD questio brut'!Y227,'Données 1_BD questio'!A:A&amp;'Données 1_BD questio'!B:B,0))</f>
        <v>Rhône-Alpes hors RA2B</v>
      </c>
      <c r="AB227" s="191" t="str">
        <f>'1_BD questio brut'!Z227</f>
        <v>2</v>
      </c>
      <c r="AC227" s="191" t="str">
        <f>'1_BD questio brut'!AA227</f>
        <v>&gt; 2 ans</v>
      </c>
      <c r="AD227" s="191" t="str">
        <f>'1_BD questio brut'!AB227</f>
        <v>Feuillus</v>
      </c>
      <c r="AE227" s="191" t="str">
        <f t="array" ref="AE227">INDEX('Données 1_BD questio'!C:C,MATCH('1_BD questio brut'!$AC$1&amp;'1_BD questio brut'!AC227,'Données 1_BD questio'!A:A&amp;'Données 1_BD questio'!B:B,0))</f>
        <v>un professionnel</v>
      </c>
      <c r="AF227" s="191" t="str">
        <f>'1_BD questio brut'!AD227</f>
        <v>1 fois par an</v>
      </c>
      <c r="AG227" s="191" t="str">
        <f>'1_BD questio brut'!AE227</f>
        <v/>
      </c>
      <c r="AH227" s="191" t="str">
        <f>'1_BD questio brut'!AF227</f>
        <v>Poêle</v>
      </c>
      <c r="AI227" s="191" t="str">
        <f>'1_BD questio brut'!AG227</f>
        <v>1</v>
      </c>
      <c r="AJ227" s="191" t="str">
        <f>'1_BD questio brut'!AH227</f>
        <v/>
      </c>
      <c r="AK227" s="191" t="str">
        <f>'1_BD questio brut'!AI227</f>
        <v>Chauffage de base</v>
      </c>
      <c r="AL227" s="191" t="str">
        <f>'1_BD questio brut'!AJ227</f>
        <v>Pas de réponse</v>
      </c>
      <c r="AM227" s="191" t="str">
        <f>'1_BD questio brut'!AK227</f>
        <v>2</v>
      </c>
      <c r="AN227" s="191" t="str">
        <f>'1_BD questio brut'!AL227</f>
        <v/>
      </c>
      <c r="AO227" s="191" t="str">
        <f>'1_BD questio brut'!AM227</f>
        <v>2; 7</v>
      </c>
      <c r="AP227" s="191" t="str">
        <f>'1_BD questio brut'!AN227</f>
        <v/>
      </c>
      <c r="AQ227" s="191" t="str">
        <f>'1_BD questio brut'!AO227</f>
        <v/>
      </c>
    </row>
    <row r="228" spans="1:43" ht="29" hidden="1">
      <c r="A228" s="98">
        <f>INDEX('3_BD instruction total'!A:A,MATCH(C228,'3_BD instruction total'!F:F,0))</f>
        <v>2021</v>
      </c>
      <c r="B228" s="98" t="str">
        <f>INDEX('3_BD instruction total'!C:C,MATCH(C228,'3_BD instruction total'!F:F,0))</f>
        <v>oui</v>
      </c>
      <c r="C228" s="191" t="str">
        <f>'1_BD questio brut'!A228</f>
        <v>VRB0238</v>
      </c>
      <c r="D228" s="191" t="str">
        <f t="array" ref="D228">INDEX('Données 1_BD questio'!C:C,MATCH('1_BD questio brut'!$B$1&amp;'1_BD questio brut'!B228,'Données 1_BD questio'!A:A&amp;'Données 1_BD questio'!B:B,0))</f>
        <v>CAPV</v>
      </c>
      <c r="E228" s="191" t="str">
        <f t="array" ref="E228">INDEX('Données 1_BD questio'!C:C,MATCH('1_BD questio brut'!$C$1&amp;'1_BD questio brut'!C228,'Données 1_BD questio'!A:A&amp;'Données 1_BD questio'!B:B,0))</f>
        <v>Employé</v>
      </c>
      <c r="F228" s="191" t="str">
        <f t="array" ref="F228">INDEX('Données 1_BD questio'!C:C,MATCH('1_BD questio brut'!$D$1&amp;'1_BD questio brut'!D228,'Données 1_BD questio'!A:A&amp;'Données 1_BD questio'!B:B,0))</f>
        <v>Pas de réponse</v>
      </c>
      <c r="G228" s="191" t="str">
        <f>'1_BD questio brut'!E228</f>
        <v>35 à 49 ans</v>
      </c>
      <c r="H228" s="191">
        <f>'1_BD questio brut'!F228</f>
        <v>2</v>
      </c>
      <c r="I228" s="191" t="str">
        <f>'1_BD questio brut'!G228</f>
        <v>Pas de réponse</v>
      </c>
      <c r="J228" s="191" t="str">
        <f t="array" ref="J228">INDEX('Données 1_BD questio'!C:C,MATCH('1_BD questio brut'!$H$1&amp;'1_BD questio brut'!H228,'Données 1_BD questio'!A:A&amp;'Données 1_BD questio'!B:B,0))</f>
        <v>Maison avec jardin</v>
      </c>
      <c r="K228" s="191">
        <f>'1_BD questio brut'!I228</f>
        <v>78</v>
      </c>
      <c r="L228" s="191" t="str">
        <f>'1_BD questio brut'!J228</f>
        <v>Avant 1949</v>
      </c>
      <c r="M228" s="191" t="str">
        <f>'1_BD questio brut'!K228</f>
        <v>4</v>
      </c>
      <c r="N228" s="191" t="str">
        <f>'1_BD questio brut'!L228</f>
        <v>G</v>
      </c>
      <c r="O228" s="191" t="str">
        <f>'1_BD questio brut'!M228</f>
        <v>Propriétaire occupant</v>
      </c>
      <c r="P228" s="191" t="str">
        <f>'1_BD questio brut'!N228</f>
        <v>Foyer ouvert</v>
      </c>
      <c r="Q228" s="191" t="str">
        <f>'1_BD questio brut'!O228</f>
        <v>Chauffage d'apoint</v>
      </c>
      <c r="R228" s="191" t="str">
        <f>'1_BD questio brut'!P228</f>
        <v>Moins de 15 fois par an</v>
      </c>
      <c r="S228" s="191" t="str">
        <f>'1_BD questio brut'!Q228</f>
        <v>1</v>
      </c>
      <c r="T228" s="191" t="str">
        <f>'1_BD questio brut'!R228</f>
        <v>Avant 1990</v>
      </c>
      <c r="U228" s="191" t="str">
        <f>'1_BD questio brut'!S228</f>
        <v>Bois bûche</v>
      </c>
      <c r="V228" s="191" t="str">
        <f>'1_BD questio brut'!T228</f>
        <v/>
      </c>
      <c r="W228" s="191" t="str">
        <f>'1_BD questio brut'!U228</f>
        <v>5</v>
      </c>
      <c r="X228" s="191" t="str">
        <f>'1_BD questio brut'!V228</f>
        <v>stère</v>
      </c>
      <c r="Y228" s="191" t="str">
        <f>'1_BD questio brut'!W228</f>
        <v>1</v>
      </c>
      <c r="Z228" s="191" t="str">
        <f>'1_BD questio brut'!X228</f>
        <v/>
      </c>
      <c r="AA228" s="191" t="str">
        <f t="array" ref="AA228">INDEX('Données 1_BD questio'!C:C,MATCH('1_BD questio brut'!$Y$1&amp;'1_BD questio brut'!Y228,'Données 1_BD questio'!A:A&amp;'Données 1_BD questio'!B:B,0))</f>
        <v>Rhône-Alpes hors RA2B</v>
      </c>
      <c r="AB228" s="191" t="str">
        <f>'1_BD questio brut'!Z228</f>
        <v>1</v>
      </c>
      <c r="AC228" s="191" t="str">
        <f>'1_BD questio brut'!AA228</f>
        <v>&lt; 1 an</v>
      </c>
      <c r="AD228" s="191" t="str">
        <f>'1_BD questio brut'!AB228</f>
        <v>Résineux</v>
      </c>
      <c r="AE228" s="191" t="str">
        <f t="array" ref="AE228">INDEX('Données 1_BD questio'!C:C,MATCH('1_BD questio brut'!$AC$1&amp;'1_BD questio brut'!AC228,'Données 1_BD questio'!A:A&amp;'Données 1_BD questio'!B:B,0))</f>
        <v>vous-même</v>
      </c>
      <c r="AF228" s="191" t="str">
        <f>'1_BD questio brut'!AD228</f>
        <v>1 fois tous les 2 ans</v>
      </c>
      <c r="AG228" s="191" t="str">
        <f>'1_BD questio brut'!AE228</f>
        <v/>
      </c>
      <c r="AH228" s="191" t="str">
        <f>'1_BD questio brut'!AF228</f>
        <v>Pas de réponse</v>
      </c>
      <c r="AI228" s="191" t="str">
        <f>'1_BD questio brut'!AG228</f>
        <v>2</v>
      </c>
      <c r="AJ228" s="191" t="str">
        <f>'1_BD questio brut'!AH228</f>
        <v/>
      </c>
      <c r="AK228" s="191" t="str">
        <f>'1_BD questio brut'!AI228</f>
        <v>Chauffage de base</v>
      </c>
      <c r="AL228" s="191" t="str">
        <f>'1_BD questio brut'!AJ228</f>
        <v>Pas de réponse</v>
      </c>
      <c r="AM228" s="191" t="str">
        <f>'1_BD questio brut'!AK228</f>
        <v>4; 5</v>
      </c>
      <c r="AN228" s="191" t="str">
        <f>'1_BD questio brut'!AL228</f>
        <v/>
      </c>
      <c r="AO228" s="191" t="str">
        <f>'1_BD questio brut'!AM228</f>
        <v>1</v>
      </c>
      <c r="AP228" s="191" t="str">
        <f>'1_BD questio brut'!AN228</f>
        <v/>
      </c>
      <c r="AQ228" s="191" t="str">
        <f>'1_BD questio brut'!AO228</f>
        <v/>
      </c>
    </row>
    <row r="229" spans="1:43" ht="43.5" hidden="1">
      <c r="A229" s="98">
        <f>INDEX('3_BD instruction total'!A:A,MATCH(C229,'3_BD instruction total'!F:F,0))</f>
        <v>2021</v>
      </c>
      <c r="B229" s="98" t="str">
        <f>INDEX('3_BD instruction total'!C:C,MATCH(C229,'3_BD instruction total'!F:F,0))</f>
        <v>non</v>
      </c>
      <c r="C229" s="191" t="str">
        <f>'1_BD questio brut'!A229</f>
        <v>VRB0239</v>
      </c>
      <c r="D229" s="191" t="str">
        <f t="array" ref="D229">INDEX('Données 1_BD questio'!C:C,MATCH('1_BD questio brut'!$B$1&amp;'1_BD questio brut'!B229,'Données 1_BD questio'!A:A&amp;'Données 1_BD questio'!B:B,0))</f>
        <v>CAPV</v>
      </c>
      <c r="E229" s="191" t="str">
        <f t="array" ref="E229">INDEX('Données 1_BD questio'!C:C,MATCH('1_BD questio brut'!$C$1&amp;'1_BD questio brut'!C229,'Données 1_BD questio'!A:A&amp;'Données 1_BD questio'!B:B,0))</f>
        <v>Retraité</v>
      </c>
      <c r="F229" s="191" t="str">
        <f t="array" ref="F229">INDEX('Données 1_BD questio'!C:C,MATCH('1_BD questio brut'!$D$1&amp;'1_BD questio brut'!D229,'Données 1_BD questio'!A:A&amp;'Données 1_BD questio'!B:B,0))</f>
        <v>Pas de réponse</v>
      </c>
      <c r="G229" s="191" t="str">
        <f>'1_BD questio brut'!E229</f>
        <v>50 à 64 ans</v>
      </c>
      <c r="H229" s="191">
        <f>'1_BD questio brut'!F229</f>
        <v>1</v>
      </c>
      <c r="I229" s="191" t="str">
        <f>'1_BD questio brut'!G229</f>
        <v>Pas de réponse</v>
      </c>
      <c r="J229" s="191" t="str">
        <f t="array" ref="J229">INDEX('Données 1_BD questio'!C:C,MATCH('1_BD questio brut'!$H$1&amp;'1_BD questio brut'!H229,'Données 1_BD questio'!A:A&amp;'Données 1_BD questio'!B:B,0))</f>
        <v>Maison avec jardin</v>
      </c>
      <c r="K229" s="191">
        <f>'1_BD questio brut'!I229</f>
        <v>150</v>
      </c>
      <c r="L229" s="191" t="str">
        <f>'1_BD questio brut'!J229</f>
        <v>Avant 1949</v>
      </c>
      <c r="M229" s="191" t="str">
        <f>'1_BD questio brut'!K229</f>
        <v>1; 3; 4</v>
      </c>
      <c r="N229" s="191" t="str">
        <f>'1_BD questio brut'!L229</f>
        <v>Pas de réponse</v>
      </c>
      <c r="O229" s="191" t="str">
        <f>'1_BD questio brut'!M229</f>
        <v>Propriétaire occupant</v>
      </c>
      <c r="P229" s="191" t="str">
        <f>'1_BD questio brut'!N229</f>
        <v>Insert / foyer fermé</v>
      </c>
      <c r="Q229" s="191" t="str">
        <f>'1_BD questio brut'!O229</f>
        <v>Chauffage de base</v>
      </c>
      <c r="R229" s="191" t="str">
        <f>'1_BD questio brut'!P229</f>
        <v>Tous les jours</v>
      </c>
      <c r="S229" s="191" t="str">
        <f>'1_BD questio brut'!Q229</f>
        <v>1; 2</v>
      </c>
      <c r="T229" s="191" t="str">
        <f>'1_BD questio brut'!R229</f>
        <v>Avant 1990</v>
      </c>
      <c r="U229" s="191" t="str">
        <f>'1_BD questio brut'!S229</f>
        <v>Bois bûche</v>
      </c>
      <c r="V229" s="191" t="str">
        <f>'1_BD questio brut'!T229</f>
        <v/>
      </c>
      <c r="W229" s="191" t="str">
        <f>'1_BD questio brut'!U229</f>
        <v>10</v>
      </c>
      <c r="X229" s="191" t="str">
        <f>'1_BD questio brut'!V229</f>
        <v>stère</v>
      </c>
      <c r="Y229" s="191" t="str">
        <f>'1_BD questio brut'!W229</f>
        <v>5</v>
      </c>
      <c r="Z229" s="191" t="str">
        <f>'1_BD questio brut'!X229</f>
        <v/>
      </c>
      <c r="AA229" s="191" t="e">
        <f t="array" ref="AA229">INDEX('Données 1_BD questio'!C:C,MATCH('1_BD questio brut'!$Y$1&amp;'1_BD questio brut'!Y229,'Données 1_BD questio'!A:A&amp;'Données 1_BD questio'!B:B,0))</f>
        <v>#N/A</v>
      </c>
      <c r="AB229" s="191" t="str">
        <f>'1_BD questio brut'!Z229</f>
        <v>2</v>
      </c>
      <c r="AC229" s="191" t="str">
        <f>'1_BD questio brut'!AA229</f>
        <v>&gt; 2 ans</v>
      </c>
      <c r="AD229" s="191" t="str">
        <f>'1_BD questio brut'!AB229</f>
        <v>Feuillus</v>
      </c>
      <c r="AE229" s="191" t="str">
        <f t="array" ref="AE229">INDEX('Données 1_BD questio'!C:C,MATCH('1_BD questio brut'!$AC$1&amp;'1_BD questio brut'!AC229,'Données 1_BD questio'!A:A&amp;'Données 1_BD questio'!B:B,0))</f>
        <v>un professionnel</v>
      </c>
      <c r="AF229" s="191" t="str">
        <f>'1_BD questio brut'!AD229</f>
        <v>1 fois par an</v>
      </c>
      <c r="AG229" s="191" t="str">
        <f>'1_BD questio brut'!AE229</f>
        <v/>
      </c>
      <c r="AH229" s="191" t="str">
        <f>'1_BD questio brut'!AF229</f>
        <v>Poêle</v>
      </c>
      <c r="AI229" s="191" t="str">
        <f>'1_BD questio brut'!AG229</f>
        <v>1</v>
      </c>
      <c r="AJ229" s="191" t="str">
        <f>'1_BD questio brut'!AH229</f>
        <v/>
      </c>
      <c r="AK229" s="191" t="str">
        <f>'1_BD questio brut'!AI229</f>
        <v>Chauffage de base</v>
      </c>
      <c r="AL229" s="191" t="str">
        <f>'1_BD questio brut'!AJ229</f>
        <v>Pas de réponse</v>
      </c>
      <c r="AM229" s="191" t="str">
        <f>'1_BD questio brut'!AK229</f>
        <v>1; 2; 4; 5</v>
      </c>
      <c r="AN229" s="191" t="str">
        <f>'1_BD questio brut'!AL229</f>
        <v/>
      </c>
      <c r="AO229" s="191" t="str">
        <f>'1_BD questio brut'!AM229</f>
        <v>5</v>
      </c>
      <c r="AP229" s="191" t="str">
        <f>'1_BD questio brut'!AN229</f>
        <v/>
      </c>
      <c r="AQ229" s="191" t="str">
        <f>'1_BD questio brut'!AO229</f>
        <v/>
      </c>
    </row>
    <row r="230" spans="1:43" ht="29" hidden="1">
      <c r="A230" s="98">
        <f>INDEX('3_BD instruction total'!A:A,MATCH(C230,'3_BD instruction total'!F:F,0))</f>
        <v>2021</v>
      </c>
      <c r="B230" s="98" t="str">
        <f>INDEX('3_BD instruction total'!C:C,MATCH(C230,'3_BD instruction total'!F:F,0))</f>
        <v>non</v>
      </c>
      <c r="C230" s="191" t="str">
        <f>'1_BD questio brut'!A230</f>
        <v>VRB0240</v>
      </c>
      <c r="D230" s="191" t="str">
        <f t="array" ref="D230">INDEX('Données 1_BD questio'!C:C,MATCH('1_BD questio brut'!$B$1&amp;'1_BD questio brut'!B230,'Données 1_BD questio'!A:A&amp;'Données 1_BD questio'!B:B,0))</f>
        <v>CAPV</v>
      </c>
      <c r="E230" s="191" t="str">
        <f t="array" ref="E230">INDEX('Données 1_BD questio'!C:C,MATCH('1_BD questio brut'!$C$1&amp;'1_BD questio brut'!C230,'Données 1_BD questio'!A:A&amp;'Données 1_BD questio'!B:B,0))</f>
        <v>Employé</v>
      </c>
      <c r="F230" s="191" t="str">
        <f t="array" ref="F230">INDEX('Données 1_BD questio'!C:C,MATCH('1_BD questio brut'!$D$1&amp;'1_BD questio brut'!D230,'Données 1_BD questio'!A:A&amp;'Données 1_BD questio'!B:B,0))</f>
        <v>Employé</v>
      </c>
      <c r="G230" s="191" t="str">
        <f>'1_BD questio brut'!E230</f>
        <v>35 à 49 ans</v>
      </c>
      <c r="H230" s="191">
        <f>'1_BD questio brut'!F230</f>
        <v>4</v>
      </c>
      <c r="I230" s="191" t="str">
        <f>'1_BD questio brut'!G230</f>
        <v>Pas de réponse</v>
      </c>
      <c r="J230" s="191" t="str">
        <f t="array" ref="J230">INDEX('Données 1_BD questio'!C:C,MATCH('1_BD questio brut'!$H$1&amp;'1_BD questio brut'!H230,'Données 1_BD questio'!A:A&amp;'Données 1_BD questio'!B:B,0))</f>
        <v>Maison avec jardin</v>
      </c>
      <c r="K230" s="191">
        <f>'1_BD questio brut'!I230</f>
        <v>150</v>
      </c>
      <c r="L230" s="191" t="str">
        <f>'1_BD questio brut'!J230</f>
        <v>1949-1975</v>
      </c>
      <c r="M230" s="191" t="str">
        <f>'1_BD questio brut'!K230</f>
        <v>4</v>
      </c>
      <c r="N230" s="191" t="str">
        <f>'1_BD questio brut'!L230</f>
        <v>Pas de réponse</v>
      </c>
      <c r="O230" s="191" t="str">
        <f>'1_BD questio brut'!M230</f>
        <v>Propriétaire occupant</v>
      </c>
      <c r="P230" s="191" t="str">
        <f>'1_BD questio brut'!N230</f>
        <v>Cuisinière</v>
      </c>
      <c r="Q230" s="191" t="str">
        <f>'1_BD questio brut'!O230</f>
        <v>Chauffage de base</v>
      </c>
      <c r="R230" s="191" t="str">
        <f>'1_BD questio brut'!P230</f>
        <v>Pas de réponse</v>
      </c>
      <c r="S230" s="191" t="str">
        <f>'1_BD questio brut'!Q230</f>
        <v>7</v>
      </c>
      <c r="T230" s="191" t="str">
        <f>'1_BD questio brut'!R230</f>
        <v>Avant 1990</v>
      </c>
      <c r="U230" s="191" t="str">
        <f>'1_BD questio brut'!S230</f>
        <v>Bois bûche</v>
      </c>
      <c r="V230" s="191" t="str">
        <f>'1_BD questio brut'!T230</f>
        <v/>
      </c>
      <c r="W230" s="191" t="str">
        <f>'1_BD questio brut'!U230</f>
        <v/>
      </c>
      <c r="X230" s="191" t="str">
        <f>'1_BD questio brut'!V230</f>
        <v/>
      </c>
      <c r="Y230" s="191" t="str">
        <f>'1_BD questio brut'!W230</f>
        <v>5</v>
      </c>
      <c r="Z230" s="191" t="str">
        <f>'1_BD questio brut'!X230</f>
        <v/>
      </c>
      <c r="AA230" s="191" t="str">
        <f t="array" ref="AA230">INDEX('Données 1_BD questio'!C:C,MATCH('1_BD questio brut'!$Y$1&amp;'1_BD questio brut'!Y230,'Données 1_BD questio'!A:A&amp;'Données 1_BD questio'!B:B,0))</f>
        <v>Pas de réponse</v>
      </c>
      <c r="AB230" s="191" t="str">
        <f>'1_BD questio brut'!Z230</f>
        <v>4</v>
      </c>
      <c r="AC230" s="191" t="str">
        <f>'1_BD questio brut'!AA230</f>
        <v>Pas de réponse</v>
      </c>
      <c r="AD230" s="191" t="str">
        <f>'1_BD questio brut'!AB230</f>
        <v>Pas de réponse</v>
      </c>
      <c r="AE230" s="191" t="str">
        <f t="array" ref="AE230">INDEX('Données 1_BD questio'!C:C,MATCH('1_BD questio brut'!$AC$1&amp;'1_BD questio brut'!AC230,'Données 1_BD questio'!A:A&amp;'Données 1_BD questio'!B:B,0))</f>
        <v>Pas de réponse</v>
      </c>
      <c r="AF230" s="191" t="str">
        <f>'1_BD questio brut'!AD230</f>
        <v>Autre, à préciser</v>
      </c>
      <c r="AG230" s="191" t="str">
        <f>'1_BD questio brut'!AE230</f>
        <v>nouveau propriétaire aout 2021</v>
      </c>
      <c r="AH230" s="191" t="str">
        <f>'1_BD questio brut'!AF230</f>
        <v>Chaudière</v>
      </c>
      <c r="AI230" s="191" t="str">
        <f>'1_BD questio brut'!AG230</f>
        <v>2</v>
      </c>
      <c r="AJ230" s="191" t="str">
        <f>'1_BD questio brut'!AH230</f>
        <v/>
      </c>
      <c r="AK230" s="191" t="str">
        <f>'1_BD questio brut'!AI230</f>
        <v>Chauffage de base</v>
      </c>
      <c r="AL230" s="191" t="str">
        <f>'1_BD questio brut'!AJ230</f>
        <v>Pas de réponse</v>
      </c>
      <c r="AM230" s="191" t="str">
        <f>'1_BD questio brut'!AK230</f>
        <v>2; 5</v>
      </c>
      <c r="AN230" s="191" t="str">
        <f>'1_BD questio brut'!AL230</f>
        <v/>
      </c>
      <c r="AO230" s="191" t="str">
        <f>'1_BD questio brut'!AM230</f>
        <v>7</v>
      </c>
      <c r="AP230" s="191" t="str">
        <f>'1_BD questio brut'!AN230</f>
        <v/>
      </c>
      <c r="AQ230" s="191" t="str">
        <f>'1_BD questio brut'!AO230</f>
        <v/>
      </c>
    </row>
    <row r="231" spans="1:43" ht="29" hidden="1">
      <c r="A231" s="98">
        <f>INDEX('3_BD instruction total'!A:A,MATCH(C231,'3_BD instruction total'!F:F,0))</f>
        <v>2021</v>
      </c>
      <c r="B231" s="98" t="str">
        <f>INDEX('3_BD instruction total'!C:C,MATCH(C231,'3_BD instruction total'!F:F,0))</f>
        <v>non</v>
      </c>
      <c r="C231" s="191" t="str">
        <f>'1_BD questio brut'!A231</f>
        <v>VRB0241</v>
      </c>
      <c r="D231" s="191" t="str">
        <f t="array" ref="D231">INDEX('Données 1_BD questio'!C:C,MATCH('1_BD questio brut'!$B$1&amp;'1_BD questio brut'!B231,'Données 1_BD questio'!A:A&amp;'Données 1_BD questio'!B:B,0))</f>
        <v>CAPV</v>
      </c>
      <c r="E231" s="191" t="str">
        <f t="array" ref="E231">INDEX('Données 1_BD questio'!C:C,MATCH('1_BD questio brut'!$C$1&amp;'1_BD questio brut'!C231,'Données 1_BD questio'!A:A&amp;'Données 1_BD questio'!B:B,0))</f>
        <v>Ouvrier</v>
      </c>
      <c r="F231" s="191" t="str">
        <f t="array" ref="F231">INDEX('Données 1_BD questio'!C:C,MATCH('1_BD questio brut'!$D$1&amp;'1_BD questio brut'!D231,'Données 1_BD questio'!A:A&amp;'Données 1_BD questio'!B:B,0))</f>
        <v>Pas de réponse</v>
      </c>
      <c r="G231" s="191" t="str">
        <f>'1_BD questio brut'!E231</f>
        <v>35 à 49 ans</v>
      </c>
      <c r="H231" s="191">
        <f>'1_BD questio brut'!F231</f>
        <v>4</v>
      </c>
      <c r="I231" s="191" t="str">
        <f>'1_BD questio brut'!G231</f>
        <v>Pas de réponse</v>
      </c>
      <c r="J231" s="191" t="str">
        <f t="array" ref="J231">INDEX('Données 1_BD questio'!C:C,MATCH('1_BD questio brut'!$H$1&amp;'1_BD questio brut'!H231,'Données 1_BD questio'!A:A&amp;'Données 1_BD questio'!B:B,0))</f>
        <v>Maison avec jardin</v>
      </c>
      <c r="K231" s="191">
        <f>'1_BD questio brut'!I231</f>
        <v>129</v>
      </c>
      <c r="L231" s="191" t="str">
        <f>'1_BD questio brut'!J231</f>
        <v>1949-1975</v>
      </c>
      <c r="M231" s="191" t="str">
        <f>'1_BD questio brut'!K231</f>
        <v>4</v>
      </c>
      <c r="N231" s="191" t="str">
        <f>'1_BD questio brut'!L231</f>
        <v>Pas de réponse</v>
      </c>
      <c r="O231" s="191" t="str">
        <f>'1_BD questio brut'!M231</f>
        <v>Propriétaire occupant</v>
      </c>
      <c r="P231" s="191" t="str">
        <f>'1_BD questio brut'!N231</f>
        <v>Cuisinière</v>
      </c>
      <c r="Q231" s="191" t="str">
        <f>'1_BD questio brut'!O231</f>
        <v>Chauffage de base</v>
      </c>
      <c r="R231" s="191" t="str">
        <f>'1_BD questio brut'!P231</f>
        <v>Tous les jours</v>
      </c>
      <c r="S231" s="191" t="str">
        <f>'1_BD questio brut'!Q231</f>
        <v>1; 2; 3</v>
      </c>
      <c r="T231" s="191" t="str">
        <f>'1_BD questio brut'!R231</f>
        <v>1996-2002</v>
      </c>
      <c r="U231" s="191" t="str">
        <f>'1_BD questio brut'!S231</f>
        <v>Bois bûche</v>
      </c>
      <c r="V231" s="191" t="str">
        <f>'1_BD questio brut'!T231</f>
        <v>et charbon</v>
      </c>
      <c r="W231" s="191" t="str">
        <f>'1_BD questio brut'!U231</f>
        <v>8</v>
      </c>
      <c r="X231" s="191" t="str">
        <f>'1_BD questio brut'!V231</f>
        <v/>
      </c>
      <c r="Y231" s="191" t="str">
        <f>'1_BD questio brut'!W231</f>
        <v>2</v>
      </c>
      <c r="Z231" s="191" t="str">
        <f>'1_BD questio brut'!X231</f>
        <v/>
      </c>
      <c r="AA231" s="191" t="str">
        <f t="array" ref="AA231">INDEX('Données 1_BD questio'!C:C,MATCH('1_BD questio brut'!$Y$1&amp;'1_BD questio brut'!Y231,'Données 1_BD questio'!A:A&amp;'Données 1_BD questio'!B:B,0))</f>
        <v>RA2B</v>
      </c>
      <c r="AB231" s="191" t="str">
        <f>'1_BD questio brut'!Z231</f>
        <v>1</v>
      </c>
      <c r="AC231" s="191" t="str">
        <f>'1_BD questio brut'!AA231</f>
        <v>&gt; 2 ans</v>
      </c>
      <c r="AD231" s="191" t="str">
        <f>'1_BD questio brut'!AB231</f>
        <v>Les deux</v>
      </c>
      <c r="AE231" s="191" t="str">
        <f t="array" ref="AE231">INDEX('Données 1_BD questio'!C:C,MATCH('1_BD questio brut'!$AC$1&amp;'1_BD questio brut'!AC231,'Données 1_BD questio'!A:A&amp;'Données 1_BD questio'!B:B,0))</f>
        <v>vous-même</v>
      </c>
      <c r="AF231" s="191" t="str">
        <f>'1_BD questio brut'!AD231</f>
        <v>2 fois par an</v>
      </c>
      <c r="AG231" s="191" t="str">
        <f>'1_BD questio brut'!AE231</f>
        <v/>
      </c>
      <c r="AH231" s="191" t="str">
        <f>'1_BD questio brut'!AF231</f>
        <v>Poêle</v>
      </c>
      <c r="AI231" s="191" t="str">
        <f>'1_BD questio brut'!AG231</f>
        <v>2</v>
      </c>
      <c r="AJ231" s="191" t="str">
        <f>'1_BD questio brut'!AH231</f>
        <v/>
      </c>
      <c r="AK231" s="191" t="str">
        <f>'1_BD questio brut'!AI231</f>
        <v>Chauffage de base</v>
      </c>
      <c r="AL231" s="191" t="str">
        <f>'1_BD questio brut'!AJ231</f>
        <v>Pas de réponse</v>
      </c>
      <c r="AM231" s="191" t="str">
        <f>'1_BD questio brut'!AK231</f>
        <v>1; 2; 4; 5</v>
      </c>
      <c r="AN231" s="191" t="str">
        <f>'1_BD questio brut'!AL231</f>
        <v/>
      </c>
      <c r="AO231" s="191" t="str">
        <f>'1_BD questio brut'!AM231</f>
        <v>5</v>
      </c>
      <c r="AP231" s="191" t="str">
        <f>'1_BD questio brut'!AN231</f>
        <v/>
      </c>
      <c r="AQ231" s="191" t="str">
        <f>'1_BD questio brut'!AO231</f>
        <v/>
      </c>
    </row>
    <row r="232" spans="1:43" ht="72.5" hidden="1">
      <c r="A232" s="98">
        <f>INDEX('3_BD instruction total'!A:A,MATCH(C232,'3_BD instruction total'!F:F,0))</f>
        <v>2021</v>
      </c>
      <c r="B232" s="98" t="str">
        <f>INDEX('3_BD instruction total'!C:C,MATCH(C232,'3_BD instruction total'!F:F,0))</f>
        <v>non</v>
      </c>
      <c r="C232" s="191" t="str">
        <f>'1_BD questio brut'!A232</f>
        <v>VRB0242</v>
      </c>
      <c r="D232" s="191" t="str">
        <f t="array" ref="D232">INDEX('Données 1_BD questio'!C:C,MATCH('1_BD questio brut'!$B$1&amp;'1_BD questio brut'!B232,'Données 1_BD questio'!A:A&amp;'Données 1_BD questio'!B:B,0))</f>
        <v>CAPV</v>
      </c>
      <c r="E232" s="191" t="str">
        <f t="array" ref="E232">INDEX('Données 1_BD questio'!C:C,MATCH('1_BD questio brut'!$C$1&amp;'1_BD questio brut'!C232,'Données 1_BD questio'!A:A&amp;'Données 1_BD questio'!B:B,0))</f>
        <v>Cadre</v>
      </c>
      <c r="F232" s="191" t="str">
        <f t="array" ref="F232">INDEX('Données 1_BD questio'!C:C,MATCH('1_BD questio brut'!$D$1&amp;'1_BD questio brut'!D232,'Données 1_BD questio'!A:A&amp;'Données 1_BD questio'!B:B,0))</f>
        <v>Profession intermédiaire</v>
      </c>
      <c r="G232" s="191" t="str">
        <f>'1_BD questio brut'!E232</f>
        <v>35 à 49 ans</v>
      </c>
      <c r="H232" s="191">
        <f>'1_BD questio brut'!F232</f>
        <v>4</v>
      </c>
      <c r="I232" s="191" t="str">
        <f>'1_BD questio brut'!G232</f>
        <v>Pas de réponse</v>
      </c>
      <c r="J232" s="191" t="str">
        <f t="array" ref="J232">INDEX('Données 1_BD questio'!C:C,MATCH('1_BD questio brut'!$H$1&amp;'1_BD questio brut'!H232,'Données 1_BD questio'!A:A&amp;'Données 1_BD questio'!B:B,0))</f>
        <v>Maison avec jardin</v>
      </c>
      <c r="K232" s="191">
        <f>'1_BD questio brut'!I232</f>
        <v>120</v>
      </c>
      <c r="L232" s="191" t="str">
        <f>'1_BD questio brut'!J232</f>
        <v>Avant 1949</v>
      </c>
      <c r="M232" s="191" t="str">
        <f>'1_BD questio brut'!K232</f>
        <v>6</v>
      </c>
      <c r="N232" s="191" t="str">
        <f>'1_BD questio brut'!L232</f>
        <v>E</v>
      </c>
      <c r="O232" s="191" t="str">
        <f>'1_BD questio brut'!M232</f>
        <v>Propriétaire occupant</v>
      </c>
      <c r="P232" s="191" t="str">
        <f>'1_BD questio brut'!N232</f>
        <v>Poêle</v>
      </c>
      <c r="Q232" s="191" t="str">
        <f>'1_BD questio brut'!O232</f>
        <v>Chauffage d'apoint</v>
      </c>
      <c r="R232" s="191" t="str">
        <f>'1_BD questio brut'!P232</f>
        <v>3 à 4 jours/semaine</v>
      </c>
      <c r="S232" s="191" t="str">
        <f>'1_BD questio brut'!Q232</f>
        <v>2</v>
      </c>
      <c r="T232" s="191" t="str">
        <f>'1_BD questio brut'!R232</f>
        <v>Après 2002</v>
      </c>
      <c r="U232" s="191" t="str">
        <f>'1_BD questio brut'!S232</f>
        <v>Bois de récupération, à préciser</v>
      </c>
      <c r="V232" s="191" t="str">
        <f>'1_BD questio brut'!T232</f>
        <v>fagots</v>
      </c>
      <c r="W232" s="191" t="str">
        <f>'1_BD questio brut'!U232</f>
        <v>4</v>
      </c>
      <c r="X232" s="191" t="str">
        <f>'1_BD questio brut'!V232</f>
        <v>m3</v>
      </c>
      <c r="Y232" s="191" t="str">
        <f>'1_BD questio brut'!W232</f>
        <v>1</v>
      </c>
      <c r="Z232" s="191" t="str">
        <f>'1_BD questio brut'!X232</f>
        <v/>
      </c>
      <c r="AA232" s="191" t="str">
        <f t="array" ref="AA232">INDEX('Données 1_BD questio'!C:C,MATCH('1_BD questio brut'!$Y$1&amp;'1_BD questio brut'!Y232,'Données 1_BD questio'!A:A&amp;'Données 1_BD questio'!B:B,0))</f>
        <v>Pas de réponse</v>
      </c>
      <c r="AB232" s="191" t="str">
        <f>'1_BD questio brut'!Z232</f>
        <v>2</v>
      </c>
      <c r="AC232" s="191" t="str">
        <f>'1_BD questio brut'!AA232</f>
        <v>1 à 2 ans</v>
      </c>
      <c r="AD232" s="191" t="str">
        <f>'1_BD questio brut'!AB232</f>
        <v>Les deux</v>
      </c>
      <c r="AE232" s="191" t="str">
        <f t="array" ref="AE232">INDEX('Données 1_BD questio'!C:C,MATCH('1_BD questio brut'!$AC$1&amp;'1_BD questio brut'!AC232,'Données 1_BD questio'!A:A&amp;'Données 1_BD questio'!B:B,0))</f>
        <v>vous-même</v>
      </c>
      <c r="AF232" s="191" t="str">
        <f>'1_BD questio brut'!AD232</f>
        <v>1 fois par an</v>
      </c>
      <c r="AG232" s="191" t="str">
        <f>'1_BD questio brut'!AE232</f>
        <v/>
      </c>
      <c r="AH232" s="191" t="str">
        <f>'1_BD questio brut'!AF232</f>
        <v>Poêle</v>
      </c>
      <c r="AI232" s="191" t="str">
        <f>'1_BD questio brut'!AG232</f>
        <v>2</v>
      </c>
      <c r="AJ232" s="191" t="str">
        <f>'1_BD questio brut'!AH232</f>
        <v/>
      </c>
      <c r="AK232" s="191" t="str">
        <f>'1_BD questio brut'!AI232</f>
        <v>Chauffage de base</v>
      </c>
      <c r="AL232" s="191" t="str">
        <f>'1_BD questio brut'!AJ232</f>
        <v>Pas de réponse</v>
      </c>
      <c r="AM232" s="191" t="str">
        <f>'1_BD questio brut'!AK232</f>
        <v>1; 2; 4; 5; 6</v>
      </c>
      <c r="AN232" s="191" t="str">
        <f>'1_BD questio brut'!AL232</f>
        <v>etre moins dependant du chauffage electrique</v>
      </c>
      <c r="AO232" s="191" t="str">
        <f>'1_BD questio brut'!AM232</f>
        <v>7</v>
      </c>
      <c r="AP232" s="191" t="str">
        <f>'1_BD questio brut'!AN232</f>
        <v/>
      </c>
      <c r="AQ232" s="191" t="str">
        <f>'1_BD questio brut'!AO232</f>
        <v/>
      </c>
    </row>
    <row r="233" spans="1:43" ht="43.5" hidden="1">
      <c r="A233" s="98">
        <f>INDEX('3_BD instruction total'!A:A,MATCH(C233,'3_BD instruction total'!F:F,0))</f>
        <v>2021</v>
      </c>
      <c r="B233" s="98" t="str">
        <f>INDEX('3_BD instruction total'!C:C,MATCH(C233,'3_BD instruction total'!F:F,0))</f>
        <v>non</v>
      </c>
      <c r="C233" s="191" t="str">
        <f>'1_BD questio brut'!A233</f>
        <v>VRB0243</v>
      </c>
      <c r="D233" s="191" t="str">
        <f t="array" ref="D233">INDEX('Données 1_BD questio'!C:C,MATCH('1_BD questio brut'!$B$1&amp;'1_BD questio brut'!B233,'Données 1_BD questio'!A:A&amp;'Données 1_BD questio'!B:B,0))</f>
        <v>CAPV</v>
      </c>
      <c r="E233" s="191" t="str">
        <f t="array" ref="E233">INDEX('Données 1_BD questio'!C:C,MATCH('1_BD questio brut'!$C$1&amp;'1_BD questio brut'!C233,'Données 1_BD questio'!A:A&amp;'Données 1_BD questio'!B:B,0))</f>
        <v>Retraité</v>
      </c>
      <c r="F233" s="191" t="str">
        <f t="array" ref="F233">INDEX('Données 1_BD questio'!C:C,MATCH('1_BD questio brut'!$D$1&amp;'1_BD questio brut'!D233,'Données 1_BD questio'!A:A&amp;'Données 1_BD questio'!B:B,0))</f>
        <v>Pas de réponse</v>
      </c>
      <c r="G233" s="191" t="str">
        <f>'1_BD questio brut'!E233</f>
        <v>65 ans et plus</v>
      </c>
      <c r="H233" s="191">
        <f>'1_BD questio brut'!F233</f>
        <v>1</v>
      </c>
      <c r="I233" s="191" t="str">
        <f>'1_BD questio brut'!G233</f>
        <v>Pas de réponse</v>
      </c>
      <c r="J233" s="191" t="str">
        <f t="array" ref="J233">INDEX('Données 1_BD questio'!C:C,MATCH('1_BD questio brut'!$H$1&amp;'1_BD questio brut'!H233,'Données 1_BD questio'!A:A&amp;'Données 1_BD questio'!B:B,0))</f>
        <v>Maison avec jardin</v>
      </c>
      <c r="K233" s="191">
        <f>'1_BD questio brut'!I233</f>
        <v>200</v>
      </c>
      <c r="L233" s="191" t="str">
        <f>'1_BD questio brut'!J233</f>
        <v>1990-2005</v>
      </c>
      <c r="M233" s="191" t="str">
        <f>'1_BD questio brut'!K233</f>
        <v>6</v>
      </c>
      <c r="N233" s="191" t="str">
        <f>'1_BD questio brut'!L233</f>
        <v>Pas de réponse</v>
      </c>
      <c r="O233" s="191" t="str">
        <f>'1_BD questio brut'!M233</f>
        <v>Propriétaire occupant</v>
      </c>
      <c r="P233" s="191" t="str">
        <f>'1_BD questio brut'!N233</f>
        <v>Insert / foyer fermé</v>
      </c>
      <c r="Q233" s="191" t="str">
        <f>'1_BD questio brut'!O233</f>
        <v>Chauffage de base</v>
      </c>
      <c r="R233" s="191" t="str">
        <f>'1_BD questio brut'!P233</f>
        <v>Tous les jours</v>
      </c>
      <c r="S233" s="191" t="str">
        <f>'1_BD questio brut'!Q233</f>
        <v>1; 2; 4; 5</v>
      </c>
      <c r="T233" s="191" t="str">
        <f>'1_BD questio brut'!R233</f>
        <v>1996-2002</v>
      </c>
      <c r="U233" s="191" t="str">
        <f>'1_BD questio brut'!S233</f>
        <v>Bois bûche</v>
      </c>
      <c r="V233" s="191" t="str">
        <f>'1_BD questio brut'!T233</f>
        <v/>
      </c>
      <c r="W233" s="191" t="str">
        <f>'1_BD questio brut'!U233</f>
        <v>2</v>
      </c>
      <c r="X233" s="191" t="str">
        <f>'1_BD questio brut'!V233</f>
        <v>m3</v>
      </c>
      <c r="Y233" s="191" t="str">
        <f>'1_BD questio brut'!W233</f>
        <v>1</v>
      </c>
      <c r="Z233" s="191" t="str">
        <f>'1_BD questio brut'!X233</f>
        <v/>
      </c>
      <c r="AA233" s="191" t="str">
        <f t="array" ref="AA233">INDEX('Données 1_BD questio'!C:C,MATCH('1_BD questio brut'!$Y$1&amp;'1_BD questio brut'!Y233,'Données 1_BD questio'!A:A&amp;'Données 1_BD questio'!B:B,0))</f>
        <v>RA2B</v>
      </c>
      <c r="AB233" s="191" t="str">
        <f>'1_BD questio brut'!Z233</f>
        <v>2</v>
      </c>
      <c r="AC233" s="191" t="str">
        <f>'1_BD questio brut'!AA233</f>
        <v>1 à 2 ans</v>
      </c>
      <c r="AD233" s="191" t="str">
        <f>'1_BD questio brut'!AB233</f>
        <v>Les deux</v>
      </c>
      <c r="AE233" s="191" t="str">
        <f t="array" ref="AE233">INDEX('Données 1_BD questio'!C:C,MATCH('1_BD questio brut'!$AC$1&amp;'1_BD questio brut'!AC233,'Données 1_BD questio'!A:A&amp;'Données 1_BD questio'!B:B,0))</f>
        <v>un professionnel</v>
      </c>
      <c r="AF233" s="191" t="str">
        <f>'1_BD questio brut'!AD233</f>
        <v>1 fois par an</v>
      </c>
      <c r="AG233" s="191" t="str">
        <f>'1_BD questio brut'!AE233</f>
        <v/>
      </c>
      <c r="AH233" s="191" t="str">
        <f>'1_BD questio brut'!AF233</f>
        <v>Poêle</v>
      </c>
      <c r="AI233" s="191" t="str">
        <f>'1_BD questio brut'!AG233</f>
        <v>1</v>
      </c>
      <c r="AJ233" s="191" t="str">
        <f>'1_BD questio brut'!AH233</f>
        <v/>
      </c>
      <c r="AK233" s="191" t="str">
        <f>'1_BD questio brut'!AI233</f>
        <v>Chauffage de base</v>
      </c>
      <c r="AL233" s="191" t="str">
        <f>'1_BD questio brut'!AJ233</f>
        <v>Pas de réponse</v>
      </c>
      <c r="AM233" s="191" t="str">
        <f>'1_BD questio brut'!AK233</f>
        <v>1; 2; 4; 5</v>
      </c>
      <c r="AN233" s="191" t="str">
        <f>'1_BD questio brut'!AL233</f>
        <v/>
      </c>
      <c r="AO233" s="191" t="str">
        <f>'1_BD questio brut'!AM233</f>
        <v>5</v>
      </c>
      <c r="AP233" s="191" t="str">
        <f>'1_BD questio brut'!AN233</f>
        <v/>
      </c>
      <c r="AQ233" s="191" t="str">
        <f>'1_BD questio brut'!AO233</f>
        <v/>
      </c>
    </row>
    <row r="234" spans="1:43" ht="43.5" hidden="1">
      <c r="A234" s="98">
        <f>INDEX('3_BD instruction total'!A:A,MATCH(C234,'3_BD instruction total'!F:F,0))</f>
        <v>2021</v>
      </c>
      <c r="B234" s="98" t="str">
        <f>INDEX('3_BD instruction total'!C:C,MATCH(C234,'3_BD instruction total'!F:F,0))</f>
        <v>non</v>
      </c>
      <c r="C234" s="191" t="str">
        <f>'1_BD questio brut'!A234</f>
        <v>VRB0244</v>
      </c>
      <c r="D234" s="191" t="str">
        <f t="array" ref="D234">INDEX('Données 1_BD questio'!C:C,MATCH('1_BD questio brut'!$B$1&amp;'1_BD questio brut'!B234,'Données 1_BD questio'!A:A&amp;'Données 1_BD questio'!B:B,0))</f>
        <v>CAPV</v>
      </c>
      <c r="E234" s="191" t="str">
        <f t="array" ref="E234">INDEX('Données 1_BD questio'!C:C,MATCH('1_BD questio brut'!$C$1&amp;'1_BD questio brut'!C234,'Données 1_BD questio'!A:A&amp;'Données 1_BD questio'!B:B,0))</f>
        <v>Retraité</v>
      </c>
      <c r="F234" s="191" t="str">
        <f t="array" ref="F234">INDEX('Données 1_BD questio'!C:C,MATCH('1_BD questio brut'!$D$1&amp;'1_BD questio brut'!D234,'Données 1_BD questio'!A:A&amp;'Données 1_BD questio'!B:B,0))</f>
        <v>Autre,sans activité</v>
      </c>
      <c r="G234" s="191" t="str">
        <f>'1_BD questio brut'!E234</f>
        <v>50 à 64 ans</v>
      </c>
      <c r="H234" s="191">
        <f>'1_BD questio brut'!F234</f>
        <v>2</v>
      </c>
      <c r="I234" s="191" t="str">
        <f>'1_BD questio brut'!G234</f>
        <v>Pas de réponse</v>
      </c>
      <c r="J234" s="191" t="str">
        <f t="array" ref="J234">INDEX('Données 1_BD questio'!C:C,MATCH('1_BD questio brut'!$H$1&amp;'1_BD questio brut'!H234,'Données 1_BD questio'!A:A&amp;'Données 1_BD questio'!B:B,0))</f>
        <v>Maison avec jardin</v>
      </c>
      <c r="K234" s="191">
        <f>'1_BD questio brut'!I234</f>
        <v>120</v>
      </c>
      <c r="L234" s="191" t="str">
        <f>'1_BD questio brut'!J234</f>
        <v>1975-1990</v>
      </c>
      <c r="M234" s="191" t="str">
        <f>'1_BD questio brut'!K234</f>
        <v>4</v>
      </c>
      <c r="N234" s="191" t="str">
        <f>'1_BD questio brut'!L234</f>
        <v>Pas de réponse</v>
      </c>
      <c r="O234" s="191" t="str">
        <f>'1_BD questio brut'!M234</f>
        <v>Propriétaire occupant</v>
      </c>
      <c r="P234" s="191" t="str">
        <f>'1_BD questio brut'!N234</f>
        <v>Insert / foyer fermé</v>
      </c>
      <c r="Q234" s="191" t="str">
        <f>'1_BD questio brut'!O234</f>
        <v>Chauffage de base</v>
      </c>
      <c r="R234" s="191" t="str">
        <f>'1_BD questio brut'!P234</f>
        <v>Tous les jours</v>
      </c>
      <c r="S234" s="191" t="str">
        <f>'1_BD questio brut'!Q234</f>
        <v>4; 5</v>
      </c>
      <c r="T234" s="191" t="str">
        <f>'1_BD questio brut'!R234</f>
        <v>1990-1995</v>
      </c>
      <c r="U234" s="191" t="str">
        <f>'1_BD questio brut'!S234</f>
        <v>Bois bûche</v>
      </c>
      <c r="V234" s="191" t="str">
        <f>'1_BD questio brut'!T234</f>
        <v/>
      </c>
      <c r="W234" s="191" t="str">
        <f>'1_BD questio brut'!U234</f>
        <v>7 à 8</v>
      </c>
      <c r="X234" s="191" t="str">
        <f>'1_BD questio brut'!V234</f>
        <v>stères</v>
      </c>
      <c r="Y234" s="191" t="str">
        <f>'1_BD questio brut'!W234</f>
        <v>1</v>
      </c>
      <c r="Z234" s="191" t="str">
        <f>'1_BD questio brut'!X234</f>
        <v/>
      </c>
      <c r="AA234" s="191" t="str">
        <f t="array" ref="AA234">INDEX('Données 1_BD questio'!C:C,MATCH('1_BD questio brut'!$Y$1&amp;'1_BD questio brut'!Y234,'Données 1_BD questio'!A:A&amp;'Données 1_BD questio'!B:B,0))</f>
        <v>Ne sait pas</v>
      </c>
      <c r="AB234" s="191" t="str">
        <f>'1_BD questio brut'!Z234</f>
        <v>2</v>
      </c>
      <c r="AC234" s="191" t="str">
        <f>'1_BD questio brut'!AA234</f>
        <v>&gt; 2 ans</v>
      </c>
      <c r="AD234" s="191" t="str">
        <f>'1_BD questio brut'!AB234</f>
        <v>Les deux</v>
      </c>
      <c r="AE234" s="191" t="str">
        <f t="array" ref="AE234">INDEX('Données 1_BD questio'!C:C,MATCH('1_BD questio brut'!$AC$1&amp;'1_BD questio brut'!AC234,'Données 1_BD questio'!A:A&amp;'Données 1_BD questio'!B:B,0))</f>
        <v>un professionnel</v>
      </c>
      <c r="AF234" s="191" t="str">
        <f>'1_BD questio brut'!AD234</f>
        <v>1 fois par an</v>
      </c>
      <c r="AG234" s="191" t="str">
        <f>'1_BD questio brut'!AE234</f>
        <v/>
      </c>
      <c r="AH234" s="191" t="str">
        <f>'1_BD questio brut'!AF234</f>
        <v>Poêle</v>
      </c>
      <c r="AI234" s="191" t="str">
        <f>'1_BD questio brut'!AG234</f>
        <v>2</v>
      </c>
      <c r="AJ234" s="191" t="str">
        <f>'1_BD questio brut'!AH234</f>
        <v/>
      </c>
      <c r="AK234" s="191" t="str">
        <f>'1_BD questio brut'!AI234</f>
        <v>Chauffage de base</v>
      </c>
      <c r="AL234" s="191" t="str">
        <f>'1_BD questio brut'!AJ234</f>
        <v>Pas de réponse</v>
      </c>
      <c r="AM234" s="191" t="str">
        <f>'1_BD questio brut'!AK234</f>
        <v>1; 4; 5</v>
      </c>
      <c r="AN234" s="191" t="str">
        <f>'1_BD questio brut'!AL234</f>
        <v/>
      </c>
      <c r="AO234" s="191" t="str">
        <f>'1_BD questio brut'!AM234</f>
        <v>2; 7</v>
      </c>
      <c r="AP234" s="191" t="str">
        <f>'1_BD questio brut'!AN234</f>
        <v/>
      </c>
      <c r="AQ234" s="191" t="str">
        <f>'1_BD questio brut'!AO234</f>
        <v/>
      </c>
    </row>
    <row r="235" spans="1:43" ht="43.5" hidden="1">
      <c r="A235" s="98">
        <f>INDEX('3_BD instruction total'!A:A,MATCH(C235,'3_BD instruction total'!F:F,0))</f>
        <v>2021</v>
      </c>
      <c r="B235" s="98" t="str">
        <f>INDEX('3_BD instruction total'!C:C,MATCH(C235,'3_BD instruction total'!F:F,0))</f>
        <v>non</v>
      </c>
      <c r="C235" s="191" t="str">
        <f>'1_BD questio brut'!A235</f>
        <v>VRB0245</v>
      </c>
      <c r="D235" s="191" t="str">
        <f t="array" ref="D235">INDEX('Données 1_BD questio'!C:C,MATCH('1_BD questio brut'!$B$1&amp;'1_BD questio brut'!B235,'Données 1_BD questio'!A:A&amp;'Données 1_BD questio'!B:B,0))</f>
        <v>CAPV</v>
      </c>
      <c r="E235" s="191" t="str">
        <f t="array" ref="E235">INDEX('Données 1_BD questio'!C:C,MATCH('1_BD questio brut'!$C$1&amp;'1_BD questio brut'!C235,'Données 1_BD questio'!A:A&amp;'Données 1_BD questio'!B:B,0))</f>
        <v>Employé</v>
      </c>
      <c r="F235" s="191" t="str">
        <f t="array" ref="F235">INDEX('Données 1_BD questio'!C:C,MATCH('1_BD questio brut'!$D$1&amp;'1_BD questio brut'!D235,'Données 1_BD questio'!A:A&amp;'Données 1_BD questio'!B:B,0))</f>
        <v>Cadre</v>
      </c>
      <c r="G235" s="191" t="str">
        <f>'1_BD questio brut'!E235</f>
        <v>25 à 34 ans</v>
      </c>
      <c r="H235" s="191">
        <f>'1_BD questio brut'!F235</f>
        <v>3</v>
      </c>
      <c r="I235" s="191" t="str">
        <f>'1_BD questio brut'!G235</f>
        <v>Pas de réponse</v>
      </c>
      <c r="J235" s="191" t="str">
        <f t="array" ref="J235">INDEX('Données 1_BD questio'!C:C,MATCH('1_BD questio brut'!$H$1&amp;'1_BD questio brut'!H235,'Données 1_BD questio'!A:A&amp;'Données 1_BD questio'!B:B,0))</f>
        <v>Maison avec jardin</v>
      </c>
      <c r="K235" s="191">
        <f>'1_BD questio brut'!I235</f>
        <v>110</v>
      </c>
      <c r="L235" s="191" t="str">
        <f>'1_BD questio brut'!J235</f>
        <v>1975-1990</v>
      </c>
      <c r="M235" s="191" t="str">
        <f>'1_BD questio brut'!K235</f>
        <v>6</v>
      </c>
      <c r="N235" s="191" t="str">
        <f>'1_BD questio brut'!L235</f>
        <v>D</v>
      </c>
      <c r="O235" s="191" t="str">
        <f>'1_BD questio brut'!M235</f>
        <v>Propriétaire occupant</v>
      </c>
      <c r="P235" s="191" t="str">
        <f>'1_BD questio brut'!N235</f>
        <v>Insert / foyer fermé</v>
      </c>
      <c r="Q235" s="191" t="str">
        <f>'1_BD questio brut'!O235</f>
        <v>Chauffage de base</v>
      </c>
      <c r="R235" s="191" t="str">
        <f>'1_BD questio brut'!P235</f>
        <v>Tous les jours</v>
      </c>
      <c r="S235" s="191" t="str">
        <f>'1_BD questio brut'!Q235</f>
        <v>1; 2; 6</v>
      </c>
      <c r="T235" s="191" t="str">
        <f>'1_BD questio brut'!R235</f>
        <v>Avant 1990</v>
      </c>
      <c r="U235" s="191" t="str">
        <f>'1_BD questio brut'!S235</f>
        <v>Bois bûche</v>
      </c>
      <c r="V235" s="191" t="str">
        <f>'1_BD questio brut'!T235</f>
        <v/>
      </c>
      <c r="W235" s="191" t="str">
        <f>'1_BD questio brut'!U235</f>
        <v>3</v>
      </c>
      <c r="X235" s="191" t="str">
        <f>'1_BD questio brut'!V235</f>
        <v>M3</v>
      </c>
      <c r="Y235" s="191" t="str">
        <f>'1_BD questio brut'!W235</f>
        <v>4</v>
      </c>
      <c r="Z235" s="191" t="str">
        <f>'1_BD questio brut'!X235</f>
        <v>NE SAIT PAS</v>
      </c>
      <c r="AA235" s="191" t="str">
        <f t="array" ref="AA235">INDEX('Données 1_BD questio'!C:C,MATCH('1_BD questio brut'!$Y$1&amp;'1_BD questio brut'!Y235,'Données 1_BD questio'!A:A&amp;'Données 1_BD questio'!B:B,0))</f>
        <v>Ne sait pas</v>
      </c>
      <c r="AB235" s="191" t="str">
        <f>'1_BD questio brut'!Z235</f>
        <v>2</v>
      </c>
      <c r="AC235" s="191" t="str">
        <f>'1_BD questio brut'!AA235</f>
        <v>1 à 2 ans</v>
      </c>
      <c r="AD235" s="191" t="str">
        <f>'1_BD questio brut'!AB235</f>
        <v>Les deux</v>
      </c>
      <c r="AE235" s="191" t="str">
        <f t="array" ref="AE235">INDEX('Données 1_BD questio'!C:C,MATCH('1_BD questio brut'!$AC$1&amp;'1_BD questio brut'!AC235,'Données 1_BD questio'!A:A&amp;'Données 1_BD questio'!B:B,0))</f>
        <v>un professionnel</v>
      </c>
      <c r="AF235" s="191" t="str">
        <f>'1_BD questio brut'!AD235</f>
        <v>Autre, à préciser</v>
      </c>
      <c r="AG235" s="191" t="str">
        <f>'1_BD questio brut'!AE235</f>
        <v>NE SAIT PAS</v>
      </c>
      <c r="AH235" s="191" t="str">
        <f>'1_BD questio brut'!AF235</f>
        <v>Poêle</v>
      </c>
      <c r="AI235" s="191" t="str">
        <f>'1_BD questio brut'!AG235</f>
        <v>2</v>
      </c>
      <c r="AJ235" s="191" t="str">
        <f>'1_BD questio brut'!AH235</f>
        <v/>
      </c>
      <c r="AK235" s="191" t="str">
        <f>'1_BD questio brut'!AI235</f>
        <v>Chauffage de base</v>
      </c>
      <c r="AL235" s="191" t="str">
        <f>'1_BD questio brut'!AJ235</f>
        <v>Pas de réponse</v>
      </c>
      <c r="AM235" s="191" t="str">
        <f>'1_BD questio brut'!AK235</f>
        <v>2; 4</v>
      </c>
      <c r="AN235" s="191" t="str">
        <f>'1_BD questio brut'!AL235</f>
        <v/>
      </c>
      <c r="AO235" s="191" t="str">
        <f>'1_BD questio brut'!AM235</f>
        <v>7</v>
      </c>
      <c r="AP235" s="191" t="str">
        <f>'1_BD questio brut'!AN235</f>
        <v/>
      </c>
      <c r="AQ235" s="191" t="str">
        <f>'1_BD questio brut'!AO235</f>
        <v/>
      </c>
    </row>
    <row r="236" spans="1:43" ht="43.5" hidden="1">
      <c r="A236" s="98">
        <f>INDEX('3_BD instruction total'!A:A,MATCH(C236,'3_BD instruction total'!F:F,0))</f>
        <v>2021</v>
      </c>
      <c r="B236" s="98" t="str">
        <f>INDEX('3_BD instruction total'!C:C,MATCH(C236,'3_BD instruction total'!F:F,0))</f>
        <v>non</v>
      </c>
      <c r="C236" s="191" t="str">
        <f>'1_BD questio brut'!A236</f>
        <v>VRB0246</v>
      </c>
      <c r="D236" s="191" t="str">
        <f t="array" ref="D236">INDEX('Données 1_BD questio'!C:C,MATCH('1_BD questio brut'!$B$1&amp;'1_BD questio brut'!B236,'Données 1_BD questio'!A:A&amp;'Données 1_BD questio'!B:B,0))</f>
        <v>CAPV</v>
      </c>
      <c r="E236" s="191" t="str">
        <f t="array" ref="E236">INDEX('Données 1_BD questio'!C:C,MATCH('1_BD questio brut'!$C$1&amp;'1_BD questio brut'!C236,'Données 1_BD questio'!A:A&amp;'Données 1_BD questio'!B:B,0))</f>
        <v>Retraité</v>
      </c>
      <c r="F236" s="191" t="str">
        <f t="array" ref="F236">INDEX('Données 1_BD questio'!C:C,MATCH('1_BD questio brut'!$D$1&amp;'1_BD questio brut'!D236,'Données 1_BD questio'!A:A&amp;'Données 1_BD questio'!B:B,0))</f>
        <v>Retraité</v>
      </c>
      <c r="G236" s="191" t="str">
        <f>'1_BD questio brut'!E236</f>
        <v>65 ans et plus</v>
      </c>
      <c r="H236" s="191">
        <f>'1_BD questio brut'!F236</f>
        <v>2</v>
      </c>
      <c r="I236" s="191" t="str">
        <f>'1_BD questio brut'!G236</f>
        <v>Pas de réponse</v>
      </c>
      <c r="J236" s="191" t="str">
        <f t="array" ref="J236">INDEX('Données 1_BD questio'!C:C,MATCH('1_BD questio brut'!$H$1&amp;'1_BD questio brut'!H236,'Données 1_BD questio'!A:A&amp;'Données 1_BD questio'!B:B,0))</f>
        <v>Maison avec jardin</v>
      </c>
      <c r="K236" s="191">
        <f>'1_BD questio brut'!I236</f>
        <v>130</v>
      </c>
      <c r="L236" s="191" t="str">
        <f>'1_BD questio brut'!J236</f>
        <v>Avant 1949</v>
      </c>
      <c r="M236" s="191" t="str">
        <f>'1_BD questio brut'!K236</f>
        <v>6</v>
      </c>
      <c r="N236" s="191" t="str">
        <f>'1_BD questio brut'!L236</f>
        <v>Pas de réponse</v>
      </c>
      <c r="O236" s="191" t="str">
        <f>'1_BD questio brut'!M236</f>
        <v>Propriétaire occupant</v>
      </c>
      <c r="P236" s="191" t="str">
        <f>'1_BD questio brut'!N236</f>
        <v>Insert / foyer fermé</v>
      </c>
      <c r="Q236" s="191" t="str">
        <f>'1_BD questio brut'!O236</f>
        <v>Chauffage de base</v>
      </c>
      <c r="R236" s="191" t="str">
        <f>'1_BD questio brut'!P236</f>
        <v>Tous les jours</v>
      </c>
      <c r="S236" s="191" t="str">
        <f>'1_BD questio brut'!Q236</f>
        <v>1; 4</v>
      </c>
      <c r="T236" s="191" t="str">
        <f>'1_BD questio brut'!R236</f>
        <v>1996-2002</v>
      </c>
      <c r="U236" s="191" t="str">
        <f>'1_BD questio brut'!S236</f>
        <v>Bois bûche</v>
      </c>
      <c r="V236" s="191" t="str">
        <f>'1_BD questio brut'!T236</f>
        <v/>
      </c>
      <c r="W236" s="191" t="str">
        <f>'1_BD questio brut'!U236</f>
        <v>6</v>
      </c>
      <c r="X236" s="191" t="str">
        <f>'1_BD questio brut'!V236</f>
        <v>STERES</v>
      </c>
      <c r="Y236" s="191" t="str">
        <f>'1_BD questio brut'!W236</f>
        <v>1</v>
      </c>
      <c r="Z236" s="191" t="str">
        <f>'1_BD questio brut'!X236</f>
        <v/>
      </c>
      <c r="AA236" s="191" t="str">
        <f t="array" ref="AA236">INDEX('Données 1_BD questio'!C:C,MATCH('1_BD questio brut'!$Y$1&amp;'1_BD questio brut'!Y236,'Données 1_BD questio'!A:A&amp;'Données 1_BD questio'!B:B,0))</f>
        <v>Pas de réponse</v>
      </c>
      <c r="AB236" s="191" t="str">
        <f>'1_BD questio brut'!Z236</f>
        <v>2</v>
      </c>
      <c r="AC236" s="191" t="str">
        <f>'1_BD questio brut'!AA236</f>
        <v>&gt; 2 ans</v>
      </c>
      <c r="AD236" s="191" t="str">
        <f>'1_BD questio brut'!AB236</f>
        <v>Les deux</v>
      </c>
      <c r="AE236" s="191" t="str">
        <f t="array" ref="AE236">INDEX('Données 1_BD questio'!C:C,MATCH('1_BD questio brut'!$AC$1&amp;'1_BD questio brut'!AC236,'Données 1_BD questio'!A:A&amp;'Données 1_BD questio'!B:B,0))</f>
        <v>un professionnel</v>
      </c>
      <c r="AF236" s="191" t="str">
        <f>'1_BD questio brut'!AD236</f>
        <v>1 fois par an</v>
      </c>
      <c r="AG236" s="191" t="str">
        <f>'1_BD questio brut'!AE236</f>
        <v/>
      </c>
      <c r="AH236" s="191" t="str">
        <f>'1_BD questio brut'!AF236</f>
        <v>Poêle</v>
      </c>
      <c r="AI236" s="191" t="str">
        <f>'1_BD questio brut'!AG236</f>
        <v>1</v>
      </c>
      <c r="AJ236" s="191" t="str">
        <f>'1_BD questio brut'!AH236</f>
        <v/>
      </c>
      <c r="AK236" s="191" t="str">
        <f>'1_BD questio brut'!AI236</f>
        <v>Chauffage de base</v>
      </c>
      <c r="AL236" s="191" t="str">
        <f>'1_BD questio brut'!AJ236</f>
        <v>Pas de réponse</v>
      </c>
      <c r="AM236" s="191" t="str">
        <f>'1_BD questio brut'!AK236</f>
        <v>1; 4</v>
      </c>
      <c r="AN236" s="191" t="str">
        <f>'1_BD questio brut'!AL236</f>
        <v/>
      </c>
      <c r="AO236" s="191" t="str">
        <f>'1_BD questio brut'!AM236</f>
        <v>5</v>
      </c>
      <c r="AP236" s="191" t="str">
        <f>'1_BD questio brut'!AN236</f>
        <v/>
      </c>
      <c r="AQ236" s="191" t="str">
        <f>'1_BD questio brut'!AO236</f>
        <v/>
      </c>
    </row>
    <row r="237" spans="1:43" ht="43.5" hidden="1">
      <c r="A237" s="98">
        <f>INDEX('3_BD instruction total'!A:A,MATCH(C237,'3_BD instruction total'!F:F,0))</f>
        <v>2021</v>
      </c>
      <c r="B237" s="98" t="str">
        <f>INDEX('3_BD instruction total'!C:C,MATCH(C237,'3_BD instruction total'!F:F,0))</f>
        <v>non</v>
      </c>
      <c r="C237" s="191" t="str">
        <f>'1_BD questio brut'!A237</f>
        <v>VRB0247</v>
      </c>
      <c r="D237" s="191" t="str">
        <f t="array" ref="D237">INDEX('Données 1_BD questio'!C:C,MATCH('1_BD questio brut'!$B$1&amp;'1_BD questio brut'!B237,'Données 1_BD questio'!A:A&amp;'Données 1_BD questio'!B:B,0))</f>
        <v>CAPV</v>
      </c>
      <c r="E237" s="191" t="str">
        <f t="array" ref="E237">INDEX('Données 1_BD questio'!C:C,MATCH('1_BD questio brut'!$C$1&amp;'1_BD questio brut'!C237,'Données 1_BD questio'!A:A&amp;'Données 1_BD questio'!B:B,0))</f>
        <v>Employé</v>
      </c>
      <c r="F237" s="191" t="str">
        <f t="array" ref="F237">INDEX('Données 1_BD questio'!C:C,MATCH('1_BD questio brut'!$D$1&amp;'1_BD questio brut'!D237,'Données 1_BD questio'!A:A&amp;'Données 1_BD questio'!B:B,0))</f>
        <v>Employé</v>
      </c>
      <c r="G237" s="191" t="str">
        <f>'1_BD questio brut'!E237</f>
        <v>25 à 34 ans</v>
      </c>
      <c r="H237" s="191">
        <f>'1_BD questio brut'!F237</f>
        <v>3</v>
      </c>
      <c r="I237" s="191" t="str">
        <f>'1_BD questio brut'!G237</f>
        <v>Pas de réponse</v>
      </c>
      <c r="J237" s="191" t="str">
        <f t="array" ref="J237">INDEX('Données 1_BD questio'!C:C,MATCH('1_BD questio brut'!$H$1&amp;'1_BD questio brut'!H237,'Données 1_BD questio'!A:A&amp;'Données 1_BD questio'!B:B,0))</f>
        <v>Maison avec jardin</v>
      </c>
      <c r="K237" s="191">
        <f>'1_BD questio brut'!I237</f>
        <v>100</v>
      </c>
      <c r="L237" s="191" t="str">
        <f>'1_BD questio brut'!J237</f>
        <v>1949-1975</v>
      </c>
      <c r="M237" s="191" t="str">
        <f>'1_BD questio brut'!K237</f>
        <v>4</v>
      </c>
      <c r="N237" s="191" t="str">
        <f>'1_BD questio brut'!L237</f>
        <v>Pas de réponse</v>
      </c>
      <c r="O237" s="191" t="str">
        <f>'1_BD questio brut'!M237</f>
        <v>Propriétaire occupant</v>
      </c>
      <c r="P237" s="191" t="str">
        <f>'1_BD questio brut'!N237</f>
        <v>Poêle</v>
      </c>
      <c r="Q237" s="191" t="str">
        <f>'1_BD questio brut'!O237</f>
        <v>Chauffage de base</v>
      </c>
      <c r="R237" s="191" t="str">
        <f>'1_BD questio brut'!P237</f>
        <v>Tous les jours</v>
      </c>
      <c r="S237" s="191" t="str">
        <f>'1_BD questio brut'!Q237</f>
        <v>4; 6</v>
      </c>
      <c r="T237" s="191" t="str">
        <f>'1_BD questio brut'!R237</f>
        <v>Avant 1990</v>
      </c>
      <c r="U237" s="191" t="str">
        <f>'1_BD questio brut'!S237</f>
        <v>Bois bûche</v>
      </c>
      <c r="V237" s="191" t="str">
        <f>'1_BD questio brut'!T237</f>
        <v/>
      </c>
      <c r="W237" s="191" t="str">
        <f>'1_BD questio brut'!U237</f>
        <v>5</v>
      </c>
      <c r="X237" s="191" t="str">
        <f>'1_BD questio brut'!V237</f>
        <v>STERES</v>
      </c>
      <c r="Y237" s="191" t="str">
        <f>'1_BD questio brut'!W237</f>
        <v>2</v>
      </c>
      <c r="Z237" s="191" t="str">
        <f>'1_BD questio brut'!X237</f>
        <v/>
      </c>
      <c r="AA237" s="191" t="str">
        <f t="array" ref="AA237">INDEX('Données 1_BD questio'!C:C,MATCH('1_BD questio brut'!$Y$1&amp;'1_BD questio brut'!Y237,'Données 1_BD questio'!A:A&amp;'Données 1_BD questio'!B:B,0))</f>
        <v>Ne sait pas</v>
      </c>
      <c r="AB237" s="191" t="str">
        <f>'1_BD questio brut'!Z237</f>
        <v>2</v>
      </c>
      <c r="AC237" s="191" t="str">
        <f>'1_BD questio brut'!AA237</f>
        <v>&lt; 1 an</v>
      </c>
      <c r="AD237" s="191" t="str">
        <f>'1_BD questio brut'!AB237</f>
        <v>Feuillus</v>
      </c>
      <c r="AE237" s="191" t="str">
        <f t="array" ref="AE237">INDEX('Données 1_BD questio'!C:C,MATCH('1_BD questio brut'!$AC$1&amp;'1_BD questio brut'!AC237,'Données 1_BD questio'!A:A&amp;'Données 1_BD questio'!B:B,0))</f>
        <v>un professionnel</v>
      </c>
      <c r="AF237" s="191" t="str">
        <f>'1_BD questio brut'!AD237</f>
        <v>2 fois par an</v>
      </c>
      <c r="AG237" s="191" t="str">
        <f>'1_BD questio brut'!AE237</f>
        <v/>
      </c>
      <c r="AH237" s="191" t="str">
        <f>'1_BD questio brut'!AF237</f>
        <v>Poêle</v>
      </c>
      <c r="AI237" s="191" t="str">
        <f>'1_BD questio brut'!AG237</f>
        <v>2</v>
      </c>
      <c r="AJ237" s="191" t="str">
        <f>'1_BD questio brut'!AH237</f>
        <v/>
      </c>
      <c r="AK237" s="191" t="str">
        <f>'1_BD questio brut'!AI237</f>
        <v>Chauffage de base</v>
      </c>
      <c r="AL237" s="191" t="str">
        <f>'1_BD questio brut'!AJ237</f>
        <v>Pas de réponse</v>
      </c>
      <c r="AM237" s="191" t="str">
        <f>'1_BD questio brut'!AK237</f>
        <v>2; 4; 5</v>
      </c>
      <c r="AN237" s="191" t="str">
        <f>'1_BD questio brut'!AL237</f>
        <v/>
      </c>
      <c r="AO237" s="191" t="str">
        <f>'1_BD questio brut'!AM237</f>
        <v>5</v>
      </c>
      <c r="AP237" s="191" t="str">
        <f>'1_BD questio brut'!AN237</f>
        <v/>
      </c>
      <c r="AQ237" s="191" t="str">
        <f>'1_BD questio brut'!AO237</f>
        <v/>
      </c>
    </row>
    <row r="238" spans="1:43" ht="29" hidden="1">
      <c r="A238" s="98">
        <f>INDEX('3_BD instruction total'!A:A,MATCH(C238,'3_BD instruction total'!F:F,0))</f>
        <v>2021</v>
      </c>
      <c r="B238" s="98" t="str">
        <f>INDEX('3_BD instruction total'!C:C,MATCH(C238,'3_BD instruction total'!F:F,0))</f>
        <v>non</v>
      </c>
      <c r="C238" s="191" t="str">
        <f>'1_BD questio brut'!A238</f>
        <v>VRB0248</v>
      </c>
      <c r="D238" s="191" t="str">
        <f t="array" ref="D238">INDEX('Données 1_BD questio'!C:C,MATCH('1_BD questio brut'!$B$1&amp;'1_BD questio brut'!B238,'Données 1_BD questio'!A:A&amp;'Données 1_BD questio'!B:B,0))</f>
        <v>CAPV</v>
      </c>
      <c r="E238" s="191" t="str">
        <f t="array" ref="E238">INDEX('Données 1_BD questio'!C:C,MATCH('1_BD questio brut'!$C$1&amp;'1_BD questio brut'!C238,'Données 1_BD questio'!A:A&amp;'Données 1_BD questio'!B:B,0))</f>
        <v>Employé</v>
      </c>
      <c r="F238" s="191" t="str">
        <f t="array" ref="F238">INDEX('Données 1_BD questio'!C:C,MATCH('1_BD questio brut'!$D$1&amp;'1_BD questio brut'!D238,'Données 1_BD questio'!A:A&amp;'Données 1_BD questio'!B:B,0))</f>
        <v>Pas de réponse</v>
      </c>
      <c r="G238" s="191" t="str">
        <f>'1_BD questio brut'!E238</f>
        <v>35 à 49 ans</v>
      </c>
      <c r="H238" s="191">
        <f>'1_BD questio brut'!F238</f>
        <v>4</v>
      </c>
      <c r="I238" s="191" t="str">
        <f>'1_BD questio brut'!G238</f>
        <v>Pas de réponse</v>
      </c>
      <c r="J238" s="191" t="str">
        <f t="array" ref="J238">INDEX('Données 1_BD questio'!C:C,MATCH('1_BD questio brut'!$H$1&amp;'1_BD questio brut'!H238,'Données 1_BD questio'!A:A&amp;'Données 1_BD questio'!B:B,0))</f>
        <v>Maison avec jardin</v>
      </c>
      <c r="K238" s="191">
        <f>'1_BD questio brut'!I238</f>
        <v>113</v>
      </c>
      <c r="L238" s="191" t="str">
        <f>'1_BD questio brut'!J238</f>
        <v>1975-1990</v>
      </c>
      <c r="M238" s="191" t="str">
        <f>'1_BD questio brut'!K238</f>
        <v>6</v>
      </c>
      <c r="N238" s="191" t="str">
        <f>'1_BD questio brut'!L238</f>
        <v>E</v>
      </c>
      <c r="O238" s="191" t="str">
        <f>'1_BD questio brut'!M238</f>
        <v>Propriétaire occupant</v>
      </c>
      <c r="P238" s="191" t="str">
        <f>'1_BD questio brut'!N238</f>
        <v>Insert / foyer fermé</v>
      </c>
      <c r="Q238" s="191" t="str">
        <f>'1_BD questio brut'!O238</f>
        <v>Chauffage d'apoint</v>
      </c>
      <c r="R238" s="191" t="str">
        <f>'1_BD questio brut'!P238</f>
        <v>Pas de réponse</v>
      </c>
      <c r="S238" s="191" t="str">
        <f>'1_BD questio brut'!Q238</f>
        <v>7</v>
      </c>
      <c r="T238" s="191" t="str">
        <f>'1_BD questio brut'!R238</f>
        <v>Avant 1990</v>
      </c>
      <c r="U238" s="191" t="str">
        <f>'1_BD questio brut'!S238</f>
        <v>Bois bûche</v>
      </c>
      <c r="V238" s="191" t="str">
        <f>'1_BD questio brut'!T238</f>
        <v/>
      </c>
      <c r="W238" s="191" t="str">
        <f>'1_BD questio brut'!U238</f>
        <v/>
      </c>
      <c r="X238" s="191" t="str">
        <f>'1_BD questio brut'!V238</f>
        <v/>
      </c>
      <c r="Y238" s="191" t="str">
        <f>'1_BD questio brut'!W238</f>
        <v>5</v>
      </c>
      <c r="Z238" s="191" t="str">
        <f>'1_BD questio brut'!X238</f>
        <v/>
      </c>
      <c r="AA238" s="191" t="str">
        <f t="array" ref="AA238">INDEX('Données 1_BD questio'!C:C,MATCH('1_BD questio brut'!$Y$1&amp;'1_BD questio brut'!Y238,'Données 1_BD questio'!A:A&amp;'Données 1_BD questio'!B:B,0))</f>
        <v>Pas de réponse</v>
      </c>
      <c r="AB238" s="191" t="str">
        <f>'1_BD questio brut'!Z238</f>
        <v>4</v>
      </c>
      <c r="AC238" s="191" t="str">
        <f>'1_BD questio brut'!AA238</f>
        <v>Pas de réponse</v>
      </c>
      <c r="AD238" s="191" t="str">
        <f>'1_BD questio brut'!AB238</f>
        <v>Pas de réponse</v>
      </c>
      <c r="AE238" s="191" t="str">
        <f t="array" ref="AE238">INDEX('Données 1_BD questio'!C:C,MATCH('1_BD questio brut'!$AC$1&amp;'1_BD questio brut'!AC238,'Données 1_BD questio'!A:A&amp;'Données 1_BD questio'!B:B,0))</f>
        <v>Pas de réponse</v>
      </c>
      <c r="AF238" s="191" t="str">
        <f>'1_BD questio brut'!AD238</f>
        <v>Pas de réponse</v>
      </c>
      <c r="AG238" s="191" t="str">
        <f>'1_BD questio brut'!AE238</f>
        <v/>
      </c>
      <c r="AH238" s="191" t="str">
        <f>'1_BD questio brut'!AF238</f>
        <v>Poêle</v>
      </c>
      <c r="AI238" s="191" t="str">
        <f>'1_BD questio brut'!AG238</f>
        <v>2</v>
      </c>
      <c r="AJ238" s="191" t="str">
        <f>'1_BD questio brut'!AH238</f>
        <v/>
      </c>
      <c r="AK238" s="191" t="str">
        <f>'1_BD questio brut'!AI238</f>
        <v>Chauffage de base</v>
      </c>
      <c r="AL238" s="191" t="str">
        <f>'1_BD questio brut'!AJ238</f>
        <v>Pas de réponse</v>
      </c>
      <c r="AM238" s="191" t="str">
        <f>'1_BD questio brut'!AK238</f>
        <v>2; 4</v>
      </c>
      <c r="AN238" s="191" t="str">
        <f>'1_BD questio brut'!AL238</f>
        <v/>
      </c>
      <c r="AO238" s="191" t="str">
        <f>'1_BD questio brut'!AM238</f>
        <v>1</v>
      </c>
      <c r="AP238" s="191" t="str">
        <f>'1_BD questio brut'!AN238</f>
        <v/>
      </c>
      <c r="AQ238" s="191" t="str">
        <f>'1_BD questio brut'!AO238</f>
        <v/>
      </c>
    </row>
    <row r="239" spans="1:43" ht="29" hidden="1">
      <c r="A239" s="98">
        <f>INDEX('3_BD instruction total'!A:A,MATCH(C239,'3_BD instruction total'!F:F,0))</f>
        <v>2021</v>
      </c>
      <c r="B239" s="98" t="str">
        <f>INDEX('3_BD instruction total'!C:C,MATCH(C239,'3_BD instruction total'!F:F,0))</f>
        <v>non</v>
      </c>
      <c r="C239" s="191" t="str">
        <f>'1_BD questio brut'!A239</f>
        <v>VRB0249</v>
      </c>
      <c r="D239" s="191" t="str">
        <f t="array" ref="D239">INDEX('Données 1_BD questio'!C:C,MATCH('1_BD questio brut'!$B$1&amp;'1_BD questio brut'!B239,'Données 1_BD questio'!A:A&amp;'Données 1_BD questio'!B:B,0))</f>
        <v>CAPV</v>
      </c>
      <c r="E239" s="191" t="str">
        <f t="array" ref="E239">INDEX('Données 1_BD questio'!C:C,MATCH('1_BD questio brut'!$C$1&amp;'1_BD questio brut'!C239,'Données 1_BD questio'!A:A&amp;'Données 1_BD questio'!B:B,0))</f>
        <v>Retraité</v>
      </c>
      <c r="F239" s="191" t="str">
        <f t="array" ref="F239">INDEX('Données 1_BD questio'!C:C,MATCH('1_BD questio brut'!$D$1&amp;'1_BD questio brut'!D239,'Données 1_BD questio'!A:A&amp;'Données 1_BD questio'!B:B,0))</f>
        <v>Retraité</v>
      </c>
      <c r="G239" s="191" t="str">
        <f>'1_BD questio brut'!E239</f>
        <v>65 ans et plus</v>
      </c>
      <c r="H239" s="191">
        <f>'1_BD questio brut'!F239</f>
        <v>2</v>
      </c>
      <c r="I239" s="191" t="str">
        <f>'1_BD questio brut'!G239</f>
        <v>Pas de réponse</v>
      </c>
      <c r="J239" s="191" t="str">
        <f t="array" ref="J239">INDEX('Données 1_BD questio'!C:C,MATCH('1_BD questio brut'!$H$1&amp;'1_BD questio brut'!H239,'Données 1_BD questio'!A:A&amp;'Données 1_BD questio'!B:B,0))</f>
        <v>Maison avec jardin</v>
      </c>
      <c r="K239" s="191">
        <f>'1_BD questio brut'!I239</f>
        <v>116</v>
      </c>
      <c r="L239" s="191" t="str">
        <f>'1_BD questio brut'!J239</f>
        <v>1990-2005</v>
      </c>
      <c r="M239" s="191" t="str">
        <f>'1_BD questio brut'!K239</f>
        <v>6</v>
      </c>
      <c r="N239" s="191" t="str">
        <f>'1_BD questio brut'!L239</f>
        <v>Pas de réponse</v>
      </c>
      <c r="O239" s="191" t="str">
        <f>'1_BD questio brut'!M239</f>
        <v>Propriétaire occupant</v>
      </c>
      <c r="P239" s="191" t="str">
        <f>'1_BD questio brut'!N239</f>
        <v>Insert / foyer fermé</v>
      </c>
      <c r="Q239" s="191" t="str">
        <f>'1_BD questio brut'!O239</f>
        <v>Chauffage de base</v>
      </c>
      <c r="R239" s="191" t="str">
        <f>'1_BD questio brut'!P239</f>
        <v>Tous les jours</v>
      </c>
      <c r="S239" s="191" t="str">
        <f>'1_BD questio brut'!Q239</f>
        <v>3</v>
      </c>
      <c r="T239" s="191" t="str">
        <f>'1_BD questio brut'!R239</f>
        <v>1990-1995</v>
      </c>
      <c r="U239" s="191" t="str">
        <f>'1_BD questio brut'!S239</f>
        <v>Bois bûche</v>
      </c>
      <c r="V239" s="191" t="str">
        <f>'1_BD questio brut'!T239</f>
        <v/>
      </c>
      <c r="W239" s="191" t="str">
        <f>'1_BD questio brut'!U239</f>
        <v>5</v>
      </c>
      <c r="X239" s="191" t="str">
        <f>'1_BD questio brut'!V239</f>
        <v>STERES</v>
      </c>
      <c r="Y239" s="191" t="str">
        <f>'1_BD questio brut'!W239</f>
        <v>2</v>
      </c>
      <c r="Z239" s="191" t="str">
        <f>'1_BD questio brut'!X239</f>
        <v/>
      </c>
      <c r="AA239" s="191" t="str">
        <f t="array" ref="AA239">INDEX('Données 1_BD questio'!C:C,MATCH('1_BD questio brut'!$Y$1&amp;'1_BD questio brut'!Y239,'Données 1_BD questio'!A:A&amp;'Données 1_BD questio'!B:B,0))</f>
        <v>RA2B</v>
      </c>
      <c r="AB239" s="191" t="str">
        <f>'1_BD questio brut'!Z239</f>
        <v>2</v>
      </c>
      <c r="AC239" s="191" t="str">
        <f>'1_BD questio brut'!AA239</f>
        <v>1 à 2 ans</v>
      </c>
      <c r="AD239" s="191" t="str">
        <f>'1_BD questio brut'!AB239</f>
        <v>Feuillus</v>
      </c>
      <c r="AE239" s="191" t="e">
        <f t="array" ref="AE239">INDEX('Données 1_BD questio'!C:C,MATCH('1_BD questio brut'!$AC$1&amp;'1_BD questio brut'!AC239,'Données 1_BD questio'!A:A&amp;'Données 1_BD questio'!B:B,0))</f>
        <v>#N/A</v>
      </c>
      <c r="AF239" s="191" t="str">
        <f>'1_BD questio brut'!AD239</f>
        <v>1 fois par an</v>
      </c>
      <c r="AG239" s="191" t="str">
        <f>'1_BD questio brut'!AE239</f>
        <v/>
      </c>
      <c r="AH239" s="191" t="str">
        <f>'1_BD questio brut'!AF239</f>
        <v>Insert cheminée</v>
      </c>
      <c r="AI239" s="191" t="str">
        <f>'1_BD questio brut'!AG239</f>
        <v>1</v>
      </c>
      <c r="AJ239" s="191" t="str">
        <f>'1_BD questio brut'!AH239</f>
        <v/>
      </c>
      <c r="AK239" s="191" t="str">
        <f>'1_BD questio brut'!AI239</f>
        <v>Chauffage de base</v>
      </c>
      <c r="AL239" s="191" t="str">
        <f>'1_BD questio brut'!AJ239</f>
        <v>Pas de réponse</v>
      </c>
      <c r="AM239" s="191" t="str">
        <f>'1_BD questio brut'!AK239</f>
        <v>1; 2; 4; 5</v>
      </c>
      <c r="AN239" s="191" t="str">
        <f>'1_BD questio brut'!AL239</f>
        <v/>
      </c>
      <c r="AO239" s="191" t="str">
        <f>'1_BD questio brut'!AM239</f>
        <v>7; 11</v>
      </c>
      <c r="AP239" s="191" t="str">
        <f>'1_BD questio brut'!AN239</f>
        <v/>
      </c>
      <c r="AQ239" s="191" t="str">
        <f>'1_BD questio brut'!AO239</f>
        <v/>
      </c>
    </row>
    <row r="240" spans="1:43" ht="43.5" hidden="1">
      <c r="A240" s="98">
        <f>INDEX('3_BD instruction total'!A:A,MATCH(C240,'3_BD instruction total'!F:F,0))</f>
        <v>2021</v>
      </c>
      <c r="B240" s="98" t="str">
        <f>INDEX('3_BD instruction total'!C:C,MATCH(C240,'3_BD instruction total'!F:F,0))</f>
        <v>non</v>
      </c>
      <c r="C240" s="191" t="str">
        <f>'1_BD questio brut'!A240</f>
        <v>VRB0250</v>
      </c>
      <c r="D240" s="191" t="str">
        <f t="array" ref="D240">INDEX('Données 1_BD questio'!C:C,MATCH('1_BD questio brut'!$B$1&amp;'1_BD questio brut'!B240,'Données 1_BD questio'!A:A&amp;'Données 1_BD questio'!B:B,0))</f>
        <v>CAPV</v>
      </c>
      <c r="E240" s="191" t="str">
        <f t="array" ref="E240">INDEX('Données 1_BD questio'!C:C,MATCH('1_BD questio brut'!$C$1&amp;'1_BD questio brut'!C240,'Données 1_BD questio'!A:A&amp;'Données 1_BD questio'!B:B,0))</f>
        <v>Employé</v>
      </c>
      <c r="F240" s="191" t="str">
        <f t="array" ref="F240">INDEX('Données 1_BD questio'!C:C,MATCH('1_BD questio brut'!$D$1&amp;'1_BD questio brut'!D240,'Données 1_BD questio'!A:A&amp;'Données 1_BD questio'!B:B,0))</f>
        <v>Autre,sans activité</v>
      </c>
      <c r="G240" s="191" t="str">
        <f>'1_BD questio brut'!E240</f>
        <v>25 à 34 ans</v>
      </c>
      <c r="H240" s="191">
        <f>'1_BD questio brut'!F240</f>
        <v>2</v>
      </c>
      <c r="I240" s="191" t="str">
        <f>'1_BD questio brut'!G240</f>
        <v>Pas de réponse</v>
      </c>
      <c r="J240" s="191" t="str">
        <f t="array" ref="J240">INDEX('Données 1_BD questio'!C:C,MATCH('1_BD questio brut'!$H$1&amp;'1_BD questio brut'!H240,'Données 1_BD questio'!A:A&amp;'Données 1_BD questio'!B:B,0))</f>
        <v>Maison avec jardin</v>
      </c>
      <c r="K240" s="191">
        <f>'1_BD questio brut'!I240</f>
        <v>150</v>
      </c>
      <c r="L240" s="191" t="str">
        <f>'1_BD questio brut'!J240</f>
        <v>1990-2005</v>
      </c>
      <c r="M240" s="191" t="str">
        <f>'1_BD questio brut'!K240</f>
        <v>6</v>
      </c>
      <c r="N240" s="191" t="str">
        <f>'1_BD questio brut'!L240</f>
        <v>C</v>
      </c>
      <c r="O240" s="191" t="str">
        <f>'1_BD questio brut'!M240</f>
        <v>Propriétaire occupant</v>
      </c>
      <c r="P240" s="191" t="str">
        <f>'1_BD questio brut'!N240</f>
        <v>Foyer ouvert</v>
      </c>
      <c r="Q240" s="191" t="str">
        <f>'1_BD questio brut'!O240</f>
        <v>Chauffage d'apoint</v>
      </c>
      <c r="R240" s="191" t="str">
        <f>'1_BD questio brut'!P240</f>
        <v>Tous les jours</v>
      </c>
      <c r="S240" s="191" t="str">
        <f>'1_BD questio brut'!Q240</f>
        <v>2; 3</v>
      </c>
      <c r="T240" s="191" t="str">
        <f>'1_BD questio brut'!R240</f>
        <v>1996-2002</v>
      </c>
      <c r="U240" s="191" t="str">
        <f>'1_BD questio brut'!S240</f>
        <v>Bois bûche</v>
      </c>
      <c r="V240" s="191" t="str">
        <f>'1_BD questio brut'!T240</f>
        <v/>
      </c>
      <c r="W240" s="191" t="str">
        <f>'1_BD questio brut'!U240</f>
        <v>7</v>
      </c>
      <c r="X240" s="191" t="str">
        <f>'1_BD questio brut'!V240</f>
        <v>M3</v>
      </c>
      <c r="Y240" s="191" t="str">
        <f>'1_BD questio brut'!W240</f>
        <v>2</v>
      </c>
      <c r="Z240" s="191" t="str">
        <f>'1_BD questio brut'!X240</f>
        <v/>
      </c>
      <c r="AA240" s="191" t="str">
        <f t="array" ref="AA240">INDEX('Données 1_BD questio'!C:C,MATCH('1_BD questio brut'!$Y$1&amp;'1_BD questio brut'!Y240,'Données 1_BD questio'!A:A&amp;'Données 1_BD questio'!B:B,0))</f>
        <v>RA2B</v>
      </c>
      <c r="AB240" s="191" t="str">
        <f>'1_BD questio brut'!Z240</f>
        <v>2</v>
      </c>
      <c r="AC240" s="191" t="str">
        <f>'1_BD questio brut'!AA240</f>
        <v>&gt; 2 ans</v>
      </c>
      <c r="AD240" s="191" t="str">
        <f>'1_BD questio brut'!AB240</f>
        <v>Feuillus</v>
      </c>
      <c r="AE240" s="191" t="str">
        <f t="array" ref="AE240">INDEX('Données 1_BD questio'!C:C,MATCH('1_BD questio brut'!$AC$1&amp;'1_BD questio brut'!AC240,'Données 1_BD questio'!A:A&amp;'Données 1_BD questio'!B:B,0))</f>
        <v>un professionnel</v>
      </c>
      <c r="AF240" s="191" t="str">
        <f>'1_BD questio brut'!AD240</f>
        <v>1 fois par an</v>
      </c>
      <c r="AG240" s="191" t="str">
        <f>'1_BD questio brut'!AE240</f>
        <v/>
      </c>
      <c r="AH240" s="191" t="str">
        <f>'1_BD questio brut'!AF240</f>
        <v>Poêle</v>
      </c>
      <c r="AI240" s="191" t="str">
        <f>'1_BD questio brut'!AG240</f>
        <v>1</v>
      </c>
      <c r="AJ240" s="191" t="str">
        <f>'1_BD questio brut'!AH240</f>
        <v/>
      </c>
      <c r="AK240" s="191" t="str">
        <f>'1_BD questio brut'!AI240</f>
        <v>Chauffage d'appoint</v>
      </c>
      <c r="AL240" s="191" t="str">
        <f>'1_BD questio brut'!AJ240</f>
        <v>Pas de réponse</v>
      </c>
      <c r="AM240" s="191" t="str">
        <f>'1_BD questio brut'!AK240</f>
        <v>1; 2; 5</v>
      </c>
      <c r="AN240" s="191" t="str">
        <f>'1_BD questio brut'!AL240</f>
        <v/>
      </c>
      <c r="AO240" s="191" t="str">
        <f>'1_BD questio brut'!AM240</f>
        <v>1</v>
      </c>
      <c r="AP240" s="191" t="str">
        <f>'1_BD questio brut'!AN240</f>
        <v/>
      </c>
      <c r="AQ240" s="191" t="str">
        <f>'1_BD questio brut'!AO240</f>
        <v/>
      </c>
    </row>
    <row r="241" spans="1:43" ht="43.5" hidden="1">
      <c r="A241" s="98">
        <f>INDEX('3_BD instruction total'!A:A,MATCH(C241,'3_BD instruction total'!F:F,0))</f>
        <v>2021</v>
      </c>
      <c r="B241" s="98" t="str">
        <f>INDEX('3_BD instruction total'!C:C,MATCH(C241,'3_BD instruction total'!F:F,0))</f>
        <v>non</v>
      </c>
      <c r="C241" s="191" t="str">
        <f>'1_BD questio brut'!A241</f>
        <v>VRB0251</v>
      </c>
      <c r="D241" s="191" t="str">
        <f t="array" ref="D241">INDEX('Données 1_BD questio'!C:C,MATCH('1_BD questio brut'!$B$1&amp;'1_BD questio brut'!B241,'Données 1_BD questio'!A:A&amp;'Données 1_BD questio'!B:B,0))</f>
        <v>CAPV</v>
      </c>
      <c r="E241" s="191" t="str">
        <f t="array" ref="E241">INDEX('Données 1_BD questio'!C:C,MATCH('1_BD questio brut'!$C$1&amp;'1_BD questio brut'!C241,'Données 1_BD questio'!A:A&amp;'Données 1_BD questio'!B:B,0))</f>
        <v>Employé</v>
      </c>
      <c r="F241" s="191" t="str">
        <f t="array" ref="F241">INDEX('Données 1_BD questio'!C:C,MATCH('1_BD questio brut'!$D$1&amp;'1_BD questio brut'!D241,'Données 1_BD questio'!A:A&amp;'Données 1_BD questio'!B:B,0))</f>
        <v>Employé</v>
      </c>
      <c r="G241" s="191" t="str">
        <f>'1_BD questio brut'!E241</f>
        <v>25 à 34 ans</v>
      </c>
      <c r="H241" s="191">
        <f>'1_BD questio brut'!F241</f>
        <v>2</v>
      </c>
      <c r="I241" s="191" t="str">
        <f>'1_BD questio brut'!G241</f>
        <v>Pas de réponse</v>
      </c>
      <c r="J241" s="191" t="str">
        <f t="array" ref="J241">INDEX('Données 1_BD questio'!C:C,MATCH('1_BD questio brut'!$H$1&amp;'1_BD questio brut'!H241,'Données 1_BD questio'!A:A&amp;'Données 1_BD questio'!B:B,0))</f>
        <v>Maison avec jardin</v>
      </c>
      <c r="K241" s="191">
        <f>'1_BD questio brut'!I241</f>
        <v>100</v>
      </c>
      <c r="L241" s="191" t="str">
        <f>'1_BD questio brut'!J241</f>
        <v>1949-1975</v>
      </c>
      <c r="M241" s="191" t="str">
        <f>'1_BD questio brut'!K241</f>
        <v>6</v>
      </c>
      <c r="N241" s="191" t="str">
        <f>'1_BD questio brut'!L241</f>
        <v>E</v>
      </c>
      <c r="O241" s="191" t="str">
        <f>'1_BD questio brut'!M241</f>
        <v>Propriétaire occupant</v>
      </c>
      <c r="P241" s="191" t="str">
        <f>'1_BD questio brut'!N241</f>
        <v>Poêle</v>
      </c>
      <c r="Q241" s="191" t="str">
        <f>'1_BD questio brut'!O241</f>
        <v>Chauffage de base</v>
      </c>
      <c r="R241" s="191" t="str">
        <f>'1_BD questio brut'!P241</f>
        <v>Tous les jours</v>
      </c>
      <c r="S241" s="191" t="str">
        <f>'1_BD questio brut'!Q241</f>
        <v>3; 4</v>
      </c>
      <c r="T241" s="191" t="str">
        <f>'1_BD questio brut'!R241</f>
        <v>Avant 1990</v>
      </c>
      <c r="U241" s="191" t="str">
        <f>'1_BD questio brut'!S241</f>
        <v>Bois bûche</v>
      </c>
      <c r="V241" s="191" t="str">
        <f>'1_BD questio brut'!T241</f>
        <v/>
      </c>
      <c r="W241" s="191" t="str">
        <f>'1_BD questio brut'!U241</f>
        <v/>
      </c>
      <c r="X241" s="191" t="str">
        <f>'1_BD questio brut'!V241</f>
        <v/>
      </c>
      <c r="Y241" s="191" t="str">
        <f>'1_BD questio brut'!W241</f>
        <v>4</v>
      </c>
      <c r="Z241" s="191" t="str">
        <f>'1_BD questio brut'!X241</f>
        <v/>
      </c>
      <c r="AA241" s="191" t="str">
        <f t="array" ref="AA241">INDEX('Données 1_BD questio'!C:C,MATCH('1_BD questio brut'!$Y$1&amp;'1_BD questio brut'!Y241,'Données 1_BD questio'!A:A&amp;'Données 1_BD questio'!B:B,0))</f>
        <v>Ne sait pas</v>
      </c>
      <c r="AB241" s="191" t="str">
        <f>'1_BD questio brut'!Z241</f>
        <v>1</v>
      </c>
      <c r="AC241" s="191" t="str">
        <f>'1_BD questio brut'!AA241</f>
        <v>Pas de réponse</v>
      </c>
      <c r="AD241" s="191" t="str">
        <f>'1_BD questio brut'!AB241</f>
        <v>Pas de réponse</v>
      </c>
      <c r="AE241" s="191" t="str">
        <f t="array" ref="AE241">INDEX('Données 1_BD questio'!C:C,MATCH('1_BD questio brut'!$AC$1&amp;'1_BD questio brut'!AC241,'Données 1_BD questio'!A:A&amp;'Données 1_BD questio'!B:B,0))</f>
        <v>un professionnel</v>
      </c>
      <c r="AF241" s="191" t="str">
        <f>'1_BD questio brut'!AD241</f>
        <v>1 fois par an</v>
      </c>
      <c r="AG241" s="191" t="str">
        <f>'1_BD questio brut'!AE241</f>
        <v/>
      </c>
      <c r="AH241" s="191" t="str">
        <f>'1_BD questio brut'!AF241</f>
        <v>Poêle</v>
      </c>
      <c r="AI241" s="191" t="str">
        <f>'1_BD questio brut'!AG241</f>
        <v>2</v>
      </c>
      <c r="AJ241" s="191" t="str">
        <f>'1_BD questio brut'!AH241</f>
        <v/>
      </c>
      <c r="AK241" s="191" t="str">
        <f>'1_BD questio brut'!AI241</f>
        <v>Chauffage de base</v>
      </c>
      <c r="AL241" s="191" t="str">
        <f>'1_BD questio brut'!AJ241</f>
        <v>Pas de réponse</v>
      </c>
      <c r="AM241" s="191" t="str">
        <f>'1_BD questio brut'!AK241</f>
        <v>1; 2; 4; 5</v>
      </c>
      <c r="AN241" s="191" t="str">
        <f>'1_BD questio brut'!AL241</f>
        <v/>
      </c>
      <c r="AO241" s="191" t="str">
        <f>'1_BD questio brut'!AM241</f>
        <v>1</v>
      </c>
      <c r="AP241" s="191" t="str">
        <f>'1_BD questio brut'!AN241</f>
        <v/>
      </c>
      <c r="AQ241" s="191" t="str">
        <f>'1_BD questio brut'!AO241</f>
        <v/>
      </c>
    </row>
    <row r="242" spans="1:43" ht="43.5" hidden="1">
      <c r="A242" s="98">
        <f>INDEX('3_BD instruction total'!A:A,MATCH(C242,'3_BD instruction total'!F:F,0))</f>
        <v>2021</v>
      </c>
      <c r="B242" s="98" t="str">
        <f>INDEX('3_BD instruction total'!C:C,MATCH(C242,'3_BD instruction total'!F:F,0))</f>
        <v>non</v>
      </c>
      <c r="C242" s="191" t="str">
        <f>'1_BD questio brut'!A242</f>
        <v>VRB0252</v>
      </c>
      <c r="D242" s="191" t="str">
        <f t="array" ref="D242">INDEX('Données 1_BD questio'!C:C,MATCH('1_BD questio brut'!$B$1&amp;'1_BD questio brut'!B242,'Données 1_BD questio'!A:A&amp;'Données 1_BD questio'!B:B,0))</f>
        <v>CAPV</v>
      </c>
      <c r="E242" s="191" t="str">
        <f t="array" ref="E242">INDEX('Données 1_BD questio'!C:C,MATCH('1_BD questio brut'!$C$1&amp;'1_BD questio brut'!C242,'Données 1_BD questio'!A:A&amp;'Données 1_BD questio'!B:B,0))</f>
        <v>Retraité</v>
      </c>
      <c r="F242" s="191" t="str">
        <f t="array" ref="F242">INDEX('Données 1_BD questio'!C:C,MATCH('1_BD questio brut'!$D$1&amp;'1_BD questio brut'!D242,'Données 1_BD questio'!A:A&amp;'Données 1_BD questio'!B:B,0))</f>
        <v>Retraité</v>
      </c>
      <c r="G242" s="191" t="str">
        <f>'1_BD questio brut'!E242</f>
        <v>65 ans et plus</v>
      </c>
      <c r="H242" s="191">
        <f>'1_BD questio brut'!F242</f>
        <v>2</v>
      </c>
      <c r="I242" s="191" t="str">
        <f>'1_BD questio brut'!G242</f>
        <v>Pas de réponse</v>
      </c>
      <c r="J242" s="191" t="str">
        <f t="array" ref="J242">INDEX('Données 1_BD questio'!C:C,MATCH('1_BD questio brut'!$H$1&amp;'1_BD questio brut'!H242,'Données 1_BD questio'!A:A&amp;'Données 1_BD questio'!B:B,0))</f>
        <v>Maison avec jardin</v>
      </c>
      <c r="K242" s="191">
        <f>'1_BD questio brut'!I242</f>
        <v>130</v>
      </c>
      <c r="L242" s="191" t="str">
        <f>'1_BD questio brut'!J242</f>
        <v>Avant 1949</v>
      </c>
      <c r="M242" s="191" t="str">
        <f>'1_BD questio brut'!K242</f>
        <v>1</v>
      </c>
      <c r="N242" s="191" t="str">
        <f>'1_BD questio brut'!L242</f>
        <v>Pas de réponse</v>
      </c>
      <c r="O242" s="191" t="str">
        <f>'1_BD questio brut'!M242</f>
        <v>Propriétaire occupant</v>
      </c>
      <c r="P242" s="191" t="str">
        <f>'1_BD questio brut'!N242</f>
        <v>Poêle</v>
      </c>
      <c r="Q242" s="191" t="str">
        <f>'1_BD questio brut'!O242</f>
        <v>Chauffage de base</v>
      </c>
      <c r="R242" s="191" t="str">
        <f>'1_BD questio brut'!P242</f>
        <v>Tous les jours</v>
      </c>
      <c r="S242" s="191" t="str">
        <f>'1_BD questio brut'!Q242</f>
        <v>3; 6</v>
      </c>
      <c r="T242" s="191" t="str">
        <f>'1_BD questio brut'!R242</f>
        <v>1996-2002</v>
      </c>
      <c r="U242" s="191" t="str">
        <f>'1_BD questio brut'!S242</f>
        <v>Bois bûche</v>
      </c>
      <c r="V242" s="191" t="str">
        <f>'1_BD questio brut'!T242</f>
        <v/>
      </c>
      <c r="W242" s="191" t="str">
        <f>'1_BD questio brut'!U242</f>
        <v/>
      </c>
      <c r="X242" s="191" t="str">
        <f>'1_BD questio brut'!V242</f>
        <v/>
      </c>
      <c r="Y242" s="191" t="str">
        <f>'1_BD questio brut'!W242</f>
        <v>1</v>
      </c>
      <c r="Z242" s="191" t="str">
        <f>'1_BD questio brut'!X242</f>
        <v/>
      </c>
      <c r="AA242" s="191" t="str">
        <f t="array" ref="AA242">INDEX('Données 1_BD questio'!C:C,MATCH('1_BD questio brut'!$Y$1&amp;'1_BD questio brut'!Y242,'Données 1_BD questio'!A:A&amp;'Données 1_BD questio'!B:B,0))</f>
        <v>Ne sait pas</v>
      </c>
      <c r="AB242" s="191" t="str">
        <f>'1_BD questio brut'!Z242</f>
        <v>2</v>
      </c>
      <c r="AC242" s="191" t="str">
        <f>'1_BD questio brut'!AA242</f>
        <v>&gt; 2 ans</v>
      </c>
      <c r="AD242" s="191" t="str">
        <f>'1_BD questio brut'!AB242</f>
        <v>Les deux</v>
      </c>
      <c r="AE242" s="191" t="str">
        <f t="array" ref="AE242">INDEX('Données 1_BD questio'!C:C,MATCH('1_BD questio brut'!$AC$1&amp;'1_BD questio brut'!AC242,'Données 1_BD questio'!A:A&amp;'Données 1_BD questio'!B:B,0))</f>
        <v>un professionnel</v>
      </c>
      <c r="AF242" s="191" t="str">
        <f>'1_BD questio brut'!AD242</f>
        <v>1 fois par an</v>
      </c>
      <c r="AG242" s="191" t="str">
        <f>'1_BD questio brut'!AE242</f>
        <v/>
      </c>
      <c r="AH242" s="191" t="str">
        <f>'1_BD questio brut'!AF242</f>
        <v>Poêle</v>
      </c>
      <c r="AI242" s="191" t="str">
        <f>'1_BD questio brut'!AG242</f>
        <v>2</v>
      </c>
      <c r="AJ242" s="191" t="str">
        <f>'1_BD questio brut'!AH242</f>
        <v/>
      </c>
      <c r="AK242" s="191" t="str">
        <f>'1_BD questio brut'!AI242</f>
        <v>Chauffage de base</v>
      </c>
      <c r="AL242" s="191" t="str">
        <f>'1_BD questio brut'!AJ242</f>
        <v>Pas de réponse</v>
      </c>
      <c r="AM242" s="191" t="str">
        <f>'1_BD questio brut'!AK242</f>
        <v>4; 5</v>
      </c>
      <c r="AN242" s="191" t="str">
        <f>'1_BD questio brut'!AL242</f>
        <v/>
      </c>
      <c r="AO242" s="191" t="str">
        <f>'1_BD questio brut'!AM242</f>
        <v>5</v>
      </c>
      <c r="AP242" s="191" t="str">
        <f>'1_BD questio brut'!AN242</f>
        <v/>
      </c>
      <c r="AQ242" s="191" t="str">
        <f>'1_BD questio brut'!AO242</f>
        <v/>
      </c>
    </row>
    <row r="243" spans="1:43" ht="43.5" hidden="1">
      <c r="A243" s="98">
        <f>INDEX('3_BD instruction total'!A:A,MATCH(C243,'3_BD instruction total'!F:F,0))</f>
        <v>2021</v>
      </c>
      <c r="B243" s="98" t="str">
        <f>INDEX('3_BD instruction total'!C:C,MATCH(C243,'3_BD instruction total'!F:F,0))</f>
        <v>non</v>
      </c>
      <c r="C243" s="191" t="str">
        <f>'1_BD questio brut'!A243</f>
        <v>VRB0253</v>
      </c>
      <c r="D243" s="191" t="str">
        <f t="array" ref="D243">INDEX('Données 1_BD questio'!C:C,MATCH('1_BD questio brut'!$B$1&amp;'1_BD questio brut'!B243,'Données 1_BD questio'!A:A&amp;'Données 1_BD questio'!B:B,0))</f>
        <v>CAPV</v>
      </c>
      <c r="E243" s="191" t="str">
        <f t="array" ref="E243">INDEX('Données 1_BD questio'!C:C,MATCH('1_BD questio brut'!$C$1&amp;'1_BD questio brut'!C243,'Données 1_BD questio'!A:A&amp;'Données 1_BD questio'!B:B,0))</f>
        <v>Employé</v>
      </c>
      <c r="F243" s="191" t="str">
        <f t="array" ref="F243">INDEX('Données 1_BD questio'!C:C,MATCH('1_BD questio brut'!$D$1&amp;'1_BD questio brut'!D243,'Données 1_BD questio'!A:A&amp;'Données 1_BD questio'!B:B,0))</f>
        <v>Autre,sans activité</v>
      </c>
      <c r="G243" s="191" t="str">
        <f>'1_BD questio brut'!E243</f>
        <v>35 à 49 ans</v>
      </c>
      <c r="H243" s="191">
        <f>'1_BD questio brut'!F243</f>
        <v>5</v>
      </c>
      <c r="I243" s="191" t="str">
        <f>'1_BD questio brut'!G243</f>
        <v>Pas de réponse</v>
      </c>
      <c r="J243" s="191" t="str">
        <f t="array" ref="J243">INDEX('Données 1_BD questio'!C:C,MATCH('1_BD questio brut'!$H$1&amp;'1_BD questio brut'!H243,'Données 1_BD questio'!A:A&amp;'Données 1_BD questio'!B:B,0))</f>
        <v>Maison avec jardin</v>
      </c>
      <c r="K243" s="191">
        <f>'1_BD questio brut'!I243</f>
        <v>58.86</v>
      </c>
      <c r="L243" s="191" t="str">
        <f>'1_BD questio brut'!J243</f>
        <v>Avant 1949</v>
      </c>
      <c r="M243" s="191" t="str">
        <f>'1_BD questio brut'!K243</f>
        <v>3; 4</v>
      </c>
      <c r="N243" s="191" t="str">
        <f>'1_BD questio brut'!L243</f>
        <v>E</v>
      </c>
      <c r="O243" s="191" t="str">
        <f>'1_BD questio brut'!M243</f>
        <v>Propriétaire occupant</v>
      </c>
      <c r="P243" s="191" t="str">
        <f>'1_BD questio brut'!N243</f>
        <v>Poêle</v>
      </c>
      <c r="Q243" s="191" t="str">
        <f>'1_BD questio brut'!O243</f>
        <v>Chauffage de base</v>
      </c>
      <c r="R243" s="191" t="str">
        <f>'1_BD questio brut'!P243</f>
        <v>Tous les jours</v>
      </c>
      <c r="S243" s="191" t="str">
        <f>'1_BD questio brut'!Q243</f>
        <v>1; 2; 3; 4; 5; 6</v>
      </c>
      <c r="T243" s="191" t="str">
        <f>'1_BD questio brut'!R243</f>
        <v>Pas de réponse</v>
      </c>
      <c r="U243" s="191" t="str">
        <f>'1_BD questio brut'!S243</f>
        <v>Bois bûche</v>
      </c>
      <c r="V243" s="191" t="str">
        <f>'1_BD questio brut'!T243</f>
        <v/>
      </c>
      <c r="W243" s="191" t="str">
        <f>'1_BD questio brut'!U243</f>
        <v>12</v>
      </c>
      <c r="X243" s="191" t="str">
        <f>'1_BD questio brut'!V243</f>
        <v>STERES</v>
      </c>
      <c r="Y243" s="191" t="str">
        <f>'1_BD questio brut'!W243</f>
        <v>1</v>
      </c>
      <c r="Z243" s="191" t="str">
        <f>'1_BD questio brut'!X243</f>
        <v/>
      </c>
      <c r="AA243" s="191" t="str">
        <f t="array" ref="AA243">INDEX('Données 1_BD questio'!C:C,MATCH('1_BD questio brut'!$Y$1&amp;'1_BD questio brut'!Y243,'Données 1_BD questio'!A:A&amp;'Données 1_BD questio'!B:B,0))</f>
        <v>Rhône-Alpes hors RA2B</v>
      </c>
      <c r="AB243" s="191" t="str">
        <f>'1_BD questio brut'!Z243</f>
        <v>2</v>
      </c>
      <c r="AC243" s="191" t="str">
        <f>'1_BD questio brut'!AA243</f>
        <v>&gt; 2 ans</v>
      </c>
      <c r="AD243" s="191" t="str">
        <f>'1_BD questio brut'!AB243</f>
        <v>Feuillus</v>
      </c>
      <c r="AE243" s="191" t="str">
        <f t="array" ref="AE243">INDEX('Données 1_BD questio'!C:C,MATCH('1_BD questio brut'!$AC$1&amp;'1_BD questio brut'!AC243,'Données 1_BD questio'!A:A&amp;'Données 1_BD questio'!B:B,0))</f>
        <v>un professionnel</v>
      </c>
      <c r="AF243" s="191" t="str">
        <f>'1_BD questio brut'!AD243</f>
        <v>1 fois par an</v>
      </c>
      <c r="AG243" s="191" t="str">
        <f>'1_BD questio brut'!AE243</f>
        <v/>
      </c>
      <c r="AH243" s="191" t="str">
        <f>'1_BD questio brut'!AF243</f>
        <v>Poêle</v>
      </c>
      <c r="AI243" s="191" t="str">
        <f>'1_BD questio brut'!AG243</f>
        <v>1</v>
      </c>
      <c r="AJ243" s="191" t="str">
        <f>'1_BD questio brut'!AH243</f>
        <v/>
      </c>
      <c r="AK243" s="191" t="str">
        <f>'1_BD questio brut'!AI243</f>
        <v>Chauffage de base</v>
      </c>
      <c r="AL243" s="191" t="str">
        <f>'1_BD questio brut'!AJ243</f>
        <v>Pas de réponse</v>
      </c>
      <c r="AM243" s="191" t="str">
        <f>'1_BD questio brut'!AK243</f>
        <v>1; 2; 4; 5</v>
      </c>
      <c r="AN243" s="191" t="str">
        <f>'1_BD questio brut'!AL243</f>
        <v/>
      </c>
      <c r="AO243" s="191" t="str">
        <f>'1_BD questio brut'!AM243</f>
        <v>5</v>
      </c>
      <c r="AP243" s="191" t="str">
        <f>'1_BD questio brut'!AN243</f>
        <v/>
      </c>
      <c r="AQ243" s="191" t="str">
        <f>'1_BD questio brut'!AO243</f>
        <v/>
      </c>
    </row>
    <row r="244" spans="1:43" ht="43.5" hidden="1">
      <c r="A244" s="98">
        <f>INDEX('3_BD instruction total'!A:A,MATCH(C244,'3_BD instruction total'!F:F,0))</f>
        <v>2021</v>
      </c>
      <c r="B244" s="98" t="str">
        <f>INDEX('3_BD instruction total'!C:C,MATCH(C244,'3_BD instruction total'!F:F,0))</f>
        <v>non</v>
      </c>
      <c r="C244" s="191" t="str">
        <f>'1_BD questio brut'!A244</f>
        <v>VRB0255</v>
      </c>
      <c r="D244" s="191" t="str">
        <f t="array" ref="D244">INDEX('Données 1_BD questio'!C:C,MATCH('1_BD questio brut'!$B$1&amp;'1_BD questio brut'!B244,'Données 1_BD questio'!A:A&amp;'Données 1_BD questio'!B:B,0))</f>
        <v>CAPV</v>
      </c>
      <c r="E244" s="191" t="str">
        <f t="array" ref="E244">INDEX('Données 1_BD questio'!C:C,MATCH('1_BD questio brut'!$C$1&amp;'1_BD questio brut'!C244,'Données 1_BD questio'!A:A&amp;'Données 1_BD questio'!B:B,0))</f>
        <v>Retraité</v>
      </c>
      <c r="F244" s="191" t="str">
        <f t="array" ref="F244">INDEX('Données 1_BD questio'!C:C,MATCH('1_BD questio brut'!$D$1&amp;'1_BD questio brut'!D244,'Données 1_BD questio'!A:A&amp;'Données 1_BD questio'!B:B,0))</f>
        <v>Retraité</v>
      </c>
      <c r="G244" s="191" t="str">
        <f>'1_BD questio brut'!E244</f>
        <v>65 ans et plus</v>
      </c>
      <c r="H244" s="191">
        <f>'1_BD questio brut'!F244</f>
        <v>2</v>
      </c>
      <c r="I244" s="191" t="str">
        <f>'1_BD questio brut'!G244</f>
        <v>Pas de réponse</v>
      </c>
      <c r="J244" s="191" t="str">
        <f t="array" ref="J244">INDEX('Données 1_BD questio'!C:C,MATCH('1_BD questio brut'!$H$1&amp;'1_BD questio brut'!H244,'Données 1_BD questio'!A:A&amp;'Données 1_BD questio'!B:B,0))</f>
        <v>Maison avec jardin</v>
      </c>
      <c r="K244" s="191">
        <f>'1_BD questio brut'!I244</f>
        <v>111</v>
      </c>
      <c r="L244" s="191" t="str">
        <f>'1_BD questio brut'!J244</f>
        <v>1990-2005</v>
      </c>
      <c r="M244" s="191" t="str">
        <f>'1_BD questio brut'!K244</f>
        <v>2</v>
      </c>
      <c r="N244" s="191" t="str">
        <f>'1_BD questio brut'!L244</f>
        <v>D</v>
      </c>
      <c r="O244" s="191" t="str">
        <f>'1_BD questio brut'!M244</f>
        <v>Propriétaire occupant</v>
      </c>
      <c r="P244" s="191" t="str">
        <f>'1_BD questio brut'!N244</f>
        <v>Foyer ouvert</v>
      </c>
      <c r="Q244" s="191" t="str">
        <f>'1_BD questio brut'!O244</f>
        <v>Chauffage d'apoint</v>
      </c>
      <c r="R244" s="191" t="str">
        <f>'1_BD questio brut'!P244</f>
        <v>1 à 2 jours/semaine</v>
      </c>
      <c r="S244" s="191" t="str">
        <f>'1_BD questio brut'!Q244</f>
        <v>1; 2</v>
      </c>
      <c r="T244" s="191" t="str">
        <f>'1_BD questio brut'!R244</f>
        <v>1990-1995</v>
      </c>
      <c r="U244" s="191" t="str">
        <f>'1_BD questio brut'!S244</f>
        <v>Bois bûche</v>
      </c>
      <c r="V244" s="191" t="str">
        <f>'1_BD questio brut'!T244</f>
        <v/>
      </c>
      <c r="W244" s="191" t="str">
        <f>'1_BD questio brut'!U244</f>
        <v>3</v>
      </c>
      <c r="X244" s="191" t="str">
        <f>'1_BD questio brut'!V244</f>
        <v>STERES</v>
      </c>
      <c r="Y244" s="191" t="str">
        <f>'1_BD questio brut'!W244</f>
        <v>2</v>
      </c>
      <c r="Z244" s="191" t="str">
        <f>'1_BD questio brut'!X244</f>
        <v/>
      </c>
      <c r="AA244" s="191" t="str">
        <f t="array" ref="AA244">INDEX('Données 1_BD questio'!C:C,MATCH('1_BD questio brut'!$Y$1&amp;'1_BD questio brut'!Y244,'Données 1_BD questio'!A:A&amp;'Données 1_BD questio'!B:B,0))</f>
        <v>Ne sait pas</v>
      </c>
      <c r="AB244" s="191" t="str">
        <f>'1_BD questio brut'!Z244</f>
        <v>2</v>
      </c>
      <c r="AC244" s="191" t="str">
        <f>'1_BD questio brut'!AA244</f>
        <v>&gt; 2 ans</v>
      </c>
      <c r="AD244" s="191" t="str">
        <f>'1_BD questio brut'!AB244</f>
        <v>Feuillus</v>
      </c>
      <c r="AE244" s="191" t="str">
        <f t="array" ref="AE244">INDEX('Données 1_BD questio'!C:C,MATCH('1_BD questio brut'!$AC$1&amp;'1_BD questio brut'!AC244,'Données 1_BD questio'!A:A&amp;'Données 1_BD questio'!B:B,0))</f>
        <v>un professionnel</v>
      </c>
      <c r="AF244" s="191" t="str">
        <f>'1_BD questio brut'!AD244</f>
        <v>1 fois tous les 2 ans</v>
      </c>
      <c r="AG244" s="191" t="str">
        <f>'1_BD questio brut'!AE244</f>
        <v/>
      </c>
      <c r="AH244" s="191" t="str">
        <f>'1_BD questio brut'!AF244</f>
        <v>Poêle</v>
      </c>
      <c r="AI244" s="191" t="str">
        <f>'1_BD questio brut'!AG244</f>
        <v>1</v>
      </c>
      <c r="AJ244" s="191" t="str">
        <f>'1_BD questio brut'!AH244</f>
        <v/>
      </c>
      <c r="AK244" s="191" t="str">
        <f>'1_BD questio brut'!AI244</f>
        <v>Chauffage d'appoint</v>
      </c>
      <c r="AL244" s="191" t="str">
        <f>'1_BD questio brut'!AJ244</f>
        <v>Pas de réponse</v>
      </c>
      <c r="AM244" s="191" t="str">
        <f>'1_BD questio brut'!AK244</f>
        <v>2; 4; 5</v>
      </c>
      <c r="AN244" s="191" t="str">
        <f>'1_BD questio brut'!AL244</f>
        <v/>
      </c>
      <c r="AO244" s="191" t="str">
        <f>'1_BD questio brut'!AM244</f>
        <v>7</v>
      </c>
      <c r="AP244" s="191" t="str">
        <f>'1_BD questio brut'!AN244</f>
        <v/>
      </c>
      <c r="AQ244" s="191" t="str">
        <f>'1_BD questio brut'!AO244</f>
        <v/>
      </c>
    </row>
    <row r="245" spans="1:43" ht="43.5" hidden="1">
      <c r="A245" s="98">
        <f>INDEX('3_BD instruction total'!A:A,MATCH(C245,'3_BD instruction total'!F:F,0))</f>
        <v>2021</v>
      </c>
      <c r="B245" s="98" t="str">
        <f>INDEX('3_BD instruction total'!C:C,MATCH(C245,'3_BD instruction total'!F:F,0))</f>
        <v>non</v>
      </c>
      <c r="C245" s="191" t="str">
        <f>'1_BD questio brut'!A245</f>
        <v>VRB0256</v>
      </c>
      <c r="D245" s="191" t="str">
        <f t="array" ref="D245">INDEX('Données 1_BD questio'!C:C,MATCH('1_BD questio brut'!$B$1&amp;'1_BD questio brut'!B245,'Données 1_BD questio'!A:A&amp;'Données 1_BD questio'!B:B,0))</f>
        <v>CAPV</v>
      </c>
      <c r="E245" s="191" t="str">
        <f t="array" ref="E245">INDEX('Données 1_BD questio'!C:C,MATCH('1_BD questio brut'!$C$1&amp;'1_BD questio brut'!C245,'Données 1_BD questio'!A:A&amp;'Données 1_BD questio'!B:B,0))</f>
        <v>Artisan,commerçant,chef d'entreprise</v>
      </c>
      <c r="F245" s="191" t="str">
        <f t="array" ref="F245">INDEX('Données 1_BD questio'!C:C,MATCH('1_BD questio brut'!$D$1&amp;'1_BD questio brut'!D245,'Données 1_BD questio'!A:A&amp;'Données 1_BD questio'!B:B,0))</f>
        <v>Employé</v>
      </c>
      <c r="G245" s="191" t="str">
        <f>'1_BD questio brut'!E245</f>
        <v>50 à 64 ans</v>
      </c>
      <c r="H245" s="191">
        <f>'1_BD questio brut'!F245</f>
        <v>3</v>
      </c>
      <c r="I245" s="191" t="str">
        <f>'1_BD questio brut'!G245</f>
        <v>Pas de réponse</v>
      </c>
      <c r="J245" s="191" t="str">
        <f t="array" ref="J245">INDEX('Données 1_BD questio'!C:C,MATCH('1_BD questio brut'!$H$1&amp;'1_BD questio brut'!H245,'Données 1_BD questio'!A:A&amp;'Données 1_BD questio'!B:B,0))</f>
        <v>Maison avec jardin</v>
      </c>
      <c r="K245" s="191">
        <f>'1_BD questio brut'!I245</f>
        <v>50</v>
      </c>
      <c r="L245" s="191" t="str">
        <f>'1_BD questio brut'!J245</f>
        <v>1975-1990</v>
      </c>
      <c r="M245" s="191" t="str">
        <f>'1_BD questio brut'!K245</f>
        <v>6</v>
      </c>
      <c r="N245" s="191" t="str">
        <f>'1_BD questio brut'!L245</f>
        <v>Ne sait pas</v>
      </c>
      <c r="O245" s="191" t="str">
        <f>'1_BD questio brut'!M245</f>
        <v>Propriétaire occupant</v>
      </c>
      <c r="P245" s="191" t="str">
        <f>'1_BD questio brut'!N245</f>
        <v>Foyer ouvert</v>
      </c>
      <c r="Q245" s="191" t="str">
        <f>'1_BD questio brut'!O245</f>
        <v>Chauffage d'apoint</v>
      </c>
      <c r="R245" s="191" t="str">
        <f>'1_BD questio brut'!P245</f>
        <v>3 à 4 jours/semaine</v>
      </c>
      <c r="S245" s="191" t="str">
        <f>'1_BD questio brut'!Q245</f>
        <v>2; 4; 6</v>
      </c>
      <c r="T245" s="191" t="str">
        <f>'1_BD questio brut'!R245</f>
        <v>Après 2002</v>
      </c>
      <c r="U245" s="191" t="str">
        <f>'1_BD questio brut'!S245</f>
        <v>Bois bûche</v>
      </c>
      <c r="V245" s="191" t="str">
        <f>'1_BD questio brut'!T245</f>
        <v/>
      </c>
      <c r="W245" s="191" t="str">
        <f>'1_BD questio brut'!U245</f>
        <v>5</v>
      </c>
      <c r="X245" s="191" t="str">
        <f>'1_BD questio brut'!V245</f>
        <v>STERES</v>
      </c>
      <c r="Y245" s="191" t="str">
        <f>'1_BD questio brut'!W245</f>
        <v>3</v>
      </c>
      <c r="Z245" s="191" t="str">
        <f>'1_BD questio brut'!X245</f>
        <v/>
      </c>
      <c r="AA245" s="191" t="str">
        <f t="array" ref="AA245">INDEX('Données 1_BD questio'!C:C,MATCH('1_BD questio brut'!$Y$1&amp;'1_BD questio brut'!Y245,'Données 1_BD questio'!A:A&amp;'Données 1_BD questio'!B:B,0))</f>
        <v>Ne sait pas</v>
      </c>
      <c r="AB245" s="191" t="str">
        <f>'1_BD questio brut'!Z245</f>
        <v>2</v>
      </c>
      <c r="AC245" s="191" t="str">
        <f>'1_BD questio brut'!AA245</f>
        <v>&lt; 1 an</v>
      </c>
      <c r="AD245" s="191" t="str">
        <f>'1_BD questio brut'!AB245</f>
        <v>Résineux</v>
      </c>
      <c r="AE245" s="191" t="str">
        <f t="array" ref="AE245">INDEX('Données 1_BD questio'!C:C,MATCH('1_BD questio brut'!$AC$1&amp;'1_BD questio brut'!AC245,'Données 1_BD questio'!A:A&amp;'Données 1_BD questio'!B:B,0))</f>
        <v>un professionnel</v>
      </c>
      <c r="AF245" s="191" t="str">
        <f>'1_BD questio brut'!AD245</f>
        <v>1 fois par an</v>
      </c>
      <c r="AG245" s="191" t="str">
        <f>'1_BD questio brut'!AE245</f>
        <v/>
      </c>
      <c r="AH245" s="191" t="str">
        <f>'1_BD questio brut'!AF245</f>
        <v>Poêle</v>
      </c>
      <c r="AI245" s="191" t="str">
        <f>'1_BD questio brut'!AG245</f>
        <v>2</v>
      </c>
      <c r="AJ245" s="191" t="str">
        <f>'1_BD questio brut'!AH245</f>
        <v/>
      </c>
      <c r="AK245" s="191" t="str">
        <f>'1_BD questio brut'!AI245</f>
        <v>Chauffage de base</v>
      </c>
      <c r="AL245" s="191" t="str">
        <f>'1_BD questio brut'!AJ245</f>
        <v>Pas de réponse</v>
      </c>
      <c r="AM245" s="191" t="str">
        <f>'1_BD questio brut'!AK245</f>
        <v>1; 2; 4; 5</v>
      </c>
      <c r="AN245" s="191" t="str">
        <f>'1_BD questio brut'!AL245</f>
        <v/>
      </c>
      <c r="AO245" s="191" t="str">
        <f>'1_BD questio brut'!AM245</f>
        <v>5</v>
      </c>
      <c r="AP245" s="191" t="str">
        <f>'1_BD questio brut'!AN245</f>
        <v/>
      </c>
      <c r="AQ245" s="191" t="str">
        <f>'1_BD questio brut'!AO245</f>
        <v/>
      </c>
    </row>
    <row r="246" spans="1:43" ht="43.5" hidden="1">
      <c r="A246" s="98">
        <f>INDEX('3_BD instruction total'!A:A,MATCH(C246,'3_BD instruction total'!F:F,0))</f>
        <v>2021</v>
      </c>
      <c r="B246" s="98" t="str">
        <f>INDEX('3_BD instruction total'!C:C,MATCH(C246,'3_BD instruction total'!F:F,0))</f>
        <v>non</v>
      </c>
      <c r="C246" s="191" t="str">
        <f>'1_BD questio brut'!A246</f>
        <v>VRB0257</v>
      </c>
      <c r="D246" s="191" t="str">
        <f t="array" ref="D246">INDEX('Données 1_BD questio'!C:C,MATCH('1_BD questio brut'!$B$1&amp;'1_BD questio brut'!B246,'Données 1_BD questio'!A:A&amp;'Données 1_BD questio'!B:B,0))</f>
        <v>CAPV</v>
      </c>
      <c r="E246" s="191" t="str">
        <f t="array" ref="E246">INDEX('Données 1_BD questio'!C:C,MATCH('1_BD questio brut'!$C$1&amp;'1_BD questio brut'!C246,'Données 1_BD questio'!A:A&amp;'Données 1_BD questio'!B:B,0))</f>
        <v>Retraité</v>
      </c>
      <c r="F246" s="191" t="str">
        <f t="array" ref="F246">INDEX('Données 1_BD questio'!C:C,MATCH('1_BD questio brut'!$D$1&amp;'1_BD questio brut'!D246,'Données 1_BD questio'!A:A&amp;'Données 1_BD questio'!B:B,0))</f>
        <v>Pas de réponse</v>
      </c>
      <c r="G246" s="191" t="str">
        <f>'1_BD questio brut'!E246</f>
        <v>65 ans et plus</v>
      </c>
      <c r="H246" s="191">
        <f>'1_BD questio brut'!F246</f>
        <v>1</v>
      </c>
      <c r="I246" s="191" t="str">
        <f>'1_BD questio brut'!G246</f>
        <v>Pas de réponse</v>
      </c>
      <c r="J246" s="191" t="str">
        <f t="array" ref="J246">INDEX('Données 1_BD questio'!C:C,MATCH('1_BD questio brut'!$H$1&amp;'1_BD questio brut'!H246,'Données 1_BD questio'!A:A&amp;'Données 1_BD questio'!B:B,0))</f>
        <v>Maison avec jardin</v>
      </c>
      <c r="K246" s="191">
        <f>'1_BD questio brut'!I246</f>
        <v>130</v>
      </c>
      <c r="L246" s="191" t="str">
        <f>'1_BD questio brut'!J246</f>
        <v>1975-1990</v>
      </c>
      <c r="M246" s="191" t="str">
        <f>'1_BD questio brut'!K246</f>
        <v>1; 4</v>
      </c>
      <c r="N246" s="191" t="str">
        <f>'1_BD questio brut'!L246</f>
        <v>Pas de réponse</v>
      </c>
      <c r="O246" s="191" t="str">
        <f>'1_BD questio brut'!M246</f>
        <v>Propriétaire occupant</v>
      </c>
      <c r="P246" s="191" t="str">
        <f>'1_BD questio brut'!N246</f>
        <v>Insert / foyer fermé</v>
      </c>
      <c r="Q246" s="191" t="str">
        <f>'1_BD questio brut'!O246</f>
        <v>Chauffage de base</v>
      </c>
      <c r="R246" s="191" t="str">
        <f>'1_BD questio brut'!P246</f>
        <v>Tous les jours</v>
      </c>
      <c r="S246" s="191" t="str">
        <f>'1_BD questio brut'!Q246</f>
        <v>4; 5</v>
      </c>
      <c r="T246" s="191" t="str">
        <f>'1_BD questio brut'!R246</f>
        <v>1990-1995</v>
      </c>
      <c r="U246" s="191" t="str">
        <f>'1_BD questio brut'!S246</f>
        <v>Granulés/pellets</v>
      </c>
      <c r="V246" s="191" t="str">
        <f>'1_BD questio brut'!T246</f>
        <v/>
      </c>
      <c r="W246" s="191" t="str">
        <f>'1_BD questio brut'!U246</f>
        <v>5</v>
      </c>
      <c r="X246" s="191" t="str">
        <f>'1_BD questio brut'!V246</f>
        <v/>
      </c>
      <c r="Y246" s="191" t="str">
        <f>'1_BD questio brut'!W246</f>
        <v>1</v>
      </c>
      <c r="Z246" s="191" t="str">
        <f>'1_BD questio brut'!X246</f>
        <v/>
      </c>
      <c r="AA246" s="191" t="str">
        <f t="array" ref="AA246">INDEX('Données 1_BD questio'!C:C,MATCH('1_BD questio brut'!$Y$1&amp;'1_BD questio brut'!Y246,'Données 1_BD questio'!A:A&amp;'Données 1_BD questio'!B:B,0))</f>
        <v>Ne sait pas</v>
      </c>
      <c r="AB246" s="191" t="str">
        <f>'1_BD questio brut'!Z246</f>
        <v>1</v>
      </c>
      <c r="AC246" s="191" t="str">
        <f>'1_BD questio brut'!AA246</f>
        <v>&gt; 2 ans</v>
      </c>
      <c r="AD246" s="191" t="str">
        <f>'1_BD questio brut'!AB246</f>
        <v>Résineux</v>
      </c>
      <c r="AE246" s="191" t="str">
        <f t="array" ref="AE246">INDEX('Données 1_BD questio'!C:C,MATCH('1_BD questio brut'!$AC$1&amp;'1_BD questio brut'!AC246,'Données 1_BD questio'!A:A&amp;'Données 1_BD questio'!B:B,0))</f>
        <v>un professionnel</v>
      </c>
      <c r="AF246" s="191" t="str">
        <f>'1_BD questio brut'!AD246</f>
        <v>1 fois par an</v>
      </c>
      <c r="AG246" s="191" t="str">
        <f>'1_BD questio brut'!AE246</f>
        <v/>
      </c>
      <c r="AH246" s="191" t="str">
        <f>'1_BD questio brut'!AF246</f>
        <v>Poêle</v>
      </c>
      <c r="AI246" s="191" t="str">
        <f>'1_BD questio brut'!AG246</f>
        <v>2</v>
      </c>
      <c r="AJ246" s="191" t="str">
        <f>'1_BD questio brut'!AH246</f>
        <v/>
      </c>
      <c r="AK246" s="191" t="str">
        <f>'1_BD questio brut'!AI246</f>
        <v>Chauffage de base</v>
      </c>
      <c r="AL246" s="191" t="str">
        <f>'1_BD questio brut'!AJ246</f>
        <v>Pas de réponse</v>
      </c>
      <c r="AM246" s="191" t="str">
        <f>'1_BD questio brut'!AK246</f>
        <v>1; 2; 4; 5</v>
      </c>
      <c r="AN246" s="191" t="str">
        <f>'1_BD questio brut'!AL246</f>
        <v/>
      </c>
      <c r="AO246" s="191" t="str">
        <f>'1_BD questio brut'!AM246</f>
        <v>5</v>
      </c>
      <c r="AP246" s="191" t="str">
        <f>'1_BD questio brut'!AN246</f>
        <v/>
      </c>
      <c r="AQ246" s="191" t="str">
        <f>'1_BD questio brut'!AO246</f>
        <v/>
      </c>
    </row>
    <row r="247" spans="1:43" ht="43.5" hidden="1">
      <c r="A247" s="98">
        <f>INDEX('3_BD instruction total'!A:A,MATCH(C247,'3_BD instruction total'!F:F,0))</f>
        <v>2021</v>
      </c>
      <c r="B247" s="98" t="str">
        <f>INDEX('3_BD instruction total'!C:C,MATCH(C247,'3_BD instruction total'!F:F,0))</f>
        <v>non</v>
      </c>
      <c r="C247" s="191" t="str">
        <f>'1_BD questio brut'!A247</f>
        <v>VRB0258</v>
      </c>
      <c r="D247" s="191" t="str">
        <f t="array" ref="D247">INDEX('Données 1_BD questio'!C:C,MATCH('1_BD questio brut'!$B$1&amp;'1_BD questio brut'!B247,'Données 1_BD questio'!A:A&amp;'Données 1_BD questio'!B:B,0))</f>
        <v>CAPV</v>
      </c>
      <c r="E247" s="191" t="str">
        <f t="array" ref="E247">INDEX('Données 1_BD questio'!C:C,MATCH('1_BD questio brut'!$C$1&amp;'1_BD questio brut'!C247,'Données 1_BD questio'!A:A&amp;'Données 1_BD questio'!B:B,0))</f>
        <v>Retraité</v>
      </c>
      <c r="F247" s="191" t="str">
        <f t="array" ref="F247">INDEX('Données 1_BD questio'!C:C,MATCH('1_BD questio brut'!$D$1&amp;'1_BD questio brut'!D247,'Données 1_BD questio'!A:A&amp;'Données 1_BD questio'!B:B,0))</f>
        <v>Pas de réponse</v>
      </c>
      <c r="G247" s="191" t="str">
        <f>'1_BD questio brut'!E247</f>
        <v>65 ans et plus</v>
      </c>
      <c r="H247" s="191">
        <f>'1_BD questio brut'!F247</f>
        <v>1</v>
      </c>
      <c r="I247" s="191" t="str">
        <f>'1_BD questio brut'!G247</f>
        <v>Pas de réponse</v>
      </c>
      <c r="J247" s="191" t="str">
        <f t="array" ref="J247">INDEX('Données 1_BD questio'!C:C,MATCH('1_BD questio brut'!$H$1&amp;'1_BD questio brut'!H247,'Données 1_BD questio'!A:A&amp;'Données 1_BD questio'!B:B,0))</f>
        <v>Maison avec jardin</v>
      </c>
      <c r="K247" s="191">
        <f>'1_BD questio brut'!I247</f>
        <v>60</v>
      </c>
      <c r="L247" s="191" t="str">
        <f>'1_BD questio brut'!J247</f>
        <v>1975-1990</v>
      </c>
      <c r="M247" s="191" t="str">
        <f>'1_BD questio brut'!K247</f>
        <v>1; 4</v>
      </c>
      <c r="N247" s="191" t="str">
        <f>'1_BD questio brut'!L247</f>
        <v>Ne sait pas</v>
      </c>
      <c r="O247" s="191" t="str">
        <f>'1_BD questio brut'!M247</f>
        <v>Propriétaire occupant</v>
      </c>
      <c r="P247" s="191" t="str">
        <f>'1_BD questio brut'!N247</f>
        <v>Foyer ouvert</v>
      </c>
      <c r="Q247" s="191" t="str">
        <f>'1_BD questio brut'!O247</f>
        <v>Chauffage d'apoint</v>
      </c>
      <c r="R247" s="191" t="str">
        <f>'1_BD questio brut'!P247</f>
        <v>1 à 2 jours/semaine</v>
      </c>
      <c r="S247" s="191" t="str">
        <f>'1_BD questio brut'!Q247</f>
        <v>3; 6</v>
      </c>
      <c r="T247" s="191" t="str">
        <f>'1_BD questio brut'!R247</f>
        <v>Avant 1990</v>
      </c>
      <c r="U247" s="191" t="str">
        <f>'1_BD questio brut'!S247</f>
        <v>Bois bûche</v>
      </c>
      <c r="V247" s="191" t="str">
        <f>'1_BD questio brut'!T247</f>
        <v/>
      </c>
      <c r="W247" s="191" t="str">
        <f>'1_BD questio brut'!U247</f>
        <v/>
      </c>
      <c r="X247" s="191" t="str">
        <f>'1_BD questio brut'!V247</f>
        <v/>
      </c>
      <c r="Y247" s="191" t="str">
        <f>'1_BD questio brut'!W247</f>
        <v>1</v>
      </c>
      <c r="Z247" s="191" t="str">
        <f>'1_BD questio brut'!X247</f>
        <v/>
      </c>
      <c r="AA247" s="191" t="str">
        <f t="array" ref="AA247">INDEX('Données 1_BD questio'!C:C,MATCH('1_BD questio brut'!$Y$1&amp;'1_BD questio brut'!Y247,'Données 1_BD questio'!A:A&amp;'Données 1_BD questio'!B:B,0))</f>
        <v>Pas de réponse</v>
      </c>
      <c r="AB247" s="191" t="str">
        <f>'1_BD questio brut'!Z247</f>
        <v>2</v>
      </c>
      <c r="AC247" s="191" t="str">
        <f>'1_BD questio brut'!AA247</f>
        <v>&gt; 2 ans</v>
      </c>
      <c r="AD247" s="191" t="str">
        <f>'1_BD questio brut'!AB247</f>
        <v>Feuillus</v>
      </c>
      <c r="AE247" s="191" t="str">
        <f t="array" ref="AE247">INDEX('Données 1_BD questio'!C:C,MATCH('1_BD questio brut'!$AC$1&amp;'1_BD questio brut'!AC247,'Données 1_BD questio'!A:A&amp;'Données 1_BD questio'!B:B,0))</f>
        <v>un professionnel</v>
      </c>
      <c r="AF247" s="191" t="str">
        <f>'1_BD questio brut'!AD247</f>
        <v>1 fois par an</v>
      </c>
      <c r="AG247" s="191" t="str">
        <f>'1_BD questio brut'!AE247</f>
        <v/>
      </c>
      <c r="AH247" s="191" t="str">
        <f>'1_BD questio brut'!AF247</f>
        <v>Insert cheminée</v>
      </c>
      <c r="AI247" s="191" t="str">
        <f>'1_BD questio brut'!AG247</f>
        <v>1</v>
      </c>
      <c r="AJ247" s="191" t="str">
        <f>'1_BD questio brut'!AH247</f>
        <v/>
      </c>
      <c r="AK247" s="191" t="str">
        <f>'1_BD questio brut'!AI247</f>
        <v>Chauffage d'appoint</v>
      </c>
      <c r="AL247" s="191" t="str">
        <f>'1_BD questio brut'!AJ247</f>
        <v>Pas de réponse</v>
      </c>
      <c r="AM247" s="191" t="str">
        <f>'1_BD questio brut'!AK247</f>
        <v>1; 2; 4; 5; 6</v>
      </c>
      <c r="AN247" s="191" t="str">
        <f>'1_BD questio brut'!AL247</f>
        <v>SECURITE</v>
      </c>
      <c r="AO247" s="191" t="str">
        <f>'1_BD questio brut'!AM247</f>
        <v>5</v>
      </c>
      <c r="AP247" s="191" t="str">
        <f>'1_BD questio brut'!AN247</f>
        <v/>
      </c>
      <c r="AQ247" s="191" t="str">
        <f>'1_BD questio brut'!AO247</f>
        <v/>
      </c>
    </row>
    <row r="248" spans="1:43" ht="43.5" hidden="1">
      <c r="A248" s="98">
        <f>INDEX('3_BD instruction total'!A:A,MATCH(C248,'3_BD instruction total'!F:F,0))</f>
        <v>2021</v>
      </c>
      <c r="B248" s="98" t="str">
        <f>INDEX('3_BD instruction total'!C:C,MATCH(C248,'3_BD instruction total'!F:F,0))</f>
        <v>non</v>
      </c>
      <c r="C248" s="191" t="str">
        <f>'1_BD questio brut'!A248</f>
        <v>VRB0259</v>
      </c>
      <c r="D248" s="191" t="str">
        <f t="array" ref="D248">INDEX('Données 1_BD questio'!C:C,MATCH('1_BD questio brut'!$B$1&amp;'1_BD questio brut'!B248,'Données 1_BD questio'!A:A&amp;'Données 1_BD questio'!B:B,0))</f>
        <v>CAPV</v>
      </c>
      <c r="E248" s="191" t="str">
        <f t="array" ref="E248">INDEX('Données 1_BD questio'!C:C,MATCH('1_BD questio brut'!$C$1&amp;'1_BD questio brut'!C248,'Données 1_BD questio'!A:A&amp;'Données 1_BD questio'!B:B,0))</f>
        <v>Cadre</v>
      </c>
      <c r="F248" s="191" t="str">
        <f t="array" ref="F248">INDEX('Données 1_BD questio'!C:C,MATCH('1_BD questio brut'!$D$1&amp;'1_BD questio brut'!D248,'Données 1_BD questio'!A:A&amp;'Données 1_BD questio'!B:B,0))</f>
        <v>Cadre</v>
      </c>
      <c r="G248" s="191" t="str">
        <f>'1_BD questio brut'!E248</f>
        <v>50 à 64 ans</v>
      </c>
      <c r="H248" s="191">
        <f>'1_BD questio brut'!F248</f>
        <v>2</v>
      </c>
      <c r="I248" s="191" t="str">
        <f>'1_BD questio brut'!G248</f>
        <v>Pas de réponse</v>
      </c>
      <c r="J248" s="191" t="str">
        <f t="array" ref="J248">INDEX('Données 1_BD questio'!C:C,MATCH('1_BD questio brut'!$H$1&amp;'1_BD questio brut'!H248,'Données 1_BD questio'!A:A&amp;'Données 1_BD questio'!B:B,0))</f>
        <v>Maison avec jardin</v>
      </c>
      <c r="K248" s="191">
        <f>'1_BD questio brut'!I248</f>
        <v>0</v>
      </c>
      <c r="L248" s="191" t="str">
        <f>'1_BD questio brut'!J248</f>
        <v>1949-1975</v>
      </c>
      <c r="M248" s="191" t="str">
        <f>'1_BD questio brut'!K248</f>
        <v>4</v>
      </c>
      <c r="N248" s="191" t="str">
        <f>'1_BD questio brut'!L248</f>
        <v>Pas de réponse</v>
      </c>
      <c r="O248" s="191" t="str">
        <f>'1_BD questio brut'!M248</f>
        <v>Propriétaire occupant</v>
      </c>
      <c r="P248" s="191" t="str">
        <f>'1_BD questio brut'!N248</f>
        <v>Poêle</v>
      </c>
      <c r="Q248" s="191" t="str">
        <f>'1_BD questio brut'!O248</f>
        <v>Chauffage de base</v>
      </c>
      <c r="R248" s="191" t="str">
        <f>'1_BD questio brut'!P248</f>
        <v>Tous les jours</v>
      </c>
      <c r="S248" s="191" t="str">
        <f>'1_BD questio brut'!Q248</f>
        <v>1; 2; 4; 5</v>
      </c>
      <c r="T248" s="191" t="str">
        <f>'1_BD questio brut'!R248</f>
        <v>Avant 1990</v>
      </c>
      <c r="U248" s="191" t="str">
        <f>'1_BD questio brut'!S248</f>
        <v>Bois bûche</v>
      </c>
      <c r="V248" s="191" t="str">
        <f>'1_BD questio brut'!T248</f>
        <v/>
      </c>
      <c r="W248" s="191" t="str">
        <f>'1_BD questio brut'!U248</f>
        <v>11</v>
      </c>
      <c r="X248" s="191" t="str">
        <f>'1_BD questio brut'!V248</f>
        <v>8,8</v>
      </c>
      <c r="Y248" s="191" t="str">
        <f>'1_BD questio brut'!W248</f>
        <v>5</v>
      </c>
      <c r="Z248" s="191" t="str">
        <f>'1_BD questio brut'!X248</f>
        <v/>
      </c>
      <c r="AA248" s="191" t="str">
        <f t="array" ref="AA248">INDEX('Données 1_BD questio'!C:C,MATCH('1_BD questio brut'!$Y$1&amp;'1_BD questio brut'!Y248,'Données 1_BD questio'!A:A&amp;'Données 1_BD questio'!B:B,0))</f>
        <v>RA2B</v>
      </c>
      <c r="AB248" s="191" t="str">
        <f>'1_BD questio brut'!Z248</f>
        <v>2</v>
      </c>
      <c r="AC248" s="191" t="str">
        <f>'1_BD questio brut'!AA248</f>
        <v>1 à 2 ans</v>
      </c>
      <c r="AD248" s="191" t="str">
        <f>'1_BD questio brut'!AB248</f>
        <v>Les deux</v>
      </c>
      <c r="AE248" s="191" t="str">
        <f t="array" ref="AE248">INDEX('Données 1_BD questio'!C:C,MATCH('1_BD questio brut'!$AC$1&amp;'1_BD questio brut'!AC248,'Données 1_BD questio'!A:A&amp;'Données 1_BD questio'!B:B,0))</f>
        <v>un professionnel</v>
      </c>
      <c r="AF248" s="191" t="str">
        <f>'1_BD questio brut'!AD248</f>
        <v>1 fois par an</v>
      </c>
      <c r="AG248" s="191" t="str">
        <f>'1_BD questio brut'!AE248</f>
        <v/>
      </c>
      <c r="AH248" s="191" t="str">
        <f>'1_BD questio brut'!AF248</f>
        <v>Poêle</v>
      </c>
      <c r="AI248" s="191" t="str">
        <f>'1_BD questio brut'!AG248</f>
        <v>2</v>
      </c>
      <c r="AJ248" s="191" t="str">
        <f>'1_BD questio brut'!AH248</f>
        <v/>
      </c>
      <c r="AK248" s="191" t="str">
        <f>'1_BD questio brut'!AI248</f>
        <v>Chauffage de base</v>
      </c>
      <c r="AL248" s="191" t="str">
        <f>'1_BD questio brut'!AJ248</f>
        <v>Pas de réponse</v>
      </c>
      <c r="AM248" s="191" t="str">
        <f>'1_BD questio brut'!AK248</f>
        <v>1; 2; 5</v>
      </c>
      <c r="AN248" s="191" t="str">
        <f>'1_BD questio brut'!AL248</f>
        <v/>
      </c>
      <c r="AO248" s="191" t="str">
        <f>'1_BD questio brut'!AM248</f>
        <v>5</v>
      </c>
      <c r="AP248" s="191" t="str">
        <f>'1_BD questio brut'!AN248</f>
        <v/>
      </c>
      <c r="AQ248" s="191" t="str">
        <f>'1_BD questio brut'!AO248</f>
        <v/>
      </c>
    </row>
    <row r="249" spans="1:43" ht="43.5" hidden="1">
      <c r="A249" s="98">
        <f>INDEX('3_BD instruction total'!A:A,MATCH(C249,'3_BD instruction total'!F:F,0))</f>
        <v>2021</v>
      </c>
      <c r="B249" s="98" t="str">
        <f>INDEX('3_BD instruction total'!C:C,MATCH(C249,'3_BD instruction total'!F:F,0))</f>
        <v>non</v>
      </c>
      <c r="C249" s="191" t="str">
        <f>'1_BD questio brut'!A249</f>
        <v>VRB0260</v>
      </c>
      <c r="D249" s="191" t="str">
        <f t="array" ref="D249">INDEX('Données 1_BD questio'!C:C,MATCH('1_BD questio brut'!$B$1&amp;'1_BD questio brut'!B249,'Données 1_BD questio'!A:A&amp;'Données 1_BD questio'!B:B,0))</f>
        <v>CAPV</v>
      </c>
      <c r="E249" s="191" t="str">
        <f t="array" ref="E249">INDEX('Données 1_BD questio'!C:C,MATCH('1_BD questio brut'!$C$1&amp;'1_BD questio brut'!C249,'Données 1_BD questio'!A:A&amp;'Données 1_BD questio'!B:B,0))</f>
        <v>Autre,sans activité</v>
      </c>
      <c r="F249" s="191" t="str">
        <f t="array" ref="F249">INDEX('Données 1_BD questio'!C:C,MATCH('1_BD questio brut'!$D$1&amp;'1_BD questio brut'!D249,'Données 1_BD questio'!A:A&amp;'Données 1_BD questio'!B:B,0))</f>
        <v>Cadre</v>
      </c>
      <c r="G249" s="191" t="str">
        <f>'1_BD questio brut'!E249</f>
        <v>25 à 34 ans</v>
      </c>
      <c r="H249" s="191">
        <f>'1_BD questio brut'!F249</f>
        <v>2</v>
      </c>
      <c r="I249" s="191" t="str">
        <f>'1_BD questio brut'!G249</f>
        <v>Pas de réponse</v>
      </c>
      <c r="J249" s="191" t="str">
        <f t="array" ref="J249">INDEX('Données 1_BD questio'!C:C,MATCH('1_BD questio brut'!$H$1&amp;'1_BD questio brut'!H249,'Données 1_BD questio'!A:A&amp;'Données 1_BD questio'!B:B,0))</f>
        <v>Maison avec jardin</v>
      </c>
      <c r="K249" s="191">
        <f>'1_BD questio brut'!I249</f>
        <v>240</v>
      </c>
      <c r="L249" s="191" t="str">
        <f>'1_BD questio brut'!J249</f>
        <v>Avant 1949</v>
      </c>
      <c r="M249" s="191" t="str">
        <f>'1_BD questio brut'!K249</f>
        <v>1; 2</v>
      </c>
      <c r="N249" s="191" t="str">
        <f>'1_BD questio brut'!L249</f>
        <v>C</v>
      </c>
      <c r="O249" s="191" t="str">
        <f>'1_BD questio brut'!M249</f>
        <v>Propriétaire occupant</v>
      </c>
      <c r="P249" s="191" t="str">
        <f>'1_BD questio brut'!N249</f>
        <v>Insert / foyer fermé</v>
      </c>
      <c r="Q249" s="191" t="str">
        <f>'1_BD questio brut'!O249</f>
        <v>Chauffage de base</v>
      </c>
      <c r="R249" s="191" t="str">
        <f>'1_BD questio brut'!P249</f>
        <v>Tous les jours</v>
      </c>
      <c r="S249" s="191" t="str">
        <f>'1_BD questio brut'!Q249</f>
        <v>1; 2; 4</v>
      </c>
      <c r="T249" s="191" t="str">
        <f>'1_BD questio brut'!R249</f>
        <v>1996-2002</v>
      </c>
      <c r="U249" s="191" t="str">
        <f>'1_BD questio brut'!S249</f>
        <v>Bois bûche</v>
      </c>
      <c r="V249" s="191" t="str">
        <f>'1_BD questio brut'!T249</f>
        <v/>
      </c>
      <c r="W249" s="191" t="str">
        <f>'1_BD questio brut'!U249</f>
        <v>6</v>
      </c>
      <c r="X249" s="191" t="str">
        <f>'1_BD questio brut'!V249</f>
        <v>STERES</v>
      </c>
      <c r="Y249" s="191" t="str">
        <f>'1_BD questio brut'!W249</f>
        <v>2</v>
      </c>
      <c r="Z249" s="191" t="str">
        <f>'1_BD questio brut'!X249</f>
        <v/>
      </c>
      <c r="AA249" s="191" t="str">
        <f t="array" ref="AA249">INDEX('Données 1_BD questio'!C:C,MATCH('1_BD questio brut'!$Y$1&amp;'1_BD questio brut'!Y249,'Données 1_BD questio'!A:A&amp;'Données 1_BD questio'!B:B,0))</f>
        <v>Ne sait pas</v>
      </c>
      <c r="AB249" s="191" t="str">
        <f>'1_BD questio brut'!Z249</f>
        <v>2</v>
      </c>
      <c r="AC249" s="191" t="str">
        <f>'1_BD questio brut'!AA249</f>
        <v>&gt; 2 ans</v>
      </c>
      <c r="AD249" s="191" t="str">
        <f>'1_BD questio brut'!AB249</f>
        <v>Feuillus</v>
      </c>
      <c r="AE249" s="191" t="str">
        <f t="array" ref="AE249">INDEX('Données 1_BD questio'!C:C,MATCH('1_BD questio brut'!$AC$1&amp;'1_BD questio brut'!AC249,'Données 1_BD questio'!A:A&amp;'Données 1_BD questio'!B:B,0))</f>
        <v>un professionnel</v>
      </c>
      <c r="AF249" s="191" t="str">
        <f>'1_BD questio brut'!AD249</f>
        <v>1 fois par an</v>
      </c>
      <c r="AG249" s="191" t="str">
        <f>'1_BD questio brut'!AE249</f>
        <v/>
      </c>
      <c r="AH249" s="191" t="str">
        <f>'1_BD questio brut'!AF249</f>
        <v>Poêle</v>
      </c>
      <c r="AI249" s="191" t="str">
        <f>'1_BD questio brut'!AG249</f>
        <v>2</v>
      </c>
      <c r="AJ249" s="191" t="str">
        <f>'1_BD questio brut'!AH249</f>
        <v/>
      </c>
      <c r="AK249" s="191" t="str">
        <f>'1_BD questio brut'!AI249</f>
        <v>Chauffage de base</v>
      </c>
      <c r="AL249" s="191" t="str">
        <f>'1_BD questio brut'!AJ249</f>
        <v>Pas de réponse</v>
      </c>
      <c r="AM249" s="191" t="str">
        <f>'1_BD questio brut'!AK249</f>
        <v>5</v>
      </c>
      <c r="AN249" s="191" t="str">
        <f>'1_BD questio brut'!AL249</f>
        <v/>
      </c>
      <c r="AO249" s="191" t="str">
        <f>'1_BD questio brut'!AM249</f>
        <v>7</v>
      </c>
      <c r="AP249" s="191" t="str">
        <f>'1_BD questio brut'!AN249</f>
        <v/>
      </c>
      <c r="AQ249" s="191" t="str">
        <f>'1_BD questio brut'!AO249</f>
        <v/>
      </c>
    </row>
    <row r="250" spans="1:43" ht="43.5">
      <c r="A250" s="98">
        <f>INDEX('3_BD instruction total'!A:A,MATCH(C250,'3_BD instruction total'!F:F,0))</f>
        <v>2021</v>
      </c>
      <c r="B250" s="98" t="str">
        <f>INDEX('3_BD instruction total'!C:C,MATCH(C250,'3_BD instruction total'!F:F,0))</f>
        <v>non</v>
      </c>
      <c r="C250" s="191" t="str">
        <f>'1_BD questio brut'!A250</f>
        <v>VRB0261</v>
      </c>
      <c r="D250" s="191" t="str">
        <f t="array" ref="D250">INDEX('Données 1_BD questio'!C:C,MATCH('1_BD questio brut'!$B$1&amp;'1_BD questio brut'!B250,'Données 1_BD questio'!A:A&amp;'Données 1_BD questio'!B:B,0))</f>
        <v>CAPV</v>
      </c>
      <c r="E250" s="191" t="str">
        <f t="array" ref="E250">INDEX('Données 1_BD questio'!C:C,MATCH('1_BD questio brut'!$C$1&amp;'1_BD questio brut'!C250,'Données 1_BD questio'!A:A&amp;'Données 1_BD questio'!B:B,0))</f>
        <v>Employé</v>
      </c>
      <c r="F250" s="191" t="str">
        <f t="array" ref="F250">INDEX('Données 1_BD questio'!C:C,MATCH('1_BD questio brut'!$D$1&amp;'1_BD questio brut'!D250,'Données 1_BD questio'!A:A&amp;'Données 1_BD questio'!B:B,0))</f>
        <v>Employé</v>
      </c>
      <c r="G250" s="191" t="str">
        <f>'1_BD questio brut'!E250</f>
        <v>35 à 49 ans</v>
      </c>
      <c r="H250" s="191">
        <f>'1_BD questio brut'!F250</f>
        <v>2</v>
      </c>
      <c r="I250" s="191" t="str">
        <f>'1_BD questio brut'!G250</f>
        <v>Pas de réponse</v>
      </c>
      <c r="J250" s="191" t="str">
        <f t="array" ref="J250">INDEX('Données 1_BD questio'!C:C,MATCH('1_BD questio brut'!$H$1&amp;'1_BD questio brut'!H250,'Données 1_BD questio'!A:A&amp;'Données 1_BD questio'!B:B,0))</f>
        <v>Maison avec jardin</v>
      </c>
      <c r="K250" s="191">
        <f>'1_BD questio brut'!I250</f>
        <v>110</v>
      </c>
      <c r="L250" s="191" t="str">
        <f>'1_BD questio brut'!J250</f>
        <v>1949-1975</v>
      </c>
      <c r="M250" s="191" t="str">
        <f>'1_BD questio brut'!K250</f>
        <v>1; 4</v>
      </c>
      <c r="N250" s="191" t="str">
        <f>'1_BD questio brut'!L250</f>
        <v>Pas de réponse</v>
      </c>
      <c r="O250" s="191" t="str">
        <f>'1_BD questio brut'!M250</f>
        <v>Propriétaire occupant</v>
      </c>
      <c r="P250" s="191" t="str">
        <f>'1_BD questio brut'!N250</f>
        <v>Insert / foyer fermé</v>
      </c>
      <c r="Q250" s="191" t="str">
        <f>'1_BD questio brut'!O250</f>
        <v>Chauffage de base</v>
      </c>
      <c r="R250" s="191" t="str">
        <f>'1_BD questio brut'!P250</f>
        <v>3 à 4 jours/semaine</v>
      </c>
      <c r="S250" s="191" t="str">
        <f>'1_BD questio brut'!Q250</f>
        <v>2; 6</v>
      </c>
      <c r="T250" s="191" t="str">
        <f>'1_BD questio brut'!R250</f>
        <v>Avant 1990</v>
      </c>
      <c r="U250" s="191" t="str">
        <f>'1_BD questio brut'!S250</f>
        <v>Bois bûche</v>
      </c>
      <c r="V250" s="191" t="str">
        <f>'1_BD questio brut'!T250</f>
        <v/>
      </c>
      <c r="W250" s="191" t="str">
        <f>'1_BD questio brut'!U250</f>
        <v>5</v>
      </c>
      <c r="X250" s="191" t="str">
        <f>'1_BD questio brut'!V250</f>
        <v>50CM</v>
      </c>
      <c r="Y250" s="191" t="str">
        <f>'1_BD questio brut'!W250</f>
        <v>1</v>
      </c>
      <c r="Z250" s="191" t="str">
        <f>'1_BD questio brut'!X250</f>
        <v/>
      </c>
      <c r="AA250" s="191" t="str">
        <f t="array" ref="AA250">INDEX('Données 1_BD questio'!C:C,MATCH('1_BD questio brut'!$Y$1&amp;'1_BD questio brut'!Y250,'Données 1_BD questio'!A:A&amp;'Données 1_BD questio'!B:B,0))</f>
        <v>Rhône-Alpes hors RA2B</v>
      </c>
      <c r="AB250" s="191" t="str">
        <f>'1_BD questio brut'!Z250</f>
        <v>2</v>
      </c>
      <c r="AC250" s="191" t="str">
        <f>'1_BD questio brut'!AA250</f>
        <v>1 à 2 ans</v>
      </c>
      <c r="AD250" s="191" t="str">
        <f>'1_BD questio brut'!AB250</f>
        <v>Les deux</v>
      </c>
      <c r="AE250" s="191" t="str">
        <f t="array" ref="AE250">INDEX('Données 1_BD questio'!C:C,MATCH('1_BD questio brut'!$AC$1&amp;'1_BD questio brut'!AC250,'Données 1_BD questio'!A:A&amp;'Données 1_BD questio'!B:B,0))</f>
        <v>un professionnel</v>
      </c>
      <c r="AF250" s="191" t="str">
        <f>'1_BD questio brut'!AD250</f>
        <v>1 fois par an</v>
      </c>
      <c r="AG250" s="191" t="str">
        <f>'1_BD questio brut'!AE250</f>
        <v/>
      </c>
      <c r="AH250" s="191" t="str">
        <f>'1_BD questio brut'!AF250</f>
        <v>Poêle</v>
      </c>
      <c r="AI250" s="191" t="str">
        <f>'1_BD questio brut'!AG250</f>
        <v>1</v>
      </c>
      <c r="AJ250" s="191" t="str">
        <f>'1_BD questio brut'!AH250</f>
        <v/>
      </c>
      <c r="AK250" s="191" t="str">
        <f>'1_BD questio brut'!AI250</f>
        <v>Chauffage d'appoint</v>
      </c>
      <c r="AL250" s="191" t="str">
        <f>'1_BD questio brut'!AJ250</f>
        <v>Pas de réponse</v>
      </c>
      <c r="AM250" s="191" t="str">
        <f>'1_BD questio brut'!AK250</f>
        <v>2; 4</v>
      </c>
      <c r="AN250" s="191" t="str">
        <f>'1_BD questio brut'!AL250</f>
        <v/>
      </c>
      <c r="AO250" s="191" t="str">
        <f>'1_BD questio brut'!AM250</f>
        <v>3</v>
      </c>
      <c r="AP250" s="191" t="str">
        <f>'1_BD questio brut'!AN250</f>
        <v/>
      </c>
      <c r="AQ250" s="191" t="str">
        <f>'1_BD questio brut'!AO250</f>
        <v>LEROY MERLIN</v>
      </c>
    </row>
    <row r="251" spans="1:43" ht="43.5" hidden="1">
      <c r="A251" s="98">
        <f>INDEX('3_BD instruction total'!A:A,MATCH(C251,'3_BD instruction total'!F:F,0))</f>
        <v>2021</v>
      </c>
      <c r="B251" s="98" t="str">
        <f>INDEX('3_BD instruction total'!C:C,MATCH(C251,'3_BD instruction total'!F:F,0))</f>
        <v>non</v>
      </c>
      <c r="C251" s="191" t="str">
        <f>'1_BD questio brut'!A251</f>
        <v>VRB0262</v>
      </c>
      <c r="D251" s="191" t="str">
        <f t="array" ref="D251">INDEX('Données 1_BD questio'!C:C,MATCH('1_BD questio brut'!$B$1&amp;'1_BD questio brut'!B251,'Données 1_BD questio'!A:A&amp;'Données 1_BD questio'!B:B,0))</f>
        <v>CAPV</v>
      </c>
      <c r="E251" s="191" t="str">
        <f t="array" ref="E251">INDEX('Données 1_BD questio'!C:C,MATCH('1_BD questio brut'!$C$1&amp;'1_BD questio brut'!C251,'Données 1_BD questio'!A:A&amp;'Données 1_BD questio'!B:B,0))</f>
        <v>Artisan,commerçant,chef d'entreprise</v>
      </c>
      <c r="F251" s="191" t="str">
        <f t="array" ref="F251">INDEX('Données 1_BD questio'!C:C,MATCH('1_BD questio brut'!$D$1&amp;'1_BD questio brut'!D251,'Données 1_BD questio'!A:A&amp;'Données 1_BD questio'!B:B,0))</f>
        <v>Cadre</v>
      </c>
      <c r="G251" s="191" t="str">
        <f>'1_BD questio brut'!E251</f>
        <v>35 à 49 ans</v>
      </c>
      <c r="H251" s="191">
        <f>'1_BD questio brut'!F251</f>
        <v>4</v>
      </c>
      <c r="I251" s="191" t="str">
        <f>'1_BD questio brut'!G251</f>
        <v>Pas de réponse</v>
      </c>
      <c r="J251" s="191" t="str">
        <f t="array" ref="J251">INDEX('Données 1_BD questio'!C:C,MATCH('1_BD questio brut'!$H$1&amp;'1_BD questio brut'!H251,'Données 1_BD questio'!A:A&amp;'Données 1_BD questio'!B:B,0))</f>
        <v>Maison avec jardin</v>
      </c>
      <c r="K251" s="191">
        <f>'1_BD questio brut'!I251</f>
        <v>130</v>
      </c>
      <c r="L251" s="191" t="str">
        <f>'1_BD questio brut'!J251</f>
        <v>Avant 1949</v>
      </c>
      <c r="M251" s="191" t="str">
        <f>'1_BD questio brut'!K251</f>
        <v>1</v>
      </c>
      <c r="N251" s="191" t="str">
        <f>'1_BD questio brut'!L251</f>
        <v>Pas de réponse</v>
      </c>
      <c r="O251" s="191" t="str">
        <f>'1_BD questio brut'!M251</f>
        <v>Propriétaire occupant</v>
      </c>
      <c r="P251" s="191" t="str">
        <f>'1_BD questio brut'!N251</f>
        <v>Poêle</v>
      </c>
      <c r="Q251" s="191" t="str">
        <f>'1_BD questio brut'!O251</f>
        <v>Chauffage de base</v>
      </c>
      <c r="R251" s="191" t="str">
        <f>'1_BD questio brut'!P251</f>
        <v>3 à 4 jours/semaine</v>
      </c>
      <c r="S251" s="191" t="str">
        <f>'1_BD questio brut'!Q251</f>
        <v>2; 6</v>
      </c>
      <c r="T251" s="191" t="str">
        <f>'1_BD questio brut'!R251</f>
        <v>1996-2002</v>
      </c>
      <c r="U251" s="191" t="str">
        <f>'1_BD questio brut'!S251</f>
        <v>Bois bûche</v>
      </c>
      <c r="V251" s="191" t="str">
        <f>'1_BD questio brut'!T251</f>
        <v/>
      </c>
      <c r="W251" s="191" t="str">
        <f>'1_BD questio brut'!U251</f>
        <v>6</v>
      </c>
      <c r="X251" s="191" t="str">
        <f>'1_BD questio brut'!V251</f>
        <v>STERES</v>
      </c>
      <c r="Y251" s="191" t="str">
        <f>'1_BD questio brut'!W251</f>
        <v>1; 2</v>
      </c>
      <c r="Z251" s="191" t="str">
        <f>'1_BD questio brut'!X251</f>
        <v/>
      </c>
      <c r="AA251" s="191" t="str">
        <f t="array" ref="AA251">INDEX('Données 1_BD questio'!C:C,MATCH('1_BD questio brut'!$Y$1&amp;'1_BD questio brut'!Y251,'Données 1_BD questio'!A:A&amp;'Données 1_BD questio'!B:B,0))</f>
        <v>Ne sait pas</v>
      </c>
      <c r="AB251" s="191" t="str">
        <f>'1_BD questio brut'!Z251</f>
        <v>2</v>
      </c>
      <c r="AC251" s="191" t="str">
        <f>'1_BD questio brut'!AA251</f>
        <v>1 à 2 ans</v>
      </c>
      <c r="AD251" s="191" t="str">
        <f>'1_BD questio brut'!AB251</f>
        <v>Les deux</v>
      </c>
      <c r="AE251" s="191" t="str">
        <f t="array" ref="AE251">INDEX('Données 1_BD questio'!C:C,MATCH('1_BD questio brut'!$AC$1&amp;'1_BD questio brut'!AC251,'Données 1_BD questio'!A:A&amp;'Données 1_BD questio'!B:B,0))</f>
        <v>vous-même</v>
      </c>
      <c r="AF251" s="191" t="str">
        <f>'1_BD questio brut'!AD251</f>
        <v>1 fois par an</v>
      </c>
      <c r="AG251" s="191" t="str">
        <f>'1_BD questio brut'!AE251</f>
        <v/>
      </c>
      <c r="AH251" s="191" t="str">
        <f>'1_BD questio brut'!AF251</f>
        <v>Poêle</v>
      </c>
      <c r="AI251" s="191" t="str">
        <f>'1_BD questio brut'!AG251</f>
        <v>2</v>
      </c>
      <c r="AJ251" s="191" t="str">
        <f>'1_BD questio brut'!AH251</f>
        <v/>
      </c>
      <c r="AK251" s="191" t="str">
        <f>'1_BD questio brut'!AI251</f>
        <v>Chauffage de base</v>
      </c>
      <c r="AL251" s="191" t="str">
        <f>'1_BD questio brut'!AJ251</f>
        <v>Pas de réponse</v>
      </c>
      <c r="AM251" s="191" t="str">
        <f>'1_BD questio brut'!AK251</f>
        <v>1; 4; 5</v>
      </c>
      <c r="AN251" s="191" t="str">
        <f>'1_BD questio brut'!AL251</f>
        <v/>
      </c>
      <c r="AO251" s="191" t="str">
        <f>'1_BD questio brut'!AM251</f>
        <v>1</v>
      </c>
      <c r="AP251" s="191" t="str">
        <f>'1_BD questio brut'!AN251</f>
        <v/>
      </c>
      <c r="AQ251" s="191" t="str">
        <f>'1_BD questio brut'!AO251</f>
        <v/>
      </c>
    </row>
    <row r="252" spans="1:43" ht="43.5" hidden="1">
      <c r="A252" s="98">
        <f>INDEX('3_BD instruction total'!A:A,MATCH(C252,'3_BD instruction total'!F:F,0))</f>
        <v>2021</v>
      </c>
      <c r="B252" s="98" t="str">
        <f>INDEX('3_BD instruction total'!C:C,MATCH(C252,'3_BD instruction total'!F:F,0))</f>
        <v>oui</v>
      </c>
      <c r="C252" s="191" t="str">
        <f>'1_BD questio brut'!A252</f>
        <v>VRB0263</v>
      </c>
      <c r="D252" s="191" t="str">
        <f t="array" ref="D252">INDEX('Données 1_BD questio'!C:C,MATCH('1_BD questio brut'!$B$1&amp;'1_BD questio brut'!B252,'Données 1_BD questio'!A:A&amp;'Données 1_BD questio'!B:B,0))</f>
        <v>CAPV</v>
      </c>
      <c r="E252" s="191" t="str">
        <f t="array" ref="E252">INDEX('Données 1_BD questio'!C:C,MATCH('1_BD questio brut'!$C$1&amp;'1_BD questio brut'!C252,'Données 1_BD questio'!A:A&amp;'Données 1_BD questio'!B:B,0))</f>
        <v>Profession intermédiaire</v>
      </c>
      <c r="F252" s="191" t="str">
        <f t="array" ref="F252">INDEX('Données 1_BD questio'!C:C,MATCH('1_BD questio brut'!$D$1&amp;'1_BD questio brut'!D252,'Données 1_BD questio'!A:A&amp;'Données 1_BD questio'!B:B,0))</f>
        <v>Pas de réponse</v>
      </c>
      <c r="G252" s="191" t="str">
        <f>'1_BD questio brut'!E252</f>
        <v>50 à 64 ans</v>
      </c>
      <c r="H252" s="191">
        <f>'1_BD questio brut'!F252</f>
        <v>1</v>
      </c>
      <c r="I252" s="191" t="str">
        <f>'1_BD questio brut'!G252</f>
        <v>Pas de réponse</v>
      </c>
      <c r="J252" s="191" t="str">
        <f t="array" ref="J252">INDEX('Données 1_BD questio'!C:C,MATCH('1_BD questio brut'!$H$1&amp;'1_BD questio brut'!H252,'Données 1_BD questio'!A:A&amp;'Données 1_BD questio'!B:B,0))</f>
        <v>Maison avec jardin</v>
      </c>
      <c r="K252" s="191">
        <f>'1_BD questio brut'!I252</f>
        <v>130</v>
      </c>
      <c r="L252" s="191" t="str">
        <f>'1_BD questio brut'!J252</f>
        <v>1990-2005</v>
      </c>
      <c r="M252" s="191" t="str">
        <f>'1_BD questio brut'!K252</f>
        <v>1</v>
      </c>
      <c r="N252" s="191" t="str">
        <f>'1_BD questio brut'!L252</f>
        <v>Pas de réponse</v>
      </c>
      <c r="O252" s="191" t="str">
        <f>'1_BD questio brut'!M252</f>
        <v>Propriétaire occupant</v>
      </c>
      <c r="P252" s="191" t="str">
        <f>'1_BD questio brut'!N252</f>
        <v>Poêle</v>
      </c>
      <c r="Q252" s="191" t="str">
        <f>'1_BD questio brut'!O252</f>
        <v>Chauffage de base</v>
      </c>
      <c r="R252" s="191" t="str">
        <f>'1_BD questio brut'!P252</f>
        <v>Tous les jours</v>
      </c>
      <c r="S252" s="191" t="str">
        <f>'1_BD questio brut'!Q252</f>
        <v>4; 5</v>
      </c>
      <c r="T252" s="191" t="str">
        <f>'1_BD questio brut'!R252</f>
        <v>1996-2002</v>
      </c>
      <c r="U252" s="191" t="str">
        <f>'1_BD questio brut'!S252</f>
        <v>Bois bûche</v>
      </c>
      <c r="V252" s="191" t="str">
        <f>'1_BD questio brut'!T252</f>
        <v/>
      </c>
      <c r="W252" s="191" t="str">
        <f>'1_BD questio brut'!U252</f>
        <v>13</v>
      </c>
      <c r="X252" s="191" t="str">
        <f>'1_BD questio brut'!V252</f>
        <v/>
      </c>
      <c r="Y252" s="191" t="str">
        <f>'1_BD questio brut'!W252</f>
        <v>2</v>
      </c>
      <c r="Z252" s="191" t="str">
        <f>'1_BD questio brut'!X252</f>
        <v/>
      </c>
      <c r="AA252" s="191" t="str">
        <f t="array" ref="AA252">INDEX('Données 1_BD questio'!C:C,MATCH('1_BD questio brut'!$Y$1&amp;'1_BD questio brut'!Y252,'Données 1_BD questio'!A:A&amp;'Données 1_BD questio'!B:B,0))</f>
        <v>Ne sait pas</v>
      </c>
      <c r="AB252" s="191" t="str">
        <f>'1_BD questio brut'!Z252</f>
        <v>2</v>
      </c>
      <c r="AC252" s="191" t="str">
        <f>'1_BD questio brut'!AA252</f>
        <v>1 à 2 ans</v>
      </c>
      <c r="AD252" s="191" t="str">
        <f>'1_BD questio brut'!AB252</f>
        <v>Feuillus</v>
      </c>
      <c r="AE252" s="191" t="str">
        <f t="array" ref="AE252">INDEX('Données 1_BD questio'!C:C,MATCH('1_BD questio brut'!$AC$1&amp;'1_BD questio brut'!AC252,'Données 1_BD questio'!A:A&amp;'Données 1_BD questio'!B:B,0))</f>
        <v>un professionnel</v>
      </c>
      <c r="AF252" s="191" t="str">
        <f>'1_BD questio brut'!AD252</f>
        <v>1 fois par an</v>
      </c>
      <c r="AG252" s="191" t="str">
        <f>'1_BD questio brut'!AE252</f>
        <v/>
      </c>
      <c r="AH252" s="191" t="str">
        <f>'1_BD questio brut'!AF252</f>
        <v>Poêle</v>
      </c>
      <c r="AI252" s="191" t="str">
        <f>'1_BD questio brut'!AG252</f>
        <v>1</v>
      </c>
      <c r="AJ252" s="191" t="str">
        <f>'1_BD questio brut'!AH252</f>
        <v/>
      </c>
      <c r="AK252" s="191" t="str">
        <f>'1_BD questio brut'!AI252</f>
        <v>Chauffage de base</v>
      </c>
      <c r="AL252" s="191" t="str">
        <f>'1_BD questio brut'!AJ252</f>
        <v>Pas de réponse</v>
      </c>
      <c r="AM252" s="191" t="str">
        <f>'1_BD questio brut'!AK252</f>
        <v>2; 4; 5</v>
      </c>
      <c r="AN252" s="191" t="str">
        <f>'1_BD questio brut'!AL252</f>
        <v/>
      </c>
      <c r="AO252" s="191" t="str">
        <f>'1_BD questio brut'!AM252</f>
        <v>2</v>
      </c>
      <c r="AP252" s="191" t="str">
        <f>'1_BD questio brut'!AN252</f>
        <v/>
      </c>
      <c r="AQ252" s="191" t="str">
        <f>'1_BD questio brut'!AO252</f>
        <v/>
      </c>
    </row>
    <row r="253" spans="1:43" ht="43.5" hidden="1">
      <c r="A253" s="98">
        <f>INDEX('3_BD instruction total'!A:A,MATCH(C253,'3_BD instruction total'!F:F,0))</f>
        <v>2021</v>
      </c>
      <c r="B253" s="98" t="str">
        <f>INDEX('3_BD instruction total'!C:C,MATCH(C253,'3_BD instruction total'!F:F,0))</f>
        <v>non</v>
      </c>
      <c r="C253" s="191" t="str">
        <f>'1_BD questio brut'!A253</f>
        <v>VRB0265</v>
      </c>
      <c r="D253" s="191" t="str">
        <f t="array" ref="D253">INDEX('Données 1_BD questio'!C:C,MATCH('1_BD questio brut'!$B$1&amp;'1_BD questio brut'!B253,'Données 1_BD questio'!A:A&amp;'Données 1_BD questio'!B:B,0))</f>
        <v>CAPV</v>
      </c>
      <c r="E253" s="191" t="str">
        <f t="array" ref="E253">INDEX('Données 1_BD questio'!C:C,MATCH('1_BD questio brut'!$C$1&amp;'1_BD questio brut'!C253,'Données 1_BD questio'!A:A&amp;'Données 1_BD questio'!B:B,0))</f>
        <v>Artisan,commerçant,chef d'entreprise</v>
      </c>
      <c r="F253" s="191" t="str">
        <f t="array" ref="F253">INDEX('Données 1_BD questio'!C:C,MATCH('1_BD questio brut'!$D$1&amp;'1_BD questio brut'!D253,'Données 1_BD questio'!A:A&amp;'Données 1_BD questio'!B:B,0))</f>
        <v>Employé</v>
      </c>
      <c r="G253" s="191" t="str">
        <f>'1_BD questio brut'!E253</f>
        <v>25 à 34 ans</v>
      </c>
      <c r="H253" s="191">
        <f>'1_BD questio brut'!F253</f>
        <v>2</v>
      </c>
      <c r="I253" s="191" t="str">
        <f>'1_BD questio brut'!G253</f>
        <v>Pas de réponse</v>
      </c>
      <c r="J253" s="191" t="str">
        <f t="array" ref="J253">INDEX('Données 1_BD questio'!C:C,MATCH('1_BD questio brut'!$H$1&amp;'1_BD questio brut'!H253,'Données 1_BD questio'!A:A&amp;'Données 1_BD questio'!B:B,0))</f>
        <v>Maison avec jardin</v>
      </c>
      <c r="K253" s="191">
        <f>'1_BD questio brut'!I253</f>
        <v>127</v>
      </c>
      <c r="L253" s="191" t="str">
        <f>'1_BD questio brut'!J253</f>
        <v>Avant 1949</v>
      </c>
      <c r="M253" s="191" t="str">
        <f>'1_BD questio brut'!K253</f>
        <v>7</v>
      </c>
      <c r="N253" s="191" t="str">
        <f>'1_BD questio brut'!L253</f>
        <v>D</v>
      </c>
      <c r="O253" s="191" t="str">
        <f>'1_BD questio brut'!M253</f>
        <v>Propriétaire occupant</v>
      </c>
      <c r="P253" s="191" t="str">
        <f>'1_BD questio brut'!N253</f>
        <v>Insert / foyer fermé</v>
      </c>
      <c r="Q253" s="191" t="str">
        <f>'1_BD questio brut'!O253</f>
        <v>Chauffage de base</v>
      </c>
      <c r="R253" s="191" t="str">
        <f>'1_BD questio brut'!P253</f>
        <v>Tous les jours</v>
      </c>
      <c r="S253" s="191" t="str">
        <f>'1_BD questio brut'!Q253</f>
        <v>1; 2; 3; 4; 6</v>
      </c>
      <c r="T253" s="191" t="str">
        <f>'1_BD questio brut'!R253</f>
        <v>1990-1995</v>
      </c>
      <c r="U253" s="191" t="str">
        <f>'1_BD questio brut'!S253</f>
        <v>Bois bûche</v>
      </c>
      <c r="V253" s="191" t="str">
        <f>'1_BD questio brut'!T253</f>
        <v/>
      </c>
      <c r="W253" s="191" t="str">
        <f>'1_BD questio brut'!U253</f>
        <v>8</v>
      </c>
      <c r="X253" s="191" t="str">
        <f>'1_BD questio brut'!V253</f>
        <v>STERES</v>
      </c>
      <c r="Y253" s="191" t="str">
        <f>'1_BD questio brut'!W253</f>
        <v>2</v>
      </c>
      <c r="Z253" s="191" t="str">
        <f>'1_BD questio brut'!X253</f>
        <v/>
      </c>
      <c r="AA253" s="191" t="str">
        <f t="array" ref="AA253">INDEX('Données 1_BD questio'!C:C,MATCH('1_BD questio brut'!$Y$1&amp;'1_BD questio brut'!Y253,'Données 1_BD questio'!A:A&amp;'Données 1_BD questio'!B:B,0))</f>
        <v>Ne sait pas</v>
      </c>
      <c r="AB253" s="191" t="str">
        <f>'1_BD questio brut'!Z253</f>
        <v>2</v>
      </c>
      <c r="AC253" s="191" t="str">
        <f>'1_BD questio brut'!AA253</f>
        <v>1 à 2 ans</v>
      </c>
      <c r="AD253" s="191" t="str">
        <f>'1_BD questio brut'!AB253</f>
        <v>Feuillus</v>
      </c>
      <c r="AE253" s="191" t="str">
        <f t="array" ref="AE253">INDEX('Données 1_BD questio'!C:C,MATCH('1_BD questio brut'!$AC$1&amp;'1_BD questio brut'!AC253,'Données 1_BD questio'!A:A&amp;'Données 1_BD questio'!B:B,0))</f>
        <v>un professionnel</v>
      </c>
      <c r="AF253" s="191" t="str">
        <f>'1_BD questio brut'!AD253</f>
        <v>1 fois par an</v>
      </c>
      <c r="AG253" s="191" t="str">
        <f>'1_BD questio brut'!AE253</f>
        <v/>
      </c>
      <c r="AH253" s="191" t="str">
        <f>'1_BD questio brut'!AF253</f>
        <v>Poêle</v>
      </c>
      <c r="AI253" s="191" t="str">
        <f>'1_BD questio brut'!AG253</f>
        <v>2</v>
      </c>
      <c r="AJ253" s="191" t="str">
        <f>'1_BD questio brut'!AH253</f>
        <v/>
      </c>
      <c r="AK253" s="191" t="str">
        <f>'1_BD questio brut'!AI253</f>
        <v>Chauffage de base</v>
      </c>
      <c r="AL253" s="191" t="str">
        <f>'1_BD questio brut'!AJ253</f>
        <v>Pas de réponse</v>
      </c>
      <c r="AM253" s="191" t="str">
        <f>'1_BD questio brut'!AK253</f>
        <v>1; 4; 5</v>
      </c>
      <c r="AN253" s="191" t="str">
        <f>'1_BD questio brut'!AL253</f>
        <v/>
      </c>
      <c r="AO253" s="191" t="str">
        <f>'1_BD questio brut'!AM253</f>
        <v>7; 11</v>
      </c>
      <c r="AP253" s="191" t="str">
        <f>'1_BD questio brut'!AN253</f>
        <v/>
      </c>
      <c r="AQ253" s="191" t="str">
        <f>'1_BD questio brut'!AO253</f>
        <v/>
      </c>
    </row>
    <row r="254" spans="1:43" ht="43.5" hidden="1">
      <c r="A254" s="98">
        <f>INDEX('3_BD instruction total'!A:A,MATCH(C254,'3_BD instruction total'!F:F,0))</f>
        <v>1900</v>
      </c>
      <c r="B254" s="98" t="str">
        <f>INDEX('3_BD instruction total'!C:C,MATCH(C254,'3_BD instruction total'!F:F,0))</f>
        <v>oui</v>
      </c>
      <c r="C254" s="191" t="str">
        <f>'1_BD questio brut'!A254</f>
        <v>VRB0266</v>
      </c>
      <c r="D254" s="191" t="str">
        <f t="array" ref="D254">INDEX('Données 1_BD questio'!C:C,MATCH('1_BD questio brut'!$B$1&amp;'1_BD questio brut'!B254,'Données 1_BD questio'!A:A&amp;'Données 1_BD questio'!B:B,0))</f>
        <v>CAPV</v>
      </c>
      <c r="E254" s="191" t="str">
        <f t="array" ref="E254">INDEX('Données 1_BD questio'!C:C,MATCH('1_BD questio brut'!$C$1&amp;'1_BD questio brut'!C254,'Données 1_BD questio'!A:A&amp;'Données 1_BD questio'!B:B,0))</f>
        <v>Ouvrier</v>
      </c>
      <c r="F254" s="191" t="str">
        <f t="array" ref="F254">INDEX('Données 1_BD questio'!C:C,MATCH('1_BD questio brut'!$D$1&amp;'1_BD questio brut'!D254,'Données 1_BD questio'!A:A&amp;'Données 1_BD questio'!B:B,0))</f>
        <v>Employé</v>
      </c>
      <c r="G254" s="191" t="str">
        <f>'1_BD questio brut'!E254</f>
        <v>25 à 34 ans</v>
      </c>
      <c r="H254" s="191">
        <f>'1_BD questio brut'!F254</f>
        <v>2</v>
      </c>
      <c r="I254" s="191" t="str">
        <f>'1_BD questio brut'!G254</f>
        <v>Pas de réponse</v>
      </c>
      <c r="J254" s="191" t="str">
        <f t="array" ref="J254">INDEX('Données 1_BD questio'!C:C,MATCH('1_BD questio brut'!$H$1&amp;'1_BD questio brut'!H254,'Données 1_BD questio'!A:A&amp;'Données 1_BD questio'!B:B,0))</f>
        <v>Maison avec jardin</v>
      </c>
      <c r="K254" s="191">
        <f>'1_BD questio brut'!I254</f>
        <v>100</v>
      </c>
      <c r="L254" s="191" t="str">
        <f>'1_BD questio brut'!J254</f>
        <v>1975-1990</v>
      </c>
      <c r="M254" s="191" t="str">
        <f>'1_BD questio brut'!K254</f>
        <v>4</v>
      </c>
      <c r="N254" s="191" t="str">
        <f>'1_BD questio brut'!L254</f>
        <v>E</v>
      </c>
      <c r="O254" s="191" t="str">
        <f>'1_BD questio brut'!M254</f>
        <v>Propriétaire occupant</v>
      </c>
      <c r="P254" s="191" t="str">
        <f>'1_BD questio brut'!N254</f>
        <v>Insert / foyer fermé</v>
      </c>
      <c r="Q254" s="191" t="str">
        <f>'1_BD questio brut'!O254</f>
        <v>Chauffage de base</v>
      </c>
      <c r="R254" s="191" t="str">
        <f>'1_BD questio brut'!P254</f>
        <v>Tous les jours</v>
      </c>
      <c r="S254" s="191" t="str">
        <f>'1_BD questio brut'!Q254</f>
        <v>3</v>
      </c>
      <c r="T254" s="191" t="str">
        <f>'1_BD questio brut'!R254</f>
        <v>Avant 1990</v>
      </c>
      <c r="U254" s="191" t="str">
        <f>'1_BD questio brut'!S254</f>
        <v>Bois bûche</v>
      </c>
      <c r="V254" s="191" t="str">
        <f>'1_BD questio brut'!T254</f>
        <v/>
      </c>
      <c r="W254" s="191" t="str">
        <f>'1_BD questio brut'!U254</f>
        <v>10</v>
      </c>
      <c r="X254" s="191" t="str">
        <f>'1_BD questio brut'!V254</f>
        <v>STERES</v>
      </c>
      <c r="Y254" s="191" t="str">
        <f>'1_BD questio brut'!W254</f>
        <v>1</v>
      </c>
      <c r="Z254" s="191" t="str">
        <f>'1_BD questio brut'!X254</f>
        <v/>
      </c>
      <c r="AA254" s="191" t="str">
        <f t="array" ref="AA254">INDEX('Données 1_BD questio'!C:C,MATCH('1_BD questio brut'!$Y$1&amp;'1_BD questio brut'!Y254,'Données 1_BD questio'!A:A&amp;'Données 1_BD questio'!B:B,0))</f>
        <v>RA2B</v>
      </c>
      <c r="AB254" s="191" t="str">
        <f>'1_BD questio brut'!Z254</f>
        <v>2</v>
      </c>
      <c r="AC254" s="191" t="str">
        <f>'1_BD questio brut'!AA254</f>
        <v>1 à 2 ans</v>
      </c>
      <c r="AD254" s="191" t="str">
        <f>'1_BD questio brut'!AB254</f>
        <v>Les deux</v>
      </c>
      <c r="AE254" s="191" t="str">
        <f t="array" ref="AE254">INDEX('Données 1_BD questio'!C:C,MATCH('1_BD questio brut'!$AC$1&amp;'1_BD questio brut'!AC254,'Données 1_BD questio'!A:A&amp;'Données 1_BD questio'!B:B,0))</f>
        <v>un professionnel</v>
      </c>
      <c r="AF254" s="191" t="str">
        <f>'1_BD questio brut'!AD254</f>
        <v>1 fois par an</v>
      </c>
      <c r="AG254" s="191" t="str">
        <f>'1_BD questio brut'!AE254</f>
        <v/>
      </c>
      <c r="AH254" s="191" t="str">
        <f>'1_BD questio brut'!AF254</f>
        <v>Poêle</v>
      </c>
      <c r="AI254" s="191" t="str">
        <f>'1_BD questio brut'!AG254</f>
        <v>1</v>
      </c>
      <c r="AJ254" s="191" t="str">
        <f>'1_BD questio brut'!AH254</f>
        <v/>
      </c>
      <c r="AK254" s="191" t="str">
        <f>'1_BD questio brut'!AI254</f>
        <v>Chauffage de base</v>
      </c>
      <c r="AL254" s="191" t="str">
        <f>'1_BD questio brut'!AJ254</f>
        <v>Pas de réponse</v>
      </c>
      <c r="AM254" s="191" t="str">
        <f>'1_BD questio brut'!AK254</f>
        <v>1; 2; 4; 5</v>
      </c>
      <c r="AN254" s="191" t="str">
        <f>'1_BD questio brut'!AL254</f>
        <v/>
      </c>
      <c r="AO254" s="191" t="str">
        <f>'1_BD questio brut'!AM254</f>
        <v>5</v>
      </c>
      <c r="AP254" s="191" t="str">
        <f>'1_BD questio brut'!AN254</f>
        <v/>
      </c>
      <c r="AQ254" s="191" t="str">
        <f>'1_BD questio brut'!AO254</f>
        <v/>
      </c>
    </row>
    <row r="255" spans="1:43" ht="43.5" hidden="1">
      <c r="A255" s="98">
        <f>INDEX('3_BD instruction total'!A:A,MATCH(C255,'3_BD instruction total'!F:F,0))</f>
        <v>2021</v>
      </c>
      <c r="B255" s="98" t="str">
        <f>INDEX('3_BD instruction total'!C:C,MATCH(C255,'3_BD instruction total'!F:F,0))</f>
        <v>non</v>
      </c>
      <c r="C255" s="191" t="str">
        <f>'1_BD questio brut'!A255</f>
        <v>VRB0267</v>
      </c>
      <c r="D255" s="191" t="str">
        <f t="array" ref="D255">INDEX('Données 1_BD questio'!C:C,MATCH('1_BD questio brut'!$B$1&amp;'1_BD questio brut'!B255,'Données 1_BD questio'!A:A&amp;'Données 1_BD questio'!B:B,0))</f>
        <v>CAPV</v>
      </c>
      <c r="E255" s="191" t="str">
        <f t="array" ref="E255">INDEX('Données 1_BD questio'!C:C,MATCH('1_BD questio brut'!$C$1&amp;'1_BD questio brut'!C255,'Données 1_BD questio'!A:A&amp;'Données 1_BD questio'!B:B,0))</f>
        <v>Employé</v>
      </c>
      <c r="F255" s="191" t="str">
        <f t="array" ref="F255">INDEX('Données 1_BD questio'!C:C,MATCH('1_BD questio brut'!$D$1&amp;'1_BD questio brut'!D255,'Données 1_BD questio'!A:A&amp;'Données 1_BD questio'!B:B,0))</f>
        <v>Employé</v>
      </c>
      <c r="G255" s="191" t="str">
        <f>'1_BD questio brut'!E255</f>
        <v>35 à 49 ans</v>
      </c>
      <c r="H255" s="191">
        <f>'1_BD questio brut'!F255</f>
        <v>4</v>
      </c>
      <c r="I255" s="191" t="str">
        <f>'1_BD questio brut'!G255</f>
        <v>Pas de réponse</v>
      </c>
      <c r="J255" s="191" t="str">
        <f t="array" ref="J255">INDEX('Données 1_BD questio'!C:C,MATCH('1_BD questio brut'!$H$1&amp;'1_BD questio brut'!H255,'Données 1_BD questio'!A:A&amp;'Données 1_BD questio'!B:B,0))</f>
        <v>Maison avec jardin</v>
      </c>
      <c r="K255" s="191">
        <f>'1_BD questio brut'!I255</f>
        <v>111</v>
      </c>
      <c r="L255" s="191" t="str">
        <f>'1_BD questio brut'!J255</f>
        <v>1975-1990</v>
      </c>
      <c r="M255" s="191" t="str">
        <f>'1_BD questio brut'!K255</f>
        <v>1; 4</v>
      </c>
      <c r="N255" s="191" t="str">
        <f>'1_BD questio brut'!L255</f>
        <v>Ne sait pas</v>
      </c>
      <c r="O255" s="191" t="str">
        <f>'1_BD questio brut'!M255</f>
        <v>Propriétaire occupant</v>
      </c>
      <c r="P255" s="191" t="str">
        <f>'1_BD questio brut'!N255</f>
        <v>Insert / foyer fermé</v>
      </c>
      <c r="Q255" s="191" t="str">
        <f>'1_BD questio brut'!O255</f>
        <v>Chauffage de base</v>
      </c>
      <c r="R255" s="191" t="str">
        <f>'1_BD questio brut'!P255</f>
        <v>Tous les jours</v>
      </c>
      <c r="S255" s="191" t="str">
        <f>'1_BD questio brut'!Q255</f>
        <v>1; 2; 3; 4; 5; 6</v>
      </c>
      <c r="T255" s="191" t="str">
        <f>'1_BD questio brut'!R255</f>
        <v>Avant 1990</v>
      </c>
      <c r="U255" s="191" t="str">
        <f>'1_BD questio brut'!S255</f>
        <v>Bois bûche</v>
      </c>
      <c r="V255" s="191" t="str">
        <f>'1_BD questio brut'!T255</f>
        <v/>
      </c>
      <c r="W255" s="191" t="str">
        <f>'1_BD questio brut'!U255</f>
        <v>15</v>
      </c>
      <c r="X255" s="191" t="str">
        <f>'1_BD questio brut'!V255</f>
        <v>STERES</v>
      </c>
      <c r="Y255" s="191" t="str">
        <f>'1_BD questio brut'!W255</f>
        <v>1; 2</v>
      </c>
      <c r="Z255" s="191" t="str">
        <f>'1_BD questio brut'!X255</f>
        <v/>
      </c>
      <c r="AA255" s="191" t="str">
        <f t="array" ref="AA255">INDEX('Données 1_BD questio'!C:C,MATCH('1_BD questio brut'!$Y$1&amp;'1_BD questio brut'!Y255,'Données 1_BD questio'!A:A&amp;'Données 1_BD questio'!B:B,0))</f>
        <v>Ne sait pas</v>
      </c>
      <c r="AB255" s="191" t="str">
        <f>'1_BD questio brut'!Z255</f>
        <v>2</v>
      </c>
      <c r="AC255" s="191" t="str">
        <f>'1_BD questio brut'!AA255</f>
        <v>&gt; 2 ans</v>
      </c>
      <c r="AD255" s="191" t="str">
        <f>'1_BD questio brut'!AB255</f>
        <v>Les deux</v>
      </c>
      <c r="AE255" s="191" t="str">
        <f t="array" ref="AE255">INDEX('Données 1_BD questio'!C:C,MATCH('1_BD questio brut'!$AC$1&amp;'1_BD questio brut'!AC255,'Données 1_BD questio'!A:A&amp;'Données 1_BD questio'!B:B,0))</f>
        <v>vous-même</v>
      </c>
      <c r="AF255" s="191" t="str">
        <f>'1_BD questio brut'!AD255</f>
        <v>2 fois par an</v>
      </c>
      <c r="AG255" s="191" t="str">
        <f>'1_BD questio brut'!AE255</f>
        <v/>
      </c>
      <c r="AH255" s="191" t="str">
        <f>'1_BD questio brut'!AF255</f>
        <v>Insert cheminée</v>
      </c>
      <c r="AI255" s="191" t="str">
        <f>'1_BD questio brut'!AG255</f>
        <v>1</v>
      </c>
      <c r="AJ255" s="191" t="str">
        <f>'1_BD questio brut'!AH255</f>
        <v/>
      </c>
      <c r="AK255" s="191" t="str">
        <f>'1_BD questio brut'!AI255</f>
        <v>Chauffage de base</v>
      </c>
      <c r="AL255" s="191" t="str">
        <f>'1_BD questio brut'!AJ255</f>
        <v>Pas de réponse</v>
      </c>
      <c r="AM255" s="191" t="str">
        <f>'1_BD questio brut'!AK255</f>
        <v>2; 6</v>
      </c>
      <c r="AN255" s="191" t="str">
        <f>'1_BD questio brut'!AL255</f>
        <v>MISE EN CONFORMITE</v>
      </c>
      <c r="AO255" s="191" t="str">
        <f>'1_BD questio brut'!AM255</f>
        <v>5; 11</v>
      </c>
      <c r="AP255" s="191" t="str">
        <f>'1_BD questio brut'!AN255</f>
        <v/>
      </c>
      <c r="AQ255" s="191" t="str">
        <f>'1_BD questio brut'!AO255</f>
        <v/>
      </c>
    </row>
    <row r="256" spans="1:43" ht="29" hidden="1">
      <c r="A256" s="98">
        <f>INDEX('3_BD instruction total'!A:A,MATCH(C256,'3_BD instruction total'!F:F,0))</f>
        <v>2021</v>
      </c>
      <c r="B256" s="98" t="str">
        <f>INDEX('3_BD instruction total'!C:C,MATCH(C256,'3_BD instruction total'!F:F,0))</f>
        <v>oui</v>
      </c>
      <c r="C256" s="191" t="str">
        <f>'1_BD questio brut'!A256</f>
        <v>VRB0268</v>
      </c>
      <c r="D256" s="191" t="str">
        <f t="array" ref="D256">INDEX('Données 1_BD questio'!C:C,MATCH('1_BD questio brut'!$B$1&amp;'1_BD questio brut'!B256,'Données 1_BD questio'!A:A&amp;'Données 1_BD questio'!B:B,0))</f>
        <v>CCLG</v>
      </c>
      <c r="E256" s="191" t="str">
        <f t="array" ref="E256">INDEX('Données 1_BD questio'!C:C,MATCH('1_BD questio brut'!$C$1&amp;'1_BD questio brut'!C256,'Données 1_BD questio'!A:A&amp;'Données 1_BD questio'!B:B,0))</f>
        <v>Employé</v>
      </c>
      <c r="F256" s="191" t="str">
        <f t="array" ref="F256">INDEX('Données 1_BD questio'!C:C,MATCH('1_BD questio brut'!$D$1&amp;'1_BD questio brut'!D256,'Données 1_BD questio'!A:A&amp;'Données 1_BD questio'!B:B,0))</f>
        <v>Ouvrier</v>
      </c>
      <c r="G256" s="191" t="str">
        <f>'1_BD questio brut'!E256</f>
        <v>35 à 49 ans</v>
      </c>
      <c r="H256" s="191">
        <f>'1_BD questio brut'!F256</f>
        <v>3</v>
      </c>
      <c r="I256" s="191" t="str">
        <f>'1_BD questio brut'!G256</f>
        <v>Pas de réponse</v>
      </c>
      <c r="J256" s="191" t="str">
        <f t="array" ref="J256">INDEX('Données 1_BD questio'!C:C,MATCH('1_BD questio brut'!$H$1&amp;'1_BD questio brut'!H256,'Données 1_BD questio'!A:A&amp;'Données 1_BD questio'!B:B,0))</f>
        <v>Maison avec jardin</v>
      </c>
      <c r="K256" s="191">
        <f>'1_BD questio brut'!I256</f>
        <v>110</v>
      </c>
      <c r="L256" s="191" t="str">
        <f>'1_BD questio brut'!J256</f>
        <v>1949-1975</v>
      </c>
      <c r="M256" s="191" t="str">
        <f>'1_BD questio brut'!K256</f>
        <v>4</v>
      </c>
      <c r="N256" s="191" t="str">
        <f>'1_BD questio brut'!L256</f>
        <v>F</v>
      </c>
      <c r="O256" s="191" t="str">
        <f>'1_BD questio brut'!M256</f>
        <v>Propriétaire occupant</v>
      </c>
      <c r="P256" s="191" t="str">
        <f>'1_BD questio brut'!N256</f>
        <v>Foyer ouvert</v>
      </c>
      <c r="Q256" s="191" t="str">
        <f>'1_BD questio brut'!O256</f>
        <v>Chauffage d'apoint</v>
      </c>
      <c r="R256" s="191" t="str">
        <f>'1_BD questio brut'!P256</f>
        <v>Tous les jours</v>
      </c>
      <c r="S256" s="191" t="str">
        <f>'1_BD questio brut'!Q256</f>
        <v>1; 2; 3; 4; 5; 6</v>
      </c>
      <c r="T256" s="191" t="str">
        <f>'1_BD questio brut'!R256</f>
        <v>Avant 1990</v>
      </c>
      <c r="U256" s="191" t="str">
        <f>'1_BD questio brut'!S256</f>
        <v>Bois bûche</v>
      </c>
      <c r="V256" s="191" t="str">
        <f>'1_BD questio brut'!T256</f>
        <v/>
      </c>
      <c r="W256" s="191" t="str">
        <f>'1_BD questio brut'!U256</f>
        <v>10</v>
      </c>
      <c r="X256" s="191" t="str">
        <f>'1_BD questio brut'!V256</f>
        <v>STERES</v>
      </c>
      <c r="Y256" s="191" t="str">
        <f>'1_BD questio brut'!W256</f>
        <v>2</v>
      </c>
      <c r="Z256" s="191" t="str">
        <f>'1_BD questio brut'!X256</f>
        <v/>
      </c>
      <c r="AA256" s="191" t="str">
        <f t="array" ref="AA256">INDEX('Données 1_BD questio'!C:C,MATCH('1_BD questio brut'!$Y$1&amp;'1_BD questio brut'!Y256,'Données 1_BD questio'!A:A&amp;'Données 1_BD questio'!B:B,0))</f>
        <v>Rhône-Alpes hors RA2B</v>
      </c>
      <c r="AB256" s="191" t="str">
        <f>'1_BD questio brut'!Z256</f>
        <v>2</v>
      </c>
      <c r="AC256" s="191" t="str">
        <f>'1_BD questio brut'!AA256</f>
        <v>1 à 2 ans</v>
      </c>
      <c r="AD256" s="191" t="str">
        <f>'1_BD questio brut'!AB256</f>
        <v>Feuillus</v>
      </c>
      <c r="AE256" s="191" t="str">
        <f t="array" ref="AE256">INDEX('Données 1_BD questio'!C:C,MATCH('1_BD questio brut'!$AC$1&amp;'1_BD questio brut'!AC256,'Données 1_BD questio'!A:A&amp;'Données 1_BD questio'!B:B,0))</f>
        <v>vous-même</v>
      </c>
      <c r="AF256" s="191" t="str">
        <f>'1_BD questio brut'!AD256</f>
        <v>2 fois par an</v>
      </c>
      <c r="AG256" s="191" t="str">
        <f>'1_BD questio brut'!AE256</f>
        <v/>
      </c>
      <c r="AH256" s="191" t="str">
        <f>'1_BD questio brut'!AF256</f>
        <v>Poêle</v>
      </c>
      <c r="AI256" s="191" t="str">
        <f>'1_BD questio brut'!AG256</f>
        <v>1</v>
      </c>
      <c r="AJ256" s="191" t="str">
        <f>'1_BD questio brut'!AH256</f>
        <v/>
      </c>
      <c r="AK256" s="191" t="str">
        <f>'1_BD questio brut'!AI256</f>
        <v>Chauffage de base</v>
      </c>
      <c r="AL256" s="191" t="str">
        <f>'1_BD questio brut'!AJ256</f>
        <v>Pas de réponse</v>
      </c>
      <c r="AM256" s="191" t="str">
        <f>'1_BD questio brut'!AK256</f>
        <v>1; 2; 4; 5</v>
      </c>
      <c r="AN256" s="191" t="str">
        <f>'1_BD questio brut'!AL256</f>
        <v>SECURITE</v>
      </c>
      <c r="AO256" s="191" t="str">
        <f>'1_BD questio brut'!AM256</f>
        <v>5; 7; 12</v>
      </c>
      <c r="AP256" s="191" t="str">
        <f>'1_BD questio brut'!AN256</f>
        <v>MA PRIME RENOV</v>
      </c>
      <c r="AQ256" s="191" t="str">
        <f>'1_BD questio brut'!AO256</f>
        <v/>
      </c>
    </row>
    <row r="257" spans="1:43" ht="43.5" hidden="1">
      <c r="A257" s="98">
        <f>INDEX('3_BD instruction total'!A:A,MATCH(C257,'3_BD instruction total'!F:F,0))</f>
        <v>2021</v>
      </c>
      <c r="B257" s="98" t="str">
        <f>INDEX('3_BD instruction total'!C:C,MATCH(C257,'3_BD instruction total'!F:F,0))</f>
        <v>non</v>
      </c>
      <c r="C257" s="191" t="str">
        <f>'1_BD questio brut'!A257</f>
        <v>VRB0269</v>
      </c>
      <c r="D257" s="191" t="str">
        <f t="array" ref="D257">INDEX('Données 1_BD questio'!C:C,MATCH('1_BD questio brut'!$B$1&amp;'1_BD questio brut'!B257,'Données 1_BD questio'!A:A&amp;'Données 1_BD questio'!B:B,0))</f>
        <v>CAPV</v>
      </c>
      <c r="E257" s="191" t="str">
        <f t="array" ref="E257">INDEX('Données 1_BD questio'!C:C,MATCH('1_BD questio brut'!$C$1&amp;'1_BD questio brut'!C257,'Données 1_BD questio'!A:A&amp;'Données 1_BD questio'!B:B,0))</f>
        <v>Retraité</v>
      </c>
      <c r="F257" s="191" t="str">
        <f t="array" ref="F257">INDEX('Données 1_BD questio'!C:C,MATCH('1_BD questio brut'!$D$1&amp;'1_BD questio brut'!D257,'Données 1_BD questio'!A:A&amp;'Données 1_BD questio'!B:B,0))</f>
        <v>Retraité</v>
      </c>
      <c r="G257" s="191" t="str">
        <f>'1_BD questio brut'!E257</f>
        <v>65 ans et plus</v>
      </c>
      <c r="H257" s="191">
        <f>'1_BD questio brut'!F257</f>
        <v>2</v>
      </c>
      <c r="I257" s="191" t="str">
        <f>'1_BD questio brut'!G257</f>
        <v>Pas de réponse</v>
      </c>
      <c r="J257" s="191" t="str">
        <f t="array" ref="J257">INDEX('Données 1_BD questio'!C:C,MATCH('1_BD questio brut'!$H$1&amp;'1_BD questio brut'!H257,'Données 1_BD questio'!A:A&amp;'Données 1_BD questio'!B:B,0))</f>
        <v>Maison avec jardin</v>
      </c>
      <c r="K257" s="191">
        <f>'1_BD questio brut'!I257</f>
        <v>140</v>
      </c>
      <c r="L257" s="191" t="str">
        <f>'1_BD questio brut'!J257</f>
        <v>1975-1990</v>
      </c>
      <c r="M257" s="191" t="str">
        <f>'1_BD questio brut'!K257</f>
        <v>6</v>
      </c>
      <c r="N257" s="191" t="str">
        <f>'1_BD questio brut'!L257</f>
        <v>Pas de réponse</v>
      </c>
      <c r="O257" s="191" t="str">
        <f>'1_BD questio brut'!M257</f>
        <v>Propriétaire occupant</v>
      </c>
      <c r="P257" s="191" t="str">
        <f>'1_BD questio brut'!N257</f>
        <v>Foyer ouvert</v>
      </c>
      <c r="Q257" s="191" t="str">
        <f>'1_BD questio brut'!O257</f>
        <v>Pas de réponse</v>
      </c>
      <c r="R257" s="191" t="str">
        <f>'1_BD questio brut'!P257</f>
        <v>1 à 3 jours/mois</v>
      </c>
      <c r="S257" s="191" t="str">
        <f>'1_BD questio brut'!Q257</f>
        <v>2; 3; 6</v>
      </c>
      <c r="T257" s="191" t="str">
        <f>'1_BD questio brut'!R257</f>
        <v>Avant 1990</v>
      </c>
      <c r="U257" s="191" t="str">
        <f>'1_BD questio brut'!S257</f>
        <v>Bois bûche</v>
      </c>
      <c r="V257" s="191" t="str">
        <f>'1_BD questio brut'!T257</f>
        <v/>
      </c>
      <c r="W257" s="191" t="str">
        <f>'1_BD questio brut'!U257</f>
        <v>0,8</v>
      </c>
      <c r="X257" s="191" t="str">
        <f>'1_BD questio brut'!V257</f>
        <v>50cm</v>
      </c>
      <c r="Y257" s="191" t="str">
        <f>'1_BD questio brut'!W257</f>
        <v>2</v>
      </c>
      <c r="Z257" s="191" t="str">
        <f>'1_BD questio brut'!X257</f>
        <v/>
      </c>
      <c r="AA257" s="191" t="str">
        <f t="array" ref="AA257">INDEX('Données 1_BD questio'!C:C,MATCH('1_BD questio brut'!$Y$1&amp;'1_BD questio brut'!Y257,'Données 1_BD questio'!A:A&amp;'Données 1_BD questio'!B:B,0))</f>
        <v>RA2B</v>
      </c>
      <c r="AB257" s="191" t="str">
        <f>'1_BD questio brut'!Z257</f>
        <v>2</v>
      </c>
      <c r="AC257" s="191" t="str">
        <f>'1_BD questio brut'!AA257</f>
        <v>1 à 2 ans</v>
      </c>
      <c r="AD257" s="191" t="str">
        <f>'1_BD questio brut'!AB257</f>
        <v>Feuillus</v>
      </c>
      <c r="AE257" s="191" t="str">
        <f t="array" ref="AE257">INDEX('Données 1_BD questio'!C:C,MATCH('1_BD questio brut'!$AC$1&amp;'1_BD questio brut'!AC257,'Données 1_BD questio'!A:A&amp;'Données 1_BD questio'!B:B,0))</f>
        <v>un professionnel</v>
      </c>
      <c r="AF257" s="191" t="str">
        <f>'1_BD questio brut'!AD257</f>
        <v>1 fois par an</v>
      </c>
      <c r="AG257" s="191" t="str">
        <f>'1_BD questio brut'!AE257</f>
        <v/>
      </c>
      <c r="AH257" s="191" t="str">
        <f>'1_BD questio brut'!AF257</f>
        <v>Insert cheminée</v>
      </c>
      <c r="AI257" s="191" t="str">
        <f>'1_BD questio brut'!AG257</f>
        <v>1</v>
      </c>
      <c r="AJ257" s="191" t="str">
        <f>'1_BD questio brut'!AH257</f>
        <v/>
      </c>
      <c r="AK257" s="191" t="str">
        <f>'1_BD questio brut'!AI257</f>
        <v>Chauffage d'appoint</v>
      </c>
      <c r="AL257" s="191" t="str">
        <f>'1_BD questio brut'!AJ257</f>
        <v>Pas de réponse</v>
      </c>
      <c r="AM257" s="191" t="str">
        <f>'1_BD questio brut'!AK257</f>
        <v>1; 2; 4; 5</v>
      </c>
      <c r="AN257" s="191" t="str">
        <f>'1_BD questio brut'!AL257</f>
        <v/>
      </c>
      <c r="AO257" s="191" t="str">
        <f>'1_BD questio brut'!AM257</f>
        <v>7; 8</v>
      </c>
      <c r="AP257" s="191" t="str">
        <f>'1_BD questio brut'!AN257</f>
        <v/>
      </c>
      <c r="AQ257" s="191" t="str">
        <f>'1_BD questio brut'!AO257</f>
        <v/>
      </c>
    </row>
    <row r="258" spans="1:43" ht="43.5" hidden="1">
      <c r="A258" s="98">
        <f>INDEX('3_BD instruction total'!A:A,MATCH(C258,'3_BD instruction total'!F:F,0))</f>
        <v>2021</v>
      </c>
      <c r="B258" s="98" t="str">
        <f>INDEX('3_BD instruction total'!C:C,MATCH(C258,'3_BD instruction total'!F:F,0))</f>
        <v>non</v>
      </c>
      <c r="C258" s="191" t="str">
        <f>'1_BD questio brut'!A258</f>
        <v>VRB0270</v>
      </c>
      <c r="D258" s="191" t="str">
        <f t="array" ref="D258">INDEX('Données 1_BD questio'!C:C,MATCH('1_BD questio brut'!$B$1&amp;'1_BD questio brut'!B258,'Données 1_BD questio'!A:A&amp;'Données 1_BD questio'!B:B,0))</f>
        <v>CAPV</v>
      </c>
      <c r="E258" s="191" t="str">
        <f t="array" ref="E258">INDEX('Données 1_BD questio'!C:C,MATCH('1_BD questio brut'!$C$1&amp;'1_BD questio brut'!C258,'Données 1_BD questio'!A:A&amp;'Données 1_BD questio'!B:B,0))</f>
        <v>Employé</v>
      </c>
      <c r="F258" s="191" t="str">
        <f t="array" ref="F258">INDEX('Données 1_BD questio'!C:C,MATCH('1_BD questio brut'!$D$1&amp;'1_BD questio brut'!D258,'Données 1_BD questio'!A:A&amp;'Données 1_BD questio'!B:B,0))</f>
        <v>Employé</v>
      </c>
      <c r="G258" s="191" t="str">
        <f>'1_BD questio brut'!E258</f>
        <v>25 à 34 ans</v>
      </c>
      <c r="H258" s="191">
        <f>'1_BD questio brut'!F258</f>
        <v>4</v>
      </c>
      <c r="I258" s="191" t="str">
        <f>'1_BD questio brut'!G258</f>
        <v>Pas de réponse</v>
      </c>
      <c r="J258" s="191" t="str">
        <f t="array" ref="J258">INDEX('Données 1_BD questio'!C:C,MATCH('1_BD questio brut'!$H$1&amp;'1_BD questio brut'!H258,'Données 1_BD questio'!A:A&amp;'Données 1_BD questio'!B:B,0))</f>
        <v>Maison avec jardin</v>
      </c>
      <c r="K258" s="191">
        <f>'1_BD questio brut'!I258</f>
        <v>190</v>
      </c>
      <c r="L258" s="191" t="str">
        <f>'1_BD questio brut'!J258</f>
        <v>Avant 1949</v>
      </c>
      <c r="M258" s="191" t="str">
        <f>'1_BD questio brut'!K258</f>
        <v>1; 4</v>
      </c>
      <c r="N258" s="191" t="str">
        <f>'1_BD questio brut'!L258</f>
        <v>D</v>
      </c>
      <c r="O258" s="191" t="str">
        <f>'1_BD questio brut'!M258</f>
        <v>Propriétaire occupant</v>
      </c>
      <c r="P258" s="191" t="str">
        <f>'1_BD questio brut'!N258</f>
        <v>Foyer ouvert</v>
      </c>
      <c r="Q258" s="191" t="str">
        <f>'1_BD questio brut'!O258</f>
        <v>Chauffage d'apoint</v>
      </c>
      <c r="R258" s="191" t="str">
        <f>'1_BD questio brut'!P258</f>
        <v>3 à 4 jours/semaine</v>
      </c>
      <c r="S258" s="191" t="str">
        <f>'1_BD questio brut'!Q258</f>
        <v>2; 3; 4; 6</v>
      </c>
      <c r="T258" s="191" t="str">
        <f>'1_BD questio brut'!R258</f>
        <v>1990-1995</v>
      </c>
      <c r="U258" s="191" t="str">
        <f>'1_BD questio brut'!S258</f>
        <v>Bois bûche</v>
      </c>
      <c r="V258" s="191" t="str">
        <f>'1_BD questio brut'!T258</f>
        <v/>
      </c>
      <c r="W258" s="191" t="str">
        <f>'1_BD questio brut'!U258</f>
        <v>4</v>
      </c>
      <c r="X258" s="191" t="str">
        <f>'1_BD questio brut'!V258</f>
        <v>STERES</v>
      </c>
      <c r="Y258" s="191" t="str">
        <f>'1_BD questio brut'!W258</f>
        <v>1</v>
      </c>
      <c r="Z258" s="191" t="str">
        <f>'1_BD questio brut'!X258</f>
        <v/>
      </c>
      <c r="AA258" s="191" t="str">
        <f t="array" ref="AA258">INDEX('Données 1_BD questio'!C:C,MATCH('1_BD questio brut'!$Y$1&amp;'1_BD questio brut'!Y258,'Données 1_BD questio'!A:A&amp;'Données 1_BD questio'!B:B,0))</f>
        <v>Ne sait pas</v>
      </c>
      <c r="AB258" s="191" t="str">
        <f>'1_BD questio brut'!Z258</f>
        <v>2</v>
      </c>
      <c r="AC258" s="191" t="str">
        <f>'1_BD questio brut'!AA258</f>
        <v>&gt; 2 ans</v>
      </c>
      <c r="AD258" s="191" t="str">
        <f>'1_BD questio brut'!AB258</f>
        <v>Les deux</v>
      </c>
      <c r="AE258" s="191" t="str">
        <f t="array" ref="AE258">INDEX('Données 1_BD questio'!C:C,MATCH('1_BD questio brut'!$AC$1&amp;'1_BD questio brut'!AC258,'Données 1_BD questio'!A:A&amp;'Données 1_BD questio'!B:B,0))</f>
        <v>un professionnel</v>
      </c>
      <c r="AF258" s="191" t="str">
        <f>'1_BD questio brut'!AD258</f>
        <v>1 fois tous les 2 ans</v>
      </c>
      <c r="AG258" s="191" t="str">
        <f>'1_BD questio brut'!AE258</f>
        <v/>
      </c>
      <c r="AH258" s="191" t="str">
        <f>'1_BD questio brut'!AF258</f>
        <v>Poêle</v>
      </c>
      <c r="AI258" s="191" t="str">
        <f>'1_BD questio brut'!AG258</f>
        <v>1</v>
      </c>
      <c r="AJ258" s="191" t="str">
        <f>'1_BD questio brut'!AH258</f>
        <v/>
      </c>
      <c r="AK258" s="191" t="str">
        <f>'1_BD questio brut'!AI258</f>
        <v>Chauffage d'appoint</v>
      </c>
      <c r="AL258" s="191" t="str">
        <f>'1_BD questio brut'!AJ258</f>
        <v>Pas de réponse</v>
      </c>
      <c r="AM258" s="191" t="str">
        <f>'1_BD questio brut'!AK258</f>
        <v>2; 4; 5</v>
      </c>
      <c r="AN258" s="191" t="str">
        <f>'1_BD questio brut'!AL258</f>
        <v/>
      </c>
      <c r="AO258" s="191" t="str">
        <f>'1_BD questio brut'!AM258</f>
        <v>7</v>
      </c>
      <c r="AP258" s="191" t="str">
        <f>'1_BD questio brut'!AN258</f>
        <v/>
      </c>
      <c r="AQ258" s="191" t="str">
        <f>'1_BD questio brut'!AO258</f>
        <v/>
      </c>
    </row>
    <row r="259" spans="1:43" ht="43.5" hidden="1">
      <c r="A259" s="98">
        <f>INDEX('3_BD instruction total'!A:A,MATCH(C259,'3_BD instruction total'!F:F,0))</f>
        <v>2022</v>
      </c>
      <c r="B259" s="98" t="str">
        <f>INDEX('3_BD instruction total'!C:C,MATCH(C259,'3_BD instruction total'!F:F,0))</f>
        <v>non</v>
      </c>
      <c r="C259" s="191" t="str">
        <f>'1_BD questio brut'!A259</f>
        <v>VRB0271</v>
      </c>
      <c r="D259" s="191" t="str">
        <f t="array" ref="D259">INDEX('Données 1_BD questio'!C:C,MATCH('1_BD questio brut'!$B$1&amp;'1_BD questio brut'!B259,'Données 1_BD questio'!A:A&amp;'Données 1_BD questio'!B:B,0))</f>
        <v>CAPV</v>
      </c>
      <c r="E259" s="191" t="str">
        <f t="array" ref="E259">INDEX('Données 1_BD questio'!C:C,MATCH('1_BD questio brut'!$C$1&amp;'1_BD questio brut'!C259,'Données 1_BD questio'!A:A&amp;'Données 1_BD questio'!B:B,0))</f>
        <v>Artisan,commerçant,chef d'entreprise</v>
      </c>
      <c r="F259" s="191" t="str">
        <f t="array" ref="F259">INDEX('Données 1_BD questio'!C:C,MATCH('1_BD questio brut'!$D$1&amp;'1_BD questio brut'!D259,'Données 1_BD questio'!A:A&amp;'Données 1_BD questio'!B:B,0))</f>
        <v>Employé</v>
      </c>
      <c r="G259" s="191" t="str">
        <f>'1_BD questio brut'!E259</f>
        <v>35 à 49 ans</v>
      </c>
      <c r="H259" s="191">
        <f>'1_BD questio brut'!F259</f>
        <v>2</v>
      </c>
      <c r="I259" s="191" t="str">
        <f>'1_BD questio brut'!G259</f>
        <v>Pas de réponse</v>
      </c>
      <c r="J259" s="191" t="str">
        <f t="array" ref="J259">INDEX('Données 1_BD questio'!C:C,MATCH('1_BD questio brut'!$H$1&amp;'1_BD questio brut'!H259,'Données 1_BD questio'!A:A&amp;'Données 1_BD questio'!B:B,0))</f>
        <v>Maison avec jardin</v>
      </c>
      <c r="K259" s="191">
        <f>'1_BD questio brut'!I259</f>
        <v>140</v>
      </c>
      <c r="L259" s="191" t="str">
        <f>'1_BD questio brut'!J259</f>
        <v>Avant 1949</v>
      </c>
      <c r="M259" s="191" t="str">
        <f>'1_BD questio brut'!K259</f>
        <v>6</v>
      </c>
      <c r="N259" s="191" t="str">
        <f>'1_BD questio brut'!L259</f>
        <v>Pas de réponse</v>
      </c>
      <c r="O259" s="191" t="str">
        <f>'1_BD questio brut'!M259</f>
        <v>Propriétaire occupant</v>
      </c>
      <c r="P259" s="191" t="str">
        <f>'1_BD questio brut'!N259</f>
        <v>Foyer ouvert</v>
      </c>
      <c r="Q259" s="191" t="str">
        <f>'1_BD questio brut'!O259</f>
        <v>Chauffage d'apoint</v>
      </c>
      <c r="R259" s="191" t="str">
        <f>'1_BD questio brut'!P259</f>
        <v>1 à 3 jours/mois</v>
      </c>
      <c r="S259" s="191" t="str">
        <f>'1_BD questio brut'!Q259</f>
        <v>6</v>
      </c>
      <c r="T259" s="191" t="str">
        <f>'1_BD questio brut'!R259</f>
        <v>Avant 1990</v>
      </c>
      <c r="U259" s="191" t="str">
        <f>'1_BD questio brut'!S259</f>
        <v>Bois bûche</v>
      </c>
      <c r="V259" s="191" t="str">
        <f>'1_BD questio brut'!T259</f>
        <v/>
      </c>
      <c r="W259" s="191" t="str">
        <f>'1_BD questio brut'!U259</f>
        <v>5</v>
      </c>
      <c r="X259" s="191" t="str">
        <f>'1_BD questio brut'!V259</f>
        <v>STERES</v>
      </c>
      <c r="Y259" s="191" t="str">
        <f>'1_BD questio brut'!W259</f>
        <v>4</v>
      </c>
      <c r="Z259" s="191" t="str">
        <f>'1_BD questio brut'!X259</f>
        <v>INTERNET</v>
      </c>
      <c r="AA259" s="191" t="str">
        <f t="array" ref="AA259">INDEX('Données 1_BD questio'!C:C,MATCH('1_BD questio brut'!$Y$1&amp;'1_BD questio brut'!Y259,'Données 1_BD questio'!A:A&amp;'Données 1_BD questio'!B:B,0))</f>
        <v>Ne sait pas</v>
      </c>
      <c r="AB259" s="191" t="str">
        <f>'1_BD questio brut'!Z259</f>
        <v>2</v>
      </c>
      <c r="AC259" s="191" t="str">
        <f>'1_BD questio brut'!AA259</f>
        <v>1 à 2 ans</v>
      </c>
      <c r="AD259" s="191" t="str">
        <f>'1_BD questio brut'!AB259</f>
        <v>Les deux</v>
      </c>
      <c r="AE259" s="191" t="str">
        <f t="array" ref="AE259">INDEX('Données 1_BD questio'!C:C,MATCH('1_BD questio brut'!$AC$1&amp;'1_BD questio brut'!AC259,'Données 1_BD questio'!A:A&amp;'Données 1_BD questio'!B:B,0))</f>
        <v>un professionnel</v>
      </c>
      <c r="AF259" s="191" t="str">
        <f>'1_BD questio brut'!AD259</f>
        <v>1 fois par an</v>
      </c>
      <c r="AG259" s="191" t="str">
        <f>'1_BD questio brut'!AE259</f>
        <v/>
      </c>
      <c r="AH259" s="191" t="str">
        <f>'1_BD questio brut'!AF259</f>
        <v>Insert cheminée</v>
      </c>
      <c r="AI259" s="191" t="str">
        <f>'1_BD questio brut'!AG259</f>
        <v>1</v>
      </c>
      <c r="AJ259" s="191" t="str">
        <f>'1_BD questio brut'!AH259</f>
        <v/>
      </c>
      <c r="AK259" s="191" t="str">
        <f>'1_BD questio brut'!AI259</f>
        <v>Chauffage de base</v>
      </c>
      <c r="AL259" s="191" t="str">
        <f>'1_BD questio brut'!AJ259</f>
        <v>Pas de réponse</v>
      </c>
      <c r="AM259" s="191" t="str">
        <f>'1_BD questio brut'!AK259</f>
        <v>1; 2; 4</v>
      </c>
      <c r="AN259" s="191" t="str">
        <f>'1_BD questio brut'!AL259</f>
        <v/>
      </c>
      <c r="AO259" s="191" t="str">
        <f>'1_BD questio brut'!AM259</f>
        <v>5</v>
      </c>
      <c r="AP259" s="191" t="str">
        <f>'1_BD questio brut'!AN259</f>
        <v/>
      </c>
      <c r="AQ259" s="191" t="str">
        <f>'1_BD questio brut'!AO259</f>
        <v/>
      </c>
    </row>
    <row r="260" spans="1:43" ht="43.5" hidden="1">
      <c r="A260" s="98">
        <f>INDEX('3_BD instruction total'!A:A,MATCH(C260,'3_BD instruction total'!F:F,0))</f>
        <v>2021</v>
      </c>
      <c r="B260" s="98" t="str">
        <f>INDEX('3_BD instruction total'!C:C,MATCH(C260,'3_BD instruction total'!F:F,0))</f>
        <v>non</v>
      </c>
      <c r="C260" s="191" t="str">
        <f>'1_BD questio brut'!A260</f>
        <v>VRB0272</v>
      </c>
      <c r="D260" s="191" t="str">
        <f t="array" ref="D260">INDEX('Données 1_BD questio'!C:C,MATCH('1_BD questio brut'!$B$1&amp;'1_BD questio brut'!B260,'Données 1_BD questio'!A:A&amp;'Données 1_BD questio'!B:B,0))</f>
        <v>CAPV</v>
      </c>
      <c r="E260" s="191" t="str">
        <f t="array" ref="E260">INDEX('Données 1_BD questio'!C:C,MATCH('1_BD questio brut'!$C$1&amp;'1_BD questio brut'!C260,'Données 1_BD questio'!A:A&amp;'Données 1_BD questio'!B:B,0))</f>
        <v>Employé</v>
      </c>
      <c r="F260" s="191" t="str">
        <f t="array" ref="F260">INDEX('Données 1_BD questio'!C:C,MATCH('1_BD questio brut'!$D$1&amp;'1_BD questio brut'!D260,'Données 1_BD questio'!A:A&amp;'Données 1_BD questio'!B:B,0))</f>
        <v>Agriculteur exploitant</v>
      </c>
      <c r="G260" s="191" t="str">
        <f>'1_BD questio brut'!E260</f>
        <v>50 à 64 ans</v>
      </c>
      <c r="H260" s="191">
        <f>'1_BD questio brut'!F260</f>
        <v>2</v>
      </c>
      <c r="I260" s="191" t="str">
        <f>'1_BD questio brut'!G260</f>
        <v>Pas de réponse</v>
      </c>
      <c r="J260" s="191" t="str">
        <f t="array" ref="J260">INDEX('Données 1_BD questio'!C:C,MATCH('1_BD questio brut'!$H$1&amp;'1_BD questio brut'!H260,'Données 1_BD questio'!A:A&amp;'Données 1_BD questio'!B:B,0))</f>
        <v>Maison avec jardin</v>
      </c>
      <c r="K260" s="191">
        <f>'1_BD questio brut'!I260</f>
        <v>100</v>
      </c>
      <c r="L260" s="191" t="str">
        <f>'1_BD questio brut'!J260</f>
        <v>1975-1990</v>
      </c>
      <c r="M260" s="191" t="str">
        <f>'1_BD questio brut'!K260</f>
        <v>1</v>
      </c>
      <c r="N260" s="191" t="str">
        <f>'1_BD questio brut'!L260</f>
        <v>Pas de réponse</v>
      </c>
      <c r="O260" s="191" t="str">
        <f>'1_BD questio brut'!M260</f>
        <v>Propriétaire occupant</v>
      </c>
      <c r="P260" s="191" t="str">
        <f>'1_BD questio brut'!N260</f>
        <v>Poêle</v>
      </c>
      <c r="Q260" s="191" t="str">
        <f>'1_BD questio brut'!O260</f>
        <v>Chauffage de base</v>
      </c>
      <c r="R260" s="191" t="str">
        <f>'1_BD questio brut'!P260</f>
        <v>Tous les jours</v>
      </c>
      <c r="S260" s="191" t="str">
        <f>'1_BD questio brut'!Q260</f>
        <v>4; 5; 6</v>
      </c>
      <c r="T260" s="191" t="str">
        <f>'1_BD questio brut'!R260</f>
        <v>1990-1995</v>
      </c>
      <c r="U260" s="191" t="str">
        <f>'1_BD questio brut'!S260</f>
        <v>Bois bûche</v>
      </c>
      <c r="V260" s="191" t="str">
        <f>'1_BD questio brut'!T260</f>
        <v/>
      </c>
      <c r="W260" s="191" t="str">
        <f>'1_BD questio brut'!U260</f>
        <v/>
      </c>
      <c r="X260" s="191" t="str">
        <f>'1_BD questio brut'!V260</f>
        <v/>
      </c>
      <c r="Y260" s="191" t="str">
        <f>'1_BD questio brut'!W260</f>
        <v>1</v>
      </c>
      <c r="Z260" s="191" t="str">
        <f>'1_BD questio brut'!X260</f>
        <v/>
      </c>
      <c r="AA260" s="191" t="str">
        <f t="array" ref="AA260">INDEX('Données 1_BD questio'!C:C,MATCH('1_BD questio brut'!$Y$1&amp;'1_BD questio brut'!Y260,'Données 1_BD questio'!A:A&amp;'Données 1_BD questio'!B:B,0))</f>
        <v>Pas de réponse</v>
      </c>
      <c r="AB260" s="191" t="str">
        <f>'1_BD questio brut'!Z260</f>
        <v>2</v>
      </c>
      <c r="AC260" s="191" t="str">
        <f>'1_BD questio brut'!AA260</f>
        <v>&gt; 2 ans</v>
      </c>
      <c r="AD260" s="191" t="str">
        <f>'1_BD questio brut'!AB260</f>
        <v>Les deux</v>
      </c>
      <c r="AE260" s="191" t="str">
        <f t="array" ref="AE260">INDEX('Données 1_BD questio'!C:C,MATCH('1_BD questio brut'!$AC$1&amp;'1_BD questio brut'!AC260,'Données 1_BD questio'!A:A&amp;'Données 1_BD questio'!B:B,0))</f>
        <v>un professionnel</v>
      </c>
      <c r="AF260" s="191" t="str">
        <f>'1_BD questio brut'!AD260</f>
        <v>2 fois par an</v>
      </c>
      <c r="AG260" s="191" t="str">
        <f>'1_BD questio brut'!AE260</f>
        <v/>
      </c>
      <c r="AH260" s="191" t="str">
        <f>'1_BD questio brut'!AF260</f>
        <v>Poêle</v>
      </c>
      <c r="AI260" s="191" t="str">
        <f>'1_BD questio brut'!AG260</f>
        <v>1</v>
      </c>
      <c r="AJ260" s="191" t="str">
        <f>'1_BD questio brut'!AH260</f>
        <v/>
      </c>
      <c r="AK260" s="191" t="str">
        <f>'1_BD questio brut'!AI260</f>
        <v>Chauffage de base</v>
      </c>
      <c r="AL260" s="191" t="str">
        <f>'1_BD questio brut'!AJ260</f>
        <v>Pas de réponse</v>
      </c>
      <c r="AM260" s="191" t="str">
        <f>'1_BD questio brut'!AK260</f>
        <v>1; 2; 4; 5</v>
      </c>
      <c r="AN260" s="191" t="str">
        <f>'1_BD questio brut'!AL260</f>
        <v/>
      </c>
      <c r="AO260" s="191" t="str">
        <f>'1_BD questio brut'!AM260</f>
        <v>2; 5</v>
      </c>
      <c r="AP260" s="191" t="str">
        <f>'1_BD questio brut'!AN260</f>
        <v/>
      </c>
      <c r="AQ260" s="191" t="str">
        <f>'1_BD questio brut'!AO260</f>
        <v/>
      </c>
    </row>
    <row r="261" spans="1:43" ht="43.5" hidden="1">
      <c r="A261" s="98">
        <f>INDEX('3_BD instruction total'!A:A,MATCH(C261,'3_BD instruction total'!F:F,0))</f>
        <v>2021</v>
      </c>
      <c r="B261" s="98" t="str">
        <f>INDEX('3_BD instruction total'!C:C,MATCH(C261,'3_BD instruction total'!F:F,0))</f>
        <v>non</v>
      </c>
      <c r="C261" s="191" t="str">
        <f>'1_BD questio brut'!A261</f>
        <v>VRB0273</v>
      </c>
      <c r="D261" s="191" t="str">
        <f t="array" ref="D261">INDEX('Données 1_BD questio'!C:C,MATCH('1_BD questio brut'!$B$1&amp;'1_BD questio brut'!B261,'Données 1_BD questio'!A:A&amp;'Données 1_BD questio'!B:B,0))</f>
        <v>CAPV</v>
      </c>
      <c r="E261" s="191" t="str">
        <f t="array" ref="E261">INDEX('Données 1_BD questio'!C:C,MATCH('1_BD questio brut'!$C$1&amp;'1_BD questio brut'!C261,'Données 1_BD questio'!A:A&amp;'Données 1_BD questio'!B:B,0))</f>
        <v>Retraité</v>
      </c>
      <c r="F261" s="191" t="str">
        <f t="array" ref="F261">INDEX('Données 1_BD questio'!C:C,MATCH('1_BD questio brut'!$D$1&amp;'1_BD questio brut'!D261,'Données 1_BD questio'!A:A&amp;'Données 1_BD questio'!B:B,0))</f>
        <v>Retraité</v>
      </c>
      <c r="G261" s="191" t="str">
        <f>'1_BD questio brut'!E261</f>
        <v>65 ans et plus</v>
      </c>
      <c r="H261" s="191">
        <f>'1_BD questio brut'!F261</f>
        <v>2</v>
      </c>
      <c r="I261" s="191" t="str">
        <f>'1_BD questio brut'!G261</f>
        <v>Pas de réponse</v>
      </c>
      <c r="J261" s="191" t="str">
        <f t="array" ref="J261">INDEX('Données 1_BD questio'!C:C,MATCH('1_BD questio brut'!$H$1&amp;'1_BD questio brut'!H261,'Données 1_BD questio'!A:A&amp;'Données 1_BD questio'!B:B,0))</f>
        <v>Maison avec jardin</v>
      </c>
      <c r="K261" s="191">
        <f>'1_BD questio brut'!I261</f>
        <v>180</v>
      </c>
      <c r="L261" s="191" t="str">
        <f>'1_BD questio brut'!J261</f>
        <v>1975-1990</v>
      </c>
      <c r="M261" s="191" t="str">
        <f>'1_BD questio brut'!K261</f>
        <v>1; 2; 4</v>
      </c>
      <c r="N261" s="191" t="str">
        <f>'1_BD questio brut'!L261</f>
        <v>Ne sait pas</v>
      </c>
      <c r="O261" s="191" t="str">
        <f>'1_BD questio brut'!M261</f>
        <v>Propriétaire occupant</v>
      </c>
      <c r="P261" s="191" t="str">
        <f>'1_BD questio brut'!N261</f>
        <v>Foyer ouvert</v>
      </c>
      <c r="Q261" s="191" t="str">
        <f>'1_BD questio brut'!O261</f>
        <v>Plaisir/agrément</v>
      </c>
      <c r="R261" s="191" t="str">
        <f>'1_BD questio brut'!P261</f>
        <v>3 à 4 jours/semaine</v>
      </c>
      <c r="S261" s="191" t="str">
        <f>'1_BD questio brut'!Q261</f>
        <v>2</v>
      </c>
      <c r="T261" s="191" t="str">
        <f>'1_BD questio brut'!R261</f>
        <v>Avant 1990</v>
      </c>
      <c r="U261" s="191" t="str">
        <f>'1_BD questio brut'!S261</f>
        <v>Bois bûche</v>
      </c>
      <c r="V261" s="191" t="str">
        <f>'1_BD questio brut'!T261</f>
        <v/>
      </c>
      <c r="W261" s="191" t="str">
        <f>'1_BD questio brut'!U261</f>
        <v>1</v>
      </c>
      <c r="X261" s="191" t="str">
        <f>'1_BD questio brut'!V261</f>
        <v>M3</v>
      </c>
      <c r="Y261" s="191" t="str">
        <f>'1_BD questio brut'!W261</f>
        <v>1</v>
      </c>
      <c r="Z261" s="191" t="str">
        <f>'1_BD questio brut'!X261</f>
        <v/>
      </c>
      <c r="AA261" s="191" t="str">
        <f t="array" ref="AA261">INDEX('Données 1_BD questio'!C:C,MATCH('1_BD questio brut'!$Y$1&amp;'1_BD questio brut'!Y261,'Données 1_BD questio'!A:A&amp;'Données 1_BD questio'!B:B,0))</f>
        <v>Pas de réponse</v>
      </c>
      <c r="AB261" s="191" t="str">
        <f>'1_BD questio brut'!Z261</f>
        <v>2</v>
      </c>
      <c r="AC261" s="191" t="str">
        <f>'1_BD questio brut'!AA261</f>
        <v>1 à 2 ans</v>
      </c>
      <c r="AD261" s="191" t="str">
        <f>'1_BD questio brut'!AB261</f>
        <v>Feuillus</v>
      </c>
      <c r="AE261" s="191" t="str">
        <f t="array" ref="AE261">INDEX('Données 1_BD questio'!C:C,MATCH('1_BD questio brut'!$AC$1&amp;'1_BD questio brut'!AC261,'Données 1_BD questio'!A:A&amp;'Données 1_BD questio'!B:B,0))</f>
        <v>un professionnel</v>
      </c>
      <c r="AF261" s="191" t="str">
        <f>'1_BD questio brut'!AD261</f>
        <v>1 fois par an</v>
      </c>
      <c r="AG261" s="191" t="str">
        <f>'1_BD questio brut'!AE261</f>
        <v/>
      </c>
      <c r="AH261" s="191" t="str">
        <f>'1_BD questio brut'!AF261</f>
        <v>Poêle</v>
      </c>
      <c r="AI261" s="191" t="str">
        <f>'1_BD questio brut'!AG261</f>
        <v>1</v>
      </c>
      <c r="AJ261" s="191" t="str">
        <f>'1_BD questio brut'!AH261</f>
        <v/>
      </c>
      <c r="AK261" s="191" t="str">
        <f>'1_BD questio brut'!AI261</f>
        <v>Chauffage d'appoint</v>
      </c>
      <c r="AL261" s="191" t="str">
        <f>'1_BD questio brut'!AJ261</f>
        <v>Pas de réponse</v>
      </c>
      <c r="AM261" s="191" t="str">
        <f>'1_BD questio brut'!AK261</f>
        <v>1; 2; 4; 5</v>
      </c>
      <c r="AN261" s="191" t="str">
        <f>'1_BD questio brut'!AL261</f>
        <v/>
      </c>
      <c r="AO261" s="191" t="str">
        <f>'1_BD questio brut'!AM261</f>
        <v>5</v>
      </c>
      <c r="AP261" s="191" t="str">
        <f>'1_BD questio brut'!AN261</f>
        <v/>
      </c>
      <c r="AQ261" s="191" t="str">
        <f>'1_BD questio brut'!AO261</f>
        <v/>
      </c>
    </row>
    <row r="262" spans="1:43" ht="43.5" hidden="1">
      <c r="A262" s="98">
        <f>INDEX('3_BD instruction total'!A:A,MATCH(C262,'3_BD instruction total'!F:F,0))</f>
        <v>2021</v>
      </c>
      <c r="B262" s="98" t="str">
        <f>INDEX('3_BD instruction total'!C:C,MATCH(C262,'3_BD instruction total'!F:F,0))</f>
        <v>non</v>
      </c>
      <c r="C262" s="191" t="str">
        <f>'1_BD questio brut'!A262</f>
        <v>VRB0274</v>
      </c>
      <c r="D262" s="191" t="str">
        <f t="array" ref="D262">INDEX('Données 1_BD questio'!C:C,MATCH('1_BD questio brut'!$B$1&amp;'1_BD questio brut'!B262,'Données 1_BD questio'!A:A&amp;'Données 1_BD questio'!B:B,0))</f>
        <v>CAPV</v>
      </c>
      <c r="E262" s="191" t="str">
        <f t="array" ref="E262">INDEX('Données 1_BD questio'!C:C,MATCH('1_BD questio brut'!$C$1&amp;'1_BD questio brut'!C262,'Données 1_BD questio'!A:A&amp;'Données 1_BD questio'!B:B,0))</f>
        <v>Artisan,commerçant,chef d'entreprise</v>
      </c>
      <c r="F262" s="191" t="str">
        <f t="array" ref="F262">INDEX('Données 1_BD questio'!C:C,MATCH('1_BD questio brut'!$D$1&amp;'1_BD questio brut'!D262,'Données 1_BD questio'!A:A&amp;'Données 1_BD questio'!B:B,0))</f>
        <v>Employé</v>
      </c>
      <c r="G262" s="191" t="str">
        <f>'1_BD questio brut'!E262</f>
        <v>35 à 49 ans</v>
      </c>
      <c r="H262" s="191">
        <f>'1_BD questio brut'!F262</f>
        <v>2</v>
      </c>
      <c r="I262" s="191" t="str">
        <f>'1_BD questio brut'!G262</f>
        <v>Pas de réponse</v>
      </c>
      <c r="J262" s="191" t="str">
        <f t="array" ref="J262">INDEX('Données 1_BD questio'!C:C,MATCH('1_BD questio brut'!$H$1&amp;'1_BD questio brut'!H262,'Données 1_BD questio'!A:A&amp;'Données 1_BD questio'!B:B,0))</f>
        <v>Maison avec jardin</v>
      </c>
      <c r="K262" s="191">
        <f>'1_BD questio brut'!I262</f>
        <v>140</v>
      </c>
      <c r="L262" s="191" t="str">
        <f>'1_BD questio brut'!J262</f>
        <v>Avant 1949</v>
      </c>
      <c r="M262" s="191" t="str">
        <f>'1_BD questio brut'!K262</f>
        <v>1; 4</v>
      </c>
      <c r="N262" s="191" t="str">
        <f>'1_BD questio brut'!L262</f>
        <v>Pas de réponse</v>
      </c>
      <c r="O262" s="191" t="str">
        <f>'1_BD questio brut'!M262</f>
        <v>Propriétaire occupant</v>
      </c>
      <c r="P262" s="191" t="str">
        <f>'1_BD questio brut'!N262</f>
        <v>Poêle</v>
      </c>
      <c r="Q262" s="191" t="str">
        <f>'1_BD questio brut'!O262</f>
        <v>Chauffage d'apoint</v>
      </c>
      <c r="R262" s="191" t="str">
        <f>'1_BD questio brut'!P262</f>
        <v>Tous les jours</v>
      </c>
      <c r="S262" s="191" t="str">
        <f>'1_BD questio brut'!Q262</f>
        <v>2</v>
      </c>
      <c r="T262" s="191" t="str">
        <f>'1_BD questio brut'!R262</f>
        <v>1996-2002</v>
      </c>
      <c r="U262" s="191" t="str">
        <f>'1_BD questio brut'!S262</f>
        <v>Bois bûche</v>
      </c>
      <c r="V262" s="191" t="str">
        <f>'1_BD questio brut'!T262</f>
        <v/>
      </c>
      <c r="W262" s="191" t="str">
        <f>'1_BD questio brut'!U262</f>
        <v>8,25</v>
      </c>
      <c r="X262" s="191" t="str">
        <f>'1_BD questio brut'!V262</f>
        <v>M3</v>
      </c>
      <c r="Y262" s="191" t="str">
        <f>'1_BD questio brut'!W262</f>
        <v>2</v>
      </c>
      <c r="Z262" s="191" t="str">
        <f>'1_BD questio brut'!X262</f>
        <v/>
      </c>
      <c r="AA262" s="191" t="str">
        <f t="array" ref="AA262">INDEX('Données 1_BD questio'!C:C,MATCH('1_BD questio brut'!$Y$1&amp;'1_BD questio brut'!Y262,'Données 1_BD questio'!A:A&amp;'Données 1_BD questio'!B:B,0))</f>
        <v>Ne sait pas</v>
      </c>
      <c r="AB262" s="191" t="str">
        <f>'1_BD questio brut'!Z262</f>
        <v>2</v>
      </c>
      <c r="AC262" s="191" t="str">
        <f>'1_BD questio brut'!AA262</f>
        <v>1 à 2 ans</v>
      </c>
      <c r="AD262" s="191" t="str">
        <f>'1_BD questio brut'!AB262</f>
        <v>Les deux</v>
      </c>
      <c r="AE262" s="191" t="str">
        <f t="array" ref="AE262">INDEX('Données 1_BD questio'!C:C,MATCH('1_BD questio brut'!$AC$1&amp;'1_BD questio brut'!AC262,'Données 1_BD questio'!A:A&amp;'Données 1_BD questio'!B:B,0))</f>
        <v>un professionnel</v>
      </c>
      <c r="AF262" s="191" t="str">
        <f>'1_BD questio brut'!AD262</f>
        <v>1 fois par an</v>
      </c>
      <c r="AG262" s="191" t="str">
        <f>'1_BD questio brut'!AE262</f>
        <v/>
      </c>
      <c r="AH262" s="191" t="str">
        <f>'1_BD questio brut'!AF262</f>
        <v>Poêle</v>
      </c>
      <c r="AI262" s="191" t="str">
        <f>'1_BD questio brut'!AG262</f>
        <v>1</v>
      </c>
      <c r="AJ262" s="191" t="str">
        <f>'1_BD questio brut'!AH262</f>
        <v/>
      </c>
      <c r="AK262" s="191" t="str">
        <f>'1_BD questio brut'!AI262</f>
        <v>Chauffage d'appoint</v>
      </c>
      <c r="AL262" s="191" t="str">
        <f>'1_BD questio brut'!AJ262</f>
        <v>Pas de réponse</v>
      </c>
      <c r="AM262" s="191" t="str">
        <f>'1_BD questio brut'!AK262</f>
        <v>2; 4</v>
      </c>
      <c r="AN262" s="191" t="str">
        <f>'1_BD questio brut'!AL262</f>
        <v/>
      </c>
      <c r="AO262" s="191" t="str">
        <f>'1_BD questio brut'!AM262</f>
        <v>1</v>
      </c>
      <c r="AP262" s="191" t="str">
        <f>'1_BD questio brut'!AN262</f>
        <v/>
      </c>
      <c r="AQ262" s="191" t="str">
        <f>'1_BD questio brut'!AO262</f>
        <v/>
      </c>
    </row>
    <row r="263" spans="1:43" ht="43.5" hidden="1">
      <c r="A263" s="98">
        <f>INDEX('3_BD instruction total'!A:A,MATCH(C263,'3_BD instruction total'!F:F,0))</f>
        <v>2021</v>
      </c>
      <c r="B263" s="98" t="str">
        <f>INDEX('3_BD instruction total'!C:C,MATCH(C263,'3_BD instruction total'!F:F,0))</f>
        <v>non</v>
      </c>
      <c r="C263" s="191" t="str">
        <f>'1_BD questio brut'!A263</f>
        <v>VRB0275</v>
      </c>
      <c r="D263" s="191" t="str">
        <f t="array" ref="D263">INDEX('Données 1_BD questio'!C:C,MATCH('1_BD questio brut'!$B$1&amp;'1_BD questio brut'!B263,'Données 1_BD questio'!A:A&amp;'Données 1_BD questio'!B:B,0))</f>
        <v>CAPV</v>
      </c>
      <c r="E263" s="191" t="str">
        <f t="array" ref="E263">INDEX('Données 1_BD questio'!C:C,MATCH('1_BD questio brut'!$C$1&amp;'1_BD questio brut'!C263,'Données 1_BD questio'!A:A&amp;'Données 1_BD questio'!B:B,0))</f>
        <v>Employé</v>
      </c>
      <c r="F263" s="191" t="str">
        <f t="array" ref="F263">INDEX('Données 1_BD questio'!C:C,MATCH('1_BD questio brut'!$D$1&amp;'1_BD questio brut'!D263,'Données 1_BD questio'!A:A&amp;'Données 1_BD questio'!B:B,0))</f>
        <v>Artisan,commerçant,chef d'entreprise</v>
      </c>
      <c r="G263" s="191" t="str">
        <f>'1_BD questio brut'!E263</f>
        <v>50 à 64 ans</v>
      </c>
      <c r="H263" s="191">
        <f>'1_BD questio brut'!F263</f>
        <v>2</v>
      </c>
      <c r="I263" s="191" t="str">
        <f>'1_BD questio brut'!G263</f>
        <v>Pas de réponse</v>
      </c>
      <c r="J263" s="191" t="str">
        <f t="array" ref="J263">INDEX('Données 1_BD questio'!C:C,MATCH('1_BD questio brut'!$H$1&amp;'1_BD questio brut'!H263,'Données 1_BD questio'!A:A&amp;'Données 1_BD questio'!B:B,0))</f>
        <v>Maison avec jardin</v>
      </c>
      <c r="K263" s="191">
        <f>'1_BD questio brut'!I263</f>
        <v>125</v>
      </c>
      <c r="L263" s="191" t="str">
        <f>'1_BD questio brut'!J263</f>
        <v>Avant 1949</v>
      </c>
      <c r="M263" s="191" t="str">
        <f>'1_BD questio brut'!K263</f>
        <v>6</v>
      </c>
      <c r="N263" s="191" t="str">
        <f>'1_BD questio brut'!L263</f>
        <v>Ne sait pas</v>
      </c>
      <c r="O263" s="191" t="str">
        <f>'1_BD questio brut'!M263</f>
        <v>Propriétaire occupant</v>
      </c>
      <c r="P263" s="191" t="str">
        <f>'1_BD questio brut'!N263</f>
        <v>Cuisinière</v>
      </c>
      <c r="Q263" s="191" t="str">
        <f>'1_BD questio brut'!O263</f>
        <v>Chauffage de base</v>
      </c>
      <c r="R263" s="191" t="str">
        <f>'1_BD questio brut'!P263</f>
        <v>Tous les jours</v>
      </c>
      <c r="S263" s="191" t="str">
        <f>'1_BD questio brut'!Q263</f>
        <v>4; 6</v>
      </c>
      <c r="T263" s="191" t="str">
        <f>'1_BD questio brut'!R263</f>
        <v>Avant 1990</v>
      </c>
      <c r="U263" s="191" t="str">
        <f>'1_BD questio brut'!S263</f>
        <v>Bois bûche</v>
      </c>
      <c r="V263" s="191" t="str">
        <f>'1_BD questio brut'!T263</f>
        <v/>
      </c>
      <c r="W263" s="191" t="str">
        <f>'1_BD questio brut'!U263</f>
        <v>10</v>
      </c>
      <c r="X263" s="191" t="str">
        <f>'1_BD questio brut'!V263</f>
        <v/>
      </c>
      <c r="Y263" s="191" t="str">
        <f>'1_BD questio brut'!W263</f>
        <v>1</v>
      </c>
      <c r="Z263" s="191" t="str">
        <f>'1_BD questio brut'!X263</f>
        <v/>
      </c>
      <c r="AA263" s="191" t="str">
        <f t="array" ref="AA263">INDEX('Données 1_BD questio'!C:C,MATCH('1_BD questio brut'!$Y$1&amp;'1_BD questio brut'!Y263,'Données 1_BD questio'!A:A&amp;'Données 1_BD questio'!B:B,0))</f>
        <v>Rhône-Alpes hors RA2B</v>
      </c>
      <c r="AB263" s="191" t="str">
        <f>'1_BD questio brut'!Z263</f>
        <v>2</v>
      </c>
      <c r="AC263" s="191" t="str">
        <f>'1_BD questio brut'!AA263</f>
        <v>1 à 2 ans</v>
      </c>
      <c r="AD263" s="191" t="str">
        <f>'1_BD questio brut'!AB263</f>
        <v>Feuillus</v>
      </c>
      <c r="AE263" s="191" t="str">
        <f t="array" ref="AE263">INDEX('Données 1_BD questio'!C:C,MATCH('1_BD questio brut'!$AC$1&amp;'1_BD questio brut'!AC263,'Données 1_BD questio'!A:A&amp;'Données 1_BD questio'!B:B,0))</f>
        <v>un professionnel</v>
      </c>
      <c r="AF263" s="191" t="str">
        <f>'1_BD questio brut'!AD263</f>
        <v>1 fois par an</v>
      </c>
      <c r="AG263" s="191" t="str">
        <f>'1_BD questio brut'!AE263</f>
        <v/>
      </c>
      <c r="AH263" s="191" t="str">
        <f>'1_BD questio brut'!AF263</f>
        <v>Poêle</v>
      </c>
      <c r="AI263" s="191" t="str">
        <f>'1_BD questio brut'!AG263</f>
        <v>2</v>
      </c>
      <c r="AJ263" s="191" t="str">
        <f>'1_BD questio brut'!AH263</f>
        <v/>
      </c>
      <c r="AK263" s="191" t="str">
        <f>'1_BD questio brut'!AI263</f>
        <v>Chauffage de base</v>
      </c>
      <c r="AL263" s="191" t="str">
        <f>'1_BD questio brut'!AJ263</f>
        <v>Pas de réponse</v>
      </c>
      <c r="AM263" s="191" t="str">
        <f>'1_BD questio brut'!AK263</f>
        <v>2; 4</v>
      </c>
      <c r="AN263" s="191" t="str">
        <f>'1_BD questio brut'!AL263</f>
        <v/>
      </c>
      <c r="AO263" s="191" t="str">
        <f>'1_BD questio brut'!AM263</f>
        <v>5</v>
      </c>
      <c r="AP263" s="191" t="str">
        <f>'1_BD questio brut'!AN263</f>
        <v/>
      </c>
      <c r="AQ263" s="191" t="str">
        <f>'1_BD questio brut'!AO263</f>
        <v/>
      </c>
    </row>
    <row r="264" spans="1:43" ht="43.5" hidden="1">
      <c r="A264" s="98">
        <f>INDEX('3_BD instruction total'!A:A,MATCH(C264,'3_BD instruction total'!F:F,0))</f>
        <v>2021</v>
      </c>
      <c r="B264" s="98" t="str">
        <f>INDEX('3_BD instruction total'!C:C,MATCH(C264,'3_BD instruction total'!F:F,0))</f>
        <v>non</v>
      </c>
      <c r="C264" s="191" t="str">
        <f>'1_BD questio brut'!A264</f>
        <v>VRB0276</v>
      </c>
      <c r="D264" s="191" t="str">
        <f t="array" ref="D264">INDEX('Données 1_BD questio'!C:C,MATCH('1_BD questio brut'!$B$1&amp;'1_BD questio brut'!B264,'Données 1_BD questio'!A:A&amp;'Données 1_BD questio'!B:B,0))</f>
        <v>CAPV</v>
      </c>
      <c r="E264" s="191" t="str">
        <f t="array" ref="E264">INDEX('Données 1_BD questio'!C:C,MATCH('1_BD questio brut'!$C$1&amp;'1_BD questio brut'!C264,'Données 1_BD questio'!A:A&amp;'Données 1_BD questio'!B:B,0))</f>
        <v>Employé</v>
      </c>
      <c r="F264" s="191" t="str">
        <f t="array" ref="F264">INDEX('Données 1_BD questio'!C:C,MATCH('1_BD questio brut'!$D$1&amp;'1_BD questio brut'!D264,'Données 1_BD questio'!A:A&amp;'Données 1_BD questio'!B:B,0))</f>
        <v>Employé</v>
      </c>
      <c r="G264" s="191" t="str">
        <f>'1_BD questio brut'!E264</f>
        <v>35 à 49 ans</v>
      </c>
      <c r="H264" s="191">
        <f>'1_BD questio brut'!F264</f>
        <v>4</v>
      </c>
      <c r="I264" s="191" t="str">
        <f>'1_BD questio brut'!G264</f>
        <v>Pas de réponse</v>
      </c>
      <c r="J264" s="191" t="str">
        <f t="array" ref="J264">INDEX('Données 1_BD questio'!C:C,MATCH('1_BD questio brut'!$H$1&amp;'1_BD questio brut'!H264,'Données 1_BD questio'!A:A&amp;'Données 1_BD questio'!B:B,0))</f>
        <v>Maison avec jardin</v>
      </c>
      <c r="K264" s="191">
        <f>'1_BD questio brut'!I264</f>
        <v>145</v>
      </c>
      <c r="L264" s="191" t="str">
        <f>'1_BD questio brut'!J264</f>
        <v>1990-2005</v>
      </c>
      <c r="M264" s="191" t="str">
        <f>'1_BD questio brut'!K264</f>
        <v>6</v>
      </c>
      <c r="N264" s="191" t="str">
        <f>'1_BD questio brut'!L264</f>
        <v>Pas de réponse</v>
      </c>
      <c r="O264" s="191" t="str">
        <f>'1_BD questio brut'!M264</f>
        <v>Propriétaire occupant</v>
      </c>
      <c r="P264" s="191" t="str">
        <f>'1_BD questio brut'!N264</f>
        <v>Poêle</v>
      </c>
      <c r="Q264" s="191" t="str">
        <f>'1_BD questio brut'!O264</f>
        <v>Chauffage de base</v>
      </c>
      <c r="R264" s="191" t="str">
        <f>'1_BD questio brut'!P264</f>
        <v>Tous les jours</v>
      </c>
      <c r="S264" s="191" t="str">
        <f>'1_BD questio brut'!Q264</f>
        <v>1; 2; 3; 4; 5; 6</v>
      </c>
      <c r="T264" s="191" t="str">
        <f>'1_BD questio brut'!R264</f>
        <v>1996-2002</v>
      </c>
      <c r="U264" s="191" t="str">
        <f>'1_BD questio brut'!S264</f>
        <v>Bois bûche</v>
      </c>
      <c r="V264" s="191" t="str">
        <f>'1_BD questio brut'!T264</f>
        <v/>
      </c>
      <c r="W264" s="191" t="str">
        <f>'1_BD questio brut'!U264</f>
        <v>9</v>
      </c>
      <c r="X264" s="191" t="str">
        <f>'1_BD questio brut'!V264</f>
        <v>STERES</v>
      </c>
      <c r="Y264" s="191" t="str">
        <f>'1_BD questio brut'!W264</f>
        <v>2</v>
      </c>
      <c r="Z264" s="191" t="str">
        <f>'1_BD questio brut'!X264</f>
        <v/>
      </c>
      <c r="AA264" s="191" t="str">
        <f t="array" ref="AA264">INDEX('Données 1_BD questio'!C:C,MATCH('1_BD questio brut'!$Y$1&amp;'1_BD questio brut'!Y264,'Données 1_BD questio'!A:A&amp;'Données 1_BD questio'!B:B,0))</f>
        <v>Rhône-Alpes hors RA2B</v>
      </c>
      <c r="AB264" s="191" t="str">
        <f>'1_BD questio brut'!Z264</f>
        <v>2</v>
      </c>
      <c r="AC264" s="191" t="str">
        <f>'1_BD questio brut'!AA264</f>
        <v>&gt; 2 ans</v>
      </c>
      <c r="AD264" s="191" t="str">
        <f>'1_BD questio brut'!AB264</f>
        <v>Feuillus</v>
      </c>
      <c r="AE264" s="191" t="str">
        <f t="array" ref="AE264">INDEX('Données 1_BD questio'!C:C,MATCH('1_BD questio brut'!$AC$1&amp;'1_BD questio brut'!AC264,'Données 1_BD questio'!A:A&amp;'Données 1_BD questio'!B:B,0))</f>
        <v>un professionnel</v>
      </c>
      <c r="AF264" s="191" t="str">
        <f>'1_BD questio brut'!AD264</f>
        <v>1 fois par an</v>
      </c>
      <c r="AG264" s="191" t="str">
        <f>'1_BD questio brut'!AE264</f>
        <v/>
      </c>
      <c r="AH264" s="191" t="str">
        <f>'1_BD questio brut'!AF264</f>
        <v>Insert cheminée</v>
      </c>
      <c r="AI264" s="191" t="str">
        <f>'1_BD questio brut'!AG264</f>
        <v>1</v>
      </c>
      <c r="AJ264" s="191" t="str">
        <f>'1_BD questio brut'!AH264</f>
        <v/>
      </c>
      <c r="AK264" s="191" t="str">
        <f>'1_BD questio brut'!AI264</f>
        <v>Chauffage de base</v>
      </c>
      <c r="AL264" s="191" t="str">
        <f>'1_BD questio brut'!AJ264</f>
        <v>Pas de réponse</v>
      </c>
      <c r="AM264" s="191" t="str">
        <f>'1_BD questio brut'!AK264</f>
        <v>1; 2; 4; 5</v>
      </c>
      <c r="AN264" s="191" t="str">
        <f>'1_BD questio brut'!AL264</f>
        <v/>
      </c>
      <c r="AO264" s="191" t="str">
        <f>'1_BD questio brut'!AM264</f>
        <v>1</v>
      </c>
      <c r="AP264" s="191" t="str">
        <f>'1_BD questio brut'!AN264</f>
        <v/>
      </c>
      <c r="AQ264" s="191" t="str">
        <f>'1_BD questio brut'!AO264</f>
        <v/>
      </c>
    </row>
    <row r="265" spans="1:43" ht="43.5" hidden="1">
      <c r="A265" s="98">
        <f>INDEX('3_BD instruction total'!A:A,MATCH(C265,'3_BD instruction total'!F:F,0))</f>
        <v>2021</v>
      </c>
      <c r="B265" s="98" t="str">
        <f>INDEX('3_BD instruction total'!C:C,MATCH(C265,'3_BD instruction total'!F:F,0))</f>
        <v>non</v>
      </c>
      <c r="C265" s="191" t="str">
        <f>'1_BD questio brut'!A265</f>
        <v>VRB0277</v>
      </c>
      <c r="D265" s="191" t="str">
        <f t="array" ref="D265">INDEX('Données 1_BD questio'!C:C,MATCH('1_BD questio brut'!$B$1&amp;'1_BD questio brut'!B265,'Données 1_BD questio'!A:A&amp;'Données 1_BD questio'!B:B,0))</f>
        <v>CAPV</v>
      </c>
      <c r="E265" s="191" t="str">
        <f t="array" ref="E265">INDEX('Données 1_BD questio'!C:C,MATCH('1_BD questio brut'!$C$1&amp;'1_BD questio brut'!C265,'Données 1_BD questio'!A:A&amp;'Données 1_BD questio'!B:B,0))</f>
        <v>Autre,sans activité</v>
      </c>
      <c r="F265" s="191" t="str">
        <f t="array" ref="F265">INDEX('Données 1_BD questio'!C:C,MATCH('1_BD questio brut'!$D$1&amp;'1_BD questio brut'!D265,'Données 1_BD questio'!A:A&amp;'Données 1_BD questio'!B:B,0))</f>
        <v>Pas de réponse</v>
      </c>
      <c r="G265" s="191" t="str">
        <f>'1_BD questio brut'!E265</f>
        <v>50 à 64 ans</v>
      </c>
      <c r="H265" s="191">
        <f>'1_BD questio brut'!F265</f>
        <v>1</v>
      </c>
      <c r="I265" s="191" t="str">
        <f>'1_BD questio brut'!G265</f>
        <v>Pas de réponse</v>
      </c>
      <c r="J265" s="191" t="str">
        <f t="array" ref="J265">INDEX('Données 1_BD questio'!C:C,MATCH('1_BD questio brut'!$H$1&amp;'1_BD questio brut'!H265,'Données 1_BD questio'!A:A&amp;'Données 1_BD questio'!B:B,0))</f>
        <v>Maison avec jardin</v>
      </c>
      <c r="K265" s="191">
        <f>'1_BD questio brut'!I265</f>
        <v>100</v>
      </c>
      <c r="L265" s="191" t="str">
        <f>'1_BD questio brut'!J265</f>
        <v>1975-1990</v>
      </c>
      <c r="M265" s="191" t="str">
        <f>'1_BD questio brut'!K265</f>
        <v>1</v>
      </c>
      <c r="N265" s="191" t="str">
        <f>'1_BD questio brut'!L265</f>
        <v>Pas de réponse</v>
      </c>
      <c r="O265" s="191" t="str">
        <f>'1_BD questio brut'!M265</f>
        <v>Propriétaire occupant</v>
      </c>
      <c r="P265" s="191" t="str">
        <f>'1_BD questio brut'!N265</f>
        <v>Poêle</v>
      </c>
      <c r="Q265" s="191" t="str">
        <f>'1_BD questio brut'!O265</f>
        <v>Chauffage de base</v>
      </c>
      <c r="R265" s="191" t="str">
        <f>'1_BD questio brut'!P265</f>
        <v>Tous les jours</v>
      </c>
      <c r="S265" s="191" t="str">
        <f>'1_BD questio brut'!Q265</f>
        <v>1; 2; 3; 4; 5; 6</v>
      </c>
      <c r="T265" s="191" t="str">
        <f>'1_BD questio brut'!R265</f>
        <v>Avant 1990</v>
      </c>
      <c r="U265" s="191" t="str">
        <f>'1_BD questio brut'!S265</f>
        <v>Bois bûche</v>
      </c>
      <c r="V265" s="191" t="str">
        <f>'1_BD questio brut'!T265</f>
        <v/>
      </c>
      <c r="W265" s="191" t="str">
        <f>'1_BD questio brut'!U265</f>
        <v>14</v>
      </c>
      <c r="X265" s="191" t="str">
        <f>'1_BD questio brut'!V265</f>
        <v>STERES</v>
      </c>
      <c r="Y265" s="191" t="str">
        <f>'1_BD questio brut'!W265</f>
        <v>1; 2</v>
      </c>
      <c r="Z265" s="191" t="str">
        <f>'1_BD questio brut'!X265</f>
        <v/>
      </c>
      <c r="AA265" s="191" t="str">
        <f t="array" ref="AA265">INDEX('Données 1_BD questio'!C:C,MATCH('1_BD questio brut'!$Y$1&amp;'1_BD questio brut'!Y265,'Données 1_BD questio'!A:A&amp;'Données 1_BD questio'!B:B,0))</f>
        <v>Rhône-Alpes hors RA2B</v>
      </c>
      <c r="AB265" s="191" t="str">
        <f>'1_BD questio brut'!Z265</f>
        <v>1</v>
      </c>
      <c r="AC265" s="191" t="str">
        <f>'1_BD questio brut'!AA265</f>
        <v>&gt; 2 ans</v>
      </c>
      <c r="AD265" s="191" t="str">
        <f>'1_BD questio brut'!AB265</f>
        <v>Ne sait pas</v>
      </c>
      <c r="AE265" s="191" t="str">
        <f t="array" ref="AE265">INDEX('Données 1_BD questio'!C:C,MATCH('1_BD questio brut'!$AC$1&amp;'1_BD questio brut'!AC265,'Données 1_BD questio'!A:A&amp;'Données 1_BD questio'!B:B,0))</f>
        <v>un professionnel</v>
      </c>
      <c r="AF265" s="191" t="str">
        <f>'1_BD questio brut'!AD265</f>
        <v>1 fois par an</v>
      </c>
      <c r="AG265" s="191" t="str">
        <f>'1_BD questio brut'!AE265</f>
        <v/>
      </c>
      <c r="AH265" s="191" t="str">
        <f>'1_BD questio brut'!AF265</f>
        <v>Poêle</v>
      </c>
      <c r="AI265" s="191" t="str">
        <f>'1_BD questio brut'!AG265</f>
        <v>1</v>
      </c>
      <c r="AJ265" s="191" t="str">
        <f>'1_BD questio brut'!AH265</f>
        <v/>
      </c>
      <c r="AK265" s="191" t="str">
        <f>'1_BD questio brut'!AI265</f>
        <v>Chauffage de base</v>
      </c>
      <c r="AL265" s="191" t="str">
        <f>'1_BD questio brut'!AJ265</f>
        <v>Pas de réponse</v>
      </c>
      <c r="AM265" s="191" t="str">
        <f>'1_BD questio brut'!AK265</f>
        <v>1; 2; 5</v>
      </c>
      <c r="AN265" s="191" t="str">
        <f>'1_BD questio brut'!AL265</f>
        <v/>
      </c>
      <c r="AO265" s="191" t="str">
        <f>'1_BD questio brut'!AM265</f>
        <v>5</v>
      </c>
      <c r="AP265" s="191" t="str">
        <f>'1_BD questio brut'!AN265</f>
        <v/>
      </c>
      <c r="AQ265" s="191" t="str">
        <f>'1_BD questio brut'!AO265</f>
        <v/>
      </c>
    </row>
    <row r="266" spans="1:43" ht="43.5" hidden="1">
      <c r="A266" s="98">
        <f>INDEX('3_BD instruction total'!A:A,MATCH(C266,'3_BD instruction total'!F:F,0))</f>
        <v>2021</v>
      </c>
      <c r="B266" s="98" t="str">
        <f>INDEX('3_BD instruction total'!C:C,MATCH(C266,'3_BD instruction total'!F:F,0))</f>
        <v>non</v>
      </c>
      <c r="C266" s="191" t="str">
        <f>'1_BD questio brut'!A266</f>
        <v>VRB0278</v>
      </c>
      <c r="D266" s="191" t="str">
        <f t="array" ref="D266">INDEX('Données 1_BD questio'!C:C,MATCH('1_BD questio brut'!$B$1&amp;'1_BD questio brut'!B266,'Données 1_BD questio'!A:A&amp;'Données 1_BD questio'!B:B,0))</f>
        <v>CAPV</v>
      </c>
      <c r="E266" s="191" t="str">
        <f t="array" ref="E266">INDEX('Données 1_BD questio'!C:C,MATCH('1_BD questio brut'!$C$1&amp;'1_BD questio brut'!C266,'Données 1_BD questio'!A:A&amp;'Données 1_BD questio'!B:B,0))</f>
        <v>Retraité</v>
      </c>
      <c r="F266" s="191" t="str">
        <f t="array" ref="F266">INDEX('Données 1_BD questio'!C:C,MATCH('1_BD questio brut'!$D$1&amp;'1_BD questio brut'!D266,'Données 1_BD questio'!A:A&amp;'Données 1_BD questio'!B:B,0))</f>
        <v>Pas de réponse</v>
      </c>
      <c r="G266" s="191" t="str">
        <f>'1_BD questio brut'!E266</f>
        <v>50 à 64 ans</v>
      </c>
      <c r="H266" s="191">
        <f>'1_BD questio brut'!F266</f>
        <v>2</v>
      </c>
      <c r="I266" s="191" t="str">
        <f>'1_BD questio brut'!G266</f>
        <v>Pas de réponse</v>
      </c>
      <c r="J266" s="191" t="str">
        <f t="array" ref="J266">INDEX('Données 1_BD questio'!C:C,MATCH('1_BD questio brut'!$H$1&amp;'1_BD questio brut'!H266,'Données 1_BD questio'!A:A&amp;'Données 1_BD questio'!B:B,0))</f>
        <v>Maison avec jardin</v>
      </c>
      <c r="K266" s="191">
        <f>'1_BD questio brut'!I266</f>
        <v>90</v>
      </c>
      <c r="L266" s="191" t="str">
        <f>'1_BD questio brut'!J266</f>
        <v>Avant 1949</v>
      </c>
      <c r="M266" s="191" t="str">
        <f>'1_BD questio brut'!K266</f>
        <v>4</v>
      </c>
      <c r="N266" s="191" t="str">
        <f>'1_BD questio brut'!L266</f>
        <v>Ne sait pas</v>
      </c>
      <c r="O266" s="191" t="str">
        <f>'1_BD questio brut'!M266</f>
        <v>Propriétaire occupant</v>
      </c>
      <c r="P266" s="191" t="str">
        <f>'1_BD questio brut'!N266</f>
        <v>Insert / foyer fermé</v>
      </c>
      <c r="Q266" s="191" t="str">
        <f>'1_BD questio brut'!O266</f>
        <v>Chauffage d'apoint</v>
      </c>
      <c r="R266" s="191" t="str">
        <f>'1_BD questio brut'!P266</f>
        <v>Tous les jours</v>
      </c>
      <c r="S266" s="191" t="str">
        <f>'1_BD questio brut'!Q266</f>
        <v>2</v>
      </c>
      <c r="T266" s="191" t="str">
        <f>'1_BD questio brut'!R266</f>
        <v>1996-2002</v>
      </c>
      <c r="U266" s="191" t="str">
        <f>'1_BD questio brut'!S266</f>
        <v>Bois bûche</v>
      </c>
      <c r="V266" s="191" t="str">
        <f>'1_BD questio brut'!T266</f>
        <v/>
      </c>
      <c r="W266" s="191" t="str">
        <f>'1_BD questio brut'!U266</f>
        <v>6</v>
      </c>
      <c r="X266" s="191" t="str">
        <f>'1_BD questio brut'!V266</f>
        <v>STERES</v>
      </c>
      <c r="Y266" s="191" t="str">
        <f>'1_BD questio brut'!W266</f>
        <v>2</v>
      </c>
      <c r="Z266" s="191" t="str">
        <f>'1_BD questio brut'!X266</f>
        <v/>
      </c>
      <c r="AA266" s="191" t="str">
        <f t="array" ref="AA266">INDEX('Données 1_BD questio'!C:C,MATCH('1_BD questio brut'!$Y$1&amp;'1_BD questio brut'!Y266,'Données 1_BD questio'!A:A&amp;'Données 1_BD questio'!B:B,0))</f>
        <v>RA2B</v>
      </c>
      <c r="AB266" s="191" t="str">
        <f>'1_BD questio brut'!Z266</f>
        <v>1</v>
      </c>
      <c r="AC266" s="191" t="str">
        <f>'1_BD questio brut'!AA266</f>
        <v>&gt; 2 ans</v>
      </c>
      <c r="AD266" s="191" t="str">
        <f>'1_BD questio brut'!AB266</f>
        <v>Feuillus</v>
      </c>
      <c r="AE266" s="191" t="str">
        <f t="array" ref="AE266">INDEX('Données 1_BD questio'!C:C,MATCH('1_BD questio brut'!$AC$1&amp;'1_BD questio brut'!AC266,'Données 1_BD questio'!A:A&amp;'Données 1_BD questio'!B:B,0))</f>
        <v>un professionnel</v>
      </c>
      <c r="AF266" s="191" t="str">
        <f>'1_BD questio brut'!AD266</f>
        <v>1 fois par an</v>
      </c>
      <c r="AG266" s="191" t="str">
        <f>'1_BD questio brut'!AE266</f>
        <v/>
      </c>
      <c r="AH266" s="191" t="str">
        <f>'1_BD questio brut'!AF266</f>
        <v>poêle de masse</v>
      </c>
      <c r="AI266" s="191" t="str">
        <f>'1_BD questio brut'!AG266</f>
        <v>1</v>
      </c>
      <c r="AJ266" s="191" t="str">
        <f>'1_BD questio brut'!AH266</f>
        <v/>
      </c>
      <c r="AK266" s="191" t="str">
        <f>'1_BD questio brut'!AI266</f>
        <v>Chauffage d'appoint</v>
      </c>
      <c r="AL266" s="191" t="str">
        <f>'1_BD questio brut'!AJ266</f>
        <v>Pas de réponse</v>
      </c>
      <c r="AM266" s="191" t="str">
        <f>'1_BD questio brut'!AK266</f>
        <v>2; 4; 5</v>
      </c>
      <c r="AN266" s="191" t="str">
        <f>'1_BD questio brut'!AL266</f>
        <v/>
      </c>
      <c r="AO266" s="191" t="str">
        <f>'1_BD questio brut'!AM266</f>
        <v>5</v>
      </c>
      <c r="AP266" s="191" t="str">
        <f>'1_BD questio brut'!AN266</f>
        <v/>
      </c>
      <c r="AQ266" s="191" t="str">
        <f>'1_BD questio brut'!AO266</f>
        <v/>
      </c>
    </row>
    <row r="267" spans="1:43" ht="29" hidden="1">
      <c r="A267" s="98">
        <f>INDEX('3_BD instruction total'!A:A,MATCH(C267,'3_BD instruction total'!F:F,0))</f>
        <v>2021</v>
      </c>
      <c r="B267" s="98" t="str">
        <f>INDEX('3_BD instruction total'!C:C,MATCH(C267,'3_BD instruction total'!F:F,0))</f>
        <v>non</v>
      </c>
      <c r="C267" s="191" t="str">
        <f>'1_BD questio brut'!A267</f>
        <v>VRB0279</v>
      </c>
      <c r="D267" s="191" t="str">
        <f t="array" ref="D267">INDEX('Données 1_BD questio'!C:C,MATCH('1_BD questio brut'!$B$1&amp;'1_BD questio brut'!B267,'Données 1_BD questio'!A:A&amp;'Données 1_BD questio'!B:B,0))</f>
        <v>CAPV</v>
      </c>
      <c r="E267" s="191" t="str">
        <f t="array" ref="E267">INDEX('Données 1_BD questio'!C:C,MATCH('1_BD questio brut'!$C$1&amp;'1_BD questio brut'!C267,'Données 1_BD questio'!A:A&amp;'Données 1_BD questio'!B:B,0))</f>
        <v>Retraité</v>
      </c>
      <c r="F267" s="191" t="str">
        <f t="array" ref="F267">INDEX('Données 1_BD questio'!C:C,MATCH('1_BD questio brut'!$D$1&amp;'1_BD questio brut'!D267,'Données 1_BD questio'!A:A&amp;'Données 1_BD questio'!B:B,0))</f>
        <v>Retraité</v>
      </c>
      <c r="G267" s="191" t="str">
        <f>'1_BD questio brut'!E267</f>
        <v>65 ans et plus</v>
      </c>
      <c r="H267" s="191">
        <f>'1_BD questio brut'!F267</f>
        <v>2</v>
      </c>
      <c r="I267" s="191" t="str">
        <f>'1_BD questio brut'!G267</f>
        <v>Pas de réponse</v>
      </c>
      <c r="J267" s="191" t="str">
        <f t="array" ref="J267">INDEX('Données 1_BD questio'!C:C,MATCH('1_BD questio brut'!$H$1&amp;'1_BD questio brut'!H267,'Données 1_BD questio'!A:A&amp;'Données 1_BD questio'!B:B,0))</f>
        <v>Maison avec jardin</v>
      </c>
      <c r="K267" s="191">
        <f>'1_BD questio brut'!I267</f>
        <v>120</v>
      </c>
      <c r="L267" s="191" t="str">
        <f>'1_BD questio brut'!J267</f>
        <v>1949-1975</v>
      </c>
      <c r="M267" s="191" t="str">
        <f>'1_BD questio brut'!K267</f>
        <v>1; 4</v>
      </c>
      <c r="N267" s="191" t="str">
        <f>'1_BD questio brut'!L267</f>
        <v>Pas de réponse</v>
      </c>
      <c r="O267" s="191" t="str">
        <f>'1_BD questio brut'!M267</f>
        <v>Propriétaire occupant</v>
      </c>
      <c r="P267" s="191" t="str">
        <f>'1_BD questio brut'!N267</f>
        <v>Insert / foyer fermé</v>
      </c>
      <c r="Q267" s="191" t="str">
        <f>'1_BD questio brut'!O267</f>
        <v>Chauffage d'apoint</v>
      </c>
      <c r="R267" s="191" t="str">
        <f>'1_BD questio brut'!P267</f>
        <v>Tous les jours</v>
      </c>
      <c r="S267" s="191" t="str">
        <f>'1_BD questio brut'!Q267</f>
        <v>1; 2; 4; 5</v>
      </c>
      <c r="T267" s="191" t="str">
        <f>'1_BD questio brut'!R267</f>
        <v>Avant 1990</v>
      </c>
      <c r="U267" s="191" t="str">
        <f>'1_BD questio brut'!S267</f>
        <v>Bois bûche</v>
      </c>
      <c r="V267" s="191" t="str">
        <f>'1_BD questio brut'!T267</f>
        <v/>
      </c>
      <c r="W267" s="191" t="str">
        <f>'1_BD questio brut'!U267</f>
        <v>10</v>
      </c>
      <c r="X267" s="191" t="str">
        <f>'1_BD questio brut'!V267</f>
        <v>STERES</v>
      </c>
      <c r="Y267" s="191" t="str">
        <f>'1_BD questio brut'!W267</f>
        <v>1</v>
      </c>
      <c r="Z267" s="191" t="str">
        <f>'1_BD questio brut'!X267</f>
        <v/>
      </c>
      <c r="AA267" s="191" t="str">
        <f t="array" ref="AA267">INDEX('Données 1_BD questio'!C:C,MATCH('1_BD questio brut'!$Y$1&amp;'1_BD questio brut'!Y267,'Données 1_BD questio'!A:A&amp;'Données 1_BD questio'!B:B,0))</f>
        <v>France hors Rhône-Alpes</v>
      </c>
      <c r="AB267" s="191" t="str">
        <f>'1_BD questio brut'!Z267</f>
        <v>2</v>
      </c>
      <c r="AC267" s="191" t="str">
        <f>'1_BD questio brut'!AA267</f>
        <v>&gt; 2 ans</v>
      </c>
      <c r="AD267" s="191" t="str">
        <f>'1_BD questio brut'!AB267</f>
        <v>Feuillus</v>
      </c>
      <c r="AE267" s="191" t="str">
        <f t="array" ref="AE267">INDEX('Données 1_BD questio'!C:C,MATCH('1_BD questio brut'!$AC$1&amp;'1_BD questio brut'!AC267,'Données 1_BD questio'!A:A&amp;'Données 1_BD questio'!B:B,0))</f>
        <v>vous-même</v>
      </c>
      <c r="AF267" s="191" t="str">
        <f>'1_BD questio brut'!AD267</f>
        <v>2 fois par an</v>
      </c>
      <c r="AG267" s="191" t="str">
        <f>'1_BD questio brut'!AE267</f>
        <v/>
      </c>
      <c r="AH267" s="191" t="str">
        <f>'1_BD questio brut'!AF267</f>
        <v>Poêle</v>
      </c>
      <c r="AI267" s="191" t="str">
        <f>'1_BD questio brut'!AG267</f>
        <v>2</v>
      </c>
      <c r="AJ267" s="191" t="str">
        <f>'1_BD questio brut'!AH267</f>
        <v/>
      </c>
      <c r="AK267" s="191" t="str">
        <f>'1_BD questio brut'!AI267</f>
        <v>Chauffage de base</v>
      </c>
      <c r="AL267" s="191" t="str">
        <f>'1_BD questio brut'!AJ267</f>
        <v>Pas de réponse</v>
      </c>
      <c r="AM267" s="191" t="str">
        <f>'1_BD questio brut'!AK267</f>
        <v>4; 5</v>
      </c>
      <c r="AN267" s="191" t="str">
        <f>'1_BD questio brut'!AL267</f>
        <v/>
      </c>
      <c r="AO267" s="191" t="str">
        <f>'1_BD questio brut'!AM267</f>
        <v>5</v>
      </c>
      <c r="AP267" s="191" t="str">
        <f>'1_BD questio brut'!AN267</f>
        <v/>
      </c>
      <c r="AQ267" s="191" t="str">
        <f>'1_BD questio brut'!AO267</f>
        <v/>
      </c>
    </row>
    <row r="268" spans="1:43" ht="43.5" hidden="1">
      <c r="A268" s="98">
        <f>INDEX('3_BD instruction total'!A:A,MATCH(C268,'3_BD instruction total'!F:F,0))</f>
        <v>2021</v>
      </c>
      <c r="B268" s="98" t="str">
        <f>INDEX('3_BD instruction total'!C:C,MATCH(C268,'3_BD instruction total'!F:F,0))</f>
        <v>non</v>
      </c>
      <c r="C268" s="191" t="str">
        <f>'1_BD questio brut'!A268</f>
        <v>VRB0280</v>
      </c>
      <c r="D268" s="191" t="str">
        <f t="array" ref="D268">INDEX('Données 1_BD questio'!C:C,MATCH('1_BD questio brut'!$B$1&amp;'1_BD questio brut'!B268,'Données 1_BD questio'!A:A&amp;'Données 1_BD questio'!B:B,0))</f>
        <v>CAPV</v>
      </c>
      <c r="E268" s="191" t="str">
        <f t="array" ref="E268">INDEX('Données 1_BD questio'!C:C,MATCH('1_BD questio brut'!$C$1&amp;'1_BD questio brut'!C268,'Données 1_BD questio'!A:A&amp;'Données 1_BD questio'!B:B,0))</f>
        <v>Cadre</v>
      </c>
      <c r="F268" s="191" t="str">
        <f t="array" ref="F268">INDEX('Données 1_BD questio'!C:C,MATCH('1_BD questio brut'!$D$1&amp;'1_BD questio brut'!D268,'Données 1_BD questio'!A:A&amp;'Données 1_BD questio'!B:B,0))</f>
        <v>Employé</v>
      </c>
      <c r="G268" s="191" t="str">
        <f>'1_BD questio brut'!E268</f>
        <v>35 à 49 ans</v>
      </c>
      <c r="H268" s="191">
        <f>'1_BD questio brut'!F268</f>
        <v>5</v>
      </c>
      <c r="I268" s="191" t="str">
        <f>'1_BD questio brut'!G268</f>
        <v>Pas de réponse</v>
      </c>
      <c r="J268" s="191" t="str">
        <f t="array" ref="J268">INDEX('Données 1_BD questio'!C:C,MATCH('1_BD questio brut'!$H$1&amp;'1_BD questio brut'!H268,'Données 1_BD questio'!A:A&amp;'Données 1_BD questio'!B:B,0))</f>
        <v>Maison avec jardin</v>
      </c>
      <c r="K268" s="191">
        <f>'1_BD questio brut'!I268</f>
        <v>130</v>
      </c>
      <c r="L268" s="191" t="str">
        <f>'1_BD questio brut'!J268</f>
        <v>Avant 1949</v>
      </c>
      <c r="M268" s="191" t="str">
        <f>'1_BD questio brut'!K268</f>
        <v>1; 4</v>
      </c>
      <c r="N268" s="191" t="str">
        <f>'1_BD questio brut'!L268</f>
        <v>Pas de réponse</v>
      </c>
      <c r="O268" s="191" t="str">
        <f>'1_BD questio brut'!M268</f>
        <v>Propriétaire occupant</v>
      </c>
      <c r="P268" s="191" t="str">
        <f>'1_BD questio brut'!N268</f>
        <v>Insert / foyer fermé</v>
      </c>
      <c r="Q268" s="191" t="str">
        <f>'1_BD questio brut'!O268</f>
        <v>Chauffage d'apoint</v>
      </c>
      <c r="R268" s="191" t="str">
        <f>'1_BD questio brut'!P268</f>
        <v>Tous les jours</v>
      </c>
      <c r="S268" s="191" t="str">
        <f>'1_BD questio brut'!Q268</f>
        <v>2; 3; 6</v>
      </c>
      <c r="T268" s="191" t="str">
        <f>'1_BD questio brut'!R268</f>
        <v>1996-2002</v>
      </c>
      <c r="U268" s="191" t="str">
        <f>'1_BD questio brut'!S268</f>
        <v>Bois bûche</v>
      </c>
      <c r="V268" s="191" t="str">
        <f>'1_BD questio brut'!T268</f>
        <v/>
      </c>
      <c r="W268" s="191" t="str">
        <f>'1_BD questio brut'!U268</f>
        <v>12</v>
      </c>
      <c r="X268" s="191" t="str">
        <f>'1_BD questio brut'!V268</f>
        <v>50CM</v>
      </c>
      <c r="Y268" s="191" t="str">
        <f>'1_BD questio brut'!W268</f>
        <v>1</v>
      </c>
      <c r="Z268" s="191" t="str">
        <f>'1_BD questio brut'!X268</f>
        <v/>
      </c>
      <c r="AA268" s="191" t="str">
        <f t="array" ref="AA268">INDEX('Données 1_BD questio'!C:C,MATCH('1_BD questio brut'!$Y$1&amp;'1_BD questio brut'!Y268,'Données 1_BD questio'!A:A&amp;'Données 1_BD questio'!B:B,0))</f>
        <v>RA2B</v>
      </c>
      <c r="AB268" s="191" t="str">
        <f>'1_BD questio brut'!Z268</f>
        <v>1</v>
      </c>
      <c r="AC268" s="191" t="str">
        <f>'1_BD questio brut'!AA268</f>
        <v>1 à 2 ans</v>
      </c>
      <c r="AD268" s="191" t="str">
        <f>'1_BD questio brut'!AB268</f>
        <v>Les deux</v>
      </c>
      <c r="AE268" s="191" t="str">
        <f t="array" ref="AE268">INDEX('Données 1_BD questio'!C:C,MATCH('1_BD questio brut'!$AC$1&amp;'1_BD questio brut'!AC268,'Données 1_BD questio'!A:A&amp;'Données 1_BD questio'!B:B,0))</f>
        <v>un professionnel</v>
      </c>
      <c r="AF268" s="191" t="str">
        <f>'1_BD questio brut'!AD268</f>
        <v>1 fois par an</v>
      </c>
      <c r="AG268" s="191" t="str">
        <f>'1_BD questio brut'!AE268</f>
        <v/>
      </c>
      <c r="AH268" s="191" t="str">
        <f>'1_BD questio brut'!AF268</f>
        <v>Poêle</v>
      </c>
      <c r="AI268" s="191" t="str">
        <f>'1_BD questio brut'!AG268</f>
        <v>1</v>
      </c>
      <c r="AJ268" s="191" t="str">
        <f>'1_BD questio brut'!AH268</f>
        <v/>
      </c>
      <c r="AK268" s="191" t="str">
        <f>'1_BD questio brut'!AI268</f>
        <v>Chauffage d'appoint</v>
      </c>
      <c r="AL268" s="191" t="str">
        <f>'1_BD questio brut'!AJ268</f>
        <v>Pas de réponse</v>
      </c>
      <c r="AM268" s="191" t="str">
        <f>'1_BD questio brut'!AK268</f>
        <v>2; 4; 5</v>
      </c>
      <c r="AN268" s="191" t="str">
        <f>'1_BD questio brut'!AL268</f>
        <v/>
      </c>
      <c r="AO268" s="191" t="str">
        <f>'1_BD questio brut'!AM268</f>
        <v>5</v>
      </c>
      <c r="AP268" s="191" t="str">
        <f>'1_BD questio brut'!AN268</f>
        <v/>
      </c>
      <c r="AQ268" s="191" t="str">
        <f>'1_BD questio brut'!AO268</f>
        <v/>
      </c>
    </row>
    <row r="269" spans="1:43" ht="43.5" hidden="1">
      <c r="A269" s="98">
        <f>INDEX('3_BD instruction total'!A:A,MATCH(C269,'3_BD instruction total'!F:F,0))</f>
        <v>2021</v>
      </c>
      <c r="B269" s="98" t="str">
        <f>INDEX('3_BD instruction total'!C:C,MATCH(C269,'3_BD instruction total'!F:F,0))</f>
        <v>non</v>
      </c>
      <c r="C269" s="191" t="str">
        <f>'1_BD questio brut'!A269</f>
        <v>VRB0281</v>
      </c>
      <c r="D269" s="191" t="str">
        <f t="array" ref="D269">INDEX('Données 1_BD questio'!C:C,MATCH('1_BD questio brut'!$B$1&amp;'1_BD questio brut'!B269,'Données 1_BD questio'!A:A&amp;'Données 1_BD questio'!B:B,0))</f>
        <v>CAPV</v>
      </c>
      <c r="E269" s="191" t="str">
        <f t="array" ref="E269">INDEX('Données 1_BD questio'!C:C,MATCH('1_BD questio brut'!$C$1&amp;'1_BD questio brut'!C269,'Données 1_BD questio'!A:A&amp;'Données 1_BD questio'!B:B,0))</f>
        <v>Retraité</v>
      </c>
      <c r="F269" s="191" t="str">
        <f t="array" ref="F269">INDEX('Données 1_BD questio'!C:C,MATCH('1_BD questio brut'!$D$1&amp;'1_BD questio brut'!D269,'Données 1_BD questio'!A:A&amp;'Données 1_BD questio'!B:B,0))</f>
        <v>Retraité</v>
      </c>
      <c r="G269" s="191" t="str">
        <f>'1_BD questio brut'!E269</f>
        <v>65 ans et plus</v>
      </c>
      <c r="H269" s="191">
        <f>'1_BD questio brut'!F269</f>
        <v>2</v>
      </c>
      <c r="I269" s="191" t="str">
        <f>'1_BD questio brut'!G269</f>
        <v>Pas de réponse</v>
      </c>
      <c r="J269" s="191" t="str">
        <f t="array" ref="J269">INDEX('Données 1_BD questio'!C:C,MATCH('1_BD questio brut'!$H$1&amp;'1_BD questio brut'!H269,'Données 1_BD questio'!A:A&amp;'Données 1_BD questio'!B:B,0))</f>
        <v>Maison avec jardin</v>
      </c>
      <c r="K269" s="191">
        <f>'1_BD questio brut'!I269</f>
        <v>115</v>
      </c>
      <c r="L269" s="191" t="str">
        <f>'1_BD questio brut'!J269</f>
        <v>Avant 1949</v>
      </c>
      <c r="M269" s="191" t="str">
        <f>'1_BD questio brut'!K269</f>
        <v>4</v>
      </c>
      <c r="N269" s="191" t="str">
        <f>'1_BD questio brut'!L269</f>
        <v>Pas de réponse</v>
      </c>
      <c r="O269" s="191" t="str">
        <f>'1_BD questio brut'!M269</f>
        <v>Propriétaire occupant</v>
      </c>
      <c r="P269" s="191" t="str">
        <f>'1_BD questio brut'!N269</f>
        <v>Poêle</v>
      </c>
      <c r="Q269" s="191" t="str">
        <f>'1_BD questio brut'!O269</f>
        <v>Chauffage de base</v>
      </c>
      <c r="R269" s="191" t="str">
        <f>'1_BD questio brut'!P269</f>
        <v>Tous les jours</v>
      </c>
      <c r="S269" s="191" t="str">
        <f>'1_BD questio brut'!Q269</f>
        <v>1; 2; 3; 4; 5</v>
      </c>
      <c r="T269" s="191" t="str">
        <f>'1_BD questio brut'!R269</f>
        <v>1990-1995</v>
      </c>
      <c r="U269" s="191" t="str">
        <f>'1_BD questio brut'!S269</f>
        <v>Bois bûche</v>
      </c>
      <c r="V269" s="191" t="str">
        <f>'1_BD questio brut'!T269</f>
        <v/>
      </c>
      <c r="W269" s="191" t="str">
        <f>'1_BD questio brut'!U269</f>
        <v>20</v>
      </c>
      <c r="X269" s="191" t="str">
        <f>'1_BD questio brut'!V269</f>
        <v>14</v>
      </c>
      <c r="Y269" s="191" t="str">
        <f>'1_BD questio brut'!W269</f>
        <v>1</v>
      </c>
      <c r="Z269" s="191" t="str">
        <f>'1_BD questio brut'!X269</f>
        <v/>
      </c>
      <c r="AA269" s="191" t="str">
        <f t="array" ref="AA269">INDEX('Données 1_BD questio'!C:C,MATCH('1_BD questio brut'!$Y$1&amp;'1_BD questio brut'!Y269,'Données 1_BD questio'!A:A&amp;'Données 1_BD questio'!B:B,0))</f>
        <v>RA2B</v>
      </c>
      <c r="AB269" s="191" t="str">
        <f>'1_BD questio brut'!Z269</f>
        <v>2</v>
      </c>
      <c r="AC269" s="191" t="str">
        <f>'1_BD questio brut'!AA269</f>
        <v>1 à 2 ans</v>
      </c>
      <c r="AD269" s="191" t="str">
        <f>'1_BD questio brut'!AB269</f>
        <v>Feuillus</v>
      </c>
      <c r="AE269" s="191" t="str">
        <f t="array" ref="AE269">INDEX('Données 1_BD questio'!C:C,MATCH('1_BD questio brut'!$AC$1&amp;'1_BD questio brut'!AC269,'Données 1_BD questio'!A:A&amp;'Données 1_BD questio'!B:B,0))</f>
        <v>un professionnel</v>
      </c>
      <c r="AF269" s="191" t="str">
        <f>'1_BD questio brut'!AD269</f>
        <v>1 fois par an</v>
      </c>
      <c r="AG269" s="191" t="str">
        <f>'1_BD questio brut'!AE269</f>
        <v/>
      </c>
      <c r="AH269" s="191" t="str">
        <f>'1_BD questio brut'!AF269</f>
        <v>Poêle</v>
      </c>
      <c r="AI269" s="191" t="str">
        <f>'1_BD questio brut'!AG269</f>
        <v>2</v>
      </c>
      <c r="AJ269" s="191" t="str">
        <f>'1_BD questio brut'!AH269</f>
        <v/>
      </c>
      <c r="AK269" s="191" t="str">
        <f>'1_BD questio brut'!AI269</f>
        <v>Chauffage de base</v>
      </c>
      <c r="AL269" s="191" t="str">
        <f>'1_BD questio brut'!AJ269</f>
        <v>Pas de réponse</v>
      </c>
      <c r="AM269" s="191" t="str">
        <f>'1_BD questio brut'!AK269</f>
        <v>1; 2; 4; 5</v>
      </c>
      <c r="AN269" s="191" t="str">
        <f>'1_BD questio brut'!AL269</f>
        <v/>
      </c>
      <c r="AO269" s="191" t="str">
        <f>'1_BD questio brut'!AM269</f>
        <v>5</v>
      </c>
      <c r="AP269" s="191" t="str">
        <f>'1_BD questio brut'!AN269</f>
        <v/>
      </c>
      <c r="AQ269" s="191" t="str">
        <f>'1_BD questio brut'!AO269</f>
        <v/>
      </c>
    </row>
    <row r="270" spans="1:43" ht="43.5" hidden="1">
      <c r="A270" s="98">
        <f>INDEX('3_BD instruction total'!A:A,MATCH(C270,'3_BD instruction total'!F:F,0))</f>
        <v>2021</v>
      </c>
      <c r="B270" s="98" t="str">
        <f>INDEX('3_BD instruction total'!C:C,MATCH(C270,'3_BD instruction total'!F:F,0))</f>
        <v>non</v>
      </c>
      <c r="C270" s="191" t="str">
        <f>'1_BD questio brut'!A270</f>
        <v>VRB0282</v>
      </c>
      <c r="D270" s="191" t="str">
        <f t="array" ref="D270">INDEX('Données 1_BD questio'!C:C,MATCH('1_BD questio brut'!$B$1&amp;'1_BD questio brut'!B270,'Données 1_BD questio'!A:A&amp;'Données 1_BD questio'!B:B,0))</f>
        <v>CAPV</v>
      </c>
      <c r="E270" s="191" t="str">
        <f t="array" ref="E270">INDEX('Données 1_BD questio'!C:C,MATCH('1_BD questio brut'!$C$1&amp;'1_BD questio brut'!C270,'Données 1_BD questio'!A:A&amp;'Données 1_BD questio'!B:B,0))</f>
        <v>Employé</v>
      </c>
      <c r="F270" s="191" t="str">
        <f t="array" ref="F270">INDEX('Données 1_BD questio'!C:C,MATCH('1_BD questio brut'!$D$1&amp;'1_BD questio brut'!D270,'Données 1_BD questio'!A:A&amp;'Données 1_BD questio'!B:B,0))</f>
        <v>Employé</v>
      </c>
      <c r="G270" s="191" t="str">
        <f>'1_BD questio brut'!E270</f>
        <v>35 à 49 ans</v>
      </c>
      <c r="H270" s="191">
        <f>'1_BD questio brut'!F270</f>
        <v>4</v>
      </c>
      <c r="I270" s="191" t="str">
        <f>'1_BD questio brut'!G270</f>
        <v>Pas de réponse</v>
      </c>
      <c r="J270" s="191" t="str">
        <f t="array" ref="J270">INDEX('Données 1_BD questio'!C:C,MATCH('1_BD questio brut'!$H$1&amp;'1_BD questio brut'!H270,'Données 1_BD questio'!A:A&amp;'Données 1_BD questio'!B:B,0))</f>
        <v>Maison avec jardin</v>
      </c>
      <c r="K270" s="191">
        <f>'1_BD questio brut'!I270</f>
        <v>100</v>
      </c>
      <c r="L270" s="191" t="str">
        <f>'1_BD questio brut'!J270</f>
        <v>1949-1975</v>
      </c>
      <c r="M270" s="191" t="str">
        <f>'1_BD questio brut'!K270</f>
        <v>1</v>
      </c>
      <c r="N270" s="191" t="str">
        <f>'1_BD questio brut'!L270</f>
        <v>Pas de réponse</v>
      </c>
      <c r="O270" s="191" t="str">
        <f>'1_BD questio brut'!M270</f>
        <v>Propriétaire occupant</v>
      </c>
      <c r="P270" s="191" t="str">
        <f>'1_BD questio brut'!N270</f>
        <v>Poêle</v>
      </c>
      <c r="Q270" s="191" t="str">
        <f>'1_BD questio brut'!O270</f>
        <v>Chauffage d'apoint</v>
      </c>
      <c r="R270" s="191" t="str">
        <f>'1_BD questio brut'!P270</f>
        <v>Tous les jours</v>
      </c>
      <c r="S270" s="191" t="str">
        <f>'1_BD questio brut'!Q270</f>
        <v>2; 5; 6</v>
      </c>
      <c r="T270" s="191" t="str">
        <f>'1_BD questio brut'!R270</f>
        <v>1996-2002</v>
      </c>
      <c r="U270" s="191" t="str">
        <f>'1_BD questio brut'!S270</f>
        <v>Bois bûche</v>
      </c>
      <c r="V270" s="191" t="str">
        <f>'1_BD questio brut'!T270</f>
        <v/>
      </c>
      <c r="W270" s="191" t="str">
        <f>'1_BD questio brut'!U270</f>
        <v>6</v>
      </c>
      <c r="X270" s="191" t="str">
        <f>'1_BD questio brut'!V270</f>
        <v>STERES</v>
      </c>
      <c r="Y270" s="191" t="str">
        <f>'1_BD questio brut'!W270</f>
        <v>2</v>
      </c>
      <c r="Z270" s="191" t="str">
        <f>'1_BD questio brut'!X270</f>
        <v/>
      </c>
      <c r="AA270" s="191" t="str">
        <f t="array" ref="AA270">INDEX('Données 1_BD questio'!C:C,MATCH('1_BD questio brut'!$Y$1&amp;'1_BD questio brut'!Y270,'Données 1_BD questio'!A:A&amp;'Données 1_BD questio'!B:B,0))</f>
        <v>Ne sait pas</v>
      </c>
      <c r="AB270" s="191" t="str">
        <f>'1_BD questio brut'!Z270</f>
        <v>2</v>
      </c>
      <c r="AC270" s="191" t="str">
        <f>'1_BD questio brut'!AA270</f>
        <v>&lt; 1 an</v>
      </c>
      <c r="AD270" s="191" t="str">
        <f>'1_BD questio brut'!AB270</f>
        <v>Feuillus</v>
      </c>
      <c r="AE270" s="191" t="str">
        <f t="array" ref="AE270">INDEX('Données 1_BD questio'!C:C,MATCH('1_BD questio brut'!$AC$1&amp;'1_BD questio brut'!AC270,'Données 1_BD questio'!A:A&amp;'Données 1_BD questio'!B:B,0))</f>
        <v>un professionnel</v>
      </c>
      <c r="AF270" s="191" t="str">
        <f>'1_BD questio brut'!AD270</f>
        <v>1 fois par an</v>
      </c>
      <c r="AG270" s="191" t="str">
        <f>'1_BD questio brut'!AE270</f>
        <v/>
      </c>
      <c r="AH270" s="191" t="str">
        <f>'1_BD questio brut'!AF270</f>
        <v>Poêle</v>
      </c>
      <c r="AI270" s="191" t="str">
        <f>'1_BD questio brut'!AG270</f>
        <v>1</v>
      </c>
      <c r="AJ270" s="191" t="str">
        <f>'1_BD questio brut'!AH270</f>
        <v/>
      </c>
      <c r="AK270" s="191" t="str">
        <f>'1_BD questio brut'!AI270</f>
        <v>Chauffage de base</v>
      </c>
      <c r="AL270" s="191" t="str">
        <f>'1_BD questio brut'!AJ270</f>
        <v>Pas de réponse</v>
      </c>
      <c r="AM270" s="191" t="str">
        <f>'1_BD questio brut'!AK270</f>
        <v>2; 4; 5</v>
      </c>
      <c r="AN270" s="191" t="str">
        <f>'1_BD questio brut'!AL270</f>
        <v/>
      </c>
      <c r="AO270" s="191" t="str">
        <f>'1_BD questio brut'!AM270</f>
        <v>5</v>
      </c>
      <c r="AP270" s="191" t="str">
        <f>'1_BD questio brut'!AN270</f>
        <v/>
      </c>
      <c r="AQ270" s="191" t="str">
        <f>'1_BD questio brut'!AO270</f>
        <v/>
      </c>
    </row>
    <row r="271" spans="1:43" ht="29" hidden="1">
      <c r="A271" s="98">
        <f>INDEX('3_BD instruction total'!A:A,MATCH(C271,'3_BD instruction total'!F:F,0))</f>
        <v>2021</v>
      </c>
      <c r="B271" s="98" t="str">
        <f>INDEX('3_BD instruction total'!C:C,MATCH(C271,'3_BD instruction total'!F:F,0))</f>
        <v>non</v>
      </c>
      <c r="C271" s="191" t="str">
        <f>'1_BD questio brut'!A271</f>
        <v>VRB0283</v>
      </c>
      <c r="D271" s="191" t="str">
        <f t="array" ref="D271">INDEX('Données 1_BD questio'!C:C,MATCH('1_BD questio brut'!$B$1&amp;'1_BD questio brut'!B271,'Données 1_BD questio'!A:A&amp;'Données 1_BD questio'!B:B,0))</f>
        <v>CAPV</v>
      </c>
      <c r="E271" s="191" t="str">
        <f t="array" ref="E271">INDEX('Données 1_BD questio'!C:C,MATCH('1_BD questio brut'!$C$1&amp;'1_BD questio brut'!C271,'Données 1_BD questio'!A:A&amp;'Données 1_BD questio'!B:B,0))</f>
        <v>Retraité</v>
      </c>
      <c r="F271" s="191" t="str">
        <f t="array" ref="F271">INDEX('Données 1_BD questio'!C:C,MATCH('1_BD questio brut'!$D$1&amp;'1_BD questio brut'!D271,'Données 1_BD questio'!A:A&amp;'Données 1_BD questio'!B:B,0))</f>
        <v>Ouvrier</v>
      </c>
      <c r="G271" s="191" t="str">
        <f>'1_BD questio brut'!E271</f>
        <v>65 ans et plus</v>
      </c>
      <c r="H271" s="191">
        <f>'1_BD questio brut'!F271</f>
        <v>2</v>
      </c>
      <c r="I271" s="191" t="str">
        <f>'1_BD questio brut'!G271</f>
        <v>Pas de réponse</v>
      </c>
      <c r="J271" s="191" t="str">
        <f t="array" ref="J271">INDEX('Données 1_BD questio'!C:C,MATCH('1_BD questio brut'!$H$1&amp;'1_BD questio brut'!H271,'Données 1_BD questio'!A:A&amp;'Données 1_BD questio'!B:B,0))</f>
        <v>Maison avec jardin</v>
      </c>
      <c r="K271" s="191">
        <f>'1_BD questio brut'!I271</f>
        <v>100</v>
      </c>
      <c r="L271" s="191" t="str">
        <f>'1_BD questio brut'!J271</f>
        <v>1975-1990</v>
      </c>
      <c r="M271" s="191" t="str">
        <f>'1_BD questio brut'!K271</f>
        <v>6</v>
      </c>
      <c r="N271" s="191" t="str">
        <f>'1_BD questio brut'!L271</f>
        <v>Pas de réponse</v>
      </c>
      <c r="O271" s="191" t="str">
        <f>'1_BD questio brut'!M271</f>
        <v>Propriétaire occupant</v>
      </c>
      <c r="P271" s="191" t="str">
        <f>'1_BD questio brut'!N271</f>
        <v>Poêle</v>
      </c>
      <c r="Q271" s="191" t="str">
        <f>'1_BD questio brut'!O271</f>
        <v>Chauffage de base</v>
      </c>
      <c r="R271" s="191" t="str">
        <f>'1_BD questio brut'!P271</f>
        <v>Tous les jours</v>
      </c>
      <c r="S271" s="191" t="str">
        <f>'1_BD questio brut'!Q271</f>
        <v>4</v>
      </c>
      <c r="T271" s="191" t="str">
        <f>'1_BD questio brut'!R271</f>
        <v>1996-2002</v>
      </c>
      <c r="U271" s="191" t="str">
        <f>'1_BD questio brut'!S271</f>
        <v>Bois bûche</v>
      </c>
      <c r="V271" s="191" t="str">
        <f>'1_BD questio brut'!T271</f>
        <v/>
      </c>
      <c r="W271" s="191" t="str">
        <f>'1_BD questio brut'!U271</f>
        <v>9</v>
      </c>
      <c r="X271" s="191" t="str">
        <f>'1_BD questio brut'!V271</f>
        <v/>
      </c>
      <c r="Y271" s="191" t="str">
        <f>'1_BD questio brut'!W271</f>
        <v>3</v>
      </c>
      <c r="Z271" s="191" t="str">
        <f>'1_BD questio brut'!X271</f>
        <v/>
      </c>
      <c r="AA271" s="191" t="str">
        <f t="array" ref="AA271">INDEX('Données 1_BD questio'!C:C,MATCH('1_BD questio brut'!$Y$1&amp;'1_BD questio brut'!Y271,'Données 1_BD questio'!A:A&amp;'Données 1_BD questio'!B:B,0))</f>
        <v>Ne sait pas</v>
      </c>
      <c r="AB271" s="191" t="str">
        <f>'1_BD questio brut'!Z271</f>
        <v>2</v>
      </c>
      <c r="AC271" s="191" t="str">
        <f>'1_BD questio brut'!AA271</f>
        <v>1 à 2 ans</v>
      </c>
      <c r="AD271" s="191" t="str">
        <f>'1_BD questio brut'!AB271</f>
        <v>Les deux</v>
      </c>
      <c r="AE271" s="191" t="str">
        <f t="array" ref="AE271">INDEX('Données 1_BD questio'!C:C,MATCH('1_BD questio brut'!$AC$1&amp;'1_BD questio brut'!AC271,'Données 1_BD questio'!A:A&amp;'Données 1_BD questio'!B:B,0))</f>
        <v>vous-même</v>
      </c>
      <c r="AF271" s="191" t="str">
        <f>'1_BD questio brut'!AD271</f>
        <v>2 fois par an</v>
      </c>
      <c r="AG271" s="191" t="str">
        <f>'1_BD questio brut'!AE271</f>
        <v/>
      </c>
      <c r="AH271" s="191" t="str">
        <f>'1_BD questio brut'!AF271</f>
        <v>Poêle</v>
      </c>
      <c r="AI271" s="191" t="str">
        <f>'1_BD questio brut'!AG271</f>
        <v>2</v>
      </c>
      <c r="AJ271" s="191" t="str">
        <f>'1_BD questio brut'!AH271</f>
        <v/>
      </c>
      <c r="AK271" s="191" t="str">
        <f>'1_BD questio brut'!AI271</f>
        <v>Chauffage de base</v>
      </c>
      <c r="AL271" s="191" t="str">
        <f>'1_BD questio brut'!AJ271</f>
        <v>Pas de réponse</v>
      </c>
      <c r="AM271" s="191" t="str">
        <f>'1_BD questio brut'!AK271</f>
        <v>1; 2; 4; 5</v>
      </c>
      <c r="AN271" s="191" t="str">
        <f>'1_BD questio brut'!AL271</f>
        <v/>
      </c>
      <c r="AO271" s="191" t="str">
        <f>'1_BD questio brut'!AM271</f>
        <v>5</v>
      </c>
      <c r="AP271" s="191" t="str">
        <f>'1_BD questio brut'!AN271</f>
        <v/>
      </c>
      <c r="AQ271" s="191" t="str">
        <f>'1_BD questio brut'!AO271</f>
        <v/>
      </c>
    </row>
    <row r="272" spans="1:43" ht="43.5" hidden="1">
      <c r="A272" s="98">
        <f>INDEX('3_BD instruction total'!A:A,MATCH(C272,'3_BD instruction total'!F:F,0))</f>
        <v>2021</v>
      </c>
      <c r="B272" s="98" t="str">
        <f>INDEX('3_BD instruction total'!C:C,MATCH(C272,'3_BD instruction total'!F:F,0))</f>
        <v>non</v>
      </c>
      <c r="C272" s="191" t="str">
        <f>'1_BD questio brut'!A272</f>
        <v>VRB0284</v>
      </c>
      <c r="D272" s="191" t="str">
        <f t="array" ref="D272">INDEX('Données 1_BD questio'!C:C,MATCH('1_BD questio brut'!$B$1&amp;'1_BD questio brut'!B272,'Données 1_BD questio'!A:A&amp;'Données 1_BD questio'!B:B,0))</f>
        <v>CAPV</v>
      </c>
      <c r="E272" s="191" t="str">
        <f t="array" ref="E272">INDEX('Données 1_BD questio'!C:C,MATCH('1_BD questio brut'!$C$1&amp;'1_BD questio brut'!C272,'Données 1_BD questio'!A:A&amp;'Données 1_BD questio'!B:B,0))</f>
        <v>Retraité</v>
      </c>
      <c r="F272" s="191" t="str">
        <f t="array" ref="F272">INDEX('Données 1_BD questio'!C:C,MATCH('1_BD questio brut'!$D$1&amp;'1_BD questio brut'!D272,'Données 1_BD questio'!A:A&amp;'Données 1_BD questio'!B:B,0))</f>
        <v>Retraité</v>
      </c>
      <c r="G272" s="191" t="str">
        <f>'1_BD questio brut'!E272</f>
        <v>50 à 64 ans</v>
      </c>
      <c r="H272" s="191">
        <f>'1_BD questio brut'!F272</f>
        <v>2</v>
      </c>
      <c r="I272" s="191" t="str">
        <f>'1_BD questio brut'!G272</f>
        <v>Pas de réponse</v>
      </c>
      <c r="J272" s="191" t="str">
        <f t="array" ref="J272">INDEX('Données 1_BD questio'!C:C,MATCH('1_BD questio brut'!$H$1&amp;'1_BD questio brut'!H272,'Données 1_BD questio'!A:A&amp;'Données 1_BD questio'!B:B,0))</f>
        <v>Maison avec jardin</v>
      </c>
      <c r="K272" s="191">
        <f>'1_BD questio brut'!I272</f>
        <v>90</v>
      </c>
      <c r="L272" s="191" t="str">
        <f>'1_BD questio brut'!J272</f>
        <v>1975-1990</v>
      </c>
      <c r="M272" s="191" t="str">
        <f>'1_BD questio brut'!K272</f>
        <v>1; 4</v>
      </c>
      <c r="N272" s="191" t="str">
        <f>'1_BD questio brut'!L272</f>
        <v>Pas de réponse</v>
      </c>
      <c r="O272" s="191" t="str">
        <f>'1_BD questio brut'!M272</f>
        <v>Propriétaire occupant</v>
      </c>
      <c r="P272" s="191" t="str">
        <f>'1_BD questio brut'!N272</f>
        <v>Insert / foyer fermé</v>
      </c>
      <c r="Q272" s="191" t="str">
        <f>'1_BD questio brut'!O272</f>
        <v>Chauffage de base</v>
      </c>
      <c r="R272" s="191" t="str">
        <f>'1_BD questio brut'!P272</f>
        <v>Tous les jours</v>
      </c>
      <c r="S272" s="191" t="str">
        <f>'1_BD questio brut'!Q272</f>
        <v>4</v>
      </c>
      <c r="T272" s="191" t="str">
        <f>'1_BD questio brut'!R272</f>
        <v>Avant 1990</v>
      </c>
      <c r="U272" s="191" t="str">
        <f>'1_BD questio brut'!S272</f>
        <v>Bois bûche</v>
      </c>
      <c r="V272" s="191" t="str">
        <f>'1_BD questio brut'!T272</f>
        <v/>
      </c>
      <c r="W272" s="191" t="str">
        <f>'1_BD questio brut'!U272</f>
        <v>7</v>
      </c>
      <c r="X272" s="191" t="str">
        <f>'1_BD questio brut'!V272</f>
        <v>STERES</v>
      </c>
      <c r="Y272" s="191" t="str">
        <f>'1_BD questio brut'!W272</f>
        <v>2</v>
      </c>
      <c r="Z272" s="191" t="str">
        <f>'1_BD questio brut'!X272</f>
        <v/>
      </c>
      <c r="AA272" s="191" t="str">
        <f t="array" ref="AA272">INDEX('Données 1_BD questio'!C:C,MATCH('1_BD questio brut'!$Y$1&amp;'1_BD questio brut'!Y272,'Données 1_BD questio'!A:A&amp;'Données 1_BD questio'!B:B,0))</f>
        <v>Ne sait pas</v>
      </c>
      <c r="AB272" s="191" t="str">
        <f>'1_BD questio brut'!Z272</f>
        <v>2</v>
      </c>
      <c r="AC272" s="191" t="str">
        <f>'1_BD questio brut'!AA272</f>
        <v>&gt; 2 ans</v>
      </c>
      <c r="AD272" s="191" t="str">
        <f>'1_BD questio brut'!AB272</f>
        <v>Les deux</v>
      </c>
      <c r="AE272" s="191" t="str">
        <f t="array" ref="AE272">INDEX('Données 1_BD questio'!C:C,MATCH('1_BD questio brut'!$AC$1&amp;'1_BD questio brut'!AC272,'Données 1_BD questio'!A:A&amp;'Données 1_BD questio'!B:B,0))</f>
        <v>un professionnel</v>
      </c>
      <c r="AF272" s="191" t="str">
        <f>'1_BD questio brut'!AD272</f>
        <v>2 fois par an</v>
      </c>
      <c r="AG272" s="191" t="str">
        <f>'1_BD questio brut'!AE272</f>
        <v/>
      </c>
      <c r="AH272" s="191" t="str">
        <f>'1_BD questio brut'!AF272</f>
        <v>Poêle</v>
      </c>
      <c r="AI272" s="191" t="str">
        <f>'1_BD questio brut'!AG272</f>
        <v>2</v>
      </c>
      <c r="AJ272" s="191" t="str">
        <f>'1_BD questio brut'!AH272</f>
        <v/>
      </c>
      <c r="AK272" s="191" t="str">
        <f>'1_BD questio brut'!AI272</f>
        <v>Chauffage de base</v>
      </c>
      <c r="AL272" s="191" t="str">
        <f>'1_BD questio brut'!AJ272</f>
        <v>Pas de réponse</v>
      </c>
      <c r="AM272" s="191" t="str">
        <f>'1_BD questio brut'!AK272</f>
        <v>1; 4; 5</v>
      </c>
      <c r="AN272" s="191" t="str">
        <f>'1_BD questio brut'!AL272</f>
        <v/>
      </c>
      <c r="AO272" s="191" t="str">
        <f>'1_BD questio brut'!AM272</f>
        <v>2</v>
      </c>
      <c r="AP272" s="191" t="str">
        <f>'1_BD questio brut'!AN272</f>
        <v/>
      </c>
      <c r="AQ272" s="191" t="str">
        <f>'1_BD questio brut'!AO272</f>
        <v/>
      </c>
    </row>
    <row r="273" spans="1:43" ht="43.5" hidden="1">
      <c r="A273" s="98">
        <f>INDEX('3_BD instruction total'!A:A,MATCH(C273,'3_BD instruction total'!F:F,0))</f>
        <v>2021</v>
      </c>
      <c r="B273" s="98" t="str">
        <f>INDEX('3_BD instruction total'!C:C,MATCH(C273,'3_BD instruction total'!F:F,0))</f>
        <v>oui</v>
      </c>
      <c r="C273" s="191" t="str">
        <f>'1_BD questio brut'!A273</f>
        <v>VRB0285</v>
      </c>
      <c r="D273" s="191" t="str">
        <f t="array" ref="D273">INDEX('Données 1_BD questio'!C:C,MATCH('1_BD questio brut'!$B$1&amp;'1_BD questio brut'!B273,'Données 1_BD questio'!A:A&amp;'Données 1_BD questio'!B:B,0))</f>
        <v>CAPV</v>
      </c>
      <c r="E273" s="191" t="str">
        <f t="array" ref="E273">INDEX('Données 1_BD questio'!C:C,MATCH('1_BD questio brut'!$C$1&amp;'1_BD questio brut'!C273,'Données 1_BD questio'!A:A&amp;'Données 1_BD questio'!B:B,0))</f>
        <v>Artisan,commerçant,chef d'entreprise</v>
      </c>
      <c r="F273" s="191" t="str">
        <f t="array" ref="F273">INDEX('Données 1_BD questio'!C:C,MATCH('1_BD questio brut'!$D$1&amp;'1_BD questio brut'!D273,'Données 1_BD questio'!A:A&amp;'Données 1_BD questio'!B:B,0))</f>
        <v>Employé</v>
      </c>
      <c r="G273" s="191" t="str">
        <f>'1_BD questio brut'!E273</f>
        <v>50 à 64 ans</v>
      </c>
      <c r="H273" s="191">
        <f>'1_BD questio brut'!F273</f>
        <v>2</v>
      </c>
      <c r="I273" s="191" t="str">
        <f>'1_BD questio brut'!G273</f>
        <v>Pas de réponse</v>
      </c>
      <c r="J273" s="191" t="str">
        <f t="array" ref="J273">INDEX('Données 1_BD questio'!C:C,MATCH('1_BD questio brut'!$H$1&amp;'1_BD questio brut'!H273,'Données 1_BD questio'!A:A&amp;'Données 1_BD questio'!B:B,0))</f>
        <v>Maison avec jardin</v>
      </c>
      <c r="K273" s="191">
        <f>'1_BD questio brut'!I273</f>
        <v>120</v>
      </c>
      <c r="L273" s="191" t="str">
        <f>'1_BD questio brut'!J273</f>
        <v>Avant 1949</v>
      </c>
      <c r="M273" s="191" t="str">
        <f>'1_BD questio brut'!K273</f>
        <v>6</v>
      </c>
      <c r="N273" s="191" t="str">
        <f>'1_BD questio brut'!L273</f>
        <v>Pas de réponse</v>
      </c>
      <c r="O273" s="191" t="str">
        <f>'1_BD questio brut'!M273</f>
        <v>Propriétaire occupant</v>
      </c>
      <c r="P273" s="191" t="str">
        <f>'1_BD questio brut'!N273</f>
        <v>Insert / foyer fermé</v>
      </c>
      <c r="Q273" s="191" t="str">
        <f>'1_BD questio brut'!O273</f>
        <v>Chauffage d'apoint</v>
      </c>
      <c r="R273" s="191" t="str">
        <f>'1_BD questio brut'!P273</f>
        <v>3 à 4 jours/semaine</v>
      </c>
      <c r="S273" s="191" t="str">
        <f>'1_BD questio brut'!Q273</f>
        <v>2; 4; 6</v>
      </c>
      <c r="T273" s="191" t="str">
        <f>'1_BD questio brut'!R273</f>
        <v>1990-1995</v>
      </c>
      <c r="U273" s="191" t="str">
        <f>'1_BD questio brut'!S273</f>
        <v>Bois bûche</v>
      </c>
      <c r="V273" s="191" t="str">
        <f>'1_BD questio brut'!T273</f>
        <v/>
      </c>
      <c r="W273" s="191" t="str">
        <f>'1_BD questio brut'!U273</f>
        <v>5</v>
      </c>
      <c r="X273" s="191" t="str">
        <f>'1_BD questio brut'!V273</f>
        <v>STERES</v>
      </c>
      <c r="Y273" s="191" t="str">
        <f>'1_BD questio brut'!W273</f>
        <v>2</v>
      </c>
      <c r="Z273" s="191" t="str">
        <f>'1_BD questio brut'!X273</f>
        <v/>
      </c>
      <c r="AA273" s="191" t="str">
        <f t="array" ref="AA273">INDEX('Données 1_BD questio'!C:C,MATCH('1_BD questio brut'!$Y$1&amp;'1_BD questio brut'!Y273,'Données 1_BD questio'!A:A&amp;'Données 1_BD questio'!B:B,0))</f>
        <v>Rhône-Alpes hors RA2B</v>
      </c>
      <c r="AB273" s="191" t="str">
        <f>'1_BD questio brut'!Z273</f>
        <v>2</v>
      </c>
      <c r="AC273" s="191" t="str">
        <f>'1_BD questio brut'!AA273</f>
        <v>1 à 2 ans</v>
      </c>
      <c r="AD273" s="191" t="str">
        <f>'1_BD questio brut'!AB273</f>
        <v>Les deux</v>
      </c>
      <c r="AE273" s="191" t="str">
        <f t="array" ref="AE273">INDEX('Données 1_BD questio'!C:C,MATCH('1_BD questio brut'!$AC$1&amp;'1_BD questio brut'!AC273,'Données 1_BD questio'!A:A&amp;'Données 1_BD questio'!B:B,0))</f>
        <v>un professionnel</v>
      </c>
      <c r="AF273" s="191" t="str">
        <f>'1_BD questio brut'!AD273</f>
        <v>1 fois par an</v>
      </c>
      <c r="AG273" s="191" t="str">
        <f>'1_BD questio brut'!AE273</f>
        <v/>
      </c>
      <c r="AH273" s="191" t="str">
        <f>'1_BD questio brut'!AF273</f>
        <v>Poêle</v>
      </c>
      <c r="AI273" s="191" t="str">
        <f>'1_BD questio brut'!AG273</f>
        <v>1</v>
      </c>
      <c r="AJ273" s="191" t="str">
        <f>'1_BD questio brut'!AH273</f>
        <v/>
      </c>
      <c r="AK273" s="191" t="str">
        <f>'1_BD questio brut'!AI273</f>
        <v>Chauffage de base</v>
      </c>
      <c r="AL273" s="191" t="str">
        <f>'1_BD questio brut'!AJ273</f>
        <v>Pas de réponse</v>
      </c>
      <c r="AM273" s="191" t="str">
        <f>'1_BD questio brut'!AK273</f>
        <v>2; 4</v>
      </c>
      <c r="AN273" s="191" t="str">
        <f>'1_BD questio brut'!AL273</f>
        <v/>
      </c>
      <c r="AO273" s="191" t="str">
        <f>'1_BD questio brut'!AM273</f>
        <v>5</v>
      </c>
      <c r="AP273" s="191" t="str">
        <f>'1_BD questio brut'!AN273</f>
        <v/>
      </c>
      <c r="AQ273" s="191" t="str">
        <f>'1_BD questio brut'!AO273</f>
        <v/>
      </c>
    </row>
    <row r="274" spans="1:43" ht="29" hidden="1">
      <c r="A274" s="98">
        <f>INDEX('3_BD instruction total'!A:A,MATCH(C274,'3_BD instruction total'!F:F,0))</f>
        <v>2021</v>
      </c>
      <c r="B274" s="98" t="str">
        <f>INDEX('3_BD instruction total'!C:C,MATCH(C274,'3_BD instruction total'!F:F,0))</f>
        <v>non</v>
      </c>
      <c r="C274" s="191" t="str">
        <f>'1_BD questio brut'!A274</f>
        <v>VRB0286</v>
      </c>
      <c r="D274" s="191" t="str">
        <f t="array" ref="D274">INDEX('Données 1_BD questio'!C:C,MATCH('1_BD questio brut'!$B$1&amp;'1_BD questio brut'!B274,'Données 1_BD questio'!A:A&amp;'Données 1_BD questio'!B:B,0))</f>
        <v>CAPV</v>
      </c>
      <c r="E274" s="191" t="str">
        <f t="array" ref="E274">INDEX('Données 1_BD questio'!C:C,MATCH('1_BD questio brut'!$C$1&amp;'1_BD questio brut'!C274,'Données 1_BD questio'!A:A&amp;'Données 1_BD questio'!B:B,0))</f>
        <v>Employé</v>
      </c>
      <c r="F274" s="191" t="str">
        <f t="array" ref="F274">INDEX('Données 1_BD questio'!C:C,MATCH('1_BD questio brut'!$D$1&amp;'1_BD questio brut'!D274,'Données 1_BD questio'!A:A&amp;'Données 1_BD questio'!B:B,0))</f>
        <v>Employé</v>
      </c>
      <c r="G274" s="191" t="str">
        <f>'1_BD questio brut'!E274</f>
        <v>25 à 34 ans</v>
      </c>
      <c r="H274" s="191">
        <f>'1_BD questio brut'!F274</f>
        <v>3</v>
      </c>
      <c r="I274" s="191" t="str">
        <f>'1_BD questio brut'!G274</f>
        <v>Pas de réponse</v>
      </c>
      <c r="J274" s="191" t="str">
        <f t="array" ref="J274">INDEX('Données 1_BD questio'!C:C,MATCH('1_BD questio brut'!$H$1&amp;'1_BD questio brut'!H274,'Données 1_BD questio'!A:A&amp;'Données 1_BD questio'!B:B,0))</f>
        <v>Maison avec jardin</v>
      </c>
      <c r="K274" s="191">
        <f>'1_BD questio brut'!I274</f>
        <v>92</v>
      </c>
      <c r="L274" s="191" t="str">
        <f>'1_BD questio brut'!J274</f>
        <v>Avant 1949</v>
      </c>
      <c r="M274" s="191" t="str">
        <f>'1_BD questio brut'!K274</f>
        <v>6</v>
      </c>
      <c r="N274" s="191" t="str">
        <f>'1_BD questio brut'!L274</f>
        <v>Pas de réponse</v>
      </c>
      <c r="O274" s="191" t="str">
        <f>'1_BD questio brut'!M274</f>
        <v>Propriétaire occupant</v>
      </c>
      <c r="P274" s="191" t="str">
        <f>'1_BD questio brut'!N274</f>
        <v>Poêle</v>
      </c>
      <c r="Q274" s="191" t="str">
        <f>'1_BD questio brut'!O274</f>
        <v>Chauffage d'apoint</v>
      </c>
      <c r="R274" s="191" t="str">
        <f>'1_BD questio brut'!P274</f>
        <v>Tous les jours</v>
      </c>
      <c r="S274" s="191" t="str">
        <f>'1_BD questio brut'!Q274</f>
        <v>4; 6</v>
      </c>
      <c r="T274" s="191" t="str">
        <f>'1_BD questio brut'!R274</f>
        <v>Avant 1990</v>
      </c>
      <c r="U274" s="191" t="str">
        <f>'1_BD questio brut'!S274</f>
        <v>Bois bûche</v>
      </c>
      <c r="V274" s="191" t="str">
        <f>'1_BD questio brut'!T274</f>
        <v/>
      </c>
      <c r="W274" s="191" t="str">
        <f>'1_BD questio brut'!U274</f>
        <v>8</v>
      </c>
      <c r="X274" s="191" t="str">
        <f>'1_BD questio brut'!V274</f>
        <v>STERES</v>
      </c>
      <c r="Y274" s="191" t="str">
        <f>'1_BD questio brut'!W274</f>
        <v>1</v>
      </c>
      <c r="Z274" s="191" t="str">
        <f>'1_BD questio brut'!X274</f>
        <v/>
      </c>
      <c r="AA274" s="191" t="str">
        <f t="array" ref="AA274">INDEX('Données 1_BD questio'!C:C,MATCH('1_BD questio brut'!$Y$1&amp;'1_BD questio brut'!Y274,'Données 1_BD questio'!A:A&amp;'Données 1_BD questio'!B:B,0))</f>
        <v>Ne sait pas</v>
      </c>
      <c r="AB274" s="191" t="str">
        <f>'1_BD questio brut'!Z274</f>
        <v>2</v>
      </c>
      <c r="AC274" s="191" t="str">
        <f>'1_BD questio brut'!AA274</f>
        <v>&gt; 2 ans</v>
      </c>
      <c r="AD274" s="191" t="str">
        <f>'1_BD questio brut'!AB274</f>
        <v>Feuillus</v>
      </c>
      <c r="AE274" s="191" t="str">
        <f t="array" ref="AE274">INDEX('Données 1_BD questio'!C:C,MATCH('1_BD questio brut'!$AC$1&amp;'1_BD questio brut'!AC274,'Données 1_BD questio'!A:A&amp;'Données 1_BD questio'!B:B,0))</f>
        <v>vous-même</v>
      </c>
      <c r="AF274" s="191" t="str">
        <f>'1_BD questio brut'!AD274</f>
        <v>1 fois par an</v>
      </c>
      <c r="AG274" s="191" t="str">
        <f>'1_BD questio brut'!AE274</f>
        <v/>
      </c>
      <c r="AH274" s="191" t="str">
        <f>'1_BD questio brut'!AF274</f>
        <v>Insert cheminée</v>
      </c>
      <c r="AI274" s="191" t="str">
        <f>'1_BD questio brut'!AG274</f>
        <v>1</v>
      </c>
      <c r="AJ274" s="191" t="str">
        <f>'1_BD questio brut'!AH274</f>
        <v/>
      </c>
      <c r="AK274" s="191" t="str">
        <f>'1_BD questio brut'!AI274</f>
        <v>Chauffage d'appoint</v>
      </c>
      <c r="AL274" s="191" t="str">
        <f>'1_BD questio brut'!AJ274</f>
        <v>Pas de réponse</v>
      </c>
      <c r="AM274" s="191" t="str">
        <f>'1_BD questio brut'!AK274</f>
        <v>2</v>
      </c>
      <c r="AN274" s="191" t="str">
        <f>'1_BD questio brut'!AL274</f>
        <v/>
      </c>
      <c r="AO274" s="191" t="str">
        <f>'1_BD questio brut'!AM274</f>
        <v>7</v>
      </c>
      <c r="AP274" s="191" t="str">
        <f>'1_BD questio brut'!AN274</f>
        <v/>
      </c>
      <c r="AQ274" s="191" t="str">
        <f>'1_BD questio brut'!AO274</f>
        <v/>
      </c>
    </row>
    <row r="275" spans="1:43" ht="43.5" hidden="1">
      <c r="A275" s="98">
        <f>INDEX('3_BD instruction total'!A:A,MATCH(C275,'3_BD instruction total'!F:F,0))</f>
        <v>2021</v>
      </c>
      <c r="B275" s="98" t="str">
        <f>INDEX('3_BD instruction total'!C:C,MATCH(C275,'3_BD instruction total'!F:F,0))</f>
        <v>non</v>
      </c>
      <c r="C275" s="191" t="str">
        <f>'1_BD questio brut'!A275</f>
        <v>VRB0287</v>
      </c>
      <c r="D275" s="191" t="str">
        <f t="array" ref="D275">INDEX('Données 1_BD questio'!C:C,MATCH('1_BD questio brut'!$B$1&amp;'1_BD questio brut'!B275,'Données 1_BD questio'!A:A&amp;'Données 1_BD questio'!B:B,0))</f>
        <v>CAPV</v>
      </c>
      <c r="E275" s="191" t="str">
        <f t="array" ref="E275">INDEX('Données 1_BD questio'!C:C,MATCH('1_BD questio brut'!$C$1&amp;'1_BD questio brut'!C275,'Données 1_BD questio'!A:A&amp;'Données 1_BD questio'!B:B,0))</f>
        <v>Retraité</v>
      </c>
      <c r="F275" s="191" t="str">
        <f t="array" ref="F275">INDEX('Données 1_BD questio'!C:C,MATCH('1_BD questio brut'!$D$1&amp;'1_BD questio brut'!D275,'Données 1_BD questio'!A:A&amp;'Données 1_BD questio'!B:B,0))</f>
        <v>Retraité</v>
      </c>
      <c r="G275" s="191" t="str">
        <f>'1_BD questio brut'!E275</f>
        <v>65 ans et plus</v>
      </c>
      <c r="H275" s="191">
        <f>'1_BD questio brut'!F275</f>
        <v>2</v>
      </c>
      <c r="I275" s="191" t="str">
        <f>'1_BD questio brut'!G275</f>
        <v>Pas de réponse</v>
      </c>
      <c r="J275" s="191" t="str">
        <f t="array" ref="J275">INDEX('Données 1_BD questio'!C:C,MATCH('1_BD questio brut'!$H$1&amp;'1_BD questio brut'!H275,'Données 1_BD questio'!A:A&amp;'Données 1_BD questio'!B:B,0))</f>
        <v>Maison avec jardin</v>
      </c>
      <c r="K275" s="191">
        <f>'1_BD questio brut'!I275</f>
        <v>110</v>
      </c>
      <c r="L275" s="191" t="str">
        <f>'1_BD questio brut'!J275</f>
        <v>1975-1990</v>
      </c>
      <c r="M275" s="191" t="str">
        <f>'1_BD questio brut'!K275</f>
        <v>4</v>
      </c>
      <c r="N275" s="191" t="str">
        <f>'1_BD questio brut'!L275</f>
        <v>Pas de réponse</v>
      </c>
      <c r="O275" s="191" t="str">
        <f>'1_BD questio brut'!M275</f>
        <v>Propriétaire occupant</v>
      </c>
      <c r="P275" s="191" t="str">
        <f>'1_BD questio brut'!N275</f>
        <v>Insert / foyer fermé</v>
      </c>
      <c r="Q275" s="191" t="str">
        <f>'1_BD questio brut'!O275</f>
        <v>Chauffage d'apoint</v>
      </c>
      <c r="R275" s="191" t="str">
        <f>'1_BD questio brut'!P275</f>
        <v>Tous les jours</v>
      </c>
      <c r="S275" s="191" t="str">
        <f>'1_BD questio brut'!Q275</f>
        <v>2</v>
      </c>
      <c r="T275" s="191" t="str">
        <f>'1_BD questio brut'!R275</f>
        <v>Avant 1990</v>
      </c>
      <c r="U275" s="191" t="str">
        <f>'1_BD questio brut'!S275</f>
        <v>Bois bûche</v>
      </c>
      <c r="V275" s="191" t="str">
        <f>'1_BD questio brut'!T275</f>
        <v/>
      </c>
      <c r="W275" s="191" t="str">
        <f>'1_BD questio brut'!U275</f>
        <v>3</v>
      </c>
      <c r="X275" s="191" t="str">
        <f>'1_BD questio brut'!V275</f>
        <v/>
      </c>
      <c r="Y275" s="191" t="str">
        <f>'1_BD questio brut'!W275</f>
        <v>1</v>
      </c>
      <c r="Z275" s="191" t="str">
        <f>'1_BD questio brut'!X275</f>
        <v/>
      </c>
      <c r="AA275" s="191" t="str">
        <f t="array" ref="AA275">INDEX('Données 1_BD questio'!C:C,MATCH('1_BD questio brut'!$Y$1&amp;'1_BD questio brut'!Y275,'Données 1_BD questio'!A:A&amp;'Données 1_BD questio'!B:B,0))</f>
        <v>Ne sait pas</v>
      </c>
      <c r="AB275" s="191" t="str">
        <f>'1_BD questio brut'!Z275</f>
        <v>2</v>
      </c>
      <c r="AC275" s="191" t="str">
        <f>'1_BD questio brut'!AA275</f>
        <v>1 à 2 ans</v>
      </c>
      <c r="AD275" s="191" t="str">
        <f>'1_BD questio brut'!AB275</f>
        <v>Les deux</v>
      </c>
      <c r="AE275" s="191" t="str">
        <f t="array" ref="AE275">INDEX('Données 1_BD questio'!C:C,MATCH('1_BD questio brut'!$AC$1&amp;'1_BD questio brut'!AC275,'Données 1_BD questio'!A:A&amp;'Données 1_BD questio'!B:B,0))</f>
        <v>un professionnel</v>
      </c>
      <c r="AF275" s="191" t="str">
        <f>'1_BD questio brut'!AD275</f>
        <v>1 fois par an</v>
      </c>
      <c r="AG275" s="191" t="str">
        <f>'1_BD questio brut'!AE275</f>
        <v/>
      </c>
      <c r="AH275" s="191" t="str">
        <f>'1_BD questio brut'!AF275</f>
        <v>Poêle</v>
      </c>
      <c r="AI275" s="191" t="str">
        <f>'1_BD questio brut'!AG275</f>
        <v>2</v>
      </c>
      <c r="AJ275" s="191" t="str">
        <f>'1_BD questio brut'!AH275</f>
        <v/>
      </c>
      <c r="AK275" s="191" t="str">
        <f>'1_BD questio brut'!AI275</f>
        <v>Chauffage d'appoint</v>
      </c>
      <c r="AL275" s="191" t="str">
        <f>'1_BD questio brut'!AJ275</f>
        <v>Pas de réponse</v>
      </c>
      <c r="AM275" s="191" t="str">
        <f>'1_BD questio brut'!AK275</f>
        <v>1; 2; 4; 5</v>
      </c>
      <c r="AN275" s="191" t="str">
        <f>'1_BD questio brut'!AL275</f>
        <v/>
      </c>
      <c r="AO275" s="191" t="str">
        <f>'1_BD questio brut'!AM275</f>
        <v>5</v>
      </c>
      <c r="AP275" s="191" t="str">
        <f>'1_BD questio brut'!AN275</f>
        <v/>
      </c>
      <c r="AQ275" s="191" t="str">
        <f>'1_BD questio brut'!AO275</f>
        <v/>
      </c>
    </row>
    <row r="276" spans="1:43" ht="43.5">
      <c r="A276" s="98">
        <f>INDEX('3_BD instruction total'!A:A,MATCH(C276,'3_BD instruction total'!F:F,0))</f>
        <v>2021</v>
      </c>
      <c r="B276" s="98" t="str">
        <f>INDEX('3_BD instruction total'!C:C,MATCH(C276,'3_BD instruction total'!F:F,0))</f>
        <v>non</v>
      </c>
      <c r="C276" s="191" t="str">
        <f>'1_BD questio brut'!A276</f>
        <v>VRB0288</v>
      </c>
      <c r="D276" s="191" t="str">
        <f t="array" ref="D276">INDEX('Données 1_BD questio'!C:C,MATCH('1_BD questio brut'!$B$1&amp;'1_BD questio brut'!B276,'Données 1_BD questio'!A:A&amp;'Données 1_BD questio'!B:B,0))</f>
        <v>CAPV</v>
      </c>
      <c r="E276" s="191" t="str">
        <f t="array" ref="E276">INDEX('Données 1_BD questio'!C:C,MATCH('1_BD questio brut'!$C$1&amp;'1_BD questio brut'!C276,'Données 1_BD questio'!A:A&amp;'Données 1_BD questio'!B:B,0))</f>
        <v>Retraité</v>
      </c>
      <c r="F276" s="191" t="str">
        <f t="array" ref="F276">INDEX('Données 1_BD questio'!C:C,MATCH('1_BD questio brut'!$D$1&amp;'1_BD questio brut'!D276,'Données 1_BD questio'!A:A&amp;'Données 1_BD questio'!B:B,0))</f>
        <v>Pas de réponse</v>
      </c>
      <c r="G276" s="191" t="str">
        <f>'1_BD questio brut'!E276</f>
        <v>65 ans et plus</v>
      </c>
      <c r="H276" s="191">
        <f>'1_BD questio brut'!F276</f>
        <v>1</v>
      </c>
      <c r="I276" s="191" t="str">
        <f>'1_BD questio brut'!G276</f>
        <v>Pas de réponse</v>
      </c>
      <c r="J276" s="191" t="str">
        <f t="array" ref="J276">INDEX('Données 1_BD questio'!C:C,MATCH('1_BD questio brut'!$H$1&amp;'1_BD questio brut'!H276,'Données 1_BD questio'!A:A&amp;'Données 1_BD questio'!B:B,0))</f>
        <v>Maison avec jardin</v>
      </c>
      <c r="K276" s="191">
        <f>'1_BD questio brut'!I276</f>
        <v>100</v>
      </c>
      <c r="L276" s="191" t="str">
        <f>'1_BD questio brut'!J276</f>
        <v>1949-1975</v>
      </c>
      <c r="M276" s="191" t="str">
        <f>'1_BD questio brut'!K276</f>
        <v>6</v>
      </c>
      <c r="N276" s="191" t="str">
        <f>'1_BD questio brut'!L276</f>
        <v>G</v>
      </c>
      <c r="O276" s="191" t="str">
        <f>'1_BD questio brut'!M276</f>
        <v>Propriétaire occupant</v>
      </c>
      <c r="P276" s="191" t="str">
        <f>'1_BD questio brut'!N276</f>
        <v>Insert / foyer fermé</v>
      </c>
      <c r="Q276" s="191" t="str">
        <f>'1_BD questio brut'!O276</f>
        <v>Chauffage de base</v>
      </c>
      <c r="R276" s="191" t="str">
        <f>'1_BD questio brut'!P276</f>
        <v>Tous les jours</v>
      </c>
      <c r="S276" s="191" t="str">
        <f>'1_BD questio brut'!Q276</f>
        <v>1; 2; 4; 5</v>
      </c>
      <c r="T276" s="191" t="str">
        <f>'1_BD questio brut'!R276</f>
        <v>Avant 1990</v>
      </c>
      <c r="U276" s="191" t="str">
        <f>'1_BD questio brut'!S276</f>
        <v>Bois bûche</v>
      </c>
      <c r="V276" s="191" t="str">
        <f>'1_BD questio brut'!T276</f>
        <v/>
      </c>
      <c r="W276" s="191" t="str">
        <f>'1_BD questio brut'!U276</f>
        <v>25</v>
      </c>
      <c r="X276" s="191" t="str">
        <f>'1_BD questio brut'!V276</f>
        <v>STERES</v>
      </c>
      <c r="Y276" s="191" t="str">
        <f>'1_BD questio brut'!W276</f>
        <v>2</v>
      </c>
      <c r="Z276" s="191" t="str">
        <f>'1_BD questio brut'!X276</f>
        <v/>
      </c>
      <c r="AA276" s="191" t="str">
        <f t="array" ref="AA276">INDEX('Données 1_BD questio'!C:C,MATCH('1_BD questio brut'!$Y$1&amp;'1_BD questio brut'!Y276,'Données 1_BD questio'!A:A&amp;'Données 1_BD questio'!B:B,0))</f>
        <v>RA2B</v>
      </c>
      <c r="AB276" s="191" t="str">
        <f>'1_BD questio brut'!Z276</f>
        <v>1</v>
      </c>
      <c r="AC276" s="191" t="str">
        <f>'1_BD questio brut'!AA276</f>
        <v>&gt; 2 ans</v>
      </c>
      <c r="AD276" s="191" t="str">
        <f>'1_BD questio brut'!AB276</f>
        <v>Les deux</v>
      </c>
      <c r="AE276" s="191" t="str">
        <f t="array" ref="AE276">INDEX('Données 1_BD questio'!C:C,MATCH('1_BD questio brut'!$AC$1&amp;'1_BD questio brut'!AC276,'Données 1_BD questio'!A:A&amp;'Données 1_BD questio'!B:B,0))</f>
        <v>un professionnel</v>
      </c>
      <c r="AF276" s="191" t="str">
        <f>'1_BD questio brut'!AD276</f>
        <v>1 fois par an</v>
      </c>
      <c r="AG276" s="191" t="str">
        <f>'1_BD questio brut'!AE276</f>
        <v/>
      </c>
      <c r="AH276" s="191" t="str">
        <f>'1_BD questio brut'!AF276</f>
        <v>Poêle</v>
      </c>
      <c r="AI276" s="191" t="str">
        <f>'1_BD questio brut'!AG276</f>
        <v>2</v>
      </c>
      <c r="AJ276" s="191" t="str">
        <f>'1_BD questio brut'!AH276</f>
        <v/>
      </c>
      <c r="AK276" s="191" t="str">
        <f>'1_BD questio brut'!AI276</f>
        <v>Chauffage de base</v>
      </c>
      <c r="AL276" s="191" t="str">
        <f>'1_BD questio brut'!AJ276</f>
        <v>Pas de réponse</v>
      </c>
      <c r="AM276" s="191" t="str">
        <f>'1_BD questio brut'!AK276</f>
        <v>6</v>
      </c>
      <c r="AN276" s="191" t="str">
        <f>'1_BD questio brut'!AL276</f>
        <v>PRACTICITE</v>
      </c>
      <c r="AO276" s="191" t="str">
        <f>'1_BD questio brut'!AM276</f>
        <v>3</v>
      </c>
      <c r="AP276" s="191" t="str">
        <f>'1_BD questio brut'!AN276</f>
        <v/>
      </c>
      <c r="AQ276" s="191" t="str">
        <f>'1_BD questio brut'!AO276</f>
        <v>URBANIS</v>
      </c>
    </row>
    <row r="277" spans="1:43" ht="43.5" hidden="1">
      <c r="A277" s="98">
        <f>INDEX('3_BD instruction total'!A:A,MATCH(C277,'3_BD instruction total'!F:F,0))</f>
        <v>2021</v>
      </c>
      <c r="B277" s="98" t="str">
        <f>INDEX('3_BD instruction total'!C:C,MATCH(C277,'3_BD instruction total'!F:F,0))</f>
        <v>non</v>
      </c>
      <c r="C277" s="191" t="str">
        <f>'1_BD questio brut'!A277</f>
        <v>VRB0289</v>
      </c>
      <c r="D277" s="191" t="str">
        <f t="array" ref="D277">INDEX('Données 1_BD questio'!C:C,MATCH('1_BD questio brut'!$B$1&amp;'1_BD questio brut'!B277,'Données 1_BD questio'!A:A&amp;'Données 1_BD questio'!B:B,0))</f>
        <v>CAPV</v>
      </c>
      <c r="E277" s="191" t="str">
        <f t="array" ref="E277">INDEX('Données 1_BD questio'!C:C,MATCH('1_BD questio brut'!$C$1&amp;'1_BD questio brut'!C277,'Données 1_BD questio'!A:A&amp;'Données 1_BD questio'!B:B,0))</f>
        <v>Retraité</v>
      </c>
      <c r="F277" s="191" t="str">
        <f t="array" ref="F277">INDEX('Données 1_BD questio'!C:C,MATCH('1_BD questio brut'!$D$1&amp;'1_BD questio brut'!D277,'Données 1_BD questio'!A:A&amp;'Données 1_BD questio'!B:B,0))</f>
        <v>Retraité</v>
      </c>
      <c r="G277" s="191" t="str">
        <f>'1_BD questio brut'!E277</f>
        <v>50 à 64 ans</v>
      </c>
      <c r="H277" s="191">
        <f>'1_BD questio brut'!F277</f>
        <v>2</v>
      </c>
      <c r="I277" s="191" t="str">
        <f>'1_BD questio brut'!G277</f>
        <v>Pas de réponse</v>
      </c>
      <c r="J277" s="191" t="str">
        <f t="array" ref="J277">INDEX('Données 1_BD questio'!C:C,MATCH('1_BD questio brut'!$H$1&amp;'1_BD questio brut'!H277,'Données 1_BD questio'!A:A&amp;'Données 1_BD questio'!B:B,0))</f>
        <v>Maison avec jardin</v>
      </c>
      <c r="K277" s="191">
        <f>'1_BD questio brut'!I277</f>
        <v>110</v>
      </c>
      <c r="L277" s="191" t="str">
        <f>'1_BD questio brut'!J277</f>
        <v>1990-2005</v>
      </c>
      <c r="M277" s="191" t="str">
        <f>'1_BD questio brut'!K277</f>
        <v>1; 4</v>
      </c>
      <c r="N277" s="191" t="str">
        <f>'1_BD questio brut'!L277</f>
        <v>Pas de réponse</v>
      </c>
      <c r="O277" s="191" t="str">
        <f>'1_BD questio brut'!M277</f>
        <v>Propriétaire occupant</v>
      </c>
      <c r="P277" s="191" t="str">
        <f>'1_BD questio brut'!N277</f>
        <v>Insert / foyer fermé</v>
      </c>
      <c r="Q277" s="191" t="str">
        <f>'1_BD questio brut'!O277</f>
        <v>Chauffage de base</v>
      </c>
      <c r="R277" s="191" t="str">
        <f>'1_BD questio brut'!P277</f>
        <v>Tous les jours</v>
      </c>
      <c r="S277" s="191" t="str">
        <f>'1_BD questio brut'!Q277</f>
        <v>4; 6</v>
      </c>
      <c r="T277" s="191" t="str">
        <f>'1_BD questio brut'!R277</f>
        <v>1990-1995</v>
      </c>
      <c r="U277" s="191" t="str">
        <f>'1_BD questio brut'!S277</f>
        <v>Bois bûche</v>
      </c>
      <c r="V277" s="191" t="str">
        <f>'1_BD questio brut'!T277</f>
        <v/>
      </c>
      <c r="W277" s="191" t="str">
        <f>'1_BD questio brut'!U277</f>
        <v>4</v>
      </c>
      <c r="X277" s="191" t="str">
        <f>'1_BD questio brut'!V277</f>
        <v/>
      </c>
      <c r="Y277" s="191" t="str">
        <f>'1_BD questio brut'!W277</f>
        <v>2</v>
      </c>
      <c r="Z277" s="191" t="str">
        <f>'1_BD questio brut'!X277</f>
        <v/>
      </c>
      <c r="AA277" s="191" t="str">
        <f t="array" ref="AA277">INDEX('Données 1_BD questio'!C:C,MATCH('1_BD questio brut'!$Y$1&amp;'1_BD questio brut'!Y277,'Données 1_BD questio'!A:A&amp;'Données 1_BD questio'!B:B,0))</f>
        <v>Ne sait pas</v>
      </c>
      <c r="AB277" s="191" t="str">
        <f>'1_BD questio brut'!Z277</f>
        <v>2</v>
      </c>
      <c r="AC277" s="191" t="str">
        <f>'1_BD questio brut'!AA277</f>
        <v>1 à 2 ans</v>
      </c>
      <c r="AD277" s="191" t="str">
        <f>'1_BD questio brut'!AB277</f>
        <v>Les deux</v>
      </c>
      <c r="AE277" s="191" t="str">
        <f t="array" ref="AE277">INDEX('Données 1_BD questio'!C:C,MATCH('1_BD questio brut'!$AC$1&amp;'1_BD questio brut'!AC277,'Données 1_BD questio'!A:A&amp;'Données 1_BD questio'!B:B,0))</f>
        <v>un professionnel</v>
      </c>
      <c r="AF277" s="191" t="str">
        <f>'1_BD questio brut'!AD277</f>
        <v>1 fois par an</v>
      </c>
      <c r="AG277" s="191" t="str">
        <f>'1_BD questio brut'!AE277</f>
        <v/>
      </c>
      <c r="AH277" s="191" t="str">
        <f>'1_BD questio brut'!AF277</f>
        <v>Poêle</v>
      </c>
      <c r="AI277" s="191" t="str">
        <f>'1_BD questio brut'!AG277</f>
        <v>2</v>
      </c>
      <c r="AJ277" s="191" t="str">
        <f>'1_BD questio brut'!AH277</f>
        <v/>
      </c>
      <c r="AK277" s="191" t="str">
        <f>'1_BD questio brut'!AI277</f>
        <v>Chauffage de base</v>
      </c>
      <c r="AL277" s="191" t="str">
        <f>'1_BD questio brut'!AJ277</f>
        <v>Pas de réponse</v>
      </c>
      <c r="AM277" s="191" t="str">
        <f>'1_BD questio brut'!AK277</f>
        <v>4</v>
      </c>
      <c r="AN277" s="191" t="str">
        <f>'1_BD questio brut'!AL277</f>
        <v/>
      </c>
      <c r="AO277" s="191" t="str">
        <f>'1_BD questio brut'!AM277</f>
        <v>7</v>
      </c>
      <c r="AP277" s="191" t="str">
        <f>'1_BD questio brut'!AN277</f>
        <v/>
      </c>
      <c r="AQ277" s="191" t="str">
        <f>'1_BD questio brut'!AO277</f>
        <v/>
      </c>
    </row>
    <row r="278" spans="1:43" ht="43.5" hidden="1">
      <c r="A278" s="98">
        <f>INDEX('3_BD instruction total'!A:A,MATCH(C278,'3_BD instruction total'!F:F,0))</f>
        <v>2021</v>
      </c>
      <c r="B278" s="98" t="str">
        <f>INDEX('3_BD instruction total'!C:C,MATCH(C278,'3_BD instruction total'!F:F,0))</f>
        <v>non</v>
      </c>
      <c r="C278" s="191" t="str">
        <f>'1_BD questio brut'!A278</f>
        <v>VRB0290</v>
      </c>
      <c r="D278" s="191" t="str">
        <f t="array" ref="D278">INDEX('Données 1_BD questio'!C:C,MATCH('1_BD questio brut'!$B$1&amp;'1_BD questio brut'!B278,'Données 1_BD questio'!A:A&amp;'Données 1_BD questio'!B:B,0))</f>
        <v>CAPV</v>
      </c>
      <c r="E278" s="191" t="str">
        <f t="array" ref="E278">INDEX('Données 1_BD questio'!C:C,MATCH('1_BD questio brut'!$C$1&amp;'1_BD questio brut'!C278,'Données 1_BD questio'!A:A&amp;'Données 1_BD questio'!B:B,0))</f>
        <v>Retraité</v>
      </c>
      <c r="F278" s="191" t="str">
        <f t="array" ref="F278">INDEX('Données 1_BD questio'!C:C,MATCH('1_BD questio brut'!$D$1&amp;'1_BD questio brut'!D278,'Données 1_BD questio'!A:A&amp;'Données 1_BD questio'!B:B,0))</f>
        <v>Pas de réponse</v>
      </c>
      <c r="G278" s="191" t="str">
        <f>'1_BD questio brut'!E278</f>
        <v>65 ans et plus</v>
      </c>
      <c r="H278" s="191">
        <f>'1_BD questio brut'!F278</f>
        <v>1</v>
      </c>
      <c r="I278" s="191" t="str">
        <f>'1_BD questio brut'!G278</f>
        <v>Pas de réponse</v>
      </c>
      <c r="J278" s="191" t="str">
        <f t="array" ref="J278">INDEX('Données 1_BD questio'!C:C,MATCH('1_BD questio brut'!$H$1&amp;'1_BD questio brut'!H278,'Données 1_BD questio'!A:A&amp;'Données 1_BD questio'!B:B,0))</f>
        <v>Maison avec jardin</v>
      </c>
      <c r="K278" s="191">
        <f>'1_BD questio brut'!I278</f>
        <v>180</v>
      </c>
      <c r="L278" s="191" t="str">
        <f>'1_BD questio brut'!J278</f>
        <v>Avant 1949</v>
      </c>
      <c r="M278" s="191" t="str">
        <f>'1_BD questio brut'!K278</f>
        <v>4</v>
      </c>
      <c r="N278" s="191" t="str">
        <f>'1_BD questio brut'!L278</f>
        <v>Pas de réponse</v>
      </c>
      <c r="O278" s="191" t="str">
        <f>'1_BD questio brut'!M278</f>
        <v>Propriétaire occupant</v>
      </c>
      <c r="P278" s="191" t="str">
        <f>'1_BD questio brut'!N278</f>
        <v>Foyer ouvert</v>
      </c>
      <c r="Q278" s="191" t="str">
        <f>'1_BD questio brut'!O278</f>
        <v>Chauffage d'apoint</v>
      </c>
      <c r="R278" s="191" t="str">
        <f>'1_BD questio brut'!P278</f>
        <v>1 à 2 jours/semaine</v>
      </c>
      <c r="S278" s="191" t="str">
        <f>'1_BD questio brut'!Q278</f>
        <v>2; 3</v>
      </c>
      <c r="T278" s="191" t="str">
        <f>'1_BD questio brut'!R278</f>
        <v>Avant 1990</v>
      </c>
      <c r="U278" s="191" t="str">
        <f>'1_BD questio brut'!S278</f>
        <v>Bois bûche</v>
      </c>
      <c r="V278" s="191" t="str">
        <f>'1_BD questio brut'!T278</f>
        <v/>
      </c>
      <c r="W278" s="191" t="str">
        <f>'1_BD questio brut'!U278</f>
        <v>2</v>
      </c>
      <c r="X278" s="191" t="str">
        <f>'1_BD questio brut'!V278</f>
        <v>STERES</v>
      </c>
      <c r="Y278" s="191" t="str">
        <f>'1_BD questio brut'!W278</f>
        <v>2</v>
      </c>
      <c r="Z278" s="191" t="str">
        <f>'1_BD questio brut'!X278</f>
        <v/>
      </c>
      <c r="AA278" s="191" t="str">
        <f t="array" ref="AA278">INDEX('Données 1_BD questio'!C:C,MATCH('1_BD questio brut'!$Y$1&amp;'1_BD questio brut'!Y278,'Données 1_BD questio'!A:A&amp;'Données 1_BD questio'!B:B,0))</f>
        <v>Ne sait pas</v>
      </c>
      <c r="AB278" s="191" t="str">
        <f>'1_BD questio brut'!Z278</f>
        <v>2</v>
      </c>
      <c r="AC278" s="191" t="str">
        <f>'1_BD questio brut'!AA278</f>
        <v>&gt; 2 ans</v>
      </c>
      <c r="AD278" s="191" t="str">
        <f>'1_BD questio brut'!AB278</f>
        <v>Les deux</v>
      </c>
      <c r="AE278" s="191" t="str">
        <f t="array" ref="AE278">INDEX('Données 1_BD questio'!C:C,MATCH('1_BD questio brut'!$AC$1&amp;'1_BD questio brut'!AC278,'Données 1_BD questio'!A:A&amp;'Données 1_BD questio'!B:B,0))</f>
        <v>vous-même</v>
      </c>
      <c r="AF278" s="191" t="str">
        <f>'1_BD questio brut'!AD278</f>
        <v>1 fois par an</v>
      </c>
      <c r="AG278" s="191" t="str">
        <f>'1_BD questio brut'!AE278</f>
        <v/>
      </c>
      <c r="AH278" s="191" t="str">
        <f>'1_BD questio brut'!AF278</f>
        <v>Poêle</v>
      </c>
      <c r="AI278" s="191" t="str">
        <f>'1_BD questio brut'!AG278</f>
        <v>1</v>
      </c>
      <c r="AJ278" s="191" t="str">
        <f>'1_BD questio brut'!AH278</f>
        <v/>
      </c>
      <c r="AK278" s="191" t="str">
        <f>'1_BD questio brut'!AI278</f>
        <v>Chauffage d'appoint</v>
      </c>
      <c r="AL278" s="191" t="str">
        <f>'1_BD questio brut'!AJ278</f>
        <v>Pas de réponse</v>
      </c>
      <c r="AM278" s="191" t="str">
        <f>'1_BD questio brut'!AK278</f>
        <v>1; 2; 4; 5; 6</v>
      </c>
      <c r="AN278" s="191" t="str">
        <f>'1_BD questio brut'!AL278</f>
        <v>SECURITE</v>
      </c>
      <c r="AO278" s="191" t="str">
        <f>'1_BD questio brut'!AM278</f>
        <v>5</v>
      </c>
      <c r="AP278" s="191" t="str">
        <f>'1_BD questio brut'!AN278</f>
        <v/>
      </c>
      <c r="AQ278" s="191" t="str">
        <f>'1_BD questio brut'!AO278</f>
        <v/>
      </c>
    </row>
    <row r="279" spans="1:43" ht="43.5" hidden="1">
      <c r="A279" s="98">
        <f>INDEX('3_BD instruction total'!A:A,MATCH(C279,'3_BD instruction total'!F:F,0))</f>
        <v>2021</v>
      </c>
      <c r="B279" s="98" t="str">
        <f>INDEX('3_BD instruction total'!C:C,MATCH(C279,'3_BD instruction total'!F:F,0))</f>
        <v>non</v>
      </c>
      <c r="C279" s="191" t="str">
        <f>'1_BD questio brut'!A279</f>
        <v>VRB0291</v>
      </c>
      <c r="D279" s="191" t="str">
        <f t="array" ref="D279">INDEX('Données 1_BD questio'!C:C,MATCH('1_BD questio brut'!$B$1&amp;'1_BD questio brut'!B279,'Données 1_BD questio'!A:A&amp;'Données 1_BD questio'!B:B,0))</f>
        <v>CAPV</v>
      </c>
      <c r="E279" s="191" t="str">
        <f t="array" ref="E279">INDEX('Données 1_BD questio'!C:C,MATCH('1_BD questio brut'!$C$1&amp;'1_BD questio brut'!C279,'Données 1_BD questio'!A:A&amp;'Données 1_BD questio'!B:B,0))</f>
        <v>Cadre</v>
      </c>
      <c r="F279" s="191" t="str">
        <f t="array" ref="F279">INDEX('Données 1_BD questio'!C:C,MATCH('1_BD questio brut'!$D$1&amp;'1_BD questio brut'!D279,'Données 1_BD questio'!A:A&amp;'Données 1_BD questio'!B:B,0))</f>
        <v>Employé</v>
      </c>
      <c r="G279" s="191" t="str">
        <f>'1_BD questio brut'!E279</f>
        <v>35 à 49 ans</v>
      </c>
      <c r="H279" s="191">
        <f>'1_BD questio brut'!F279</f>
        <v>4</v>
      </c>
      <c r="I279" s="191" t="str">
        <f>'1_BD questio brut'!G279</f>
        <v>Pas de réponse</v>
      </c>
      <c r="J279" s="191" t="str">
        <f t="array" ref="J279">INDEX('Données 1_BD questio'!C:C,MATCH('1_BD questio brut'!$H$1&amp;'1_BD questio brut'!H279,'Données 1_BD questio'!A:A&amp;'Données 1_BD questio'!B:B,0))</f>
        <v>Maison avec jardin</v>
      </c>
      <c r="K279" s="191">
        <f>'1_BD questio brut'!I279</f>
        <v>120</v>
      </c>
      <c r="L279" s="191" t="str">
        <f>'1_BD questio brut'!J279</f>
        <v>1949-1975</v>
      </c>
      <c r="M279" s="191" t="str">
        <f>'1_BD questio brut'!K279</f>
        <v>6</v>
      </c>
      <c r="N279" s="191" t="str">
        <f>'1_BD questio brut'!L279</f>
        <v>Pas de réponse</v>
      </c>
      <c r="O279" s="191" t="str">
        <f>'1_BD questio brut'!M279</f>
        <v>Propriétaire occupant</v>
      </c>
      <c r="P279" s="191" t="str">
        <f>'1_BD questio brut'!N279</f>
        <v>Insert / foyer fermé</v>
      </c>
      <c r="Q279" s="191" t="str">
        <f>'1_BD questio brut'!O279</f>
        <v>Chauffage de base</v>
      </c>
      <c r="R279" s="191" t="str">
        <f>'1_BD questio brut'!P279</f>
        <v>Tous les jours</v>
      </c>
      <c r="S279" s="191" t="str">
        <f>'1_BD questio brut'!Q279</f>
        <v>1; 2; 4; 5</v>
      </c>
      <c r="T279" s="191" t="str">
        <f>'1_BD questio brut'!R279</f>
        <v>1990-1995</v>
      </c>
      <c r="U279" s="191" t="str">
        <f>'1_BD questio brut'!S279</f>
        <v>Bois bûche</v>
      </c>
      <c r="V279" s="191" t="str">
        <f>'1_BD questio brut'!T279</f>
        <v/>
      </c>
      <c r="W279" s="191" t="str">
        <f>'1_BD questio brut'!U279</f>
        <v>10</v>
      </c>
      <c r="X279" s="191" t="str">
        <f>'1_BD questio brut'!V279</f>
        <v>STERES</v>
      </c>
      <c r="Y279" s="191" t="str">
        <f>'1_BD questio brut'!W279</f>
        <v>2</v>
      </c>
      <c r="Z279" s="191" t="str">
        <f>'1_BD questio brut'!X279</f>
        <v/>
      </c>
      <c r="AA279" s="191" t="str">
        <f t="array" ref="AA279">INDEX('Données 1_BD questio'!C:C,MATCH('1_BD questio brut'!$Y$1&amp;'1_BD questio brut'!Y279,'Données 1_BD questio'!A:A&amp;'Données 1_BD questio'!B:B,0))</f>
        <v>Ne sait pas</v>
      </c>
      <c r="AB279" s="191" t="str">
        <f>'1_BD questio brut'!Z279</f>
        <v>2</v>
      </c>
      <c r="AC279" s="191" t="str">
        <f>'1_BD questio brut'!AA279</f>
        <v>&gt; 2 ans</v>
      </c>
      <c r="AD279" s="191" t="str">
        <f>'1_BD questio brut'!AB279</f>
        <v>Feuillus</v>
      </c>
      <c r="AE279" s="191" t="str">
        <f t="array" ref="AE279">INDEX('Données 1_BD questio'!C:C,MATCH('1_BD questio brut'!$AC$1&amp;'1_BD questio brut'!AC279,'Données 1_BD questio'!A:A&amp;'Données 1_BD questio'!B:B,0))</f>
        <v>un professionnel</v>
      </c>
      <c r="AF279" s="191" t="str">
        <f>'1_BD questio brut'!AD279</f>
        <v>1 fois par an</v>
      </c>
      <c r="AG279" s="191" t="str">
        <f>'1_BD questio brut'!AE279</f>
        <v/>
      </c>
      <c r="AH279" s="191" t="str">
        <f>'1_BD questio brut'!AF279</f>
        <v>Poêle</v>
      </c>
      <c r="AI279" s="191" t="str">
        <f>'1_BD questio brut'!AG279</f>
        <v>1</v>
      </c>
      <c r="AJ279" s="191" t="str">
        <f>'1_BD questio brut'!AH279</f>
        <v/>
      </c>
      <c r="AK279" s="191" t="str">
        <f>'1_BD questio brut'!AI279</f>
        <v>Chauffage de base</v>
      </c>
      <c r="AL279" s="191" t="str">
        <f>'1_BD questio brut'!AJ279</f>
        <v>Pas de réponse</v>
      </c>
      <c r="AM279" s="191" t="str">
        <f>'1_BD questio brut'!AK279</f>
        <v>1; 2; 4; 5</v>
      </c>
      <c r="AN279" s="191" t="str">
        <f>'1_BD questio brut'!AL279</f>
        <v/>
      </c>
      <c r="AO279" s="191" t="str">
        <f>'1_BD questio brut'!AM279</f>
        <v>5; 7; 11</v>
      </c>
      <c r="AP279" s="191" t="str">
        <f>'1_BD questio brut'!AN279</f>
        <v/>
      </c>
      <c r="AQ279" s="191" t="str">
        <f>'1_BD questio brut'!AO279</f>
        <v/>
      </c>
    </row>
    <row r="280" spans="1:43" ht="43.5">
      <c r="A280" s="98">
        <f>INDEX('3_BD instruction total'!A:A,MATCH(C280,'3_BD instruction total'!F:F,0))</f>
        <v>2021</v>
      </c>
      <c r="B280" s="98" t="str">
        <f>INDEX('3_BD instruction total'!C:C,MATCH(C280,'3_BD instruction total'!F:F,0))</f>
        <v>non</v>
      </c>
      <c r="C280" s="191" t="str">
        <f>'1_BD questio brut'!A280</f>
        <v>VRB0292</v>
      </c>
      <c r="D280" s="191" t="str">
        <f t="array" ref="D280">INDEX('Données 1_BD questio'!C:C,MATCH('1_BD questio brut'!$B$1&amp;'1_BD questio brut'!B280,'Données 1_BD questio'!A:A&amp;'Données 1_BD questio'!B:B,0))</f>
        <v>CAPV</v>
      </c>
      <c r="E280" s="191" t="str">
        <f t="array" ref="E280">INDEX('Données 1_BD questio'!C:C,MATCH('1_BD questio brut'!$C$1&amp;'1_BD questio brut'!C280,'Données 1_BD questio'!A:A&amp;'Données 1_BD questio'!B:B,0))</f>
        <v>Autre,sans activité</v>
      </c>
      <c r="F280" s="191" t="str">
        <f t="array" ref="F280">INDEX('Données 1_BD questio'!C:C,MATCH('1_BD questio brut'!$D$1&amp;'1_BD questio brut'!D280,'Données 1_BD questio'!A:A&amp;'Données 1_BD questio'!B:B,0))</f>
        <v>Pas de réponse</v>
      </c>
      <c r="G280" s="191" t="str">
        <f>'1_BD questio brut'!E280</f>
        <v>50 à 64 ans</v>
      </c>
      <c r="H280" s="191">
        <f>'1_BD questio brut'!F280</f>
        <v>2</v>
      </c>
      <c r="I280" s="191" t="str">
        <f>'1_BD questio brut'!G280</f>
        <v>Pas de réponse</v>
      </c>
      <c r="J280" s="191" t="str">
        <f t="array" ref="J280">INDEX('Données 1_BD questio'!C:C,MATCH('1_BD questio brut'!$H$1&amp;'1_BD questio brut'!H280,'Données 1_BD questio'!A:A&amp;'Données 1_BD questio'!B:B,0))</f>
        <v>Maison avec jardin</v>
      </c>
      <c r="K280" s="191">
        <f>'1_BD questio brut'!I280</f>
        <v>100</v>
      </c>
      <c r="L280" s="191" t="str">
        <f>'1_BD questio brut'!J280</f>
        <v>Avant 1949</v>
      </c>
      <c r="M280" s="191" t="str">
        <f>'1_BD questio brut'!K280</f>
        <v>4</v>
      </c>
      <c r="N280" s="191" t="str">
        <f>'1_BD questio brut'!L280</f>
        <v>Pas de réponse</v>
      </c>
      <c r="O280" s="191" t="str">
        <f>'1_BD questio brut'!M280</f>
        <v>Propriétaire occupant</v>
      </c>
      <c r="P280" s="191" t="str">
        <f>'1_BD questio brut'!N280</f>
        <v>Poêle</v>
      </c>
      <c r="Q280" s="191" t="str">
        <f>'1_BD questio brut'!O280</f>
        <v>Chauffage de base</v>
      </c>
      <c r="R280" s="191" t="str">
        <f>'1_BD questio brut'!P280</f>
        <v>Tous les jours</v>
      </c>
      <c r="S280" s="191" t="str">
        <f>'1_BD questio brut'!Q280</f>
        <v>1; 2; 4; 5</v>
      </c>
      <c r="T280" s="191" t="str">
        <f>'1_BD questio brut'!R280</f>
        <v>1996-2002</v>
      </c>
      <c r="U280" s="191" t="str">
        <f>'1_BD questio brut'!S280</f>
        <v>Bois bûche</v>
      </c>
      <c r="V280" s="191" t="str">
        <f>'1_BD questio brut'!T280</f>
        <v/>
      </c>
      <c r="W280" s="191" t="str">
        <f>'1_BD questio brut'!U280</f>
        <v/>
      </c>
      <c r="X280" s="191" t="str">
        <f>'1_BD questio brut'!V280</f>
        <v/>
      </c>
      <c r="Y280" s="191" t="str">
        <f>'1_BD questio brut'!W280</f>
        <v>1; 2</v>
      </c>
      <c r="Z280" s="191" t="str">
        <f>'1_BD questio brut'!X280</f>
        <v/>
      </c>
      <c r="AA280" s="191" t="str">
        <f t="array" ref="AA280">INDEX('Données 1_BD questio'!C:C,MATCH('1_BD questio brut'!$Y$1&amp;'1_BD questio brut'!Y280,'Données 1_BD questio'!A:A&amp;'Données 1_BD questio'!B:B,0))</f>
        <v>Ne sait pas</v>
      </c>
      <c r="AB280" s="191" t="str">
        <f>'1_BD questio brut'!Z280</f>
        <v>2</v>
      </c>
      <c r="AC280" s="191" t="str">
        <f>'1_BD questio brut'!AA280</f>
        <v>1 à 2 ans</v>
      </c>
      <c r="AD280" s="191" t="str">
        <f>'1_BD questio brut'!AB280</f>
        <v>Les deux</v>
      </c>
      <c r="AE280" s="191" t="str">
        <f t="array" ref="AE280">INDEX('Données 1_BD questio'!C:C,MATCH('1_BD questio brut'!$AC$1&amp;'1_BD questio brut'!AC280,'Données 1_BD questio'!A:A&amp;'Données 1_BD questio'!B:B,0))</f>
        <v>un professionnel</v>
      </c>
      <c r="AF280" s="191" t="str">
        <f>'1_BD questio brut'!AD280</f>
        <v>1 fois par an</v>
      </c>
      <c r="AG280" s="191" t="str">
        <f>'1_BD questio brut'!AE280</f>
        <v/>
      </c>
      <c r="AH280" s="191" t="str">
        <f>'1_BD questio brut'!AF280</f>
        <v>Poêle</v>
      </c>
      <c r="AI280" s="191" t="str">
        <f>'1_BD questio brut'!AG280</f>
        <v>2</v>
      </c>
      <c r="AJ280" s="191" t="str">
        <f>'1_BD questio brut'!AH280</f>
        <v/>
      </c>
      <c r="AK280" s="191" t="str">
        <f>'1_BD questio brut'!AI280</f>
        <v>Chauffage de base</v>
      </c>
      <c r="AL280" s="191" t="str">
        <f>'1_BD questio brut'!AJ280</f>
        <v>Pas de réponse</v>
      </c>
      <c r="AM280" s="191" t="str">
        <f>'1_BD questio brut'!AK280</f>
        <v>1; 2; 4</v>
      </c>
      <c r="AN280" s="191" t="str">
        <f>'1_BD questio brut'!AL280</f>
        <v/>
      </c>
      <c r="AO280" s="191" t="str">
        <f>'1_BD questio brut'!AM280</f>
        <v>3</v>
      </c>
      <c r="AP280" s="191" t="str">
        <f>'1_BD questio brut'!AN280</f>
        <v/>
      </c>
      <c r="AQ280" s="191" t="str">
        <f>'1_BD questio brut'!AO280</f>
        <v>URBANIS</v>
      </c>
    </row>
    <row r="281" spans="1:43" ht="43.5" hidden="1">
      <c r="A281" s="98">
        <f>INDEX('3_BD instruction total'!A:A,MATCH(C281,'3_BD instruction total'!F:F,0))</f>
        <v>2021</v>
      </c>
      <c r="B281" s="98" t="str">
        <f>INDEX('3_BD instruction total'!C:C,MATCH(C281,'3_BD instruction total'!F:F,0))</f>
        <v>non</v>
      </c>
      <c r="C281" s="191" t="str">
        <f>'1_BD questio brut'!A281</f>
        <v>VRB0293</v>
      </c>
      <c r="D281" s="191" t="str">
        <f t="array" ref="D281">INDEX('Données 1_BD questio'!C:C,MATCH('1_BD questio brut'!$B$1&amp;'1_BD questio brut'!B281,'Données 1_BD questio'!A:A&amp;'Données 1_BD questio'!B:B,0))</f>
        <v>CAPV</v>
      </c>
      <c r="E281" s="191" t="str">
        <f t="array" ref="E281">INDEX('Données 1_BD questio'!C:C,MATCH('1_BD questio brut'!$C$1&amp;'1_BD questio brut'!C281,'Données 1_BD questio'!A:A&amp;'Données 1_BD questio'!B:B,0))</f>
        <v>Retraité</v>
      </c>
      <c r="F281" s="191" t="str">
        <f t="array" ref="F281">INDEX('Données 1_BD questio'!C:C,MATCH('1_BD questio brut'!$D$1&amp;'1_BD questio brut'!D281,'Données 1_BD questio'!A:A&amp;'Données 1_BD questio'!B:B,0))</f>
        <v>Retraité</v>
      </c>
      <c r="G281" s="191" t="str">
        <f>'1_BD questio brut'!E281</f>
        <v>65 ans et plus</v>
      </c>
      <c r="H281" s="191">
        <f>'1_BD questio brut'!F281</f>
        <v>2</v>
      </c>
      <c r="I281" s="191" t="str">
        <f>'1_BD questio brut'!G281</f>
        <v>Pas de réponse</v>
      </c>
      <c r="J281" s="191" t="str">
        <f t="array" ref="J281">INDEX('Données 1_BD questio'!C:C,MATCH('1_BD questio brut'!$H$1&amp;'1_BD questio brut'!H281,'Données 1_BD questio'!A:A&amp;'Données 1_BD questio'!B:B,0))</f>
        <v>Maison avec jardin</v>
      </c>
      <c r="K281" s="191">
        <f>'1_BD questio brut'!I281</f>
        <v>160</v>
      </c>
      <c r="L281" s="191" t="str">
        <f>'1_BD questio brut'!J281</f>
        <v>1990-2005</v>
      </c>
      <c r="M281" s="191" t="str">
        <f>'1_BD questio brut'!K281</f>
        <v>6</v>
      </c>
      <c r="N281" s="191" t="str">
        <f>'1_BD questio brut'!L281</f>
        <v>A</v>
      </c>
      <c r="O281" s="191" t="str">
        <f>'1_BD questio brut'!M281</f>
        <v>Propriétaire occupant</v>
      </c>
      <c r="P281" s="191" t="str">
        <f>'1_BD questio brut'!N281</f>
        <v>Foyer ouvert</v>
      </c>
      <c r="Q281" s="191" t="str">
        <f>'1_BD questio brut'!O281</f>
        <v>Chauffage d'apoint</v>
      </c>
      <c r="R281" s="191" t="str">
        <f>'1_BD questio brut'!P281</f>
        <v>1 à 2 jours/semaine</v>
      </c>
      <c r="S281" s="191" t="str">
        <f>'1_BD questio brut'!Q281</f>
        <v>2; 3</v>
      </c>
      <c r="T281" s="191" t="str">
        <f>'1_BD questio brut'!R281</f>
        <v>Après 2002</v>
      </c>
      <c r="U281" s="191" t="str">
        <f>'1_BD questio brut'!S281</f>
        <v>Bois bûche</v>
      </c>
      <c r="V281" s="191" t="str">
        <f>'1_BD questio brut'!T281</f>
        <v/>
      </c>
      <c r="W281" s="191" t="str">
        <f>'1_BD questio brut'!U281</f>
        <v>3</v>
      </c>
      <c r="X281" s="191" t="str">
        <f>'1_BD questio brut'!V281</f>
        <v>STERES</v>
      </c>
      <c r="Y281" s="191" t="str">
        <f>'1_BD questio brut'!W281</f>
        <v>1; 2</v>
      </c>
      <c r="Z281" s="191" t="str">
        <f>'1_BD questio brut'!X281</f>
        <v/>
      </c>
      <c r="AA281" s="191" t="str">
        <f t="array" ref="AA281">INDEX('Données 1_BD questio'!C:C,MATCH('1_BD questio brut'!$Y$1&amp;'1_BD questio brut'!Y281,'Données 1_BD questio'!A:A&amp;'Données 1_BD questio'!B:B,0))</f>
        <v>Rhône-Alpes hors RA2B</v>
      </c>
      <c r="AB281" s="191" t="str">
        <f>'1_BD questio brut'!Z281</f>
        <v>1</v>
      </c>
      <c r="AC281" s="191" t="str">
        <f>'1_BD questio brut'!AA281</f>
        <v>&gt; 2 ans</v>
      </c>
      <c r="AD281" s="191" t="str">
        <f>'1_BD questio brut'!AB281</f>
        <v>Feuillus</v>
      </c>
      <c r="AE281" s="191" t="str">
        <f t="array" ref="AE281">INDEX('Données 1_BD questio'!C:C,MATCH('1_BD questio brut'!$AC$1&amp;'1_BD questio brut'!AC281,'Données 1_BD questio'!A:A&amp;'Données 1_BD questio'!B:B,0))</f>
        <v>vous-même</v>
      </c>
      <c r="AF281" s="191" t="str">
        <f>'1_BD questio brut'!AD281</f>
        <v>1 fois par an</v>
      </c>
      <c r="AG281" s="191" t="str">
        <f>'1_BD questio brut'!AE281</f>
        <v/>
      </c>
      <c r="AH281" s="191" t="str">
        <f>'1_BD questio brut'!AF281</f>
        <v>Insert cheminée</v>
      </c>
      <c r="AI281" s="191" t="str">
        <f>'1_BD questio brut'!AG281</f>
        <v>1</v>
      </c>
      <c r="AJ281" s="191" t="str">
        <f>'1_BD questio brut'!AH281</f>
        <v/>
      </c>
      <c r="AK281" s="191" t="str">
        <f>'1_BD questio brut'!AI281</f>
        <v>Chauffage d'appoint</v>
      </c>
      <c r="AL281" s="191" t="str">
        <f>'1_BD questio brut'!AJ281</f>
        <v>Pas de réponse</v>
      </c>
      <c r="AM281" s="191" t="str">
        <f>'1_BD questio brut'!AK281</f>
        <v>2; 5</v>
      </c>
      <c r="AN281" s="191" t="str">
        <f>'1_BD questio brut'!AL281</f>
        <v/>
      </c>
      <c r="AO281" s="191" t="str">
        <f>'1_BD questio brut'!AM281</f>
        <v>5; 11</v>
      </c>
      <c r="AP281" s="191" t="str">
        <f>'1_BD questio brut'!AN281</f>
        <v/>
      </c>
      <c r="AQ281" s="191" t="str">
        <f>'1_BD questio brut'!AO281</f>
        <v/>
      </c>
    </row>
    <row r="282" spans="1:43" ht="43.5" hidden="1">
      <c r="A282" s="98">
        <f>INDEX('3_BD instruction total'!A:A,MATCH(C282,'3_BD instruction total'!F:F,0))</f>
        <v>2021</v>
      </c>
      <c r="B282" s="98" t="str">
        <f>INDEX('3_BD instruction total'!C:C,MATCH(C282,'3_BD instruction total'!F:F,0))</f>
        <v>non</v>
      </c>
      <c r="C282" s="191" t="str">
        <f>'1_BD questio brut'!A282</f>
        <v>VRB0294</v>
      </c>
      <c r="D282" s="191" t="str">
        <f t="array" ref="D282">INDEX('Données 1_BD questio'!C:C,MATCH('1_BD questio brut'!$B$1&amp;'1_BD questio brut'!B282,'Données 1_BD questio'!A:A&amp;'Données 1_BD questio'!B:B,0))</f>
        <v>CAPV</v>
      </c>
      <c r="E282" s="191" t="str">
        <f t="array" ref="E282">INDEX('Données 1_BD questio'!C:C,MATCH('1_BD questio brut'!$C$1&amp;'1_BD questio brut'!C282,'Données 1_BD questio'!A:A&amp;'Données 1_BD questio'!B:B,0))</f>
        <v>Retraité</v>
      </c>
      <c r="F282" s="191" t="str">
        <f t="array" ref="F282">INDEX('Données 1_BD questio'!C:C,MATCH('1_BD questio brut'!$D$1&amp;'1_BD questio brut'!D282,'Données 1_BD questio'!A:A&amp;'Données 1_BD questio'!B:B,0))</f>
        <v>Retraité</v>
      </c>
      <c r="G282" s="191" t="str">
        <f>'1_BD questio brut'!E282</f>
        <v>65 ans et plus</v>
      </c>
      <c r="H282" s="191">
        <f>'1_BD questio brut'!F282</f>
        <v>2</v>
      </c>
      <c r="I282" s="191" t="str">
        <f>'1_BD questio brut'!G282</f>
        <v>Pas de réponse</v>
      </c>
      <c r="J282" s="191" t="str">
        <f t="array" ref="J282">INDEX('Données 1_BD questio'!C:C,MATCH('1_BD questio brut'!$H$1&amp;'1_BD questio brut'!H282,'Données 1_BD questio'!A:A&amp;'Données 1_BD questio'!B:B,0))</f>
        <v>Maison avec jardin</v>
      </c>
      <c r="K282" s="191">
        <f>'1_BD questio brut'!I282</f>
        <v>100</v>
      </c>
      <c r="L282" s="191" t="str">
        <f>'1_BD questio brut'!J282</f>
        <v>1975-1990</v>
      </c>
      <c r="M282" s="191" t="str">
        <f>'1_BD questio brut'!K282</f>
        <v>4</v>
      </c>
      <c r="N282" s="191" t="str">
        <f>'1_BD questio brut'!L282</f>
        <v>Pas de réponse</v>
      </c>
      <c r="O282" s="191" t="str">
        <f>'1_BD questio brut'!M282</f>
        <v>Propriétaire occupant</v>
      </c>
      <c r="P282" s="191" t="str">
        <f>'1_BD questio brut'!N282</f>
        <v>Insert / foyer fermé</v>
      </c>
      <c r="Q282" s="191" t="str">
        <f>'1_BD questio brut'!O282</f>
        <v>Chauffage de base</v>
      </c>
      <c r="R282" s="191" t="str">
        <f>'1_BD questio brut'!P282</f>
        <v>Tous les jours</v>
      </c>
      <c r="S282" s="191" t="str">
        <f>'1_BD questio brut'!Q282</f>
        <v>4</v>
      </c>
      <c r="T282" s="191" t="str">
        <f>'1_BD questio brut'!R282</f>
        <v>Avant 1990</v>
      </c>
      <c r="U282" s="191" t="str">
        <f>'1_BD questio brut'!S282</f>
        <v>Bois bûche</v>
      </c>
      <c r="V282" s="191" t="str">
        <f>'1_BD questio brut'!T282</f>
        <v/>
      </c>
      <c r="W282" s="191" t="str">
        <f>'1_BD questio brut'!U282</f>
        <v>11</v>
      </c>
      <c r="X282" s="191" t="str">
        <f>'1_BD questio brut'!V282</f>
        <v>STERES</v>
      </c>
      <c r="Y282" s="191" t="str">
        <f>'1_BD questio brut'!W282</f>
        <v>2</v>
      </c>
      <c r="Z282" s="191" t="str">
        <f>'1_BD questio brut'!X282</f>
        <v/>
      </c>
      <c r="AA282" s="191" t="str">
        <f t="array" ref="AA282">INDEX('Données 1_BD questio'!C:C,MATCH('1_BD questio brut'!$Y$1&amp;'1_BD questio brut'!Y282,'Données 1_BD questio'!A:A&amp;'Données 1_BD questio'!B:B,0))</f>
        <v>Ne sait pas</v>
      </c>
      <c r="AB282" s="191" t="str">
        <f>'1_BD questio brut'!Z282</f>
        <v>2</v>
      </c>
      <c r="AC282" s="191" t="str">
        <f>'1_BD questio brut'!AA282</f>
        <v>&gt; 2 ans</v>
      </c>
      <c r="AD282" s="191" t="str">
        <f>'1_BD questio brut'!AB282</f>
        <v>Feuillus</v>
      </c>
      <c r="AE282" s="191" t="str">
        <f t="array" ref="AE282">INDEX('Données 1_BD questio'!C:C,MATCH('1_BD questio brut'!$AC$1&amp;'1_BD questio brut'!AC282,'Données 1_BD questio'!A:A&amp;'Données 1_BD questio'!B:B,0))</f>
        <v>un professionnel</v>
      </c>
      <c r="AF282" s="191" t="str">
        <f>'1_BD questio brut'!AD282</f>
        <v>1 fois par an</v>
      </c>
      <c r="AG282" s="191" t="str">
        <f>'1_BD questio brut'!AE282</f>
        <v/>
      </c>
      <c r="AH282" s="191" t="str">
        <f>'1_BD questio brut'!AF282</f>
        <v>Poêle</v>
      </c>
      <c r="AI282" s="191" t="str">
        <f>'1_BD questio brut'!AG282</f>
        <v>2</v>
      </c>
      <c r="AJ282" s="191" t="str">
        <f>'1_BD questio brut'!AH282</f>
        <v/>
      </c>
      <c r="AK282" s="191" t="str">
        <f>'1_BD questio brut'!AI282</f>
        <v>Chauffage de base</v>
      </c>
      <c r="AL282" s="191" t="str">
        <f>'1_BD questio brut'!AJ282</f>
        <v>Pas de réponse</v>
      </c>
      <c r="AM282" s="191" t="str">
        <f>'1_BD questio brut'!AK282</f>
        <v>1; 2; 4; 5</v>
      </c>
      <c r="AN282" s="191" t="str">
        <f>'1_BD questio brut'!AL282</f>
        <v/>
      </c>
      <c r="AO282" s="191" t="str">
        <f>'1_BD questio brut'!AM282</f>
        <v>1; 7</v>
      </c>
      <c r="AP282" s="191" t="str">
        <f>'1_BD questio brut'!AN282</f>
        <v/>
      </c>
      <c r="AQ282" s="191" t="str">
        <f>'1_BD questio brut'!AO282</f>
        <v/>
      </c>
    </row>
    <row r="283" spans="1:43" ht="29" hidden="1">
      <c r="A283" s="98">
        <f>INDEX('3_BD instruction total'!A:A,MATCH(C283,'3_BD instruction total'!F:F,0))</f>
        <v>2021</v>
      </c>
      <c r="B283" s="98" t="str">
        <f>INDEX('3_BD instruction total'!C:C,MATCH(C283,'3_BD instruction total'!F:F,0))</f>
        <v>non</v>
      </c>
      <c r="C283" s="191" t="str">
        <f>'1_BD questio brut'!A283</f>
        <v>VRB0295</v>
      </c>
      <c r="D283" s="191" t="str">
        <f t="array" ref="D283">INDEX('Données 1_BD questio'!C:C,MATCH('1_BD questio brut'!$B$1&amp;'1_BD questio brut'!B283,'Données 1_BD questio'!A:A&amp;'Données 1_BD questio'!B:B,0))</f>
        <v>CAPV</v>
      </c>
      <c r="E283" s="191" t="str">
        <f t="array" ref="E283">INDEX('Données 1_BD questio'!C:C,MATCH('1_BD questio brut'!$C$1&amp;'1_BD questio brut'!C283,'Données 1_BD questio'!A:A&amp;'Données 1_BD questio'!B:B,0))</f>
        <v>Employé</v>
      </c>
      <c r="F283" s="191" t="str">
        <f t="array" ref="F283">INDEX('Données 1_BD questio'!C:C,MATCH('1_BD questio brut'!$D$1&amp;'1_BD questio brut'!D283,'Données 1_BD questio'!A:A&amp;'Données 1_BD questio'!B:B,0))</f>
        <v>Employé</v>
      </c>
      <c r="G283" s="191" t="str">
        <f>'1_BD questio brut'!E283</f>
        <v>35 à 49 ans</v>
      </c>
      <c r="H283" s="191">
        <f>'1_BD questio brut'!F283</f>
        <v>4</v>
      </c>
      <c r="I283" s="191" t="str">
        <f>'1_BD questio brut'!G283</f>
        <v>Pas de réponse</v>
      </c>
      <c r="J283" s="191" t="str">
        <f t="array" ref="J283">INDEX('Données 1_BD questio'!C:C,MATCH('1_BD questio brut'!$H$1&amp;'1_BD questio brut'!H283,'Données 1_BD questio'!A:A&amp;'Données 1_BD questio'!B:B,0))</f>
        <v>Maison avec jardin</v>
      </c>
      <c r="K283" s="191">
        <f>'1_BD questio brut'!I283</f>
        <v>98</v>
      </c>
      <c r="L283" s="191" t="str">
        <f>'1_BD questio brut'!J283</f>
        <v>1949-1975</v>
      </c>
      <c r="M283" s="191" t="str">
        <f>'1_BD questio brut'!K283</f>
        <v>1; 4</v>
      </c>
      <c r="N283" s="191" t="str">
        <f>'1_BD questio brut'!L283</f>
        <v>Pas de réponse</v>
      </c>
      <c r="O283" s="191" t="str">
        <f>'1_BD questio brut'!M283</f>
        <v>Propriétaire occupant</v>
      </c>
      <c r="P283" s="191" t="str">
        <f>'1_BD questio brut'!N283</f>
        <v>Foyer ouvert</v>
      </c>
      <c r="Q283" s="191" t="str">
        <f>'1_BD questio brut'!O283</f>
        <v>Chauffage d'apoint</v>
      </c>
      <c r="R283" s="191" t="str">
        <f>'1_BD questio brut'!P283</f>
        <v>1 à 3 jours/mois</v>
      </c>
      <c r="S283" s="191" t="str">
        <f>'1_BD questio brut'!Q283</f>
        <v>2; 3</v>
      </c>
      <c r="T283" s="191" t="str">
        <f>'1_BD questio brut'!R283</f>
        <v>Avant 1990</v>
      </c>
      <c r="U283" s="191" t="str">
        <f>'1_BD questio brut'!S283</f>
        <v>Bois bûche</v>
      </c>
      <c r="V283" s="191" t="str">
        <f>'1_BD questio brut'!T283</f>
        <v/>
      </c>
      <c r="W283" s="191" t="str">
        <f>'1_BD questio brut'!U283</f>
        <v>1</v>
      </c>
      <c r="X283" s="191" t="str">
        <f>'1_BD questio brut'!V283</f>
        <v>M3</v>
      </c>
      <c r="Y283" s="191" t="str">
        <f>'1_BD questio brut'!W283</f>
        <v>1; 3</v>
      </c>
      <c r="Z283" s="191" t="str">
        <f>'1_BD questio brut'!X283</f>
        <v/>
      </c>
      <c r="AA283" s="191" t="str">
        <f t="array" ref="AA283">INDEX('Données 1_BD questio'!C:C,MATCH('1_BD questio brut'!$Y$1&amp;'1_BD questio brut'!Y283,'Données 1_BD questio'!A:A&amp;'Données 1_BD questio'!B:B,0))</f>
        <v>Ne sait pas</v>
      </c>
      <c r="AB283" s="191" t="str">
        <f>'1_BD questio brut'!Z283</f>
        <v>2</v>
      </c>
      <c r="AC283" s="191" t="str">
        <f>'1_BD questio brut'!AA283</f>
        <v>1 à 2 ans</v>
      </c>
      <c r="AD283" s="191" t="str">
        <f>'1_BD questio brut'!AB283</f>
        <v>Les deux</v>
      </c>
      <c r="AE283" s="191" t="str">
        <f t="array" ref="AE283">INDEX('Données 1_BD questio'!C:C,MATCH('1_BD questio brut'!$AC$1&amp;'1_BD questio brut'!AC283,'Données 1_BD questio'!A:A&amp;'Données 1_BD questio'!B:B,0))</f>
        <v>vous-même</v>
      </c>
      <c r="AF283" s="191" t="str">
        <f>'1_BD questio brut'!AD283</f>
        <v>1 fois tous les 2 ans</v>
      </c>
      <c r="AG283" s="191" t="str">
        <f>'1_BD questio brut'!AE283</f>
        <v/>
      </c>
      <c r="AH283" s="191" t="str">
        <f>'1_BD questio brut'!AF283</f>
        <v>Poêle</v>
      </c>
      <c r="AI283" s="191" t="str">
        <f>'1_BD questio brut'!AG283</f>
        <v>1</v>
      </c>
      <c r="AJ283" s="191" t="str">
        <f>'1_BD questio brut'!AH283</f>
        <v/>
      </c>
      <c r="AK283" s="191" t="str">
        <f>'1_BD questio brut'!AI283</f>
        <v>Chauffage d'appoint</v>
      </c>
      <c r="AL283" s="191" t="str">
        <f>'1_BD questio brut'!AJ283</f>
        <v>Pas de réponse</v>
      </c>
      <c r="AM283" s="191" t="str">
        <f>'1_BD questio brut'!AK283</f>
        <v>2; 4</v>
      </c>
      <c r="AN283" s="191" t="str">
        <f>'1_BD questio brut'!AL283</f>
        <v/>
      </c>
      <c r="AO283" s="191" t="str">
        <f>'1_BD questio brut'!AM283</f>
        <v>2</v>
      </c>
      <c r="AP283" s="191" t="str">
        <f>'1_BD questio brut'!AN283</f>
        <v/>
      </c>
      <c r="AQ283" s="191" t="str">
        <f>'1_BD questio brut'!AO283</f>
        <v/>
      </c>
    </row>
    <row r="284" spans="1:43" ht="43.5" hidden="1">
      <c r="A284" s="98">
        <f>INDEX('3_BD instruction total'!A:A,MATCH(C284,'3_BD instruction total'!F:F,0))</f>
        <v>2022</v>
      </c>
      <c r="B284" s="98" t="str">
        <f>INDEX('3_BD instruction total'!C:C,MATCH(C284,'3_BD instruction total'!F:F,0))</f>
        <v>non</v>
      </c>
      <c r="C284" s="191" t="str">
        <f>'1_BD questio brut'!A284</f>
        <v>VRB0296</v>
      </c>
      <c r="D284" s="191" t="str">
        <f t="array" ref="D284">INDEX('Données 1_BD questio'!C:C,MATCH('1_BD questio brut'!$B$1&amp;'1_BD questio brut'!B284,'Données 1_BD questio'!A:A&amp;'Données 1_BD questio'!B:B,0))</f>
        <v>CAPV</v>
      </c>
      <c r="E284" s="191" t="str">
        <f t="array" ref="E284">INDEX('Données 1_BD questio'!C:C,MATCH('1_BD questio brut'!$C$1&amp;'1_BD questio brut'!C284,'Données 1_BD questio'!A:A&amp;'Données 1_BD questio'!B:B,0))</f>
        <v>Cadre</v>
      </c>
      <c r="F284" s="191" t="str">
        <f t="array" ref="F284">INDEX('Données 1_BD questio'!C:C,MATCH('1_BD questio brut'!$D$1&amp;'1_BD questio brut'!D284,'Données 1_BD questio'!A:A&amp;'Données 1_BD questio'!B:B,0))</f>
        <v>Autre,sans activité</v>
      </c>
      <c r="G284" s="191" t="str">
        <f>'1_BD questio brut'!E284</f>
        <v>35 à 49 ans</v>
      </c>
      <c r="H284" s="191">
        <f>'1_BD questio brut'!F284</f>
        <v>4</v>
      </c>
      <c r="I284" s="191" t="str">
        <f>'1_BD questio brut'!G284</f>
        <v>Pas de réponse</v>
      </c>
      <c r="J284" s="191" t="str">
        <f t="array" ref="J284">INDEX('Données 1_BD questio'!C:C,MATCH('1_BD questio brut'!$H$1&amp;'1_BD questio brut'!H284,'Données 1_BD questio'!A:A&amp;'Données 1_BD questio'!B:B,0))</f>
        <v>Maison avec jardin</v>
      </c>
      <c r="K284" s="191">
        <f>'1_BD questio brut'!I284</f>
        <v>100</v>
      </c>
      <c r="L284" s="191" t="str">
        <f>'1_BD questio brut'!J284</f>
        <v>Avant 1949</v>
      </c>
      <c r="M284" s="191" t="str">
        <f>'1_BD questio brut'!K284</f>
        <v>1; 4</v>
      </c>
      <c r="N284" s="191" t="str">
        <f>'1_BD questio brut'!L284</f>
        <v>D</v>
      </c>
      <c r="O284" s="191" t="str">
        <f>'1_BD questio brut'!M284</f>
        <v>Propriétaire occupant</v>
      </c>
      <c r="P284" s="191" t="str">
        <f>'1_BD questio brut'!N284</f>
        <v>Foyer ouvert</v>
      </c>
      <c r="Q284" s="191" t="str">
        <f>'1_BD questio brut'!O284</f>
        <v>Chauffage d'apoint</v>
      </c>
      <c r="R284" s="191" t="str">
        <f>'1_BD questio brut'!P284</f>
        <v>1 à 2 jours/semaine</v>
      </c>
      <c r="S284" s="191" t="str">
        <f>'1_BD questio brut'!Q284</f>
        <v>2</v>
      </c>
      <c r="T284" s="191" t="str">
        <f>'1_BD questio brut'!R284</f>
        <v>Avant 1990</v>
      </c>
      <c r="U284" s="191" t="str">
        <f>'1_BD questio brut'!S284</f>
        <v>Bois bûche</v>
      </c>
      <c r="V284" s="191" t="str">
        <f>'1_BD questio brut'!T284</f>
        <v/>
      </c>
      <c r="W284" s="191" t="str">
        <f>'1_BD questio brut'!U284</f>
        <v>1</v>
      </c>
      <c r="X284" s="191" t="str">
        <f>'1_BD questio brut'!V284</f>
        <v>STERE</v>
      </c>
      <c r="Y284" s="191" t="str">
        <f>'1_BD questio brut'!W284</f>
        <v>1</v>
      </c>
      <c r="Z284" s="191" t="str">
        <f>'1_BD questio brut'!X284</f>
        <v/>
      </c>
      <c r="AA284" s="191" t="str">
        <f t="array" ref="AA284">INDEX('Données 1_BD questio'!C:C,MATCH('1_BD questio brut'!$Y$1&amp;'1_BD questio brut'!Y284,'Données 1_BD questio'!A:A&amp;'Données 1_BD questio'!B:B,0))</f>
        <v>Rhône-Alpes hors RA2B</v>
      </c>
      <c r="AB284" s="191" t="str">
        <f>'1_BD questio brut'!Z284</f>
        <v>2</v>
      </c>
      <c r="AC284" s="191" t="str">
        <f>'1_BD questio brut'!AA284</f>
        <v>&gt; 2 ans</v>
      </c>
      <c r="AD284" s="191" t="str">
        <f>'1_BD questio brut'!AB284</f>
        <v>Résineux</v>
      </c>
      <c r="AE284" s="191" t="str">
        <f t="array" ref="AE284">INDEX('Données 1_BD questio'!C:C,MATCH('1_BD questio brut'!$AC$1&amp;'1_BD questio brut'!AC284,'Données 1_BD questio'!A:A&amp;'Données 1_BD questio'!B:B,0))</f>
        <v>vous-même</v>
      </c>
      <c r="AF284" s="191" t="str">
        <f>'1_BD questio brut'!AD284</f>
        <v>1 fois par an</v>
      </c>
      <c r="AG284" s="191" t="str">
        <f>'1_BD questio brut'!AE284</f>
        <v/>
      </c>
      <c r="AH284" s="191" t="str">
        <f>'1_BD questio brut'!AF284</f>
        <v>Poêle</v>
      </c>
      <c r="AI284" s="191" t="str">
        <f>'1_BD questio brut'!AG284</f>
        <v>2</v>
      </c>
      <c r="AJ284" s="191" t="str">
        <f>'1_BD questio brut'!AH284</f>
        <v/>
      </c>
      <c r="AK284" s="191" t="str">
        <f>'1_BD questio brut'!AI284</f>
        <v>Chauffage d'appoint</v>
      </c>
      <c r="AL284" s="191" t="str">
        <f>'1_BD questio brut'!AJ284</f>
        <v>Pas de réponse</v>
      </c>
      <c r="AM284" s="191" t="str">
        <f>'1_BD questio brut'!AK284</f>
        <v>2; 5; 6</v>
      </c>
      <c r="AN284" s="191" t="str">
        <f>'1_BD questio brut'!AL284</f>
        <v>BAISSER LE BILAN CARBONE</v>
      </c>
      <c r="AO284" s="191" t="str">
        <f>'1_BD questio brut'!AM284</f>
        <v>11</v>
      </c>
      <c r="AP284" s="191" t="str">
        <f>'1_BD questio brut'!AN284</f>
        <v/>
      </c>
      <c r="AQ284" s="191" t="str">
        <f>'1_BD questio brut'!AO284</f>
        <v/>
      </c>
    </row>
    <row r="285" spans="1:43" ht="43.5" hidden="1">
      <c r="A285" s="98">
        <f>INDEX('3_BD instruction total'!A:A,MATCH(C285,'3_BD instruction total'!F:F,0))</f>
        <v>2021</v>
      </c>
      <c r="B285" s="98" t="str">
        <f>INDEX('3_BD instruction total'!C:C,MATCH(C285,'3_BD instruction total'!F:F,0))</f>
        <v>non</v>
      </c>
      <c r="C285" s="191" t="str">
        <f>'1_BD questio brut'!A285</f>
        <v>VRB0297</v>
      </c>
      <c r="D285" s="191" t="str">
        <f t="array" ref="D285">INDEX('Données 1_BD questio'!C:C,MATCH('1_BD questio brut'!$B$1&amp;'1_BD questio brut'!B285,'Données 1_BD questio'!A:A&amp;'Données 1_BD questio'!B:B,0))</f>
        <v>CAPV</v>
      </c>
      <c r="E285" s="191" t="str">
        <f t="array" ref="E285">INDEX('Données 1_BD questio'!C:C,MATCH('1_BD questio brut'!$C$1&amp;'1_BD questio brut'!C285,'Données 1_BD questio'!A:A&amp;'Données 1_BD questio'!B:B,0))</f>
        <v>Artisan,commerçant,chef d'entreprise</v>
      </c>
      <c r="F285" s="191" t="str">
        <f t="array" ref="F285">INDEX('Données 1_BD questio'!C:C,MATCH('1_BD questio brut'!$D$1&amp;'1_BD questio brut'!D285,'Données 1_BD questio'!A:A&amp;'Données 1_BD questio'!B:B,0))</f>
        <v>Employé</v>
      </c>
      <c r="G285" s="191" t="str">
        <f>'1_BD questio brut'!E285</f>
        <v>35 à 49 ans</v>
      </c>
      <c r="H285" s="191">
        <f>'1_BD questio brut'!F285</f>
        <v>4</v>
      </c>
      <c r="I285" s="191" t="str">
        <f>'1_BD questio brut'!G285</f>
        <v>Pas de réponse</v>
      </c>
      <c r="J285" s="191" t="str">
        <f t="array" ref="J285">INDEX('Données 1_BD questio'!C:C,MATCH('1_BD questio brut'!$H$1&amp;'1_BD questio brut'!H285,'Données 1_BD questio'!A:A&amp;'Données 1_BD questio'!B:B,0))</f>
        <v>Maison avec jardin</v>
      </c>
      <c r="K285" s="191">
        <f>'1_BD questio brut'!I285</f>
        <v>195</v>
      </c>
      <c r="L285" s="191" t="str">
        <f>'1_BD questio brut'!J285</f>
        <v>1949-1975</v>
      </c>
      <c r="M285" s="191" t="str">
        <f>'1_BD questio brut'!K285</f>
        <v>3; 4</v>
      </c>
      <c r="N285" s="191" t="str">
        <f>'1_BD questio brut'!L285</f>
        <v>Pas de réponse</v>
      </c>
      <c r="O285" s="191" t="str">
        <f>'1_BD questio brut'!M285</f>
        <v>Propriétaire occupant</v>
      </c>
      <c r="P285" s="191" t="str">
        <f>'1_BD questio brut'!N285</f>
        <v>Foyer ouvert</v>
      </c>
      <c r="Q285" s="191" t="str">
        <f>'1_BD questio brut'!O285</f>
        <v>Chauffage d'apoint</v>
      </c>
      <c r="R285" s="191" t="str">
        <f>'1_BD questio brut'!P285</f>
        <v>3 à 4 jours/semaine</v>
      </c>
      <c r="S285" s="191" t="str">
        <f>'1_BD questio brut'!Q285</f>
        <v>2</v>
      </c>
      <c r="T285" s="191" t="str">
        <f>'1_BD questio brut'!R285</f>
        <v>Avant 1990</v>
      </c>
      <c r="U285" s="191" t="str">
        <f>'1_BD questio brut'!S285</f>
        <v>Bois bûche</v>
      </c>
      <c r="V285" s="191" t="str">
        <f>'1_BD questio brut'!T285</f>
        <v/>
      </c>
      <c r="W285" s="191" t="str">
        <f>'1_BD questio brut'!U285</f>
        <v>4</v>
      </c>
      <c r="X285" s="191" t="str">
        <f>'1_BD questio brut'!V285</f>
        <v>STERES</v>
      </c>
      <c r="Y285" s="191" t="str">
        <f>'1_BD questio brut'!W285</f>
        <v>2</v>
      </c>
      <c r="Z285" s="191" t="str">
        <f>'1_BD questio brut'!X285</f>
        <v/>
      </c>
      <c r="AA285" s="191" t="str">
        <f t="array" ref="AA285">INDEX('Données 1_BD questio'!C:C,MATCH('1_BD questio brut'!$Y$1&amp;'1_BD questio brut'!Y285,'Données 1_BD questio'!A:A&amp;'Données 1_BD questio'!B:B,0))</f>
        <v>Pas de réponse</v>
      </c>
      <c r="AB285" s="191" t="str">
        <f>'1_BD questio brut'!Z285</f>
        <v>2</v>
      </c>
      <c r="AC285" s="191" t="str">
        <f>'1_BD questio brut'!AA285</f>
        <v>&gt; 2 ans</v>
      </c>
      <c r="AD285" s="191" t="str">
        <f>'1_BD questio brut'!AB285</f>
        <v>Feuillus</v>
      </c>
      <c r="AE285" s="191" t="str">
        <f t="array" ref="AE285">INDEX('Données 1_BD questio'!C:C,MATCH('1_BD questio brut'!$AC$1&amp;'1_BD questio brut'!AC285,'Données 1_BD questio'!A:A&amp;'Données 1_BD questio'!B:B,0))</f>
        <v>un professionnel</v>
      </c>
      <c r="AF285" s="191" t="str">
        <f>'1_BD questio brut'!AD285</f>
        <v>1 fois par an</v>
      </c>
      <c r="AG285" s="191" t="str">
        <f>'1_BD questio brut'!AE285</f>
        <v/>
      </c>
      <c r="AH285" s="191" t="str">
        <f>'1_BD questio brut'!AF285</f>
        <v>Poêle</v>
      </c>
      <c r="AI285" s="191" t="str">
        <f>'1_BD questio brut'!AG285</f>
        <v>1</v>
      </c>
      <c r="AJ285" s="191" t="str">
        <f>'1_BD questio brut'!AH285</f>
        <v/>
      </c>
      <c r="AK285" s="191" t="str">
        <f>'1_BD questio brut'!AI285</f>
        <v>Chauffage d'appoint</v>
      </c>
      <c r="AL285" s="191" t="str">
        <f>'1_BD questio brut'!AJ285</f>
        <v>Pas de réponse</v>
      </c>
      <c r="AM285" s="191" t="str">
        <f>'1_BD questio brut'!AK285</f>
        <v>1; 2; 4; 5</v>
      </c>
      <c r="AN285" s="191" t="str">
        <f>'1_BD questio brut'!AL285</f>
        <v/>
      </c>
      <c r="AO285" s="191" t="str">
        <f>'1_BD questio brut'!AM285</f>
        <v>11</v>
      </c>
      <c r="AP285" s="191" t="str">
        <f>'1_BD questio brut'!AN285</f>
        <v/>
      </c>
      <c r="AQ285" s="191" t="str">
        <f>'1_BD questio brut'!AO285</f>
        <v/>
      </c>
    </row>
    <row r="286" spans="1:43" ht="43.5" hidden="1">
      <c r="A286" s="98">
        <f>INDEX('3_BD instruction total'!A:A,MATCH(C286,'3_BD instruction total'!F:F,0))</f>
        <v>2022</v>
      </c>
      <c r="B286" s="98" t="str">
        <f>INDEX('3_BD instruction total'!C:C,MATCH(C286,'3_BD instruction total'!F:F,0))</f>
        <v>non</v>
      </c>
      <c r="C286" s="191" t="str">
        <f>'1_BD questio brut'!A286</f>
        <v>VRB0298</v>
      </c>
      <c r="D286" s="191" t="str">
        <f t="array" ref="D286">INDEX('Données 1_BD questio'!C:C,MATCH('1_BD questio brut'!$B$1&amp;'1_BD questio brut'!B286,'Données 1_BD questio'!A:A&amp;'Données 1_BD questio'!B:B,0))</f>
        <v>CAPV</v>
      </c>
      <c r="E286" s="191" t="str">
        <f t="array" ref="E286">INDEX('Données 1_BD questio'!C:C,MATCH('1_BD questio brut'!$C$1&amp;'1_BD questio brut'!C286,'Données 1_BD questio'!A:A&amp;'Données 1_BD questio'!B:B,0))</f>
        <v>Profession intermédiaire</v>
      </c>
      <c r="F286" s="191" t="str">
        <f t="array" ref="F286">INDEX('Données 1_BD questio'!C:C,MATCH('1_BD questio brut'!$D$1&amp;'1_BD questio brut'!D286,'Données 1_BD questio'!A:A&amp;'Données 1_BD questio'!B:B,0))</f>
        <v>Profession intermédiaire</v>
      </c>
      <c r="G286" s="191" t="str">
        <f>'1_BD questio brut'!E286</f>
        <v>50 à 64 ans</v>
      </c>
      <c r="H286" s="191">
        <f>'1_BD questio brut'!F286</f>
        <v>2</v>
      </c>
      <c r="I286" s="191" t="str">
        <f>'1_BD questio brut'!G286</f>
        <v>Pas de réponse</v>
      </c>
      <c r="J286" s="191" t="str">
        <f t="array" ref="J286">INDEX('Données 1_BD questio'!C:C,MATCH('1_BD questio brut'!$H$1&amp;'1_BD questio brut'!H286,'Données 1_BD questio'!A:A&amp;'Données 1_BD questio'!B:B,0))</f>
        <v>Maison avec jardin</v>
      </c>
      <c r="K286" s="191">
        <f>'1_BD questio brut'!I286</f>
        <v>140</v>
      </c>
      <c r="L286" s="191" t="str">
        <f>'1_BD questio brut'!J286</f>
        <v>1975-1990</v>
      </c>
      <c r="M286" s="191" t="str">
        <f>'1_BD questio brut'!K286</f>
        <v>4</v>
      </c>
      <c r="N286" s="191" t="str">
        <f>'1_BD questio brut'!L286</f>
        <v>Pas de réponse</v>
      </c>
      <c r="O286" s="191" t="str">
        <f>'1_BD questio brut'!M286</f>
        <v>Propriétaire occupant</v>
      </c>
      <c r="P286" s="191" t="str">
        <f>'1_BD questio brut'!N286</f>
        <v>Foyer ouvert</v>
      </c>
      <c r="Q286" s="191" t="str">
        <f>'1_BD questio brut'!O286</f>
        <v>Chauffage d'apoint</v>
      </c>
      <c r="R286" s="191" t="str">
        <f>'1_BD questio brut'!P286</f>
        <v>1 à 2 jours/semaine</v>
      </c>
      <c r="S286" s="191" t="str">
        <f>'1_BD questio brut'!Q286</f>
        <v>3; 4; 6</v>
      </c>
      <c r="T286" s="191" t="str">
        <f>'1_BD questio brut'!R286</f>
        <v>Avant 1990</v>
      </c>
      <c r="U286" s="191" t="str">
        <f>'1_BD questio brut'!S286</f>
        <v>Bois bûche</v>
      </c>
      <c r="V286" s="191" t="str">
        <f>'1_BD questio brut'!T286</f>
        <v/>
      </c>
      <c r="W286" s="191" t="str">
        <f>'1_BD questio brut'!U286</f>
        <v>4</v>
      </c>
      <c r="X286" s="191" t="str">
        <f>'1_BD questio brut'!V286</f>
        <v>STERES</v>
      </c>
      <c r="Y286" s="191" t="str">
        <f>'1_BD questio brut'!W286</f>
        <v>2</v>
      </c>
      <c r="Z286" s="191" t="str">
        <f>'1_BD questio brut'!X286</f>
        <v/>
      </c>
      <c r="AA286" s="191" t="str">
        <f t="array" ref="AA286">INDEX('Données 1_BD questio'!C:C,MATCH('1_BD questio brut'!$Y$1&amp;'1_BD questio brut'!Y286,'Données 1_BD questio'!A:A&amp;'Données 1_BD questio'!B:B,0))</f>
        <v>Rhône-Alpes hors RA2B</v>
      </c>
      <c r="AB286" s="191" t="str">
        <f>'1_BD questio brut'!Z286</f>
        <v>2</v>
      </c>
      <c r="AC286" s="191" t="str">
        <f>'1_BD questio brut'!AA286</f>
        <v>1 à 2 ans</v>
      </c>
      <c r="AD286" s="191" t="str">
        <f>'1_BD questio brut'!AB286</f>
        <v>Feuillus</v>
      </c>
      <c r="AE286" s="191" t="str">
        <f t="array" ref="AE286">INDEX('Données 1_BD questio'!C:C,MATCH('1_BD questio brut'!$AC$1&amp;'1_BD questio brut'!AC286,'Données 1_BD questio'!A:A&amp;'Données 1_BD questio'!B:B,0))</f>
        <v>un professionnel</v>
      </c>
      <c r="AF286" s="191" t="str">
        <f>'1_BD questio brut'!AD286</f>
        <v>1 fois par an</v>
      </c>
      <c r="AG286" s="191" t="str">
        <f>'1_BD questio brut'!AE286</f>
        <v/>
      </c>
      <c r="AH286" s="191" t="str">
        <f>'1_BD questio brut'!AF286</f>
        <v>Poêle</v>
      </c>
      <c r="AI286" s="191" t="str">
        <f>'1_BD questio brut'!AG286</f>
        <v>2</v>
      </c>
      <c r="AJ286" s="191" t="str">
        <f>'1_BD questio brut'!AH286</f>
        <v/>
      </c>
      <c r="AK286" s="191" t="str">
        <f>'1_BD questio brut'!AI286</f>
        <v>Chauffage de base</v>
      </c>
      <c r="AL286" s="191" t="str">
        <f>'1_BD questio brut'!AJ286</f>
        <v>Pas de réponse</v>
      </c>
      <c r="AM286" s="191" t="str">
        <f>'1_BD questio brut'!AK286</f>
        <v>1; 2; 4; 5</v>
      </c>
      <c r="AN286" s="191" t="str">
        <f>'1_BD questio brut'!AL286</f>
        <v/>
      </c>
      <c r="AO286" s="191" t="str">
        <f>'1_BD questio brut'!AM286</f>
        <v>5</v>
      </c>
      <c r="AP286" s="191" t="str">
        <f>'1_BD questio brut'!AN286</f>
        <v/>
      </c>
      <c r="AQ286" s="191" t="str">
        <f>'1_BD questio brut'!AO286</f>
        <v/>
      </c>
    </row>
    <row r="287" spans="1:43" ht="43.5" hidden="1">
      <c r="A287" s="98">
        <f>INDEX('3_BD instruction total'!A:A,MATCH(C287,'3_BD instruction total'!F:F,0))</f>
        <v>2021</v>
      </c>
      <c r="B287" s="98" t="str">
        <f>INDEX('3_BD instruction total'!C:C,MATCH(C287,'3_BD instruction total'!F:F,0))</f>
        <v>non</v>
      </c>
      <c r="C287" s="191" t="str">
        <f>'1_BD questio brut'!A287</f>
        <v>VRB0299</v>
      </c>
      <c r="D287" s="191" t="str">
        <f t="array" ref="D287">INDEX('Données 1_BD questio'!C:C,MATCH('1_BD questio brut'!$B$1&amp;'1_BD questio brut'!B287,'Données 1_BD questio'!A:A&amp;'Données 1_BD questio'!B:B,0))</f>
        <v>CAPV</v>
      </c>
      <c r="E287" s="191" t="str">
        <f t="array" ref="E287">INDEX('Données 1_BD questio'!C:C,MATCH('1_BD questio brut'!$C$1&amp;'1_BD questio brut'!C287,'Données 1_BD questio'!A:A&amp;'Données 1_BD questio'!B:B,0))</f>
        <v>Cadre</v>
      </c>
      <c r="F287" s="191" t="str">
        <f t="array" ref="F287">INDEX('Données 1_BD questio'!C:C,MATCH('1_BD questio brut'!$D$1&amp;'1_BD questio brut'!D287,'Données 1_BD questio'!A:A&amp;'Données 1_BD questio'!B:B,0))</f>
        <v>Cadre</v>
      </c>
      <c r="G287" s="191" t="str">
        <f>'1_BD questio brut'!E287</f>
        <v>50 à 64 ans</v>
      </c>
      <c r="H287" s="191">
        <f>'1_BD questio brut'!F287</f>
        <v>3</v>
      </c>
      <c r="I287" s="191" t="str">
        <f>'1_BD questio brut'!G287</f>
        <v>Pas de réponse</v>
      </c>
      <c r="J287" s="191" t="str">
        <f t="array" ref="J287">INDEX('Données 1_BD questio'!C:C,MATCH('1_BD questio brut'!$H$1&amp;'1_BD questio brut'!H287,'Données 1_BD questio'!A:A&amp;'Données 1_BD questio'!B:B,0))</f>
        <v>Maison avec jardin</v>
      </c>
      <c r="K287" s="191">
        <f>'1_BD questio brut'!I287</f>
        <v>120</v>
      </c>
      <c r="L287" s="191" t="str">
        <f>'1_BD questio brut'!J287</f>
        <v>1949-1975</v>
      </c>
      <c r="M287" s="191" t="str">
        <f>'1_BD questio brut'!K287</f>
        <v>1; 4</v>
      </c>
      <c r="N287" s="191" t="str">
        <f>'1_BD questio brut'!L287</f>
        <v>Ne sait pas</v>
      </c>
      <c r="O287" s="191" t="str">
        <f>'1_BD questio brut'!M287</f>
        <v>Propriétaire occupant</v>
      </c>
      <c r="P287" s="191" t="str">
        <f>'1_BD questio brut'!N287</f>
        <v>Insert / foyer fermé</v>
      </c>
      <c r="Q287" s="191" t="str">
        <f>'1_BD questio brut'!O287</f>
        <v>Chauffage de base</v>
      </c>
      <c r="R287" s="191" t="str">
        <f>'1_BD questio brut'!P287</f>
        <v>3 à 4 jours/semaine</v>
      </c>
      <c r="S287" s="191" t="str">
        <f>'1_BD questio brut'!Q287</f>
        <v>4</v>
      </c>
      <c r="T287" s="191" t="str">
        <f>'1_BD questio brut'!R287</f>
        <v>Avant 1990</v>
      </c>
      <c r="U287" s="191" t="str">
        <f>'1_BD questio brut'!S287</f>
        <v>Bois bûche</v>
      </c>
      <c r="V287" s="191" t="str">
        <f>'1_BD questio brut'!T287</f>
        <v/>
      </c>
      <c r="W287" s="191" t="str">
        <f>'1_BD questio brut'!U287</f>
        <v>4</v>
      </c>
      <c r="X287" s="191" t="str">
        <f>'1_BD questio brut'!V287</f>
        <v>TONNES</v>
      </c>
      <c r="Y287" s="191" t="str">
        <f>'1_BD questio brut'!W287</f>
        <v>2</v>
      </c>
      <c r="Z287" s="191" t="str">
        <f>'1_BD questio brut'!X287</f>
        <v/>
      </c>
      <c r="AA287" s="191" t="str">
        <f t="array" ref="AA287">INDEX('Données 1_BD questio'!C:C,MATCH('1_BD questio brut'!$Y$1&amp;'1_BD questio brut'!Y287,'Données 1_BD questio'!A:A&amp;'Données 1_BD questio'!B:B,0))</f>
        <v>Rhône-Alpes hors RA2B</v>
      </c>
      <c r="AB287" s="191" t="str">
        <f>'1_BD questio brut'!Z287</f>
        <v>2</v>
      </c>
      <c r="AC287" s="191" t="str">
        <f>'1_BD questio brut'!AA287</f>
        <v>1 à 2 ans</v>
      </c>
      <c r="AD287" s="191" t="str">
        <f>'1_BD questio brut'!AB287</f>
        <v>Feuillus</v>
      </c>
      <c r="AE287" s="191" t="str">
        <f t="array" ref="AE287">INDEX('Données 1_BD questio'!C:C,MATCH('1_BD questio brut'!$AC$1&amp;'1_BD questio brut'!AC287,'Données 1_BD questio'!A:A&amp;'Données 1_BD questio'!B:B,0))</f>
        <v>vous-même</v>
      </c>
      <c r="AF287" s="191" t="str">
        <f>'1_BD questio brut'!AD287</f>
        <v>1 fois tous les 2 ans</v>
      </c>
      <c r="AG287" s="191" t="str">
        <f>'1_BD questio brut'!AE287</f>
        <v/>
      </c>
      <c r="AH287" s="191" t="str">
        <f>'1_BD questio brut'!AF287</f>
        <v>Poêle</v>
      </c>
      <c r="AI287" s="191" t="str">
        <f>'1_BD questio brut'!AG287</f>
        <v>2</v>
      </c>
      <c r="AJ287" s="191" t="str">
        <f>'1_BD questio brut'!AH287</f>
        <v/>
      </c>
      <c r="AK287" s="191" t="str">
        <f>'1_BD questio brut'!AI287</f>
        <v>Chauffage de base</v>
      </c>
      <c r="AL287" s="191" t="str">
        <f>'1_BD questio brut'!AJ287</f>
        <v>Pas de réponse</v>
      </c>
      <c r="AM287" s="191" t="str">
        <f>'1_BD questio brut'!AK287</f>
        <v>2; 4; 5</v>
      </c>
      <c r="AN287" s="191" t="str">
        <f>'1_BD questio brut'!AL287</f>
        <v/>
      </c>
      <c r="AO287" s="191" t="str">
        <f>'1_BD questio brut'!AM287</f>
        <v>7</v>
      </c>
      <c r="AP287" s="191" t="str">
        <f>'1_BD questio brut'!AN287</f>
        <v/>
      </c>
      <c r="AQ287" s="191" t="str">
        <f>'1_BD questio brut'!AO287</f>
        <v/>
      </c>
    </row>
    <row r="288" spans="1:43" ht="43.5" hidden="1">
      <c r="A288" s="98">
        <f>INDEX('3_BD instruction total'!A:A,MATCH(C288,'3_BD instruction total'!F:F,0))</f>
        <v>2021</v>
      </c>
      <c r="B288" s="98" t="str">
        <f>INDEX('3_BD instruction total'!C:C,MATCH(C288,'3_BD instruction total'!F:F,0))</f>
        <v>non</v>
      </c>
      <c r="C288" s="191" t="str">
        <f>'1_BD questio brut'!A288</f>
        <v>VRB0300</v>
      </c>
      <c r="D288" s="191" t="str">
        <f t="array" ref="D288">INDEX('Données 1_BD questio'!C:C,MATCH('1_BD questio brut'!$B$1&amp;'1_BD questio brut'!B288,'Données 1_BD questio'!A:A&amp;'Données 1_BD questio'!B:B,0))</f>
        <v>CAPV</v>
      </c>
      <c r="E288" s="191" t="str">
        <f t="array" ref="E288">INDEX('Données 1_BD questio'!C:C,MATCH('1_BD questio brut'!$C$1&amp;'1_BD questio brut'!C288,'Données 1_BD questio'!A:A&amp;'Données 1_BD questio'!B:B,0))</f>
        <v>Retraité</v>
      </c>
      <c r="F288" s="191" t="str">
        <f t="array" ref="F288">INDEX('Données 1_BD questio'!C:C,MATCH('1_BD questio brut'!$D$1&amp;'1_BD questio brut'!D288,'Données 1_BD questio'!A:A&amp;'Données 1_BD questio'!B:B,0))</f>
        <v>Pas de réponse</v>
      </c>
      <c r="G288" s="191" t="str">
        <f>'1_BD questio brut'!E288</f>
        <v>65 ans et plus</v>
      </c>
      <c r="H288" s="191">
        <f>'1_BD questio brut'!F288</f>
        <v>1</v>
      </c>
      <c r="I288" s="191" t="str">
        <f>'1_BD questio brut'!G288</f>
        <v>Pas de réponse</v>
      </c>
      <c r="J288" s="191" t="str">
        <f t="array" ref="J288">INDEX('Données 1_BD questio'!C:C,MATCH('1_BD questio brut'!$H$1&amp;'1_BD questio brut'!H288,'Données 1_BD questio'!A:A&amp;'Données 1_BD questio'!B:B,0))</f>
        <v>Maison avec jardin</v>
      </c>
      <c r="K288" s="191">
        <f>'1_BD questio brut'!I288</f>
        <v>0</v>
      </c>
      <c r="L288" s="191" t="str">
        <f>'1_BD questio brut'!J288</f>
        <v>Avant 1949</v>
      </c>
      <c r="M288" s="191" t="str">
        <f>'1_BD questio brut'!K288</f>
        <v>6</v>
      </c>
      <c r="N288" s="191" t="str">
        <f>'1_BD questio brut'!L288</f>
        <v>Pas de réponse</v>
      </c>
      <c r="O288" s="191" t="str">
        <f>'1_BD questio brut'!M288</f>
        <v>Propriétaire occupant</v>
      </c>
      <c r="P288" s="191" t="str">
        <f>'1_BD questio brut'!N288</f>
        <v>Poêle</v>
      </c>
      <c r="Q288" s="191" t="str">
        <f>'1_BD questio brut'!O288</f>
        <v>Chauffage d'apoint</v>
      </c>
      <c r="R288" s="191" t="str">
        <f>'1_BD questio brut'!P288</f>
        <v>3 à 4 jours/semaine</v>
      </c>
      <c r="S288" s="191" t="str">
        <f>'1_BD questio brut'!Q288</f>
        <v>3; 4</v>
      </c>
      <c r="T288" s="191" t="str">
        <f>'1_BD questio brut'!R288</f>
        <v>Avant 1990</v>
      </c>
      <c r="U288" s="191" t="str">
        <f>'1_BD questio brut'!S288</f>
        <v>Bois bûche</v>
      </c>
      <c r="V288" s="191" t="str">
        <f>'1_BD questio brut'!T288</f>
        <v/>
      </c>
      <c r="W288" s="191" t="str">
        <f>'1_BD questio brut'!U288</f>
        <v>2</v>
      </c>
      <c r="X288" s="191" t="str">
        <f>'1_BD questio brut'!V288</f>
        <v>STERES</v>
      </c>
      <c r="Y288" s="191" t="str">
        <f>'1_BD questio brut'!W288</f>
        <v>1</v>
      </c>
      <c r="Z288" s="191" t="str">
        <f>'1_BD questio brut'!X288</f>
        <v/>
      </c>
      <c r="AA288" s="191" t="str">
        <f t="array" ref="AA288">INDEX('Données 1_BD questio'!C:C,MATCH('1_BD questio brut'!$Y$1&amp;'1_BD questio brut'!Y288,'Données 1_BD questio'!A:A&amp;'Données 1_BD questio'!B:B,0))</f>
        <v>Pas de réponse</v>
      </c>
      <c r="AB288" s="191" t="str">
        <f>'1_BD questio brut'!Z288</f>
        <v>1</v>
      </c>
      <c r="AC288" s="191" t="str">
        <f>'1_BD questio brut'!AA288</f>
        <v>&gt; 2 ans</v>
      </c>
      <c r="AD288" s="191" t="str">
        <f>'1_BD questio brut'!AB288</f>
        <v>Feuillus</v>
      </c>
      <c r="AE288" s="191" t="str">
        <f t="array" ref="AE288">INDEX('Données 1_BD questio'!C:C,MATCH('1_BD questio brut'!$AC$1&amp;'1_BD questio brut'!AC288,'Données 1_BD questio'!A:A&amp;'Données 1_BD questio'!B:B,0))</f>
        <v>vous-même</v>
      </c>
      <c r="AF288" s="191" t="str">
        <f>'1_BD questio brut'!AD288</f>
        <v>1 fois par an</v>
      </c>
      <c r="AG288" s="191" t="str">
        <f>'1_BD questio brut'!AE288</f>
        <v/>
      </c>
      <c r="AH288" s="191" t="str">
        <f>'1_BD questio brut'!AF288</f>
        <v>Poêle</v>
      </c>
      <c r="AI288" s="191" t="str">
        <f>'1_BD questio brut'!AG288</f>
        <v>1</v>
      </c>
      <c r="AJ288" s="191" t="str">
        <f>'1_BD questio brut'!AH288</f>
        <v/>
      </c>
      <c r="AK288" s="191" t="str">
        <f>'1_BD questio brut'!AI288</f>
        <v>Chauffage d'appoint</v>
      </c>
      <c r="AL288" s="191" t="str">
        <f>'1_BD questio brut'!AJ288</f>
        <v>Pas de réponse</v>
      </c>
      <c r="AM288" s="191" t="str">
        <f>'1_BD questio brut'!AK288</f>
        <v>4; 5</v>
      </c>
      <c r="AN288" s="191" t="str">
        <f>'1_BD questio brut'!AL288</f>
        <v/>
      </c>
      <c r="AO288" s="191" t="str">
        <f>'1_BD questio brut'!AM288</f>
        <v>5</v>
      </c>
      <c r="AP288" s="191" t="str">
        <f>'1_BD questio brut'!AN288</f>
        <v/>
      </c>
      <c r="AQ288" s="191" t="str">
        <f>'1_BD questio brut'!AO288</f>
        <v/>
      </c>
    </row>
    <row r="289" spans="1:43" ht="43.5" hidden="1">
      <c r="A289" s="98">
        <f>INDEX('3_BD instruction total'!A:A,MATCH(C289,'3_BD instruction total'!F:F,0))</f>
        <v>2021</v>
      </c>
      <c r="B289" s="98" t="str">
        <f>INDEX('3_BD instruction total'!C:C,MATCH(C289,'3_BD instruction total'!F:F,0))</f>
        <v>non</v>
      </c>
      <c r="C289" s="191" t="str">
        <f>'1_BD questio brut'!A289</f>
        <v>VRB0301</v>
      </c>
      <c r="D289" s="191" t="str">
        <f t="array" ref="D289">INDEX('Données 1_BD questio'!C:C,MATCH('1_BD questio brut'!$B$1&amp;'1_BD questio brut'!B289,'Données 1_BD questio'!A:A&amp;'Données 1_BD questio'!B:B,0))</f>
        <v>CAPV</v>
      </c>
      <c r="E289" s="191" t="str">
        <f t="array" ref="E289">INDEX('Données 1_BD questio'!C:C,MATCH('1_BD questio brut'!$C$1&amp;'1_BD questio brut'!C289,'Données 1_BD questio'!A:A&amp;'Données 1_BD questio'!B:B,0))</f>
        <v>Employé</v>
      </c>
      <c r="F289" s="191" t="str">
        <f t="array" ref="F289">INDEX('Données 1_BD questio'!C:C,MATCH('1_BD questio brut'!$D$1&amp;'1_BD questio brut'!D289,'Données 1_BD questio'!A:A&amp;'Données 1_BD questio'!B:B,0))</f>
        <v>Pas de réponse</v>
      </c>
      <c r="G289" s="191" t="str">
        <f>'1_BD questio brut'!E289</f>
        <v>Pas de réponse</v>
      </c>
      <c r="H289" s="191">
        <f>'1_BD questio brut'!F289</f>
        <v>1</v>
      </c>
      <c r="I289" s="191" t="str">
        <f>'1_BD questio brut'!G289</f>
        <v>Pas de réponse</v>
      </c>
      <c r="J289" s="191" t="str">
        <f t="array" ref="J289">INDEX('Données 1_BD questio'!C:C,MATCH('1_BD questio brut'!$H$1&amp;'1_BD questio brut'!H289,'Données 1_BD questio'!A:A&amp;'Données 1_BD questio'!B:B,0))</f>
        <v>Maison avec jardin</v>
      </c>
      <c r="K289" s="191">
        <f>'1_BD questio brut'!I289</f>
        <v>75</v>
      </c>
      <c r="L289" s="191" t="str">
        <f>'1_BD questio brut'!J289</f>
        <v>Avant 1949</v>
      </c>
      <c r="M289" s="191" t="str">
        <f>'1_BD questio brut'!K289</f>
        <v>4</v>
      </c>
      <c r="N289" s="191" t="str">
        <f>'1_BD questio brut'!L289</f>
        <v>Pas de réponse</v>
      </c>
      <c r="O289" s="191" t="str">
        <f>'1_BD questio brut'!M289</f>
        <v>Propriétaire occupant</v>
      </c>
      <c r="P289" s="191" t="str">
        <f>'1_BD questio brut'!N289</f>
        <v>Cuisinière</v>
      </c>
      <c r="Q289" s="191" t="str">
        <f>'1_BD questio brut'!O289</f>
        <v>Chauffage de base</v>
      </c>
      <c r="R289" s="191" t="str">
        <f>'1_BD questio brut'!P289</f>
        <v>3 à 4 jours/semaine</v>
      </c>
      <c r="S289" s="191" t="str">
        <f>'1_BD questio brut'!Q289</f>
        <v>7</v>
      </c>
      <c r="T289" s="191" t="str">
        <f>'1_BD questio brut'!R289</f>
        <v>1996-2002</v>
      </c>
      <c r="U289" s="191" t="str">
        <f>'1_BD questio brut'!S289</f>
        <v>Bois bûche</v>
      </c>
      <c r="V289" s="191" t="str">
        <f>'1_BD questio brut'!T289</f>
        <v/>
      </c>
      <c r="W289" s="191" t="str">
        <f>'1_BD questio brut'!U289</f>
        <v/>
      </c>
      <c r="X289" s="191" t="str">
        <f>'1_BD questio brut'!V289</f>
        <v/>
      </c>
      <c r="Y289" s="191" t="str">
        <f>'1_BD questio brut'!W289</f>
        <v>1</v>
      </c>
      <c r="Z289" s="191" t="str">
        <f>'1_BD questio brut'!X289</f>
        <v/>
      </c>
      <c r="AA289" s="191" t="str">
        <f t="array" ref="AA289">INDEX('Données 1_BD questio'!C:C,MATCH('1_BD questio brut'!$Y$1&amp;'1_BD questio brut'!Y289,'Données 1_BD questio'!A:A&amp;'Données 1_BD questio'!B:B,0))</f>
        <v>Pas de réponse</v>
      </c>
      <c r="AB289" s="191" t="str">
        <f>'1_BD questio brut'!Z289</f>
        <v>2</v>
      </c>
      <c r="AC289" s="191" t="str">
        <f>'1_BD questio brut'!AA289</f>
        <v>&gt; 2 ans</v>
      </c>
      <c r="AD289" s="191" t="str">
        <f>'1_BD questio brut'!AB289</f>
        <v>Les deux</v>
      </c>
      <c r="AE289" s="191" t="str">
        <f t="array" ref="AE289">INDEX('Données 1_BD questio'!C:C,MATCH('1_BD questio brut'!$AC$1&amp;'1_BD questio brut'!AC289,'Données 1_BD questio'!A:A&amp;'Données 1_BD questio'!B:B,0))</f>
        <v>vous-même</v>
      </c>
      <c r="AF289" s="191" t="str">
        <f>'1_BD questio brut'!AD289</f>
        <v>2 fois par an</v>
      </c>
      <c r="AG289" s="191" t="str">
        <f>'1_BD questio brut'!AE289</f>
        <v/>
      </c>
      <c r="AH289" s="191" t="str">
        <f>'1_BD questio brut'!AF289</f>
        <v>Poêle</v>
      </c>
      <c r="AI289" s="191" t="str">
        <f>'1_BD questio brut'!AG289</f>
        <v>1</v>
      </c>
      <c r="AJ289" s="191" t="str">
        <f>'1_BD questio brut'!AH289</f>
        <v/>
      </c>
      <c r="AK289" s="191" t="str">
        <f>'1_BD questio brut'!AI289</f>
        <v>Chauffage de base</v>
      </c>
      <c r="AL289" s="191" t="str">
        <f>'1_BD questio brut'!AJ289</f>
        <v>Pas de réponse</v>
      </c>
      <c r="AM289" s="191" t="str">
        <f>'1_BD questio brut'!AK289</f>
        <v>2; 4; 5</v>
      </c>
      <c r="AN289" s="191" t="str">
        <f>'1_BD questio brut'!AL289</f>
        <v/>
      </c>
      <c r="AO289" s="191" t="str">
        <f>'1_BD questio brut'!AM289</f>
        <v>5</v>
      </c>
      <c r="AP289" s="191" t="str">
        <f>'1_BD questio brut'!AN289</f>
        <v/>
      </c>
      <c r="AQ289" s="191" t="str">
        <f>'1_BD questio brut'!AO289</f>
        <v/>
      </c>
    </row>
    <row r="290" spans="1:43" ht="43.5" hidden="1">
      <c r="A290" s="98">
        <f>INDEX('3_BD instruction total'!A:A,MATCH(C290,'3_BD instruction total'!F:F,0))</f>
        <v>2021</v>
      </c>
      <c r="B290" s="98" t="str">
        <f>INDEX('3_BD instruction total'!C:C,MATCH(C290,'3_BD instruction total'!F:F,0))</f>
        <v>non</v>
      </c>
      <c r="C290" s="191" t="str">
        <f>'1_BD questio brut'!A290</f>
        <v>VRB0302</v>
      </c>
      <c r="D290" s="191" t="str">
        <f t="array" ref="D290">INDEX('Données 1_BD questio'!C:C,MATCH('1_BD questio brut'!$B$1&amp;'1_BD questio brut'!B290,'Données 1_BD questio'!A:A&amp;'Données 1_BD questio'!B:B,0))</f>
        <v>CAPV</v>
      </c>
      <c r="E290" s="191" t="str">
        <f t="array" ref="E290">INDEX('Données 1_BD questio'!C:C,MATCH('1_BD questio brut'!$C$1&amp;'1_BD questio brut'!C290,'Données 1_BD questio'!A:A&amp;'Données 1_BD questio'!B:B,0))</f>
        <v>Cadre</v>
      </c>
      <c r="F290" s="191" t="str">
        <f t="array" ref="F290">INDEX('Données 1_BD questio'!C:C,MATCH('1_BD questio brut'!$D$1&amp;'1_BD questio brut'!D290,'Données 1_BD questio'!A:A&amp;'Données 1_BD questio'!B:B,0))</f>
        <v>Cadre</v>
      </c>
      <c r="G290" s="191" t="str">
        <f>'1_BD questio brut'!E290</f>
        <v>50 à 64 ans</v>
      </c>
      <c r="H290" s="191">
        <f>'1_BD questio brut'!F290</f>
        <v>4</v>
      </c>
      <c r="I290" s="191" t="str">
        <f>'1_BD questio brut'!G290</f>
        <v>Pas de réponse</v>
      </c>
      <c r="J290" s="191" t="str">
        <f t="array" ref="J290">INDEX('Données 1_BD questio'!C:C,MATCH('1_BD questio brut'!$H$1&amp;'1_BD questio brut'!H290,'Données 1_BD questio'!A:A&amp;'Données 1_BD questio'!B:B,0))</f>
        <v>Maison avec jardin</v>
      </c>
      <c r="K290" s="191">
        <f>'1_BD questio brut'!I290</f>
        <v>200</v>
      </c>
      <c r="L290" s="191" t="str">
        <f>'1_BD questio brut'!J290</f>
        <v>1990-2005</v>
      </c>
      <c r="M290" s="191" t="str">
        <f>'1_BD questio brut'!K290</f>
        <v>6</v>
      </c>
      <c r="N290" s="191" t="str">
        <f>'1_BD questio brut'!L290</f>
        <v>E</v>
      </c>
      <c r="O290" s="191" t="str">
        <f>'1_BD questio brut'!M290</f>
        <v>Propriétaire occupant</v>
      </c>
      <c r="P290" s="191" t="str">
        <f>'1_BD questio brut'!N290</f>
        <v>Foyer ouvert</v>
      </c>
      <c r="Q290" s="191" t="str">
        <f>'1_BD questio brut'!O290</f>
        <v>Chauffage d'apoint</v>
      </c>
      <c r="R290" s="191" t="str">
        <f>'1_BD questio brut'!P290</f>
        <v>Tous les jours</v>
      </c>
      <c r="S290" s="191" t="str">
        <f>'1_BD questio brut'!Q290</f>
        <v>1; 4; 5</v>
      </c>
      <c r="T290" s="191" t="str">
        <f>'1_BD questio brut'!R290</f>
        <v>1990-1995</v>
      </c>
      <c r="U290" s="191" t="str">
        <f>'1_BD questio brut'!S290</f>
        <v>Bois bûche</v>
      </c>
      <c r="V290" s="191" t="str">
        <f>'1_BD questio brut'!T290</f>
        <v/>
      </c>
      <c r="W290" s="191" t="str">
        <f>'1_BD questio brut'!U290</f>
        <v>10</v>
      </c>
      <c r="X290" s="191" t="str">
        <f>'1_BD questio brut'!V290</f>
        <v>STERES</v>
      </c>
      <c r="Y290" s="191" t="str">
        <f>'1_BD questio brut'!W290</f>
        <v>2</v>
      </c>
      <c r="Z290" s="191" t="str">
        <f>'1_BD questio brut'!X290</f>
        <v/>
      </c>
      <c r="AA290" s="191" t="str">
        <f t="array" ref="AA290">INDEX('Données 1_BD questio'!C:C,MATCH('1_BD questio brut'!$Y$1&amp;'1_BD questio brut'!Y290,'Données 1_BD questio'!A:A&amp;'Données 1_BD questio'!B:B,0))</f>
        <v>Ne sait pas</v>
      </c>
      <c r="AB290" s="191" t="str">
        <f>'1_BD questio brut'!Z290</f>
        <v>2</v>
      </c>
      <c r="AC290" s="191" t="str">
        <f>'1_BD questio brut'!AA290</f>
        <v>&gt; 2 ans</v>
      </c>
      <c r="AD290" s="191" t="str">
        <f>'1_BD questio brut'!AB290</f>
        <v>Feuillus</v>
      </c>
      <c r="AE290" s="191" t="str">
        <f t="array" ref="AE290">INDEX('Données 1_BD questio'!C:C,MATCH('1_BD questio brut'!$AC$1&amp;'1_BD questio brut'!AC290,'Données 1_BD questio'!A:A&amp;'Données 1_BD questio'!B:B,0))</f>
        <v>un professionnel</v>
      </c>
      <c r="AF290" s="191" t="str">
        <f>'1_BD questio brut'!AD290</f>
        <v>1 fois par an</v>
      </c>
      <c r="AG290" s="191" t="str">
        <f>'1_BD questio brut'!AE290</f>
        <v/>
      </c>
      <c r="AH290" s="191" t="str">
        <f>'1_BD questio brut'!AF290</f>
        <v>Poêle</v>
      </c>
      <c r="AI290" s="191" t="str">
        <f>'1_BD questio brut'!AG290</f>
        <v>1</v>
      </c>
      <c r="AJ290" s="191" t="str">
        <f>'1_BD questio brut'!AH290</f>
        <v/>
      </c>
      <c r="AK290" s="191" t="str">
        <f>'1_BD questio brut'!AI290</f>
        <v>Chauffage de base</v>
      </c>
      <c r="AL290" s="191" t="str">
        <f>'1_BD questio brut'!AJ290</f>
        <v>Pas de réponse</v>
      </c>
      <c r="AM290" s="191" t="str">
        <f>'1_BD questio brut'!AK290</f>
        <v>2; 4; 5</v>
      </c>
      <c r="AN290" s="191" t="str">
        <f>'1_BD questio brut'!AL290</f>
        <v/>
      </c>
      <c r="AO290" s="191" t="str">
        <f>'1_BD questio brut'!AM290</f>
        <v>2</v>
      </c>
      <c r="AP290" s="191" t="str">
        <f>'1_BD questio brut'!AN290</f>
        <v/>
      </c>
      <c r="AQ290" s="191" t="str">
        <f>'1_BD questio brut'!AO290</f>
        <v/>
      </c>
    </row>
    <row r="291" spans="1:43" ht="43.5" hidden="1">
      <c r="A291" s="98">
        <f>INDEX('3_BD instruction total'!A:A,MATCH(C291,'3_BD instruction total'!F:F,0))</f>
        <v>1900</v>
      </c>
      <c r="B291" s="98" t="str">
        <f>INDEX('3_BD instruction total'!C:C,MATCH(C291,'3_BD instruction total'!F:F,0))</f>
        <v>oui</v>
      </c>
      <c r="C291" s="191" t="str">
        <f>'1_BD questio brut'!A291</f>
        <v>VRB0303</v>
      </c>
      <c r="D291" s="191" t="str">
        <f t="array" ref="D291">INDEX('Données 1_BD questio'!C:C,MATCH('1_BD questio brut'!$B$1&amp;'1_BD questio brut'!B291,'Données 1_BD questio'!A:A&amp;'Données 1_BD questio'!B:B,0))</f>
        <v>GAM</v>
      </c>
      <c r="E291" s="191" t="str">
        <f t="array" ref="E291">INDEX('Données 1_BD questio'!C:C,MATCH('1_BD questio brut'!$C$1&amp;'1_BD questio brut'!C291,'Données 1_BD questio'!A:A&amp;'Données 1_BD questio'!B:B,0))</f>
        <v>Employé</v>
      </c>
      <c r="F291" s="191" t="str">
        <f t="array" ref="F291">INDEX('Données 1_BD questio'!C:C,MATCH('1_BD questio brut'!$D$1&amp;'1_BD questio brut'!D291,'Données 1_BD questio'!A:A&amp;'Données 1_BD questio'!B:B,0))</f>
        <v>Autre,sans activité</v>
      </c>
      <c r="G291" s="191" t="str">
        <f>'1_BD questio brut'!E291</f>
        <v>50 à 64 ans</v>
      </c>
      <c r="H291" s="191">
        <f>'1_BD questio brut'!F291</f>
        <v>2</v>
      </c>
      <c r="I291" s="191" t="str">
        <f>'1_BD questio brut'!G291</f>
        <v>Pas de réponse</v>
      </c>
      <c r="J291" s="191" t="str">
        <f t="array" ref="J291">INDEX('Données 1_BD questio'!C:C,MATCH('1_BD questio brut'!$H$1&amp;'1_BD questio brut'!H291,'Données 1_BD questio'!A:A&amp;'Données 1_BD questio'!B:B,0))</f>
        <v>Maison avec jardin</v>
      </c>
      <c r="K291" s="191">
        <f>'1_BD questio brut'!I291</f>
        <v>165</v>
      </c>
      <c r="L291" s="191" t="str">
        <f>'1_BD questio brut'!J291</f>
        <v>Avant 1949</v>
      </c>
      <c r="M291" s="191" t="str">
        <f>'1_BD questio brut'!K291</f>
        <v>1; 3; 4</v>
      </c>
      <c r="N291" s="191" t="str">
        <f>'1_BD questio brut'!L291</f>
        <v>Pas de réponse</v>
      </c>
      <c r="O291" s="191" t="str">
        <f>'1_BD questio brut'!M291</f>
        <v>Propriétaire occupant</v>
      </c>
      <c r="P291" s="191" t="str">
        <f>'1_BD questio brut'!N291</f>
        <v>Poêle</v>
      </c>
      <c r="Q291" s="191" t="str">
        <f>'1_BD questio brut'!O291</f>
        <v>Chauffage de base</v>
      </c>
      <c r="R291" s="191" t="str">
        <f>'1_BD questio brut'!P291</f>
        <v>Tous les jours</v>
      </c>
      <c r="S291" s="191" t="str">
        <f>'1_BD questio brut'!Q291</f>
        <v>4</v>
      </c>
      <c r="T291" s="191" t="str">
        <f>'1_BD questio brut'!R291</f>
        <v>1996-2002</v>
      </c>
      <c r="U291" s="191" t="str">
        <f>'1_BD questio brut'!S291</f>
        <v>Bois bûche</v>
      </c>
      <c r="V291" s="191" t="str">
        <f>'1_BD questio brut'!T291</f>
        <v/>
      </c>
      <c r="W291" s="191" t="str">
        <f>'1_BD questio brut'!U291</f>
        <v>15</v>
      </c>
      <c r="X291" s="191" t="str">
        <f>'1_BD questio brut'!V291</f>
        <v>STERES</v>
      </c>
      <c r="Y291" s="191" t="str">
        <f>'1_BD questio brut'!W291</f>
        <v>1; 2</v>
      </c>
      <c r="Z291" s="191" t="str">
        <f>'1_BD questio brut'!X291</f>
        <v/>
      </c>
      <c r="AA291" s="191" t="str">
        <f t="array" ref="AA291">INDEX('Données 1_BD questio'!C:C,MATCH('1_BD questio brut'!$Y$1&amp;'1_BD questio brut'!Y291,'Données 1_BD questio'!A:A&amp;'Données 1_BD questio'!B:B,0))</f>
        <v>Ne sait pas</v>
      </c>
      <c r="AB291" s="191" t="str">
        <f>'1_BD questio brut'!Z291</f>
        <v>2</v>
      </c>
      <c r="AC291" s="191" t="str">
        <f>'1_BD questio brut'!AA291</f>
        <v>1 à 2 ans</v>
      </c>
      <c r="AD291" s="191" t="str">
        <f>'1_BD questio brut'!AB291</f>
        <v>Feuillus</v>
      </c>
      <c r="AE291" s="191" t="str">
        <f t="array" ref="AE291">INDEX('Données 1_BD questio'!C:C,MATCH('1_BD questio brut'!$AC$1&amp;'1_BD questio brut'!AC291,'Données 1_BD questio'!A:A&amp;'Données 1_BD questio'!B:B,0))</f>
        <v>un professionnel</v>
      </c>
      <c r="AF291" s="191" t="str">
        <f>'1_BD questio brut'!AD291</f>
        <v>1 fois par an</v>
      </c>
      <c r="AG291" s="191" t="str">
        <f>'1_BD questio brut'!AE291</f>
        <v/>
      </c>
      <c r="AH291" s="191" t="str">
        <f>'1_BD questio brut'!AF291</f>
        <v>Poêle</v>
      </c>
      <c r="AI291" s="191" t="str">
        <f>'1_BD questio brut'!AG291</f>
        <v>2</v>
      </c>
      <c r="AJ291" s="191" t="str">
        <f>'1_BD questio brut'!AH291</f>
        <v/>
      </c>
      <c r="AK291" s="191" t="str">
        <f>'1_BD questio brut'!AI291</f>
        <v>Chauffage de base</v>
      </c>
      <c r="AL291" s="191" t="str">
        <f>'1_BD questio brut'!AJ291</f>
        <v>Pas de réponse</v>
      </c>
      <c r="AM291" s="191" t="str">
        <f>'1_BD questio brut'!AK291</f>
        <v>1; 4; 5</v>
      </c>
      <c r="AN291" s="191" t="str">
        <f>'1_BD questio brut'!AL291</f>
        <v/>
      </c>
      <c r="AO291" s="191" t="str">
        <f>'1_BD questio brut'!AM291</f>
        <v>5</v>
      </c>
      <c r="AP291" s="191" t="str">
        <f>'1_BD questio brut'!AN291</f>
        <v/>
      </c>
      <c r="AQ291" s="191" t="str">
        <f>'1_BD questio brut'!AO291</f>
        <v/>
      </c>
    </row>
    <row r="292" spans="1:43" ht="43.5" hidden="1">
      <c r="A292" s="98">
        <f>INDEX('3_BD instruction total'!A:A,MATCH(C292,'3_BD instruction total'!F:F,0))</f>
        <v>2021</v>
      </c>
      <c r="B292" s="98" t="str">
        <f>INDEX('3_BD instruction total'!C:C,MATCH(C292,'3_BD instruction total'!F:F,0))</f>
        <v>non</v>
      </c>
      <c r="C292" s="191" t="str">
        <f>'1_BD questio brut'!A292</f>
        <v>VRB0304</v>
      </c>
      <c r="D292" s="191" t="str">
        <f t="array" ref="D292">INDEX('Données 1_BD questio'!C:C,MATCH('1_BD questio brut'!$B$1&amp;'1_BD questio brut'!B292,'Données 1_BD questio'!A:A&amp;'Données 1_BD questio'!B:B,0))</f>
        <v>CAPV</v>
      </c>
      <c r="E292" s="191" t="str">
        <f t="array" ref="E292">INDEX('Données 1_BD questio'!C:C,MATCH('1_BD questio brut'!$C$1&amp;'1_BD questio brut'!C292,'Données 1_BD questio'!A:A&amp;'Données 1_BD questio'!B:B,0))</f>
        <v>Cadre</v>
      </c>
      <c r="F292" s="191" t="str">
        <f t="array" ref="F292">INDEX('Données 1_BD questio'!C:C,MATCH('1_BD questio brut'!$D$1&amp;'1_BD questio brut'!D292,'Données 1_BD questio'!A:A&amp;'Données 1_BD questio'!B:B,0))</f>
        <v>Pas de réponse</v>
      </c>
      <c r="G292" s="191" t="str">
        <f>'1_BD questio brut'!E292</f>
        <v>50 à 64 ans</v>
      </c>
      <c r="H292" s="191">
        <f>'1_BD questio brut'!F292</f>
        <v>2</v>
      </c>
      <c r="I292" s="191" t="str">
        <f>'1_BD questio brut'!G292</f>
        <v>Pas de réponse</v>
      </c>
      <c r="J292" s="191" t="str">
        <f t="array" ref="J292">INDEX('Données 1_BD questio'!C:C,MATCH('1_BD questio brut'!$H$1&amp;'1_BD questio brut'!H292,'Données 1_BD questio'!A:A&amp;'Données 1_BD questio'!B:B,0))</f>
        <v>Maison avec jardin</v>
      </c>
      <c r="K292" s="191">
        <f>'1_BD questio brut'!I292</f>
        <v>92</v>
      </c>
      <c r="L292" s="191" t="str">
        <f>'1_BD questio brut'!J292</f>
        <v>1975-1990</v>
      </c>
      <c r="M292" s="191" t="str">
        <f>'1_BD questio brut'!K292</f>
        <v>1</v>
      </c>
      <c r="N292" s="191" t="str">
        <f>'1_BD questio brut'!L292</f>
        <v>Pas de réponse</v>
      </c>
      <c r="O292" s="191" t="str">
        <f>'1_BD questio brut'!M292</f>
        <v>Propriétaire occupant</v>
      </c>
      <c r="P292" s="191" t="str">
        <f>'1_BD questio brut'!N292</f>
        <v>Insert / foyer fermé</v>
      </c>
      <c r="Q292" s="191" t="str">
        <f>'1_BD questio brut'!O292</f>
        <v>Chauffage d'apoint</v>
      </c>
      <c r="R292" s="191" t="str">
        <f>'1_BD questio brut'!P292</f>
        <v>3 à 4 jours/semaine</v>
      </c>
      <c r="S292" s="191" t="str">
        <f>'1_BD questio brut'!Q292</f>
        <v>1; 2; 6</v>
      </c>
      <c r="T292" s="191" t="str">
        <f>'1_BD questio brut'!R292</f>
        <v>Avant 1990</v>
      </c>
      <c r="U292" s="191" t="str">
        <f>'1_BD questio brut'!S292</f>
        <v>Bois bûche</v>
      </c>
      <c r="V292" s="191" t="str">
        <f>'1_BD questio brut'!T292</f>
        <v/>
      </c>
      <c r="W292" s="191" t="str">
        <f>'1_BD questio brut'!U292</f>
        <v>5</v>
      </c>
      <c r="X292" s="191" t="str">
        <f>'1_BD questio brut'!V292</f>
        <v>STERES</v>
      </c>
      <c r="Y292" s="191" t="str">
        <f>'1_BD questio brut'!W292</f>
        <v>2</v>
      </c>
      <c r="Z292" s="191" t="str">
        <f>'1_BD questio brut'!X292</f>
        <v/>
      </c>
      <c r="AA292" s="191" t="str">
        <f t="array" ref="AA292">INDEX('Données 1_BD questio'!C:C,MATCH('1_BD questio brut'!$Y$1&amp;'1_BD questio brut'!Y292,'Données 1_BD questio'!A:A&amp;'Données 1_BD questio'!B:B,0))</f>
        <v>Ne sait pas</v>
      </c>
      <c r="AB292" s="191" t="str">
        <f>'1_BD questio brut'!Z292</f>
        <v>2</v>
      </c>
      <c r="AC292" s="191" t="str">
        <f>'1_BD questio brut'!AA292</f>
        <v>1 à 2 ans</v>
      </c>
      <c r="AD292" s="191" t="str">
        <f>'1_BD questio brut'!AB292</f>
        <v>Feuillus</v>
      </c>
      <c r="AE292" s="191" t="str">
        <f t="array" ref="AE292">INDEX('Données 1_BD questio'!C:C,MATCH('1_BD questio brut'!$AC$1&amp;'1_BD questio brut'!AC292,'Données 1_BD questio'!A:A&amp;'Données 1_BD questio'!B:B,0))</f>
        <v>un professionnel</v>
      </c>
      <c r="AF292" s="191" t="str">
        <f>'1_BD questio brut'!AD292</f>
        <v>1 fois par an</v>
      </c>
      <c r="AG292" s="191" t="str">
        <f>'1_BD questio brut'!AE292</f>
        <v/>
      </c>
      <c r="AH292" s="191" t="str">
        <f>'1_BD questio brut'!AF292</f>
        <v>Poêle</v>
      </c>
      <c r="AI292" s="191" t="str">
        <f>'1_BD questio brut'!AG292</f>
        <v>2</v>
      </c>
      <c r="AJ292" s="191" t="str">
        <f>'1_BD questio brut'!AH292</f>
        <v/>
      </c>
      <c r="AK292" s="191" t="str">
        <f>'1_BD questio brut'!AI292</f>
        <v>Chauffage d'appoint</v>
      </c>
      <c r="AL292" s="191" t="str">
        <f>'1_BD questio brut'!AJ292</f>
        <v>Pas de réponse</v>
      </c>
      <c r="AM292" s="191" t="str">
        <f>'1_BD questio brut'!AK292</f>
        <v>2; 4</v>
      </c>
      <c r="AN292" s="191" t="str">
        <f>'1_BD questio brut'!AL292</f>
        <v/>
      </c>
      <c r="AO292" s="191" t="str">
        <f>'1_BD questio brut'!AM292</f>
        <v>5</v>
      </c>
      <c r="AP292" s="191" t="str">
        <f>'1_BD questio brut'!AN292</f>
        <v/>
      </c>
      <c r="AQ292" s="191" t="str">
        <f>'1_BD questio brut'!AO292</f>
        <v/>
      </c>
    </row>
    <row r="293" spans="1:43" ht="43.5" hidden="1">
      <c r="A293" s="98">
        <f>INDEX('3_BD instruction total'!A:A,MATCH(C293,'3_BD instruction total'!F:F,0))</f>
        <v>2021</v>
      </c>
      <c r="B293" s="98" t="str">
        <f>INDEX('3_BD instruction total'!C:C,MATCH(C293,'3_BD instruction total'!F:F,0))</f>
        <v>non</v>
      </c>
      <c r="C293" s="191" t="str">
        <f>'1_BD questio brut'!A293</f>
        <v>VRB0305</v>
      </c>
      <c r="D293" s="191" t="str">
        <f t="array" ref="D293">INDEX('Données 1_BD questio'!C:C,MATCH('1_BD questio brut'!$B$1&amp;'1_BD questio brut'!B293,'Données 1_BD questio'!A:A&amp;'Données 1_BD questio'!B:B,0))</f>
        <v>CAPV</v>
      </c>
      <c r="E293" s="191" t="str">
        <f t="array" ref="E293">INDEX('Données 1_BD questio'!C:C,MATCH('1_BD questio brut'!$C$1&amp;'1_BD questio brut'!C293,'Données 1_BD questio'!A:A&amp;'Données 1_BD questio'!B:B,0))</f>
        <v>Retraité</v>
      </c>
      <c r="F293" s="191" t="str">
        <f t="array" ref="F293">INDEX('Données 1_BD questio'!C:C,MATCH('1_BD questio brut'!$D$1&amp;'1_BD questio brut'!D293,'Données 1_BD questio'!A:A&amp;'Données 1_BD questio'!B:B,0))</f>
        <v>Retraité</v>
      </c>
      <c r="G293" s="191" t="str">
        <f>'1_BD questio brut'!E293</f>
        <v>65 ans et plus</v>
      </c>
      <c r="H293" s="191">
        <f>'1_BD questio brut'!F293</f>
        <v>2</v>
      </c>
      <c r="I293" s="191" t="str">
        <f>'1_BD questio brut'!G293</f>
        <v>Pas de réponse</v>
      </c>
      <c r="J293" s="191" t="str">
        <f t="array" ref="J293">INDEX('Données 1_BD questio'!C:C,MATCH('1_BD questio brut'!$H$1&amp;'1_BD questio brut'!H293,'Données 1_BD questio'!A:A&amp;'Données 1_BD questio'!B:B,0))</f>
        <v>Maison avec jardin</v>
      </c>
      <c r="K293" s="191">
        <f>'1_BD questio brut'!I293</f>
        <v>120</v>
      </c>
      <c r="L293" s="191" t="str">
        <f>'1_BD questio brut'!J293</f>
        <v>1949-1975</v>
      </c>
      <c r="M293" s="191" t="str">
        <f>'1_BD questio brut'!K293</f>
        <v>1; 4</v>
      </c>
      <c r="N293" s="191" t="str">
        <f>'1_BD questio brut'!L293</f>
        <v>Pas de réponse</v>
      </c>
      <c r="O293" s="191" t="str">
        <f>'1_BD questio brut'!M293</f>
        <v>Propriétaire occupant</v>
      </c>
      <c r="P293" s="191" t="str">
        <f>'1_BD questio brut'!N293</f>
        <v>Foyer ouvert</v>
      </c>
      <c r="Q293" s="191" t="str">
        <f>'1_BD questio brut'!O293</f>
        <v>Chauffage d'apoint</v>
      </c>
      <c r="R293" s="191" t="str">
        <f>'1_BD questio brut'!P293</f>
        <v>3 à 4 jours/semaine</v>
      </c>
      <c r="S293" s="191" t="str">
        <f>'1_BD questio brut'!Q293</f>
        <v>4; 6</v>
      </c>
      <c r="T293" s="191" t="str">
        <f>'1_BD questio brut'!R293</f>
        <v>Avant 1990</v>
      </c>
      <c r="U293" s="191" t="str">
        <f>'1_BD questio brut'!S293</f>
        <v>Pas de réponse</v>
      </c>
      <c r="V293" s="191" t="str">
        <f>'1_BD questio brut'!T293</f>
        <v/>
      </c>
      <c r="W293" s="191" t="str">
        <f>'1_BD questio brut'!U293</f>
        <v>2</v>
      </c>
      <c r="X293" s="191" t="str">
        <f>'1_BD questio brut'!V293</f>
        <v>STERES</v>
      </c>
      <c r="Y293" s="191" t="str">
        <f>'1_BD questio brut'!W293</f>
        <v>1</v>
      </c>
      <c r="Z293" s="191" t="str">
        <f>'1_BD questio brut'!X293</f>
        <v/>
      </c>
      <c r="AA293" s="191" t="str">
        <f t="array" ref="AA293">INDEX('Données 1_BD questio'!C:C,MATCH('1_BD questio brut'!$Y$1&amp;'1_BD questio brut'!Y293,'Données 1_BD questio'!A:A&amp;'Données 1_BD questio'!B:B,0))</f>
        <v>France hors Rhône-Alpes</v>
      </c>
      <c r="AB293" s="191" t="str">
        <f>'1_BD questio brut'!Z293</f>
        <v>2</v>
      </c>
      <c r="AC293" s="191" t="str">
        <f>'1_BD questio brut'!AA293</f>
        <v>1 à 2 ans</v>
      </c>
      <c r="AD293" s="191" t="str">
        <f>'1_BD questio brut'!AB293</f>
        <v>Les deux</v>
      </c>
      <c r="AE293" s="191" t="str">
        <f t="array" ref="AE293">INDEX('Données 1_BD questio'!C:C,MATCH('1_BD questio brut'!$AC$1&amp;'1_BD questio brut'!AC293,'Données 1_BD questio'!A:A&amp;'Données 1_BD questio'!B:B,0))</f>
        <v>un professionnel</v>
      </c>
      <c r="AF293" s="191" t="str">
        <f>'1_BD questio brut'!AD293</f>
        <v>1 fois par an</v>
      </c>
      <c r="AG293" s="191" t="str">
        <f>'1_BD questio brut'!AE293</f>
        <v/>
      </c>
      <c r="AH293" s="191" t="str">
        <f>'1_BD questio brut'!AF293</f>
        <v>Poêle</v>
      </c>
      <c r="AI293" s="191" t="str">
        <f>'1_BD questio brut'!AG293</f>
        <v>2</v>
      </c>
      <c r="AJ293" s="191" t="str">
        <f>'1_BD questio brut'!AH293</f>
        <v/>
      </c>
      <c r="AK293" s="191" t="str">
        <f>'1_BD questio brut'!AI293</f>
        <v>Chauffage de base</v>
      </c>
      <c r="AL293" s="191" t="str">
        <f>'1_BD questio brut'!AJ293</f>
        <v>Pas de réponse</v>
      </c>
      <c r="AM293" s="191" t="str">
        <f>'1_BD questio brut'!AK293</f>
        <v>4</v>
      </c>
      <c r="AN293" s="191" t="str">
        <f>'1_BD questio brut'!AL293</f>
        <v/>
      </c>
      <c r="AO293" s="191" t="str">
        <f>'1_BD questio brut'!AM293</f>
        <v>5</v>
      </c>
      <c r="AP293" s="191" t="str">
        <f>'1_BD questio brut'!AN293</f>
        <v/>
      </c>
      <c r="AQ293" s="191" t="str">
        <f>'1_BD questio brut'!AO293</f>
        <v/>
      </c>
    </row>
    <row r="294" spans="1:43" ht="58" hidden="1">
      <c r="A294" s="98">
        <f>INDEX('3_BD instruction total'!A:A,MATCH(C294,'3_BD instruction total'!F:F,0))</f>
        <v>2021</v>
      </c>
      <c r="B294" s="98" t="str">
        <f>INDEX('3_BD instruction total'!C:C,MATCH(C294,'3_BD instruction total'!F:F,0))</f>
        <v>non</v>
      </c>
      <c r="C294" s="191" t="str">
        <f>'1_BD questio brut'!A294</f>
        <v>VRB0306</v>
      </c>
      <c r="D294" s="191" t="str">
        <f t="array" ref="D294">INDEX('Données 1_BD questio'!C:C,MATCH('1_BD questio brut'!$B$1&amp;'1_BD questio brut'!B294,'Données 1_BD questio'!A:A&amp;'Données 1_BD questio'!B:B,0))</f>
        <v>CAPV</v>
      </c>
      <c r="E294" s="191" t="str">
        <f t="array" ref="E294">INDEX('Données 1_BD questio'!C:C,MATCH('1_BD questio brut'!$C$1&amp;'1_BD questio brut'!C294,'Données 1_BD questio'!A:A&amp;'Données 1_BD questio'!B:B,0))</f>
        <v>Cadre</v>
      </c>
      <c r="F294" s="191" t="str">
        <f t="array" ref="F294">INDEX('Données 1_BD questio'!C:C,MATCH('1_BD questio brut'!$D$1&amp;'1_BD questio brut'!D294,'Données 1_BD questio'!A:A&amp;'Données 1_BD questio'!B:B,0))</f>
        <v>Autre,sans activité</v>
      </c>
      <c r="G294" s="191" t="str">
        <f>'1_BD questio brut'!E294</f>
        <v>50 à 64 ans</v>
      </c>
      <c r="H294" s="191">
        <f>'1_BD questio brut'!F294</f>
        <v>2</v>
      </c>
      <c r="I294" s="191" t="str">
        <f>'1_BD questio brut'!G294</f>
        <v>Pas de réponse</v>
      </c>
      <c r="J294" s="191" t="str">
        <f t="array" ref="J294">INDEX('Données 1_BD questio'!C:C,MATCH('1_BD questio brut'!$H$1&amp;'1_BD questio brut'!H294,'Données 1_BD questio'!A:A&amp;'Données 1_BD questio'!B:B,0))</f>
        <v>Maison avec jardin</v>
      </c>
      <c r="K294" s="191">
        <f>'1_BD questio brut'!I294</f>
        <v>100</v>
      </c>
      <c r="L294" s="191" t="str">
        <f>'1_BD questio brut'!J294</f>
        <v>Avant 1949</v>
      </c>
      <c r="M294" s="191" t="str">
        <f>'1_BD questio brut'!K294</f>
        <v>6</v>
      </c>
      <c r="N294" s="191" t="str">
        <f>'1_BD questio brut'!L294</f>
        <v>Ne sait pas</v>
      </c>
      <c r="O294" s="191" t="str">
        <f>'1_BD questio brut'!M294</f>
        <v>Propriétaire occupant</v>
      </c>
      <c r="P294" s="191" t="str">
        <f>'1_BD questio brut'!N294</f>
        <v>Cuisinière</v>
      </c>
      <c r="Q294" s="191" t="str">
        <f>'1_BD questio brut'!O294</f>
        <v>Chauffage d'apoint</v>
      </c>
      <c r="R294" s="191" t="str">
        <f>'1_BD questio brut'!P294</f>
        <v>1 à 2 jours/semaine</v>
      </c>
      <c r="S294" s="191" t="str">
        <f>'1_BD questio brut'!Q294</f>
        <v>3; 6</v>
      </c>
      <c r="T294" s="191" t="str">
        <f>'1_BD questio brut'!R294</f>
        <v>Après 2002</v>
      </c>
      <c r="U294" s="191" t="str">
        <f>'1_BD questio brut'!S294</f>
        <v>Bois bûche</v>
      </c>
      <c r="V294" s="191" t="str">
        <f>'1_BD questio brut'!T294</f>
        <v/>
      </c>
      <c r="W294" s="191" t="str">
        <f>'1_BD questio brut'!U294</f>
        <v>2</v>
      </c>
      <c r="X294" s="191" t="str">
        <f>'1_BD questio brut'!V294</f>
        <v>STERES</v>
      </c>
      <c r="Y294" s="191" t="str">
        <f>'1_BD questio brut'!W294</f>
        <v>1</v>
      </c>
      <c r="Z294" s="191" t="str">
        <f>'1_BD questio brut'!X294</f>
        <v/>
      </c>
      <c r="AA294" s="191" t="str">
        <f t="array" ref="AA294">INDEX('Données 1_BD questio'!C:C,MATCH('1_BD questio brut'!$Y$1&amp;'1_BD questio brut'!Y294,'Données 1_BD questio'!A:A&amp;'Données 1_BD questio'!B:B,0))</f>
        <v>Ne sait pas</v>
      </c>
      <c r="AB294" s="191" t="str">
        <f>'1_BD questio brut'!Z294</f>
        <v>2</v>
      </c>
      <c r="AC294" s="191" t="str">
        <f>'1_BD questio brut'!AA294</f>
        <v>&gt; 2 ans</v>
      </c>
      <c r="AD294" s="191" t="str">
        <f>'1_BD questio brut'!AB294</f>
        <v>Feuillus</v>
      </c>
      <c r="AE294" s="191" t="str">
        <f t="array" ref="AE294">INDEX('Données 1_BD questio'!C:C,MATCH('1_BD questio brut'!$AC$1&amp;'1_BD questio brut'!AC294,'Données 1_BD questio'!A:A&amp;'Données 1_BD questio'!B:B,0))</f>
        <v>vous-même</v>
      </c>
      <c r="AF294" s="191" t="str">
        <f>'1_BD questio brut'!AD294</f>
        <v>2 fois par an</v>
      </c>
      <c r="AG294" s="191" t="str">
        <f>'1_BD questio brut'!AE294</f>
        <v/>
      </c>
      <c r="AH294" s="191" t="str">
        <f>'1_BD questio brut'!AF294</f>
        <v>Poêle</v>
      </c>
      <c r="AI294" s="191" t="str">
        <f>'1_BD questio brut'!AG294</f>
        <v>1</v>
      </c>
      <c r="AJ294" s="191" t="str">
        <f>'1_BD questio brut'!AH294</f>
        <v/>
      </c>
      <c r="AK294" s="191" t="str">
        <f>'1_BD questio brut'!AI294</f>
        <v>Chauffage d'appoint</v>
      </c>
      <c r="AL294" s="191" t="str">
        <f>'1_BD questio brut'!AJ294</f>
        <v>Pas de réponse</v>
      </c>
      <c r="AM294" s="191" t="str">
        <f>'1_BD questio brut'!AK294</f>
        <v>6</v>
      </c>
      <c r="AN294" s="191" t="str">
        <f>'1_BD questio brut'!AL294</f>
        <v>APPAREIL EXISTANT INUTILISABLE</v>
      </c>
      <c r="AO294" s="191" t="str">
        <f>'1_BD questio brut'!AM294</f>
        <v>7</v>
      </c>
      <c r="AP294" s="191" t="str">
        <f>'1_BD questio brut'!AN294</f>
        <v/>
      </c>
      <c r="AQ294" s="191" t="str">
        <f>'1_BD questio brut'!AO294</f>
        <v/>
      </c>
    </row>
    <row r="295" spans="1:43" ht="43.5" hidden="1">
      <c r="A295" s="98">
        <f>INDEX('3_BD instruction total'!A:A,MATCH(C295,'3_BD instruction total'!F:F,0))</f>
        <v>2021</v>
      </c>
      <c r="B295" s="98" t="str">
        <f>INDEX('3_BD instruction total'!C:C,MATCH(C295,'3_BD instruction total'!F:F,0))</f>
        <v>non</v>
      </c>
      <c r="C295" s="191" t="str">
        <f>'1_BD questio brut'!A295</f>
        <v>VRB0307</v>
      </c>
      <c r="D295" s="191" t="str">
        <f t="array" ref="D295">INDEX('Données 1_BD questio'!C:C,MATCH('1_BD questio brut'!$B$1&amp;'1_BD questio brut'!B295,'Données 1_BD questio'!A:A&amp;'Données 1_BD questio'!B:B,0))</f>
        <v>CAPV</v>
      </c>
      <c r="E295" s="191" t="str">
        <f t="array" ref="E295">INDEX('Données 1_BD questio'!C:C,MATCH('1_BD questio brut'!$C$1&amp;'1_BD questio brut'!C295,'Données 1_BD questio'!A:A&amp;'Données 1_BD questio'!B:B,0))</f>
        <v>Retraité</v>
      </c>
      <c r="F295" s="191" t="str">
        <f t="array" ref="F295">INDEX('Données 1_BD questio'!C:C,MATCH('1_BD questio brut'!$D$1&amp;'1_BD questio brut'!D295,'Données 1_BD questio'!A:A&amp;'Données 1_BD questio'!B:B,0))</f>
        <v>Retraité</v>
      </c>
      <c r="G295" s="191" t="str">
        <f>'1_BD questio brut'!E295</f>
        <v>65 ans et plus</v>
      </c>
      <c r="H295" s="191">
        <f>'1_BD questio brut'!F295</f>
        <v>2</v>
      </c>
      <c r="I295" s="191" t="str">
        <f>'1_BD questio brut'!G295</f>
        <v>Pas de réponse</v>
      </c>
      <c r="J295" s="191" t="str">
        <f t="array" ref="J295">INDEX('Données 1_BD questio'!C:C,MATCH('1_BD questio brut'!$H$1&amp;'1_BD questio brut'!H295,'Données 1_BD questio'!A:A&amp;'Données 1_BD questio'!B:B,0))</f>
        <v>Maison avec jardin</v>
      </c>
      <c r="K295" s="191">
        <f>'1_BD questio brut'!I295</f>
        <v>100</v>
      </c>
      <c r="L295" s="191" t="str">
        <f>'1_BD questio brut'!J295</f>
        <v>1975-1990</v>
      </c>
      <c r="M295" s="191" t="str">
        <f>'1_BD questio brut'!K295</f>
        <v>4</v>
      </c>
      <c r="N295" s="191" t="str">
        <f>'1_BD questio brut'!L295</f>
        <v>Pas de réponse</v>
      </c>
      <c r="O295" s="191" t="str">
        <f>'1_BD questio brut'!M295</f>
        <v>Propriétaire occupant</v>
      </c>
      <c r="P295" s="191" t="str">
        <f>'1_BD questio brut'!N295</f>
        <v>Insert / foyer fermé</v>
      </c>
      <c r="Q295" s="191" t="str">
        <f>'1_BD questio brut'!O295</f>
        <v>Chauffage d'apoint</v>
      </c>
      <c r="R295" s="191" t="str">
        <f>'1_BD questio brut'!P295</f>
        <v>3 à 4 jours/semaine</v>
      </c>
      <c r="S295" s="191" t="str">
        <f>'1_BD questio brut'!Q295</f>
        <v>4; 6</v>
      </c>
      <c r="T295" s="191" t="str">
        <f>'1_BD questio brut'!R295</f>
        <v>Avant 1990</v>
      </c>
      <c r="U295" s="191" t="str">
        <f>'1_BD questio brut'!S295</f>
        <v>Bois bûche</v>
      </c>
      <c r="V295" s="191" t="str">
        <f>'1_BD questio brut'!T295</f>
        <v/>
      </c>
      <c r="W295" s="191" t="str">
        <f>'1_BD questio brut'!U295</f>
        <v>5</v>
      </c>
      <c r="X295" s="191" t="str">
        <f>'1_BD questio brut'!V295</f>
        <v/>
      </c>
      <c r="Y295" s="191" t="str">
        <f>'1_BD questio brut'!W295</f>
        <v>2</v>
      </c>
      <c r="Z295" s="191" t="str">
        <f>'1_BD questio brut'!X295</f>
        <v/>
      </c>
      <c r="AA295" s="191" t="str">
        <f t="array" ref="AA295">INDEX('Données 1_BD questio'!C:C,MATCH('1_BD questio brut'!$Y$1&amp;'1_BD questio brut'!Y295,'Données 1_BD questio'!A:A&amp;'Données 1_BD questio'!B:B,0))</f>
        <v>France hors Rhône-Alpes</v>
      </c>
      <c r="AB295" s="191" t="str">
        <f>'1_BD questio brut'!Z295</f>
        <v>2</v>
      </c>
      <c r="AC295" s="191" t="str">
        <f>'1_BD questio brut'!AA295</f>
        <v>&gt; 2 ans</v>
      </c>
      <c r="AD295" s="191" t="str">
        <f>'1_BD questio brut'!AB295</f>
        <v>Feuillus</v>
      </c>
      <c r="AE295" s="191" t="str">
        <f t="array" ref="AE295">INDEX('Données 1_BD questio'!C:C,MATCH('1_BD questio brut'!$AC$1&amp;'1_BD questio brut'!AC295,'Données 1_BD questio'!A:A&amp;'Données 1_BD questio'!B:B,0))</f>
        <v>un professionnel</v>
      </c>
      <c r="AF295" s="191" t="str">
        <f>'1_BD questio brut'!AD295</f>
        <v>1 fois par an</v>
      </c>
      <c r="AG295" s="191" t="str">
        <f>'1_BD questio brut'!AE295</f>
        <v/>
      </c>
      <c r="AH295" s="191" t="str">
        <f>'1_BD questio brut'!AF295</f>
        <v>poêle de masse</v>
      </c>
      <c r="AI295" s="191" t="str">
        <f>'1_BD questio brut'!AG295</f>
        <v>1</v>
      </c>
      <c r="AJ295" s="191" t="str">
        <f>'1_BD questio brut'!AH295</f>
        <v/>
      </c>
      <c r="AK295" s="191" t="str">
        <f>'1_BD questio brut'!AI295</f>
        <v>Chauffage de base</v>
      </c>
      <c r="AL295" s="191" t="str">
        <f>'1_BD questio brut'!AJ295</f>
        <v>Pas de réponse</v>
      </c>
      <c r="AM295" s="191" t="str">
        <f>'1_BD questio brut'!AK295</f>
        <v>4; 5</v>
      </c>
      <c r="AN295" s="191" t="str">
        <f>'1_BD questio brut'!AL295</f>
        <v/>
      </c>
      <c r="AO295" s="191" t="str">
        <f>'1_BD questio brut'!AM295</f>
        <v>7</v>
      </c>
      <c r="AP295" s="191" t="str">
        <f>'1_BD questio brut'!AN295</f>
        <v/>
      </c>
      <c r="AQ295" s="191" t="str">
        <f>'1_BD questio brut'!AO295</f>
        <v/>
      </c>
    </row>
    <row r="296" spans="1:43" ht="43.5" hidden="1">
      <c r="A296" s="98">
        <f>INDEX('3_BD instruction total'!A:A,MATCH(C296,'3_BD instruction total'!F:F,0))</f>
        <v>2021</v>
      </c>
      <c r="B296" s="98" t="str">
        <f>INDEX('3_BD instruction total'!C:C,MATCH(C296,'3_BD instruction total'!F:F,0))</f>
        <v>non</v>
      </c>
      <c r="C296" s="191" t="str">
        <f>'1_BD questio brut'!A296</f>
        <v>VRB0308</v>
      </c>
      <c r="D296" s="191" t="str">
        <f t="array" ref="D296">INDEX('Données 1_BD questio'!C:C,MATCH('1_BD questio brut'!$B$1&amp;'1_BD questio brut'!B296,'Données 1_BD questio'!A:A&amp;'Données 1_BD questio'!B:B,0))</f>
        <v>CAPV</v>
      </c>
      <c r="E296" s="191" t="str">
        <f t="array" ref="E296">INDEX('Données 1_BD questio'!C:C,MATCH('1_BD questio brut'!$C$1&amp;'1_BD questio brut'!C296,'Données 1_BD questio'!A:A&amp;'Données 1_BD questio'!B:B,0))</f>
        <v>Employé</v>
      </c>
      <c r="F296" s="191" t="str">
        <f t="array" ref="F296">INDEX('Données 1_BD questio'!C:C,MATCH('1_BD questio brut'!$D$1&amp;'1_BD questio brut'!D296,'Données 1_BD questio'!A:A&amp;'Données 1_BD questio'!B:B,0))</f>
        <v>Employé</v>
      </c>
      <c r="G296" s="191" t="str">
        <f>'1_BD questio brut'!E296</f>
        <v>25 à 34 ans</v>
      </c>
      <c r="H296" s="191">
        <f>'1_BD questio brut'!F296</f>
        <v>4</v>
      </c>
      <c r="I296" s="191" t="str">
        <f>'1_BD questio brut'!G296</f>
        <v>Pas de réponse</v>
      </c>
      <c r="J296" s="191" t="str">
        <f t="array" ref="J296">INDEX('Données 1_BD questio'!C:C,MATCH('1_BD questio brut'!$H$1&amp;'1_BD questio brut'!H296,'Données 1_BD questio'!A:A&amp;'Données 1_BD questio'!B:B,0))</f>
        <v>Maison avec jardin</v>
      </c>
      <c r="K296" s="191">
        <f>'1_BD questio brut'!I296</f>
        <v>120</v>
      </c>
      <c r="L296" s="191" t="str">
        <f>'1_BD questio brut'!J296</f>
        <v>Avant 1949</v>
      </c>
      <c r="M296" s="191" t="str">
        <f>'1_BD questio brut'!K296</f>
        <v>4</v>
      </c>
      <c r="N296" s="191" t="str">
        <f>'1_BD questio brut'!L296</f>
        <v>Pas de réponse</v>
      </c>
      <c r="O296" s="191" t="str">
        <f>'1_BD questio brut'!M296</f>
        <v>Propriétaire occupant</v>
      </c>
      <c r="P296" s="191" t="str">
        <f>'1_BD questio brut'!N296</f>
        <v>Poêle</v>
      </c>
      <c r="Q296" s="191" t="str">
        <f>'1_BD questio brut'!O296</f>
        <v>Chauffage de base</v>
      </c>
      <c r="R296" s="191" t="str">
        <f>'1_BD questio brut'!P296</f>
        <v>Tous les jours</v>
      </c>
      <c r="S296" s="191" t="str">
        <f>'1_BD questio brut'!Q296</f>
        <v>4; 5</v>
      </c>
      <c r="T296" s="191" t="str">
        <f>'1_BD questio brut'!R296</f>
        <v>1996-2002</v>
      </c>
      <c r="U296" s="191" t="str">
        <f>'1_BD questio brut'!S296</f>
        <v>Bois de récupération, à préciser</v>
      </c>
      <c r="V296" s="191" t="str">
        <f>'1_BD questio brut'!T296</f>
        <v/>
      </c>
      <c r="W296" s="191" t="str">
        <f>'1_BD questio brut'!U296</f>
        <v/>
      </c>
      <c r="X296" s="191" t="str">
        <f>'1_BD questio brut'!V296</f>
        <v/>
      </c>
      <c r="Y296" s="191" t="str">
        <f>'1_BD questio brut'!W296</f>
        <v>1</v>
      </c>
      <c r="Z296" s="191" t="str">
        <f>'1_BD questio brut'!X296</f>
        <v/>
      </c>
      <c r="AA296" s="191" t="str">
        <f t="array" ref="AA296">INDEX('Données 1_BD questio'!C:C,MATCH('1_BD questio brut'!$Y$1&amp;'1_BD questio brut'!Y296,'Données 1_BD questio'!A:A&amp;'Données 1_BD questio'!B:B,0))</f>
        <v>Ne sait pas</v>
      </c>
      <c r="AB296" s="191" t="str">
        <f>'1_BD questio brut'!Z296</f>
        <v>2</v>
      </c>
      <c r="AC296" s="191" t="str">
        <f>'1_BD questio brut'!AA296</f>
        <v>1 à 2 ans</v>
      </c>
      <c r="AD296" s="191" t="str">
        <f>'1_BD questio brut'!AB296</f>
        <v>Les deux</v>
      </c>
      <c r="AE296" s="191" t="str">
        <f t="array" ref="AE296">INDEX('Données 1_BD questio'!C:C,MATCH('1_BD questio brut'!$AC$1&amp;'1_BD questio brut'!AC296,'Données 1_BD questio'!A:A&amp;'Données 1_BD questio'!B:B,0))</f>
        <v>un professionnel</v>
      </c>
      <c r="AF296" s="191" t="str">
        <f>'1_BD questio brut'!AD296</f>
        <v>1 fois par an</v>
      </c>
      <c r="AG296" s="191" t="str">
        <f>'1_BD questio brut'!AE296</f>
        <v/>
      </c>
      <c r="AH296" s="191" t="str">
        <f>'1_BD questio brut'!AF296</f>
        <v>Poêle</v>
      </c>
      <c r="AI296" s="191" t="str">
        <f>'1_BD questio brut'!AG296</f>
        <v>1</v>
      </c>
      <c r="AJ296" s="191" t="str">
        <f>'1_BD questio brut'!AH296</f>
        <v/>
      </c>
      <c r="AK296" s="191" t="str">
        <f>'1_BD questio brut'!AI296</f>
        <v>Chauffage d'appoint</v>
      </c>
      <c r="AL296" s="191" t="str">
        <f>'1_BD questio brut'!AJ296</f>
        <v>Pas de réponse</v>
      </c>
      <c r="AM296" s="191" t="str">
        <f>'1_BD questio brut'!AK296</f>
        <v>2; 4; 5</v>
      </c>
      <c r="AN296" s="191" t="str">
        <f>'1_BD questio brut'!AL296</f>
        <v/>
      </c>
      <c r="AO296" s="191" t="str">
        <f>'1_BD questio brut'!AM296</f>
        <v>5</v>
      </c>
      <c r="AP296" s="191" t="str">
        <f>'1_BD questio brut'!AN296</f>
        <v/>
      </c>
      <c r="AQ296" s="191" t="str">
        <f>'1_BD questio brut'!AO296</f>
        <v/>
      </c>
    </row>
    <row r="297" spans="1:43" ht="29" hidden="1">
      <c r="A297" s="98" t="e">
        <f>INDEX('3_BD instruction total'!A:A,MATCH(C297,'3_BD instruction total'!F:F,0))</f>
        <v>#VALUE!</v>
      </c>
      <c r="B297" s="98" t="str">
        <f>INDEX('3_BD instruction total'!C:C,MATCH(C297,'3_BD instruction total'!F:F,0))</f>
        <v>oui</v>
      </c>
      <c r="C297" s="191" t="str">
        <f>'1_BD questio brut'!A297</f>
        <v>VRB0309</v>
      </c>
      <c r="D297" s="191" t="str">
        <f t="array" ref="D297">INDEX('Données 1_BD questio'!C:C,MATCH('1_BD questio brut'!$B$1&amp;'1_BD questio brut'!B297,'Données 1_BD questio'!A:A&amp;'Données 1_BD questio'!B:B,0))</f>
        <v>CAPV</v>
      </c>
      <c r="E297" s="191" t="str">
        <f t="array" ref="E297">INDEX('Données 1_BD questio'!C:C,MATCH('1_BD questio brut'!$C$1&amp;'1_BD questio brut'!C297,'Données 1_BD questio'!A:A&amp;'Données 1_BD questio'!B:B,0))</f>
        <v>Employé</v>
      </c>
      <c r="F297" s="191" t="str">
        <f t="array" ref="F297">INDEX('Données 1_BD questio'!C:C,MATCH('1_BD questio brut'!$D$1&amp;'1_BD questio brut'!D297,'Données 1_BD questio'!A:A&amp;'Données 1_BD questio'!B:B,0))</f>
        <v>Autre,sans activité</v>
      </c>
      <c r="G297" s="191" t="str">
        <f>'1_BD questio brut'!E297</f>
        <v>35 à 49 ans</v>
      </c>
      <c r="H297" s="191">
        <f>'1_BD questio brut'!F297</f>
        <v>4</v>
      </c>
      <c r="I297" s="191" t="str">
        <f>'1_BD questio brut'!G297</f>
        <v>Pas de réponse</v>
      </c>
      <c r="J297" s="191" t="str">
        <f t="array" ref="J297">INDEX('Données 1_BD questio'!C:C,MATCH('1_BD questio brut'!$H$1&amp;'1_BD questio brut'!H297,'Données 1_BD questio'!A:A&amp;'Données 1_BD questio'!B:B,0))</f>
        <v>Maison avec jardin</v>
      </c>
      <c r="K297" s="191">
        <f>'1_BD questio brut'!I297</f>
        <v>145</v>
      </c>
      <c r="L297" s="191" t="str">
        <f>'1_BD questio brut'!J297</f>
        <v>1975-1990</v>
      </c>
      <c r="M297" s="191" t="str">
        <f>'1_BD questio brut'!K297</f>
        <v>6</v>
      </c>
      <c r="N297" s="191" t="str">
        <f>'1_BD questio brut'!L297</f>
        <v>E</v>
      </c>
      <c r="O297" s="191" t="str">
        <f>'1_BD questio brut'!M297</f>
        <v>Propriétaire occupant</v>
      </c>
      <c r="P297" s="191" t="str">
        <f>'1_BD questio brut'!N297</f>
        <v>Insert / foyer fermé</v>
      </c>
      <c r="Q297" s="191" t="str">
        <f>'1_BD questio brut'!O297</f>
        <v>Plaisir/agrément</v>
      </c>
      <c r="R297" s="191" t="str">
        <f>'1_BD questio brut'!P297</f>
        <v>Jamais</v>
      </c>
      <c r="S297" s="191" t="str">
        <f>'1_BD questio brut'!Q297</f>
        <v>7</v>
      </c>
      <c r="T297" s="191" t="str">
        <f>'1_BD questio brut'!R297</f>
        <v>Avant 1990</v>
      </c>
      <c r="U297" s="191" t="str">
        <f>'1_BD questio brut'!S297</f>
        <v>Bois bûche</v>
      </c>
      <c r="V297" s="191" t="str">
        <f>'1_BD questio brut'!T297</f>
        <v/>
      </c>
      <c r="W297" s="191" t="str">
        <f>'1_BD questio brut'!U297</f>
        <v/>
      </c>
      <c r="X297" s="191" t="str">
        <f>'1_BD questio brut'!V297</f>
        <v/>
      </c>
      <c r="Y297" s="191" t="str">
        <f>'1_BD questio brut'!W297</f>
        <v>5</v>
      </c>
      <c r="Z297" s="191" t="str">
        <f>'1_BD questio brut'!X297</f>
        <v/>
      </c>
      <c r="AA297" s="191" t="str">
        <f t="array" ref="AA297">INDEX('Données 1_BD questio'!C:C,MATCH('1_BD questio brut'!$Y$1&amp;'1_BD questio brut'!Y297,'Données 1_BD questio'!A:A&amp;'Données 1_BD questio'!B:B,0))</f>
        <v>Pas de réponse</v>
      </c>
      <c r="AB297" s="191" t="str">
        <f>'1_BD questio brut'!Z297</f>
        <v>4</v>
      </c>
      <c r="AC297" s="191" t="str">
        <f>'1_BD questio brut'!AA297</f>
        <v>Pas de réponse</v>
      </c>
      <c r="AD297" s="191" t="str">
        <f>'1_BD questio brut'!AB297</f>
        <v>Pas de réponse</v>
      </c>
      <c r="AE297" s="191" t="str">
        <f t="array" ref="AE297">INDEX('Données 1_BD questio'!C:C,MATCH('1_BD questio brut'!$AC$1&amp;'1_BD questio brut'!AC297,'Données 1_BD questio'!A:A&amp;'Données 1_BD questio'!B:B,0))</f>
        <v>Pas de réponse</v>
      </c>
      <c r="AF297" s="191" t="str">
        <f>'1_BD questio brut'!AD297</f>
        <v>Pas de réponse</v>
      </c>
      <c r="AG297" s="191" t="str">
        <f>'1_BD questio brut'!AE297</f>
        <v/>
      </c>
      <c r="AH297" s="191" t="str">
        <f>'1_BD questio brut'!AF297</f>
        <v>Poêle</v>
      </c>
      <c r="AI297" s="191" t="str">
        <f>'1_BD questio brut'!AG297</f>
        <v>2</v>
      </c>
      <c r="AJ297" s="191" t="str">
        <f>'1_BD questio brut'!AH297</f>
        <v/>
      </c>
      <c r="AK297" s="191" t="str">
        <f>'1_BD questio brut'!AI297</f>
        <v>Chauffage de base</v>
      </c>
      <c r="AL297" s="191" t="str">
        <f>'1_BD questio brut'!AJ297</f>
        <v>Pas de réponse</v>
      </c>
      <c r="AM297" s="191" t="str">
        <f>'1_BD questio brut'!AK297</f>
        <v>2; 4; 5</v>
      </c>
      <c r="AN297" s="191" t="str">
        <f>'1_BD questio brut'!AL297</f>
        <v/>
      </c>
      <c r="AO297" s="191" t="str">
        <f>'1_BD questio brut'!AM297</f>
        <v>1</v>
      </c>
      <c r="AP297" s="191" t="str">
        <f>'1_BD questio brut'!AN297</f>
        <v/>
      </c>
      <c r="AQ297" s="191" t="str">
        <f>'1_BD questio brut'!AO297</f>
        <v/>
      </c>
    </row>
    <row r="298" spans="1:43" ht="43.5" hidden="1">
      <c r="A298" s="98">
        <f>INDEX('3_BD instruction total'!A:A,MATCH(C298,'3_BD instruction total'!F:F,0))</f>
        <v>2021</v>
      </c>
      <c r="B298" s="98" t="str">
        <f>INDEX('3_BD instruction total'!C:C,MATCH(C298,'3_BD instruction total'!F:F,0))</f>
        <v>non</v>
      </c>
      <c r="C298" s="191" t="str">
        <f>'1_BD questio brut'!A298</f>
        <v>VRB0310</v>
      </c>
      <c r="D298" s="191" t="str">
        <f t="array" ref="D298">INDEX('Données 1_BD questio'!C:C,MATCH('1_BD questio brut'!$B$1&amp;'1_BD questio brut'!B298,'Données 1_BD questio'!A:A&amp;'Données 1_BD questio'!B:B,0))</f>
        <v>CAPV</v>
      </c>
      <c r="E298" s="191" t="str">
        <f t="array" ref="E298">INDEX('Données 1_BD questio'!C:C,MATCH('1_BD questio brut'!$C$1&amp;'1_BD questio brut'!C298,'Données 1_BD questio'!A:A&amp;'Données 1_BD questio'!B:B,0))</f>
        <v>Employé</v>
      </c>
      <c r="F298" s="191" t="str">
        <f t="array" ref="F298">INDEX('Données 1_BD questio'!C:C,MATCH('1_BD questio brut'!$D$1&amp;'1_BD questio brut'!D298,'Données 1_BD questio'!A:A&amp;'Données 1_BD questio'!B:B,0))</f>
        <v>Profession intermédiaire</v>
      </c>
      <c r="G298" s="191" t="str">
        <f>'1_BD questio brut'!E298</f>
        <v>35 à 49 ans</v>
      </c>
      <c r="H298" s="191">
        <f>'1_BD questio brut'!F298</f>
        <v>3</v>
      </c>
      <c r="I298" s="191" t="str">
        <f>'1_BD questio brut'!G298</f>
        <v>Pas de réponse</v>
      </c>
      <c r="J298" s="191" t="str">
        <f t="array" ref="J298">INDEX('Données 1_BD questio'!C:C,MATCH('1_BD questio brut'!$H$1&amp;'1_BD questio brut'!H298,'Données 1_BD questio'!A:A&amp;'Données 1_BD questio'!B:B,0))</f>
        <v>Maison avec jardin</v>
      </c>
      <c r="K298" s="191">
        <f>'1_BD questio brut'!I298</f>
        <v>185</v>
      </c>
      <c r="L298" s="191" t="str">
        <f>'1_BD questio brut'!J298</f>
        <v>1975-1990</v>
      </c>
      <c r="M298" s="191" t="str">
        <f>'1_BD questio brut'!K298</f>
        <v>6</v>
      </c>
      <c r="N298" s="191" t="str">
        <f>'1_BD questio brut'!L298</f>
        <v>E</v>
      </c>
      <c r="O298" s="191" t="str">
        <f>'1_BD questio brut'!M298</f>
        <v>Propriétaire occupant</v>
      </c>
      <c r="P298" s="191" t="str">
        <f>'1_BD questio brut'!N298</f>
        <v>Insert / foyer fermé</v>
      </c>
      <c r="Q298" s="191" t="str">
        <f>'1_BD questio brut'!O298</f>
        <v>Chauffage d'apoint</v>
      </c>
      <c r="R298" s="191" t="str">
        <f>'1_BD questio brut'!P298</f>
        <v>3 à 4 jours/semaine</v>
      </c>
      <c r="S298" s="191" t="str">
        <f>'1_BD questio brut'!Q298</f>
        <v>4; 6</v>
      </c>
      <c r="T298" s="191" t="str">
        <f>'1_BD questio brut'!R298</f>
        <v>Avant 1990</v>
      </c>
      <c r="U298" s="191" t="str">
        <f>'1_BD questio brut'!S298</f>
        <v>Bois bûche</v>
      </c>
      <c r="V298" s="191" t="str">
        <f>'1_BD questio brut'!T298</f>
        <v/>
      </c>
      <c r="W298" s="191" t="str">
        <f>'1_BD questio brut'!U298</f>
        <v/>
      </c>
      <c r="X298" s="191" t="str">
        <f>'1_BD questio brut'!V298</f>
        <v/>
      </c>
      <c r="Y298" s="191" t="str">
        <f>'1_BD questio brut'!W298</f>
        <v>1</v>
      </c>
      <c r="Z298" s="191" t="str">
        <f>'1_BD questio brut'!X298</f>
        <v/>
      </c>
      <c r="AA298" s="191" t="str">
        <f t="array" ref="AA298">INDEX('Données 1_BD questio'!C:C,MATCH('1_BD questio brut'!$Y$1&amp;'1_BD questio brut'!Y298,'Données 1_BD questio'!A:A&amp;'Données 1_BD questio'!B:B,0))</f>
        <v>Ne sait pas</v>
      </c>
      <c r="AB298" s="191" t="str">
        <f>'1_BD questio brut'!Z298</f>
        <v>2</v>
      </c>
      <c r="AC298" s="191" t="str">
        <f>'1_BD questio brut'!AA298</f>
        <v>1 à 2 ans</v>
      </c>
      <c r="AD298" s="191" t="str">
        <f>'1_BD questio brut'!AB298</f>
        <v>Les deux</v>
      </c>
      <c r="AE298" s="191" t="str">
        <f t="array" ref="AE298">INDEX('Données 1_BD questio'!C:C,MATCH('1_BD questio brut'!$AC$1&amp;'1_BD questio brut'!AC298,'Données 1_BD questio'!A:A&amp;'Données 1_BD questio'!B:B,0))</f>
        <v>vous-même</v>
      </c>
      <c r="AF298" s="191" t="str">
        <f>'1_BD questio brut'!AD298</f>
        <v>1 fois tous les 2 ans</v>
      </c>
      <c r="AG298" s="191" t="str">
        <f>'1_BD questio brut'!AE298</f>
        <v/>
      </c>
      <c r="AH298" s="191" t="str">
        <f>'1_BD questio brut'!AF298</f>
        <v>Poêle</v>
      </c>
      <c r="AI298" s="191" t="str">
        <f>'1_BD questio brut'!AG298</f>
        <v>1; 2</v>
      </c>
      <c r="AJ298" s="191" t="str">
        <f>'1_BD questio brut'!AH298</f>
        <v/>
      </c>
      <c r="AK298" s="191" t="str">
        <f>'1_BD questio brut'!AI298</f>
        <v>Chauffage d'appoint</v>
      </c>
      <c r="AL298" s="191" t="str">
        <f>'1_BD questio brut'!AJ298</f>
        <v>Pas de réponse</v>
      </c>
      <c r="AM298" s="191" t="str">
        <f>'1_BD questio brut'!AK298</f>
        <v>4; 5</v>
      </c>
      <c r="AN298" s="191" t="str">
        <f>'1_BD questio brut'!AL298</f>
        <v/>
      </c>
      <c r="AO298" s="191" t="str">
        <f>'1_BD questio brut'!AM298</f>
        <v>2</v>
      </c>
      <c r="AP298" s="191" t="str">
        <f>'1_BD questio brut'!AN298</f>
        <v/>
      </c>
      <c r="AQ298" s="191" t="str">
        <f>'1_BD questio brut'!AO298</f>
        <v/>
      </c>
    </row>
    <row r="299" spans="1:43" ht="43.5" hidden="1">
      <c r="A299" s="98">
        <f>INDEX('3_BD instruction total'!A:A,MATCH(C299,'3_BD instruction total'!F:F,0))</f>
        <v>1900</v>
      </c>
      <c r="B299" s="98" t="str">
        <f>INDEX('3_BD instruction total'!C:C,MATCH(C299,'3_BD instruction total'!F:F,0))</f>
        <v>oui</v>
      </c>
      <c r="C299" s="191" t="str">
        <f>'1_BD questio brut'!A299</f>
        <v>VRB0311</v>
      </c>
      <c r="D299" s="191" t="str">
        <f t="array" ref="D299">INDEX('Données 1_BD questio'!C:C,MATCH('1_BD questio brut'!$B$1&amp;'1_BD questio brut'!B299,'Données 1_BD questio'!A:A&amp;'Données 1_BD questio'!B:B,0))</f>
        <v>CAPV</v>
      </c>
      <c r="E299" s="191" t="str">
        <f t="array" ref="E299">INDEX('Données 1_BD questio'!C:C,MATCH('1_BD questio brut'!$C$1&amp;'1_BD questio brut'!C299,'Données 1_BD questio'!A:A&amp;'Données 1_BD questio'!B:B,0))</f>
        <v>Retraité</v>
      </c>
      <c r="F299" s="191" t="str">
        <f t="array" ref="F299">INDEX('Données 1_BD questio'!C:C,MATCH('1_BD questio brut'!$D$1&amp;'1_BD questio brut'!D299,'Données 1_BD questio'!A:A&amp;'Données 1_BD questio'!B:B,0))</f>
        <v>Pas de réponse</v>
      </c>
      <c r="G299" s="191" t="str">
        <f>'1_BD questio brut'!E299</f>
        <v>65 ans et plus</v>
      </c>
      <c r="H299" s="191">
        <f>'1_BD questio brut'!F299</f>
        <v>1</v>
      </c>
      <c r="I299" s="191" t="str">
        <f>'1_BD questio brut'!G299</f>
        <v>Pas de réponse</v>
      </c>
      <c r="J299" s="191" t="str">
        <f t="array" ref="J299">INDEX('Données 1_BD questio'!C:C,MATCH('1_BD questio brut'!$H$1&amp;'1_BD questio brut'!H299,'Données 1_BD questio'!A:A&amp;'Données 1_BD questio'!B:B,0))</f>
        <v>Maison avec jardin</v>
      </c>
      <c r="K299" s="191">
        <f>'1_BD questio brut'!I299</f>
        <v>380</v>
      </c>
      <c r="L299" s="191" t="str">
        <f>'1_BD questio brut'!J299</f>
        <v>Avant 1949</v>
      </c>
      <c r="M299" s="191" t="str">
        <f>'1_BD questio brut'!K299</f>
        <v>6</v>
      </c>
      <c r="N299" s="191" t="str">
        <f>'1_BD questio brut'!L299</f>
        <v>Pas de réponse</v>
      </c>
      <c r="O299" s="191" t="str">
        <f>'1_BD questio brut'!M299</f>
        <v>Propriétaire bailleur</v>
      </c>
      <c r="P299" s="191" t="str">
        <f>'1_BD questio brut'!N299</f>
        <v>Foyer ouvert</v>
      </c>
      <c r="Q299" s="191" t="str">
        <f>'1_BD questio brut'!O299</f>
        <v>Chauffage d'apoint</v>
      </c>
      <c r="R299" s="191" t="str">
        <f>'1_BD questio brut'!P299</f>
        <v>1 à 2 jours/semaine</v>
      </c>
      <c r="S299" s="191" t="str">
        <f>'1_BD questio brut'!Q299</f>
        <v>4; 5</v>
      </c>
      <c r="T299" s="191" t="str">
        <f>'1_BD questio brut'!R299</f>
        <v>Avant 1990</v>
      </c>
      <c r="U299" s="191" t="str">
        <f>'1_BD questio brut'!S299</f>
        <v>Bois bûche</v>
      </c>
      <c r="V299" s="191" t="str">
        <f>'1_BD questio brut'!T299</f>
        <v/>
      </c>
      <c r="W299" s="191" t="str">
        <f>'1_BD questio brut'!U299</f>
        <v>15</v>
      </c>
      <c r="X299" s="191" t="str">
        <f>'1_BD questio brut'!V299</f>
        <v>STERES</v>
      </c>
      <c r="Y299" s="191" t="str">
        <f>'1_BD questio brut'!W299</f>
        <v>1</v>
      </c>
      <c r="Z299" s="191" t="str">
        <f>'1_BD questio brut'!X299</f>
        <v/>
      </c>
      <c r="AA299" s="191" t="str">
        <f t="array" ref="AA299">INDEX('Données 1_BD questio'!C:C,MATCH('1_BD questio brut'!$Y$1&amp;'1_BD questio brut'!Y299,'Données 1_BD questio'!A:A&amp;'Données 1_BD questio'!B:B,0))</f>
        <v>Rhône-Alpes hors RA2B</v>
      </c>
      <c r="AB299" s="191" t="str">
        <f>'1_BD questio brut'!Z299</f>
        <v>2</v>
      </c>
      <c r="AC299" s="191" t="str">
        <f>'1_BD questio brut'!AA299</f>
        <v>1 à 2 ans</v>
      </c>
      <c r="AD299" s="191" t="str">
        <f>'1_BD questio brut'!AB299</f>
        <v>Feuillus</v>
      </c>
      <c r="AE299" s="191" t="str">
        <f t="array" ref="AE299">INDEX('Données 1_BD questio'!C:C,MATCH('1_BD questio brut'!$AC$1&amp;'1_BD questio brut'!AC299,'Données 1_BD questio'!A:A&amp;'Données 1_BD questio'!B:B,0))</f>
        <v>un professionnel</v>
      </c>
      <c r="AF299" s="191" t="str">
        <f>'1_BD questio brut'!AD299</f>
        <v>1 fois par an</v>
      </c>
      <c r="AG299" s="191" t="str">
        <f>'1_BD questio brut'!AE299</f>
        <v/>
      </c>
      <c r="AH299" s="191" t="str">
        <f>'1_BD questio brut'!AF299</f>
        <v>Insert cheminée</v>
      </c>
      <c r="AI299" s="191" t="str">
        <f>'1_BD questio brut'!AG299</f>
        <v>1</v>
      </c>
      <c r="AJ299" s="191" t="str">
        <f>'1_BD questio brut'!AH299</f>
        <v/>
      </c>
      <c r="AK299" s="191" t="str">
        <f>'1_BD questio brut'!AI299</f>
        <v>Chauffage d'appoint</v>
      </c>
      <c r="AL299" s="191" t="str">
        <f>'1_BD questio brut'!AJ299</f>
        <v>Pas de réponse</v>
      </c>
      <c r="AM299" s="191" t="str">
        <f>'1_BD questio brut'!AK299</f>
        <v>1; 2; 4</v>
      </c>
      <c r="AN299" s="191" t="str">
        <f>'1_BD questio brut'!AL299</f>
        <v/>
      </c>
      <c r="AO299" s="191" t="str">
        <f>'1_BD questio brut'!AM299</f>
        <v>11</v>
      </c>
      <c r="AP299" s="191" t="str">
        <f>'1_BD questio brut'!AN299</f>
        <v/>
      </c>
      <c r="AQ299" s="191" t="str">
        <f>'1_BD questio brut'!AO299</f>
        <v/>
      </c>
    </row>
    <row r="300" spans="1:43" ht="29" hidden="1">
      <c r="A300" s="98">
        <f>INDEX('3_BD instruction total'!A:A,MATCH(C300,'3_BD instruction total'!F:F,0))</f>
        <v>2021</v>
      </c>
      <c r="B300" s="98" t="str">
        <f>INDEX('3_BD instruction total'!C:C,MATCH(C300,'3_BD instruction total'!F:F,0))</f>
        <v>non</v>
      </c>
      <c r="C300" s="191" t="str">
        <f>'1_BD questio brut'!A300</f>
        <v>VRB0312</v>
      </c>
      <c r="D300" s="191" t="str">
        <f t="array" ref="D300">INDEX('Données 1_BD questio'!C:C,MATCH('1_BD questio brut'!$B$1&amp;'1_BD questio brut'!B300,'Données 1_BD questio'!A:A&amp;'Données 1_BD questio'!B:B,0))</f>
        <v>CAPV</v>
      </c>
      <c r="E300" s="191" t="str">
        <f t="array" ref="E300">INDEX('Données 1_BD questio'!C:C,MATCH('1_BD questio brut'!$C$1&amp;'1_BD questio brut'!C300,'Données 1_BD questio'!A:A&amp;'Données 1_BD questio'!B:B,0))</f>
        <v>Profession intermédiaire</v>
      </c>
      <c r="F300" s="191" t="str">
        <f t="array" ref="F300">INDEX('Données 1_BD questio'!C:C,MATCH('1_BD questio brut'!$D$1&amp;'1_BD questio brut'!D300,'Données 1_BD questio'!A:A&amp;'Données 1_BD questio'!B:B,0))</f>
        <v>Profession intermédiaire</v>
      </c>
      <c r="G300" s="191" t="str">
        <f>'1_BD questio brut'!E300</f>
        <v>35 à 49 ans</v>
      </c>
      <c r="H300" s="191">
        <f>'1_BD questio brut'!F300</f>
        <v>4</v>
      </c>
      <c r="I300" s="191" t="str">
        <f>'1_BD questio brut'!G300</f>
        <v>Pas de réponse</v>
      </c>
      <c r="J300" s="191" t="str">
        <f t="array" ref="J300">INDEX('Données 1_BD questio'!C:C,MATCH('1_BD questio brut'!$H$1&amp;'1_BD questio brut'!H300,'Données 1_BD questio'!A:A&amp;'Données 1_BD questio'!B:B,0))</f>
        <v>Maison avec jardin</v>
      </c>
      <c r="K300" s="191">
        <f>'1_BD questio brut'!I300</f>
        <v>116</v>
      </c>
      <c r="L300" s="191" t="str">
        <f>'1_BD questio brut'!J300</f>
        <v>1975-1990</v>
      </c>
      <c r="M300" s="191" t="str">
        <f>'1_BD questio brut'!K300</f>
        <v>1; 3; 4</v>
      </c>
      <c r="N300" s="191" t="str">
        <f>'1_BD questio brut'!L300</f>
        <v>C</v>
      </c>
      <c r="O300" s="191" t="str">
        <f>'1_BD questio brut'!M300</f>
        <v>Propriétaire occupant</v>
      </c>
      <c r="P300" s="191" t="str">
        <f>'1_BD questio brut'!N300</f>
        <v>Foyer ouvert</v>
      </c>
      <c r="Q300" s="191" t="str">
        <f>'1_BD questio brut'!O300</f>
        <v>Plaisir/agrément</v>
      </c>
      <c r="R300" s="191" t="str">
        <f>'1_BD questio brut'!P300</f>
        <v>1 à 3 jours/mois</v>
      </c>
      <c r="S300" s="191" t="str">
        <f>'1_BD questio brut'!Q300</f>
        <v>2; 3; 6</v>
      </c>
      <c r="T300" s="191" t="str">
        <f>'1_BD questio brut'!R300</f>
        <v>Avant 1990</v>
      </c>
      <c r="U300" s="191" t="str">
        <f>'1_BD questio brut'!S300</f>
        <v>Bois bûche</v>
      </c>
      <c r="V300" s="191" t="str">
        <f>'1_BD questio brut'!T300</f>
        <v/>
      </c>
      <c r="W300" s="191" t="str">
        <f>'1_BD questio brut'!U300</f>
        <v>2</v>
      </c>
      <c r="X300" s="191" t="str">
        <f>'1_BD questio brut'!V300</f>
        <v>STERES</v>
      </c>
      <c r="Y300" s="191" t="str">
        <f>'1_BD questio brut'!W300</f>
        <v>1</v>
      </c>
      <c r="Z300" s="191" t="str">
        <f>'1_BD questio brut'!X300</f>
        <v/>
      </c>
      <c r="AA300" s="191" t="str">
        <f t="array" ref="AA300">INDEX('Données 1_BD questio'!C:C,MATCH('1_BD questio brut'!$Y$1&amp;'1_BD questio brut'!Y300,'Données 1_BD questio'!A:A&amp;'Données 1_BD questio'!B:B,0))</f>
        <v>Rhône-Alpes hors RA2B</v>
      </c>
      <c r="AB300" s="191" t="str">
        <f>'1_BD questio brut'!Z300</f>
        <v>1; 3</v>
      </c>
      <c r="AC300" s="191" t="str">
        <f>'1_BD questio brut'!AA300</f>
        <v>1 à 2 ans</v>
      </c>
      <c r="AD300" s="191" t="str">
        <f>'1_BD questio brut'!AB300</f>
        <v>Les deux</v>
      </c>
      <c r="AE300" s="191" t="str">
        <f t="array" ref="AE300">INDEX('Données 1_BD questio'!C:C,MATCH('1_BD questio brut'!$AC$1&amp;'1_BD questio brut'!AC300,'Données 1_BD questio'!A:A&amp;'Données 1_BD questio'!B:B,0))</f>
        <v>vous-même</v>
      </c>
      <c r="AF300" s="191" t="str">
        <f>'1_BD questio brut'!AD300</f>
        <v>1 fois tous les 2 ans</v>
      </c>
      <c r="AG300" s="191" t="str">
        <f>'1_BD questio brut'!AE300</f>
        <v/>
      </c>
      <c r="AH300" s="191" t="str">
        <f>'1_BD questio brut'!AF300</f>
        <v>Poêle</v>
      </c>
      <c r="AI300" s="191" t="str">
        <f>'1_BD questio brut'!AG300</f>
        <v>1</v>
      </c>
      <c r="AJ300" s="191" t="str">
        <f>'1_BD questio brut'!AH300</f>
        <v/>
      </c>
      <c r="AK300" s="191" t="str">
        <f>'1_BD questio brut'!AI300</f>
        <v>Chauffage de base</v>
      </c>
      <c r="AL300" s="191" t="str">
        <f>'1_BD questio brut'!AJ300</f>
        <v>Pas de réponse</v>
      </c>
      <c r="AM300" s="191" t="str">
        <f>'1_BD questio brut'!AK300</f>
        <v>1; 2; 4; 5</v>
      </c>
      <c r="AN300" s="191" t="str">
        <f>'1_BD questio brut'!AL300</f>
        <v/>
      </c>
      <c r="AO300" s="191" t="str">
        <f>'1_BD questio brut'!AM300</f>
        <v>7</v>
      </c>
      <c r="AP300" s="191" t="str">
        <f>'1_BD questio brut'!AN300</f>
        <v/>
      </c>
      <c r="AQ300" s="191" t="str">
        <f>'1_BD questio brut'!AO300</f>
        <v/>
      </c>
    </row>
    <row r="301" spans="1:43" ht="43.5" hidden="1">
      <c r="A301" s="98" t="e">
        <f>INDEX('3_BD instruction total'!A:A,MATCH(C301,'3_BD instruction total'!F:F,0))</f>
        <v>#VALUE!</v>
      </c>
      <c r="B301" s="98" t="str">
        <f>INDEX('3_BD instruction total'!C:C,MATCH(C301,'3_BD instruction total'!F:F,0))</f>
        <v>oui</v>
      </c>
      <c r="C301" s="191" t="str">
        <f>'1_BD questio brut'!A301</f>
        <v>VRB0313</v>
      </c>
      <c r="D301" s="191" t="str">
        <f t="array" ref="D301">INDEX('Données 1_BD questio'!C:C,MATCH('1_BD questio brut'!$B$1&amp;'1_BD questio brut'!B301,'Données 1_BD questio'!A:A&amp;'Données 1_BD questio'!B:B,0))</f>
        <v>CAPV</v>
      </c>
      <c r="E301" s="191" t="str">
        <f t="array" ref="E301">INDEX('Données 1_BD questio'!C:C,MATCH('1_BD questio brut'!$C$1&amp;'1_BD questio brut'!C301,'Données 1_BD questio'!A:A&amp;'Données 1_BD questio'!B:B,0))</f>
        <v>Cadre</v>
      </c>
      <c r="F301" s="191" t="str">
        <f t="array" ref="F301">INDEX('Données 1_BD questio'!C:C,MATCH('1_BD questio brut'!$D$1&amp;'1_BD questio brut'!D301,'Données 1_BD questio'!A:A&amp;'Données 1_BD questio'!B:B,0))</f>
        <v>Autre,sans activité</v>
      </c>
      <c r="G301" s="191" t="str">
        <f>'1_BD questio brut'!E301</f>
        <v>35 à 49 ans</v>
      </c>
      <c r="H301" s="191">
        <f>'1_BD questio brut'!F301</f>
        <v>5</v>
      </c>
      <c r="I301" s="191" t="str">
        <f>'1_BD questio brut'!G301</f>
        <v>Pas de réponse</v>
      </c>
      <c r="J301" s="191" t="str">
        <f t="array" ref="J301">INDEX('Données 1_BD questio'!C:C,MATCH('1_BD questio brut'!$H$1&amp;'1_BD questio brut'!H301,'Données 1_BD questio'!A:A&amp;'Données 1_BD questio'!B:B,0))</f>
        <v>Maison avec jardin</v>
      </c>
      <c r="K301" s="191">
        <f>'1_BD questio brut'!I301</f>
        <v>180</v>
      </c>
      <c r="L301" s="191" t="str">
        <f>'1_BD questio brut'!J301</f>
        <v>1949-1975</v>
      </c>
      <c r="M301" s="191" t="str">
        <f>'1_BD questio brut'!K301</f>
        <v>4</v>
      </c>
      <c r="N301" s="191" t="str">
        <f>'1_BD questio brut'!L301</f>
        <v>Ne sait pas</v>
      </c>
      <c r="O301" s="191" t="str">
        <f>'1_BD questio brut'!M301</f>
        <v>Propriétaire occupant</v>
      </c>
      <c r="P301" s="191" t="str">
        <f>'1_BD questio brut'!N301</f>
        <v>Insert / foyer fermé</v>
      </c>
      <c r="Q301" s="191" t="str">
        <f>'1_BD questio brut'!O301</f>
        <v>Chauffage d'apoint</v>
      </c>
      <c r="R301" s="191" t="str">
        <f>'1_BD questio brut'!P301</f>
        <v>1 à 2 jours/semaine</v>
      </c>
      <c r="S301" s="191" t="str">
        <f>'1_BD questio brut'!Q301</f>
        <v>3; 4</v>
      </c>
      <c r="T301" s="191" t="str">
        <f>'1_BD questio brut'!R301</f>
        <v>1990-1995</v>
      </c>
      <c r="U301" s="191" t="str">
        <f>'1_BD questio brut'!S301</f>
        <v>Bois bûche</v>
      </c>
      <c r="V301" s="191" t="str">
        <f>'1_BD questio brut'!T301</f>
        <v/>
      </c>
      <c r="W301" s="191" t="str">
        <f>'1_BD questio brut'!U301</f>
        <v>15</v>
      </c>
      <c r="X301" s="191" t="str">
        <f>'1_BD questio brut'!V301</f>
        <v/>
      </c>
      <c r="Y301" s="191" t="str">
        <f>'1_BD questio brut'!W301</f>
        <v>1</v>
      </c>
      <c r="Z301" s="191" t="str">
        <f>'1_BD questio brut'!X301</f>
        <v/>
      </c>
      <c r="AA301" s="191" t="str">
        <f t="array" ref="AA301">INDEX('Données 1_BD questio'!C:C,MATCH('1_BD questio brut'!$Y$1&amp;'1_BD questio brut'!Y301,'Données 1_BD questio'!A:A&amp;'Données 1_BD questio'!B:B,0))</f>
        <v>Ne sait pas</v>
      </c>
      <c r="AB301" s="191" t="str">
        <f>'1_BD questio brut'!Z301</f>
        <v>2</v>
      </c>
      <c r="AC301" s="191" t="str">
        <f>'1_BD questio brut'!AA301</f>
        <v>1 à 2 ans</v>
      </c>
      <c r="AD301" s="191" t="str">
        <f>'1_BD questio brut'!AB301</f>
        <v>Feuillus</v>
      </c>
      <c r="AE301" s="191" t="str">
        <f t="array" ref="AE301">INDEX('Données 1_BD questio'!C:C,MATCH('1_BD questio brut'!$AC$1&amp;'1_BD questio brut'!AC301,'Données 1_BD questio'!A:A&amp;'Données 1_BD questio'!B:B,0))</f>
        <v>vous-même</v>
      </c>
      <c r="AF301" s="191" t="str">
        <f>'1_BD questio brut'!AD301</f>
        <v>2 fois par an</v>
      </c>
      <c r="AG301" s="191" t="str">
        <f>'1_BD questio brut'!AE301</f>
        <v/>
      </c>
      <c r="AH301" s="191" t="str">
        <f>'1_BD questio brut'!AF301</f>
        <v>Poêle</v>
      </c>
      <c r="AI301" s="191" t="str">
        <f>'1_BD questio brut'!AG301</f>
        <v>1</v>
      </c>
      <c r="AJ301" s="191" t="str">
        <f>'1_BD questio brut'!AH301</f>
        <v/>
      </c>
      <c r="AK301" s="191" t="str">
        <f>'1_BD questio brut'!AI301</f>
        <v>Chauffage d'appoint</v>
      </c>
      <c r="AL301" s="191" t="str">
        <f>'1_BD questio brut'!AJ301</f>
        <v>Pas de réponse</v>
      </c>
      <c r="AM301" s="191" t="str">
        <f>'1_BD questio brut'!AK301</f>
        <v>4</v>
      </c>
      <c r="AN301" s="191" t="str">
        <f>'1_BD questio brut'!AL301</f>
        <v/>
      </c>
      <c r="AO301" s="191" t="str">
        <f>'1_BD questio brut'!AM301</f>
        <v>1; 5</v>
      </c>
      <c r="AP301" s="191" t="str">
        <f>'1_BD questio brut'!AN301</f>
        <v/>
      </c>
      <c r="AQ301" s="191" t="str">
        <f>'1_BD questio brut'!AO301</f>
        <v/>
      </c>
    </row>
    <row r="302" spans="1:43" ht="43.5" hidden="1">
      <c r="A302" s="98">
        <f>INDEX('3_BD instruction total'!A:A,MATCH(C302,'3_BD instruction total'!F:F,0))</f>
        <v>2021</v>
      </c>
      <c r="B302" s="98" t="str">
        <f>INDEX('3_BD instruction total'!C:C,MATCH(C302,'3_BD instruction total'!F:F,0))</f>
        <v>non</v>
      </c>
      <c r="C302" s="191" t="str">
        <f>'1_BD questio brut'!A302</f>
        <v>VRB0314</v>
      </c>
      <c r="D302" s="191" t="str">
        <f t="array" ref="D302">INDEX('Données 1_BD questio'!C:C,MATCH('1_BD questio brut'!$B$1&amp;'1_BD questio brut'!B302,'Données 1_BD questio'!A:A&amp;'Données 1_BD questio'!B:B,0))</f>
        <v>CAPV</v>
      </c>
      <c r="E302" s="191" t="str">
        <f t="array" ref="E302">INDEX('Données 1_BD questio'!C:C,MATCH('1_BD questio brut'!$C$1&amp;'1_BD questio brut'!C302,'Données 1_BD questio'!A:A&amp;'Données 1_BD questio'!B:B,0))</f>
        <v>Employé</v>
      </c>
      <c r="F302" s="191" t="str">
        <f t="array" ref="F302">INDEX('Données 1_BD questio'!C:C,MATCH('1_BD questio brut'!$D$1&amp;'1_BD questio brut'!D302,'Données 1_BD questio'!A:A&amp;'Données 1_BD questio'!B:B,0))</f>
        <v>Pas de réponse</v>
      </c>
      <c r="G302" s="191" t="str">
        <f>'1_BD questio brut'!E302</f>
        <v>50 à 64 ans</v>
      </c>
      <c r="H302" s="191">
        <f>'1_BD questio brut'!F302</f>
        <v>4</v>
      </c>
      <c r="I302" s="191" t="str">
        <f>'1_BD questio brut'!G302</f>
        <v>Pas de réponse</v>
      </c>
      <c r="J302" s="191" t="str">
        <f t="array" ref="J302">INDEX('Données 1_BD questio'!C:C,MATCH('1_BD questio brut'!$H$1&amp;'1_BD questio brut'!H302,'Données 1_BD questio'!A:A&amp;'Données 1_BD questio'!B:B,0))</f>
        <v>Maison avec jardin</v>
      </c>
      <c r="K302" s="191">
        <f>'1_BD questio brut'!I302</f>
        <v>130</v>
      </c>
      <c r="L302" s="191" t="str">
        <f>'1_BD questio brut'!J302</f>
        <v>1949-1975</v>
      </c>
      <c r="M302" s="191" t="str">
        <f>'1_BD questio brut'!K302</f>
        <v>4</v>
      </c>
      <c r="N302" s="191" t="str">
        <f>'1_BD questio brut'!L302</f>
        <v>Pas de réponse</v>
      </c>
      <c r="O302" s="191" t="str">
        <f>'1_BD questio brut'!M302</f>
        <v>Propriétaire occupant</v>
      </c>
      <c r="P302" s="191" t="str">
        <f>'1_BD questio brut'!N302</f>
        <v>Insert / foyer fermé</v>
      </c>
      <c r="Q302" s="191" t="str">
        <f>'1_BD questio brut'!O302</f>
        <v>Chauffage d'apoint</v>
      </c>
      <c r="R302" s="191" t="str">
        <f>'1_BD questio brut'!P302</f>
        <v>1 à 2 jours/semaine</v>
      </c>
      <c r="S302" s="191" t="str">
        <f>'1_BD questio brut'!Q302</f>
        <v>2; 6</v>
      </c>
      <c r="T302" s="191" t="str">
        <f>'1_BD questio brut'!R302</f>
        <v>Avant 1990</v>
      </c>
      <c r="U302" s="191" t="str">
        <f>'1_BD questio brut'!S302</f>
        <v>Bois bûche</v>
      </c>
      <c r="V302" s="191" t="str">
        <f>'1_BD questio brut'!T302</f>
        <v/>
      </c>
      <c r="W302" s="191" t="str">
        <f>'1_BD questio brut'!U302</f>
        <v>2</v>
      </c>
      <c r="X302" s="191" t="str">
        <f>'1_BD questio brut'!V302</f>
        <v>STERES</v>
      </c>
      <c r="Y302" s="191" t="str">
        <f>'1_BD questio brut'!W302</f>
        <v>2</v>
      </c>
      <c r="Z302" s="191" t="str">
        <f>'1_BD questio brut'!X302</f>
        <v/>
      </c>
      <c r="AA302" s="191" t="str">
        <f t="array" ref="AA302">INDEX('Données 1_BD questio'!C:C,MATCH('1_BD questio brut'!$Y$1&amp;'1_BD questio brut'!Y302,'Données 1_BD questio'!A:A&amp;'Données 1_BD questio'!B:B,0))</f>
        <v>Ne sait pas</v>
      </c>
      <c r="AB302" s="191" t="str">
        <f>'1_BD questio brut'!Z302</f>
        <v>2</v>
      </c>
      <c r="AC302" s="191" t="str">
        <f>'1_BD questio brut'!AA302</f>
        <v>1 à 2 ans</v>
      </c>
      <c r="AD302" s="191" t="str">
        <f>'1_BD questio brut'!AB302</f>
        <v>Feuillus</v>
      </c>
      <c r="AE302" s="191" t="str">
        <f t="array" ref="AE302">INDEX('Données 1_BD questio'!C:C,MATCH('1_BD questio brut'!$AC$1&amp;'1_BD questio brut'!AC302,'Données 1_BD questio'!A:A&amp;'Données 1_BD questio'!B:B,0))</f>
        <v>un professionnel</v>
      </c>
      <c r="AF302" s="191" t="str">
        <f>'1_BD questio brut'!AD302</f>
        <v>1 fois tous les 2 ans</v>
      </c>
      <c r="AG302" s="191" t="str">
        <f>'1_BD questio brut'!AE302</f>
        <v/>
      </c>
      <c r="AH302" s="191" t="str">
        <f>'1_BD questio brut'!AF302</f>
        <v>Pas de réponse</v>
      </c>
      <c r="AI302" s="191" t="str">
        <f>'1_BD questio brut'!AG302</f>
        <v>1</v>
      </c>
      <c r="AJ302" s="191" t="str">
        <f>'1_BD questio brut'!AH302</f>
        <v/>
      </c>
      <c r="AK302" s="191" t="str">
        <f>'1_BD questio brut'!AI302</f>
        <v>Chauffage d'appoint</v>
      </c>
      <c r="AL302" s="191" t="str">
        <f>'1_BD questio brut'!AJ302</f>
        <v>Pas de réponse</v>
      </c>
      <c r="AM302" s="191" t="str">
        <f>'1_BD questio brut'!AK302</f>
        <v>1; 2; 4; 5</v>
      </c>
      <c r="AN302" s="191" t="str">
        <f>'1_BD questio brut'!AL302</f>
        <v/>
      </c>
      <c r="AO302" s="191" t="str">
        <f>'1_BD questio brut'!AM302</f>
        <v>5</v>
      </c>
      <c r="AP302" s="191" t="str">
        <f>'1_BD questio brut'!AN302</f>
        <v/>
      </c>
      <c r="AQ302" s="191" t="str">
        <f>'1_BD questio brut'!AO302</f>
        <v/>
      </c>
    </row>
    <row r="303" spans="1:43" ht="43.5" hidden="1">
      <c r="A303" s="98">
        <f>INDEX('3_BD instruction total'!A:A,MATCH(C303,'3_BD instruction total'!F:F,0))</f>
        <v>2021</v>
      </c>
      <c r="B303" s="98" t="str">
        <f>INDEX('3_BD instruction total'!C:C,MATCH(C303,'3_BD instruction total'!F:F,0))</f>
        <v>non</v>
      </c>
      <c r="C303" s="191" t="str">
        <f>'1_BD questio brut'!A303</f>
        <v>VRB0315</v>
      </c>
      <c r="D303" s="191" t="str">
        <f t="array" ref="D303">INDEX('Données 1_BD questio'!C:C,MATCH('1_BD questio brut'!$B$1&amp;'1_BD questio brut'!B303,'Données 1_BD questio'!A:A&amp;'Données 1_BD questio'!B:B,0))</f>
        <v>CAPV</v>
      </c>
      <c r="E303" s="191" t="str">
        <f t="array" ref="E303">INDEX('Données 1_BD questio'!C:C,MATCH('1_BD questio brut'!$C$1&amp;'1_BD questio brut'!C303,'Données 1_BD questio'!A:A&amp;'Données 1_BD questio'!B:B,0))</f>
        <v>Cadre</v>
      </c>
      <c r="F303" s="191" t="str">
        <f t="array" ref="F303">INDEX('Données 1_BD questio'!C:C,MATCH('1_BD questio brut'!$D$1&amp;'1_BD questio brut'!D303,'Données 1_BD questio'!A:A&amp;'Données 1_BD questio'!B:B,0))</f>
        <v>Ouvrier</v>
      </c>
      <c r="G303" s="191" t="str">
        <f>'1_BD questio brut'!E303</f>
        <v>50 à 64 ans</v>
      </c>
      <c r="H303" s="191">
        <f>'1_BD questio brut'!F303</f>
        <v>2</v>
      </c>
      <c r="I303" s="191" t="str">
        <f>'1_BD questio brut'!G303</f>
        <v>Pas de réponse</v>
      </c>
      <c r="J303" s="191" t="str">
        <f t="array" ref="J303">INDEX('Données 1_BD questio'!C:C,MATCH('1_BD questio brut'!$H$1&amp;'1_BD questio brut'!H303,'Données 1_BD questio'!A:A&amp;'Données 1_BD questio'!B:B,0))</f>
        <v>Maison avec jardin</v>
      </c>
      <c r="K303" s="191">
        <f>'1_BD questio brut'!I303</f>
        <v>140</v>
      </c>
      <c r="L303" s="191" t="str">
        <f>'1_BD questio brut'!J303</f>
        <v>1975-1990</v>
      </c>
      <c r="M303" s="191" t="str">
        <f>'1_BD questio brut'!K303</f>
        <v>1</v>
      </c>
      <c r="N303" s="191" t="str">
        <f>'1_BD questio brut'!L303</f>
        <v>Pas de réponse</v>
      </c>
      <c r="O303" s="191" t="str">
        <f>'1_BD questio brut'!M303</f>
        <v>Propriétaire occupant</v>
      </c>
      <c r="P303" s="191" t="str">
        <f>'1_BD questio brut'!N303</f>
        <v>Foyer ouvert</v>
      </c>
      <c r="Q303" s="191" t="str">
        <f>'1_BD questio brut'!O303</f>
        <v>Chauffage d'apoint</v>
      </c>
      <c r="R303" s="191" t="str">
        <f>'1_BD questio brut'!P303</f>
        <v>1 à 3 jours/mois</v>
      </c>
      <c r="S303" s="191" t="str">
        <f>'1_BD questio brut'!Q303</f>
        <v>6</v>
      </c>
      <c r="T303" s="191" t="str">
        <f>'1_BD questio brut'!R303</f>
        <v>Avant 1990</v>
      </c>
      <c r="U303" s="191" t="str">
        <f>'1_BD questio brut'!S303</f>
        <v>Bois bûche</v>
      </c>
      <c r="V303" s="191" t="str">
        <f>'1_BD questio brut'!T303</f>
        <v/>
      </c>
      <c r="W303" s="191" t="str">
        <f>'1_BD questio brut'!U303</f>
        <v>3</v>
      </c>
      <c r="X303" s="191" t="str">
        <f>'1_BD questio brut'!V303</f>
        <v>M3</v>
      </c>
      <c r="Y303" s="191" t="str">
        <f>'1_BD questio brut'!W303</f>
        <v>1</v>
      </c>
      <c r="Z303" s="191" t="str">
        <f>'1_BD questio brut'!X303</f>
        <v/>
      </c>
      <c r="AA303" s="191" t="str">
        <f t="array" ref="AA303">INDEX('Données 1_BD questio'!C:C,MATCH('1_BD questio brut'!$Y$1&amp;'1_BD questio brut'!Y303,'Données 1_BD questio'!A:A&amp;'Données 1_BD questio'!B:B,0))</f>
        <v>Rhône-Alpes hors RA2B</v>
      </c>
      <c r="AB303" s="191" t="str">
        <f>'1_BD questio brut'!Z303</f>
        <v>2</v>
      </c>
      <c r="AC303" s="191" t="str">
        <f>'1_BD questio brut'!AA303</f>
        <v>&gt; 2 ans</v>
      </c>
      <c r="AD303" s="191" t="str">
        <f>'1_BD questio brut'!AB303</f>
        <v>Les deux</v>
      </c>
      <c r="AE303" s="191" t="str">
        <f t="array" ref="AE303">INDEX('Données 1_BD questio'!C:C,MATCH('1_BD questio brut'!$AC$1&amp;'1_BD questio brut'!AC303,'Données 1_BD questio'!A:A&amp;'Données 1_BD questio'!B:B,0))</f>
        <v>un professionnel</v>
      </c>
      <c r="AF303" s="191" t="str">
        <f>'1_BD questio brut'!AD303</f>
        <v>1 fois tous les 2 ans</v>
      </c>
      <c r="AG303" s="191" t="str">
        <f>'1_BD questio brut'!AE303</f>
        <v/>
      </c>
      <c r="AH303" s="191" t="str">
        <f>'1_BD questio brut'!AF303</f>
        <v>Poêle</v>
      </c>
      <c r="AI303" s="191" t="str">
        <f>'1_BD questio brut'!AG303</f>
        <v>2</v>
      </c>
      <c r="AJ303" s="191" t="str">
        <f>'1_BD questio brut'!AH303</f>
        <v/>
      </c>
      <c r="AK303" s="191" t="str">
        <f>'1_BD questio brut'!AI303</f>
        <v>Chauffage de base</v>
      </c>
      <c r="AL303" s="191" t="str">
        <f>'1_BD questio brut'!AJ303</f>
        <v>Pas de réponse</v>
      </c>
      <c r="AM303" s="191" t="str">
        <f>'1_BD questio brut'!AK303</f>
        <v>2; 3; 5</v>
      </c>
      <c r="AN303" s="191" t="str">
        <f>'1_BD questio brut'!AL303</f>
        <v/>
      </c>
      <c r="AO303" s="191" t="str">
        <f>'1_BD questio brut'!AM303</f>
        <v>5</v>
      </c>
      <c r="AP303" s="191" t="str">
        <f>'1_BD questio brut'!AN303</f>
        <v/>
      </c>
      <c r="AQ303" s="191" t="str">
        <f>'1_BD questio brut'!AO303</f>
        <v/>
      </c>
    </row>
    <row r="304" spans="1:43" ht="29" hidden="1">
      <c r="A304" s="98">
        <f>INDEX('3_BD instruction total'!A:A,MATCH(C304,'3_BD instruction total'!F:F,0))</f>
        <v>1900</v>
      </c>
      <c r="B304" s="98" t="str">
        <f>INDEX('3_BD instruction total'!C:C,MATCH(C304,'3_BD instruction total'!F:F,0))</f>
        <v>oui</v>
      </c>
      <c r="C304" s="191" t="str">
        <f>'1_BD questio brut'!A304</f>
        <v>VRB0316</v>
      </c>
      <c r="D304" s="191" t="str">
        <f t="array" ref="D304">INDEX('Données 1_BD questio'!C:C,MATCH('1_BD questio brut'!$B$1&amp;'1_BD questio brut'!B304,'Données 1_BD questio'!A:A&amp;'Données 1_BD questio'!B:B,0))</f>
        <v>CAPV</v>
      </c>
      <c r="E304" s="191" t="str">
        <f t="array" ref="E304">INDEX('Données 1_BD questio'!C:C,MATCH('1_BD questio brut'!$C$1&amp;'1_BD questio brut'!C304,'Données 1_BD questio'!A:A&amp;'Données 1_BD questio'!B:B,0))</f>
        <v>Retraité</v>
      </c>
      <c r="F304" s="191" t="str">
        <f t="array" ref="F304">INDEX('Données 1_BD questio'!C:C,MATCH('1_BD questio brut'!$D$1&amp;'1_BD questio brut'!D304,'Données 1_BD questio'!A:A&amp;'Données 1_BD questio'!B:B,0))</f>
        <v>Employé</v>
      </c>
      <c r="G304" s="191" t="str">
        <f>'1_BD questio brut'!E304</f>
        <v>Pas de réponse</v>
      </c>
      <c r="H304" s="191">
        <f>'1_BD questio brut'!F304</f>
        <v>3</v>
      </c>
      <c r="I304" s="191" t="str">
        <f>'1_BD questio brut'!G304</f>
        <v>Pas de réponse</v>
      </c>
      <c r="J304" s="191" t="str">
        <f t="array" ref="J304">INDEX('Données 1_BD questio'!C:C,MATCH('1_BD questio brut'!$H$1&amp;'1_BD questio brut'!H304,'Données 1_BD questio'!A:A&amp;'Données 1_BD questio'!B:B,0))</f>
        <v>Maison avec jardin</v>
      </c>
      <c r="K304" s="191">
        <f>'1_BD questio brut'!I304</f>
        <v>150</v>
      </c>
      <c r="L304" s="191" t="str">
        <f>'1_BD questio brut'!J304</f>
        <v>1990-2005</v>
      </c>
      <c r="M304" s="191" t="str">
        <f>'1_BD questio brut'!K304</f>
        <v>6</v>
      </c>
      <c r="N304" s="191" t="str">
        <f>'1_BD questio brut'!L304</f>
        <v>Ne sait pas</v>
      </c>
      <c r="O304" s="191" t="str">
        <f>'1_BD questio brut'!M304</f>
        <v>Propriétaire occupant</v>
      </c>
      <c r="P304" s="191" t="str">
        <f>'1_BD questio brut'!N304</f>
        <v>Insert / foyer fermé</v>
      </c>
      <c r="Q304" s="191" t="str">
        <f>'1_BD questio brut'!O304</f>
        <v>Chauffage de base</v>
      </c>
      <c r="R304" s="191" t="str">
        <f>'1_BD questio brut'!P304</f>
        <v>Tous les jours</v>
      </c>
      <c r="S304" s="191" t="str">
        <f>'1_BD questio brut'!Q304</f>
        <v>1; 2; 4</v>
      </c>
      <c r="T304" s="191" t="str">
        <f>'1_BD questio brut'!R304</f>
        <v>1990-1995</v>
      </c>
      <c r="U304" s="191" t="str">
        <f>'1_BD questio brut'!S304</f>
        <v>Bois bûche</v>
      </c>
      <c r="V304" s="191" t="str">
        <f>'1_BD questio brut'!T304</f>
        <v/>
      </c>
      <c r="W304" s="191" t="str">
        <f>'1_BD questio brut'!U304</f>
        <v>9</v>
      </c>
      <c r="X304" s="191" t="str">
        <f>'1_BD questio brut'!V304</f>
        <v>STERES</v>
      </c>
      <c r="Y304" s="191" t="str">
        <f>'1_BD questio brut'!W304</f>
        <v>1</v>
      </c>
      <c r="Z304" s="191" t="str">
        <f>'1_BD questio brut'!X304</f>
        <v/>
      </c>
      <c r="AA304" s="191" t="str">
        <f t="array" ref="AA304">INDEX('Données 1_BD questio'!C:C,MATCH('1_BD questio brut'!$Y$1&amp;'1_BD questio brut'!Y304,'Données 1_BD questio'!A:A&amp;'Données 1_BD questio'!B:B,0))</f>
        <v>Ne sait pas</v>
      </c>
      <c r="AB304" s="191" t="str">
        <f>'1_BD questio brut'!Z304</f>
        <v>2</v>
      </c>
      <c r="AC304" s="191" t="str">
        <f>'1_BD questio brut'!AA304</f>
        <v>&gt; 2 ans</v>
      </c>
      <c r="AD304" s="191" t="str">
        <f>'1_BD questio brut'!AB304</f>
        <v>Les deux</v>
      </c>
      <c r="AE304" s="191" t="str">
        <f t="array" ref="AE304">INDEX('Données 1_BD questio'!C:C,MATCH('1_BD questio brut'!$AC$1&amp;'1_BD questio brut'!AC304,'Données 1_BD questio'!A:A&amp;'Données 1_BD questio'!B:B,0))</f>
        <v>vous-même</v>
      </c>
      <c r="AF304" s="191" t="str">
        <f>'1_BD questio brut'!AD304</f>
        <v>2 fois par an</v>
      </c>
      <c r="AG304" s="191" t="str">
        <f>'1_BD questio brut'!AE304</f>
        <v/>
      </c>
      <c r="AH304" s="191" t="str">
        <f>'1_BD questio brut'!AF304</f>
        <v>Poêle</v>
      </c>
      <c r="AI304" s="191" t="str">
        <f>'1_BD questio brut'!AG304</f>
        <v>1</v>
      </c>
      <c r="AJ304" s="191" t="str">
        <f>'1_BD questio brut'!AH304</f>
        <v/>
      </c>
      <c r="AK304" s="191" t="str">
        <f>'1_BD questio brut'!AI304</f>
        <v>Chauffage de base</v>
      </c>
      <c r="AL304" s="191" t="str">
        <f>'1_BD questio brut'!AJ304</f>
        <v>Pas de réponse</v>
      </c>
      <c r="AM304" s="191" t="str">
        <f>'1_BD questio brut'!AK304</f>
        <v>1; 2; 4; 5</v>
      </c>
      <c r="AN304" s="191" t="str">
        <f>'1_BD questio brut'!AL304</f>
        <v/>
      </c>
      <c r="AO304" s="191" t="str">
        <f>'1_BD questio brut'!AM304</f>
        <v>5</v>
      </c>
      <c r="AP304" s="191" t="str">
        <f>'1_BD questio brut'!AN304</f>
        <v/>
      </c>
      <c r="AQ304" s="191" t="str">
        <f>'1_BD questio brut'!AO304</f>
        <v/>
      </c>
    </row>
    <row r="305" spans="1:43" ht="43.5" hidden="1">
      <c r="A305" s="98">
        <f>INDEX('3_BD instruction total'!A:A,MATCH(C305,'3_BD instruction total'!F:F,0))</f>
        <v>2021</v>
      </c>
      <c r="B305" s="98" t="str">
        <f>INDEX('3_BD instruction total'!C:C,MATCH(C305,'3_BD instruction total'!F:F,0))</f>
        <v>non</v>
      </c>
      <c r="C305" s="191" t="str">
        <f>'1_BD questio brut'!A305</f>
        <v>VRB0317</v>
      </c>
      <c r="D305" s="191" t="str">
        <f t="array" ref="D305">INDEX('Données 1_BD questio'!C:C,MATCH('1_BD questio brut'!$B$1&amp;'1_BD questio brut'!B305,'Données 1_BD questio'!A:A&amp;'Données 1_BD questio'!B:B,0))</f>
        <v>CAPV</v>
      </c>
      <c r="E305" s="191" t="str">
        <f t="array" ref="E305">INDEX('Données 1_BD questio'!C:C,MATCH('1_BD questio brut'!$C$1&amp;'1_BD questio brut'!C305,'Données 1_BD questio'!A:A&amp;'Données 1_BD questio'!B:B,0))</f>
        <v>Agriculteur exploitant</v>
      </c>
      <c r="F305" s="191" t="str">
        <f t="array" ref="F305">INDEX('Données 1_BD questio'!C:C,MATCH('1_BD questio brut'!$D$1&amp;'1_BD questio brut'!D305,'Données 1_BD questio'!A:A&amp;'Données 1_BD questio'!B:B,0))</f>
        <v>Pas de réponse</v>
      </c>
      <c r="G305" s="191" t="str">
        <f>'1_BD questio brut'!E305</f>
        <v>50 à 64 ans</v>
      </c>
      <c r="H305" s="191">
        <f>'1_BD questio brut'!F305</f>
        <v>1</v>
      </c>
      <c r="I305" s="191" t="str">
        <f>'1_BD questio brut'!G305</f>
        <v>Pas de réponse</v>
      </c>
      <c r="J305" s="191" t="str">
        <f t="array" ref="J305">INDEX('Données 1_BD questio'!C:C,MATCH('1_BD questio brut'!$H$1&amp;'1_BD questio brut'!H305,'Données 1_BD questio'!A:A&amp;'Données 1_BD questio'!B:B,0))</f>
        <v>Maison avec jardin</v>
      </c>
      <c r="K305" s="191">
        <f>'1_BD questio brut'!I305</f>
        <v>120</v>
      </c>
      <c r="L305" s="191" t="str">
        <f>'1_BD questio brut'!J305</f>
        <v>1990-2005</v>
      </c>
      <c r="M305" s="191" t="str">
        <f>'1_BD questio brut'!K305</f>
        <v>6</v>
      </c>
      <c r="N305" s="191" t="str">
        <f>'1_BD questio brut'!L305</f>
        <v>Pas de réponse</v>
      </c>
      <c r="O305" s="191" t="str">
        <f>'1_BD questio brut'!M305</f>
        <v>Propriétaire occupant</v>
      </c>
      <c r="P305" s="191" t="str">
        <f>'1_BD questio brut'!N305</f>
        <v>Poêle</v>
      </c>
      <c r="Q305" s="191" t="str">
        <f>'1_BD questio brut'!O305</f>
        <v>Chauffage d'apoint</v>
      </c>
      <c r="R305" s="191" t="str">
        <f>'1_BD questio brut'!P305</f>
        <v>3 à 4 jours/semaine</v>
      </c>
      <c r="S305" s="191" t="str">
        <f>'1_BD questio brut'!Q305</f>
        <v>2; 6</v>
      </c>
      <c r="T305" s="191" t="str">
        <f>'1_BD questio brut'!R305</f>
        <v>1996-2002</v>
      </c>
      <c r="U305" s="191" t="str">
        <f>'1_BD questio brut'!S305</f>
        <v>Bois de récupération, à préciser</v>
      </c>
      <c r="V305" s="191" t="str">
        <f>'1_BD questio brut'!T305</f>
        <v/>
      </c>
      <c r="W305" s="191" t="str">
        <f>'1_BD questio brut'!U305</f>
        <v/>
      </c>
      <c r="X305" s="191" t="str">
        <f>'1_BD questio brut'!V305</f>
        <v/>
      </c>
      <c r="Y305" s="191" t="str">
        <f>'1_BD questio brut'!W305</f>
        <v>1</v>
      </c>
      <c r="Z305" s="191" t="str">
        <f>'1_BD questio brut'!X305</f>
        <v/>
      </c>
      <c r="AA305" s="191" t="str">
        <f t="array" ref="AA305">INDEX('Données 1_BD questio'!C:C,MATCH('1_BD questio brut'!$Y$1&amp;'1_BD questio brut'!Y305,'Données 1_BD questio'!A:A&amp;'Données 1_BD questio'!B:B,0))</f>
        <v>Ne sait pas</v>
      </c>
      <c r="AB305" s="191" t="str">
        <f>'1_BD questio brut'!Z305</f>
        <v>1</v>
      </c>
      <c r="AC305" s="191" t="str">
        <f>'1_BD questio brut'!AA305</f>
        <v>1 à 2 ans</v>
      </c>
      <c r="AD305" s="191" t="str">
        <f>'1_BD questio brut'!AB305</f>
        <v>Les deux</v>
      </c>
      <c r="AE305" s="191" t="str">
        <f t="array" ref="AE305">INDEX('Données 1_BD questio'!C:C,MATCH('1_BD questio brut'!$AC$1&amp;'1_BD questio brut'!AC305,'Données 1_BD questio'!A:A&amp;'Données 1_BD questio'!B:B,0))</f>
        <v>vous-même</v>
      </c>
      <c r="AF305" s="191" t="str">
        <f>'1_BD questio brut'!AD305</f>
        <v>1 fois tous les 2 ans</v>
      </c>
      <c r="AG305" s="191" t="str">
        <f>'1_BD questio brut'!AE305</f>
        <v/>
      </c>
      <c r="AH305" s="191" t="str">
        <f>'1_BD questio brut'!AF305</f>
        <v>Poêle</v>
      </c>
      <c r="AI305" s="191" t="str">
        <f>'1_BD questio brut'!AG305</f>
        <v>1</v>
      </c>
      <c r="AJ305" s="191" t="str">
        <f>'1_BD questio brut'!AH305</f>
        <v/>
      </c>
      <c r="AK305" s="191" t="str">
        <f>'1_BD questio brut'!AI305</f>
        <v>Chauffage d'appoint</v>
      </c>
      <c r="AL305" s="191" t="str">
        <f>'1_BD questio brut'!AJ305</f>
        <v>Pas de réponse</v>
      </c>
      <c r="AM305" s="191" t="str">
        <f>'1_BD questio brut'!AK305</f>
        <v>2; 4; 5</v>
      </c>
      <c r="AN305" s="191" t="str">
        <f>'1_BD questio brut'!AL305</f>
        <v/>
      </c>
      <c r="AO305" s="191" t="str">
        <f>'1_BD questio brut'!AM305</f>
        <v>5</v>
      </c>
      <c r="AP305" s="191" t="str">
        <f>'1_BD questio brut'!AN305</f>
        <v/>
      </c>
      <c r="AQ305" s="191" t="str">
        <f>'1_BD questio brut'!AO305</f>
        <v/>
      </c>
    </row>
    <row r="306" spans="1:43" ht="43.5" hidden="1">
      <c r="A306" s="98">
        <f>INDEX('3_BD instruction total'!A:A,MATCH(C306,'3_BD instruction total'!F:F,0))</f>
        <v>2021</v>
      </c>
      <c r="B306" s="98" t="str">
        <f>INDEX('3_BD instruction total'!C:C,MATCH(C306,'3_BD instruction total'!F:F,0))</f>
        <v>non</v>
      </c>
      <c r="C306" s="191" t="str">
        <f>'1_BD questio brut'!A306</f>
        <v>VRB0318</v>
      </c>
      <c r="D306" s="191" t="str">
        <f t="array" ref="D306">INDEX('Données 1_BD questio'!C:C,MATCH('1_BD questio brut'!$B$1&amp;'1_BD questio brut'!B306,'Données 1_BD questio'!A:A&amp;'Données 1_BD questio'!B:B,0))</f>
        <v>CAPV</v>
      </c>
      <c r="E306" s="191" t="str">
        <f t="array" ref="E306">INDEX('Données 1_BD questio'!C:C,MATCH('1_BD questio brut'!$C$1&amp;'1_BD questio brut'!C306,'Données 1_BD questio'!A:A&amp;'Données 1_BD questio'!B:B,0))</f>
        <v>Retraité</v>
      </c>
      <c r="F306" s="191" t="str">
        <f t="array" ref="F306">INDEX('Données 1_BD questio'!C:C,MATCH('1_BD questio brut'!$D$1&amp;'1_BD questio brut'!D306,'Données 1_BD questio'!A:A&amp;'Données 1_BD questio'!B:B,0))</f>
        <v>Retraité</v>
      </c>
      <c r="G306" s="191" t="str">
        <f>'1_BD questio brut'!E306</f>
        <v>65 ans et plus</v>
      </c>
      <c r="H306" s="191">
        <f>'1_BD questio brut'!F306</f>
        <v>2</v>
      </c>
      <c r="I306" s="191" t="str">
        <f>'1_BD questio brut'!G306</f>
        <v>Pas de réponse</v>
      </c>
      <c r="J306" s="191" t="str">
        <f t="array" ref="J306">INDEX('Données 1_BD questio'!C:C,MATCH('1_BD questio brut'!$H$1&amp;'1_BD questio brut'!H306,'Données 1_BD questio'!A:A&amp;'Données 1_BD questio'!B:B,0))</f>
        <v>Maison avec jardin</v>
      </c>
      <c r="K306" s="191">
        <f>'1_BD questio brut'!I306</f>
        <v>200</v>
      </c>
      <c r="L306" s="191" t="str">
        <f>'1_BD questio brut'!J306</f>
        <v>1975-1990</v>
      </c>
      <c r="M306" s="191" t="str">
        <f>'1_BD questio brut'!K306</f>
        <v>6</v>
      </c>
      <c r="N306" s="191" t="str">
        <f>'1_BD questio brut'!L306</f>
        <v>D</v>
      </c>
      <c r="O306" s="191" t="str">
        <f>'1_BD questio brut'!M306</f>
        <v>Propriétaire occupant</v>
      </c>
      <c r="P306" s="191" t="str">
        <f>'1_BD questio brut'!N306</f>
        <v>Foyer ouvert</v>
      </c>
      <c r="Q306" s="191" t="str">
        <f>'1_BD questio brut'!O306</f>
        <v>Chauffage d'apoint</v>
      </c>
      <c r="R306" s="191" t="str">
        <f>'1_BD questio brut'!P306</f>
        <v>1 à 2 jours/semaine</v>
      </c>
      <c r="S306" s="191" t="str">
        <f>'1_BD questio brut'!Q306</f>
        <v>2; 3; 4; 6</v>
      </c>
      <c r="T306" s="191" t="str">
        <f>'1_BD questio brut'!R306</f>
        <v>Avant 1990</v>
      </c>
      <c r="U306" s="191" t="str">
        <f>'1_BD questio brut'!S306</f>
        <v>Bois bûche</v>
      </c>
      <c r="V306" s="191" t="str">
        <f>'1_BD questio brut'!T306</f>
        <v/>
      </c>
      <c r="W306" s="191" t="str">
        <f>'1_BD questio brut'!U306</f>
        <v/>
      </c>
      <c r="X306" s="191" t="str">
        <f>'1_BD questio brut'!V306</f>
        <v/>
      </c>
      <c r="Y306" s="191" t="str">
        <f>'1_BD questio brut'!W306</f>
        <v>2</v>
      </c>
      <c r="Z306" s="191" t="str">
        <f>'1_BD questio brut'!X306</f>
        <v/>
      </c>
      <c r="AA306" s="191" t="str">
        <f t="array" ref="AA306">INDEX('Données 1_BD questio'!C:C,MATCH('1_BD questio brut'!$Y$1&amp;'1_BD questio brut'!Y306,'Données 1_BD questio'!A:A&amp;'Données 1_BD questio'!B:B,0))</f>
        <v>RA2B</v>
      </c>
      <c r="AB306" s="191" t="str">
        <f>'1_BD questio brut'!Z306</f>
        <v>2</v>
      </c>
      <c r="AC306" s="191" t="str">
        <f>'1_BD questio brut'!AA306</f>
        <v>&gt; 2 ans</v>
      </c>
      <c r="AD306" s="191" t="str">
        <f>'1_BD questio brut'!AB306</f>
        <v>Feuillus</v>
      </c>
      <c r="AE306" s="191" t="str">
        <f t="array" ref="AE306">INDEX('Données 1_BD questio'!C:C,MATCH('1_BD questio brut'!$AC$1&amp;'1_BD questio brut'!AC306,'Données 1_BD questio'!A:A&amp;'Données 1_BD questio'!B:B,0))</f>
        <v>un professionnel</v>
      </c>
      <c r="AF306" s="191" t="str">
        <f>'1_BD questio brut'!AD306</f>
        <v>1 fois par an</v>
      </c>
      <c r="AG306" s="191" t="str">
        <f>'1_BD questio brut'!AE306</f>
        <v/>
      </c>
      <c r="AH306" s="191" t="str">
        <f>'1_BD questio brut'!AF306</f>
        <v>Poêle</v>
      </c>
      <c r="AI306" s="191" t="str">
        <f>'1_BD questio brut'!AG306</f>
        <v>1</v>
      </c>
      <c r="AJ306" s="191" t="str">
        <f>'1_BD questio brut'!AH306</f>
        <v/>
      </c>
      <c r="AK306" s="191" t="str">
        <f>'1_BD questio brut'!AI306</f>
        <v>Chauffage d'appoint</v>
      </c>
      <c r="AL306" s="191" t="str">
        <f>'1_BD questio brut'!AJ306</f>
        <v>Pas de réponse</v>
      </c>
      <c r="AM306" s="191" t="str">
        <f>'1_BD questio brut'!AK306</f>
        <v>2; 4; 5</v>
      </c>
      <c r="AN306" s="191" t="str">
        <f>'1_BD questio brut'!AL306</f>
        <v/>
      </c>
      <c r="AO306" s="191" t="str">
        <f>'1_BD questio brut'!AM306</f>
        <v>5</v>
      </c>
      <c r="AP306" s="191" t="str">
        <f>'1_BD questio brut'!AN306</f>
        <v/>
      </c>
      <c r="AQ306" s="191" t="str">
        <f>'1_BD questio brut'!AO306</f>
        <v/>
      </c>
    </row>
    <row r="307" spans="1:43" ht="43.5" hidden="1">
      <c r="A307" s="98">
        <f>INDEX('3_BD instruction total'!A:A,MATCH(C307,'3_BD instruction total'!F:F,0))</f>
        <v>2022</v>
      </c>
      <c r="B307" s="98" t="str">
        <f>INDEX('3_BD instruction total'!C:C,MATCH(C307,'3_BD instruction total'!F:F,0))</f>
        <v>non</v>
      </c>
      <c r="C307" s="191" t="str">
        <f>'1_BD questio brut'!A307</f>
        <v>VRB0319</v>
      </c>
      <c r="D307" s="191" t="str">
        <f t="array" ref="D307">INDEX('Données 1_BD questio'!C:C,MATCH('1_BD questio brut'!$B$1&amp;'1_BD questio brut'!B307,'Données 1_BD questio'!A:A&amp;'Données 1_BD questio'!B:B,0))</f>
        <v>CAPV</v>
      </c>
      <c r="E307" s="191" t="str">
        <f t="array" ref="E307">INDEX('Données 1_BD questio'!C:C,MATCH('1_BD questio brut'!$C$1&amp;'1_BD questio brut'!C307,'Données 1_BD questio'!A:A&amp;'Données 1_BD questio'!B:B,0))</f>
        <v>Autre,sans activité</v>
      </c>
      <c r="F307" s="191" t="str">
        <f t="array" ref="F307">INDEX('Données 1_BD questio'!C:C,MATCH('1_BD questio brut'!$D$1&amp;'1_BD questio brut'!D307,'Données 1_BD questio'!A:A&amp;'Données 1_BD questio'!B:B,0))</f>
        <v>Employé</v>
      </c>
      <c r="G307" s="191" t="str">
        <f>'1_BD questio brut'!E307</f>
        <v>35 à 49 ans</v>
      </c>
      <c r="H307" s="191">
        <f>'1_BD questio brut'!F307</f>
        <v>4</v>
      </c>
      <c r="I307" s="191" t="str">
        <f>'1_BD questio brut'!G307</f>
        <v>Pas de réponse</v>
      </c>
      <c r="J307" s="191" t="str">
        <f t="array" ref="J307">INDEX('Données 1_BD questio'!C:C,MATCH('1_BD questio brut'!$H$1&amp;'1_BD questio brut'!H307,'Données 1_BD questio'!A:A&amp;'Données 1_BD questio'!B:B,0))</f>
        <v>Maison avec jardin</v>
      </c>
      <c r="K307" s="191">
        <f>'1_BD questio brut'!I307</f>
        <v>100</v>
      </c>
      <c r="L307" s="191" t="str">
        <f>'1_BD questio brut'!J307</f>
        <v>Avant 1949</v>
      </c>
      <c r="M307" s="191" t="str">
        <f>'1_BD questio brut'!K307</f>
        <v>1; 3; 4</v>
      </c>
      <c r="N307" s="191" t="str">
        <f>'1_BD questio brut'!L307</f>
        <v>Pas de réponse</v>
      </c>
      <c r="O307" s="191" t="str">
        <f>'1_BD questio brut'!M307</f>
        <v>Propriétaire occupant</v>
      </c>
      <c r="P307" s="191" t="str">
        <f>'1_BD questio brut'!N307</f>
        <v>Insert / foyer fermé</v>
      </c>
      <c r="Q307" s="191" t="str">
        <f>'1_BD questio brut'!O307</f>
        <v>Chauffage d'apoint</v>
      </c>
      <c r="R307" s="191" t="str">
        <f>'1_BD questio brut'!P307</f>
        <v>Tous les jours</v>
      </c>
      <c r="S307" s="191" t="str">
        <f>'1_BD questio brut'!Q307</f>
        <v>2; 6</v>
      </c>
      <c r="T307" s="191" t="str">
        <f>'1_BD questio brut'!R307</f>
        <v>Avant 1990</v>
      </c>
      <c r="U307" s="191" t="str">
        <f>'1_BD questio brut'!S307</f>
        <v>Bois bûche</v>
      </c>
      <c r="V307" s="191" t="str">
        <f>'1_BD questio brut'!T307</f>
        <v/>
      </c>
      <c r="W307" s="191" t="str">
        <f>'1_BD questio brut'!U307</f>
        <v>5</v>
      </c>
      <c r="X307" s="191" t="str">
        <f>'1_BD questio brut'!V307</f>
        <v>STERES</v>
      </c>
      <c r="Y307" s="191" t="str">
        <f>'1_BD questio brut'!W307</f>
        <v>1</v>
      </c>
      <c r="Z307" s="191" t="str">
        <f>'1_BD questio brut'!X307</f>
        <v/>
      </c>
      <c r="AA307" s="191" t="str">
        <f t="array" ref="AA307">INDEX('Données 1_BD questio'!C:C,MATCH('1_BD questio brut'!$Y$1&amp;'1_BD questio brut'!Y307,'Données 1_BD questio'!A:A&amp;'Données 1_BD questio'!B:B,0))</f>
        <v>Rhône-Alpes hors RA2B</v>
      </c>
      <c r="AB307" s="191" t="str">
        <f>'1_BD questio brut'!Z307</f>
        <v>2</v>
      </c>
      <c r="AC307" s="191" t="str">
        <f>'1_BD questio brut'!AA307</f>
        <v>&lt; 1 an</v>
      </c>
      <c r="AD307" s="191" t="str">
        <f>'1_BD questio brut'!AB307</f>
        <v>Les deux</v>
      </c>
      <c r="AE307" s="191" t="str">
        <f t="array" ref="AE307">INDEX('Données 1_BD questio'!C:C,MATCH('1_BD questio brut'!$AC$1&amp;'1_BD questio brut'!AC307,'Données 1_BD questio'!A:A&amp;'Données 1_BD questio'!B:B,0))</f>
        <v>un professionnel</v>
      </c>
      <c r="AF307" s="191" t="str">
        <f>'1_BD questio brut'!AD307</f>
        <v>1 fois par an</v>
      </c>
      <c r="AG307" s="191" t="str">
        <f>'1_BD questio brut'!AE307</f>
        <v/>
      </c>
      <c r="AH307" s="191" t="str">
        <f>'1_BD questio brut'!AF307</f>
        <v>Poêle</v>
      </c>
      <c r="AI307" s="191" t="str">
        <f>'1_BD questio brut'!AG307</f>
        <v>2</v>
      </c>
      <c r="AJ307" s="191" t="str">
        <f>'1_BD questio brut'!AH307</f>
        <v/>
      </c>
      <c r="AK307" s="191" t="str">
        <f>'1_BD questio brut'!AI307</f>
        <v>Chauffage de base</v>
      </c>
      <c r="AL307" s="191" t="str">
        <f>'1_BD questio brut'!AJ307</f>
        <v>Pas de réponse</v>
      </c>
      <c r="AM307" s="191" t="str">
        <f>'1_BD questio brut'!AK307</f>
        <v>2; 4</v>
      </c>
      <c r="AN307" s="191" t="str">
        <f>'1_BD questio brut'!AL307</f>
        <v/>
      </c>
      <c r="AO307" s="191" t="str">
        <f>'1_BD questio brut'!AM307</f>
        <v>7</v>
      </c>
      <c r="AP307" s="191" t="str">
        <f>'1_BD questio brut'!AN307</f>
        <v/>
      </c>
      <c r="AQ307" s="191" t="str">
        <f>'1_BD questio brut'!AO307</f>
        <v/>
      </c>
    </row>
    <row r="308" spans="1:43" ht="43.5" hidden="1">
      <c r="A308" s="98">
        <f>INDEX('3_BD instruction total'!A:A,MATCH(C308,'3_BD instruction total'!F:F,0))</f>
        <v>2022</v>
      </c>
      <c r="B308" s="98" t="str">
        <f>INDEX('3_BD instruction total'!C:C,MATCH(C308,'3_BD instruction total'!F:F,0))</f>
        <v>non</v>
      </c>
      <c r="C308" s="191" t="str">
        <f>'1_BD questio brut'!A308</f>
        <v>VRB0320</v>
      </c>
      <c r="D308" s="191" t="str">
        <f t="array" ref="D308">INDEX('Données 1_BD questio'!C:C,MATCH('1_BD questio brut'!$B$1&amp;'1_BD questio brut'!B308,'Données 1_BD questio'!A:A&amp;'Données 1_BD questio'!B:B,0))</f>
        <v>CAPV</v>
      </c>
      <c r="E308" s="191" t="str">
        <f t="array" ref="E308">INDEX('Données 1_BD questio'!C:C,MATCH('1_BD questio brut'!$C$1&amp;'1_BD questio brut'!C308,'Données 1_BD questio'!A:A&amp;'Données 1_BD questio'!B:B,0))</f>
        <v>Retraité</v>
      </c>
      <c r="F308" s="191" t="str">
        <f t="array" ref="F308">INDEX('Données 1_BD questio'!C:C,MATCH('1_BD questio brut'!$D$1&amp;'1_BD questio brut'!D308,'Données 1_BD questio'!A:A&amp;'Données 1_BD questio'!B:B,0))</f>
        <v>Retraité</v>
      </c>
      <c r="G308" s="191" t="str">
        <f>'1_BD questio brut'!E308</f>
        <v>65 ans et plus</v>
      </c>
      <c r="H308" s="191">
        <f>'1_BD questio brut'!F308</f>
        <v>2</v>
      </c>
      <c r="I308" s="191" t="str">
        <f>'1_BD questio brut'!G308</f>
        <v>Pas de réponse</v>
      </c>
      <c r="J308" s="191" t="str">
        <f t="array" ref="J308">INDEX('Données 1_BD questio'!C:C,MATCH('1_BD questio brut'!$H$1&amp;'1_BD questio brut'!H308,'Données 1_BD questio'!A:A&amp;'Données 1_BD questio'!B:B,0))</f>
        <v>Maison avec jardin</v>
      </c>
      <c r="K308" s="191">
        <f>'1_BD questio brut'!I308</f>
        <v>102</v>
      </c>
      <c r="L308" s="191" t="str">
        <f>'1_BD questio brut'!J308</f>
        <v>1975-1990</v>
      </c>
      <c r="M308" s="191" t="str">
        <f>'1_BD questio brut'!K308</f>
        <v>6</v>
      </c>
      <c r="N308" s="191" t="str">
        <f>'1_BD questio brut'!L308</f>
        <v>Ne sait pas</v>
      </c>
      <c r="O308" s="191" t="str">
        <f>'1_BD questio brut'!M308</f>
        <v>Propriétaire occupant</v>
      </c>
      <c r="P308" s="191" t="str">
        <f>'1_BD questio brut'!N308</f>
        <v>Foyer ouvert</v>
      </c>
      <c r="Q308" s="191" t="str">
        <f>'1_BD questio brut'!O308</f>
        <v>Chauffage d'apoint</v>
      </c>
      <c r="R308" s="191" t="str">
        <f>'1_BD questio brut'!P308</f>
        <v>3 à 4 jours/semaine</v>
      </c>
      <c r="S308" s="191" t="str">
        <f>'1_BD questio brut'!Q308</f>
        <v>2; 6</v>
      </c>
      <c r="T308" s="191" t="str">
        <f>'1_BD questio brut'!R308</f>
        <v>Avant 1990</v>
      </c>
      <c r="U308" s="191" t="str">
        <f>'1_BD questio brut'!S308</f>
        <v>Bois bûche</v>
      </c>
      <c r="V308" s="191" t="str">
        <f>'1_BD questio brut'!T308</f>
        <v/>
      </c>
      <c r="W308" s="191" t="str">
        <f>'1_BD questio brut'!U308</f>
        <v>6</v>
      </c>
      <c r="X308" s="191" t="str">
        <f>'1_BD questio brut'!V308</f>
        <v/>
      </c>
      <c r="Y308" s="191" t="str">
        <f>'1_BD questio brut'!W308</f>
        <v>2</v>
      </c>
      <c r="Z308" s="191" t="str">
        <f>'1_BD questio brut'!X308</f>
        <v/>
      </c>
      <c r="AA308" s="191" t="str">
        <f t="array" ref="AA308">INDEX('Données 1_BD questio'!C:C,MATCH('1_BD questio brut'!$Y$1&amp;'1_BD questio brut'!Y308,'Données 1_BD questio'!A:A&amp;'Données 1_BD questio'!B:B,0))</f>
        <v>Ne sait pas</v>
      </c>
      <c r="AB308" s="191" t="str">
        <f>'1_BD questio brut'!Z308</f>
        <v>2</v>
      </c>
      <c r="AC308" s="191" t="str">
        <f>'1_BD questio brut'!AA308</f>
        <v>1 à 2 ans</v>
      </c>
      <c r="AD308" s="191" t="str">
        <f>'1_BD questio brut'!AB308</f>
        <v>Feuillus</v>
      </c>
      <c r="AE308" s="191" t="str">
        <f t="array" ref="AE308">INDEX('Données 1_BD questio'!C:C,MATCH('1_BD questio brut'!$AC$1&amp;'1_BD questio brut'!AC308,'Données 1_BD questio'!A:A&amp;'Données 1_BD questio'!B:B,0))</f>
        <v>vous-même</v>
      </c>
      <c r="AF308" s="191" t="str">
        <f>'1_BD questio brut'!AD308</f>
        <v>1 fois par an</v>
      </c>
      <c r="AG308" s="191" t="str">
        <f>'1_BD questio brut'!AE308</f>
        <v/>
      </c>
      <c r="AH308" s="191" t="str">
        <f>'1_BD questio brut'!AF308</f>
        <v>Poêle</v>
      </c>
      <c r="AI308" s="191" t="str">
        <f>'1_BD questio brut'!AG308</f>
        <v>2</v>
      </c>
      <c r="AJ308" s="191" t="str">
        <f>'1_BD questio brut'!AH308</f>
        <v/>
      </c>
      <c r="AK308" s="191" t="str">
        <f>'1_BD questio brut'!AI308</f>
        <v>Chauffage de base</v>
      </c>
      <c r="AL308" s="191" t="str">
        <f>'1_BD questio brut'!AJ308</f>
        <v>Pas de réponse</v>
      </c>
      <c r="AM308" s="191" t="str">
        <f>'1_BD questio brut'!AK308</f>
        <v>2; 4; 5</v>
      </c>
      <c r="AN308" s="191" t="str">
        <f>'1_BD questio brut'!AL308</f>
        <v/>
      </c>
      <c r="AO308" s="191" t="str">
        <f>'1_BD questio brut'!AM308</f>
        <v>1; 7</v>
      </c>
      <c r="AP308" s="191" t="str">
        <f>'1_BD questio brut'!AN308</f>
        <v/>
      </c>
      <c r="AQ308" s="191" t="str">
        <f>'1_BD questio brut'!AO308</f>
        <v/>
      </c>
    </row>
    <row r="309" spans="1:43" ht="43.5" hidden="1">
      <c r="A309" s="98">
        <f>INDEX('3_BD instruction total'!A:A,MATCH(C309,'3_BD instruction total'!F:F,0))</f>
        <v>2022</v>
      </c>
      <c r="B309" s="98" t="str">
        <f>INDEX('3_BD instruction total'!C:C,MATCH(C309,'3_BD instruction total'!F:F,0))</f>
        <v>non</v>
      </c>
      <c r="C309" s="191" t="str">
        <f>'1_BD questio brut'!A309</f>
        <v>VRB0321</v>
      </c>
      <c r="D309" s="191" t="str">
        <f t="array" ref="D309">INDEX('Données 1_BD questio'!C:C,MATCH('1_BD questio brut'!$B$1&amp;'1_BD questio brut'!B309,'Données 1_BD questio'!A:A&amp;'Données 1_BD questio'!B:B,0))</f>
        <v>CAPV</v>
      </c>
      <c r="E309" s="191" t="str">
        <f t="array" ref="E309">INDEX('Données 1_BD questio'!C:C,MATCH('1_BD questio brut'!$C$1&amp;'1_BD questio brut'!C309,'Données 1_BD questio'!A:A&amp;'Données 1_BD questio'!B:B,0))</f>
        <v>Cadre</v>
      </c>
      <c r="F309" s="191" t="str">
        <f t="array" ref="F309">INDEX('Données 1_BD questio'!C:C,MATCH('1_BD questio brut'!$D$1&amp;'1_BD questio brut'!D309,'Données 1_BD questio'!A:A&amp;'Données 1_BD questio'!B:B,0))</f>
        <v>Employé</v>
      </c>
      <c r="G309" s="191" t="str">
        <f>'1_BD questio brut'!E309</f>
        <v>25 à 34 ans</v>
      </c>
      <c r="H309" s="191">
        <f>'1_BD questio brut'!F309</f>
        <v>3</v>
      </c>
      <c r="I309" s="191" t="str">
        <f>'1_BD questio brut'!G309</f>
        <v>Pas de réponse</v>
      </c>
      <c r="J309" s="191" t="str">
        <f t="array" ref="J309">INDEX('Données 1_BD questio'!C:C,MATCH('1_BD questio brut'!$H$1&amp;'1_BD questio brut'!H309,'Données 1_BD questio'!A:A&amp;'Données 1_BD questio'!B:B,0))</f>
        <v>Maison avec jardin</v>
      </c>
      <c r="K309" s="191">
        <f>'1_BD questio brut'!I309</f>
        <v>90</v>
      </c>
      <c r="L309" s="191" t="str">
        <f>'1_BD questio brut'!J309</f>
        <v>1975-1990</v>
      </c>
      <c r="M309" s="191" t="str">
        <f>'1_BD questio brut'!K309</f>
        <v>6</v>
      </c>
      <c r="N309" s="191" t="str">
        <f>'1_BD questio brut'!L309</f>
        <v>Pas de réponse</v>
      </c>
      <c r="O309" s="191" t="str">
        <f>'1_BD questio brut'!M309</f>
        <v>Propriétaire occupant</v>
      </c>
      <c r="P309" s="191" t="str">
        <f>'1_BD questio brut'!N309</f>
        <v>Insert / foyer fermé</v>
      </c>
      <c r="Q309" s="191" t="str">
        <f>'1_BD questio brut'!O309</f>
        <v>Chauffage de base</v>
      </c>
      <c r="R309" s="191" t="str">
        <f>'1_BD questio brut'!P309</f>
        <v>3 à 4 jours/semaine</v>
      </c>
      <c r="S309" s="191" t="str">
        <f>'1_BD questio brut'!Q309</f>
        <v>2</v>
      </c>
      <c r="T309" s="191" t="str">
        <f>'1_BD questio brut'!R309</f>
        <v>Avant 1990</v>
      </c>
      <c r="U309" s="191" t="str">
        <f>'1_BD questio brut'!S309</f>
        <v>Bois bûche</v>
      </c>
      <c r="V309" s="191" t="str">
        <f>'1_BD questio brut'!T309</f>
        <v/>
      </c>
      <c r="W309" s="191" t="str">
        <f>'1_BD questio brut'!U309</f>
        <v>2,1</v>
      </c>
      <c r="X309" s="191" t="str">
        <f>'1_BD questio brut'!V309</f>
        <v>M3</v>
      </c>
      <c r="Y309" s="191" t="str">
        <f>'1_BD questio brut'!W309</f>
        <v>1</v>
      </c>
      <c r="Z309" s="191" t="str">
        <f>'1_BD questio brut'!X309</f>
        <v/>
      </c>
      <c r="AA309" s="191" t="str">
        <f t="array" ref="AA309">INDEX('Données 1_BD questio'!C:C,MATCH('1_BD questio brut'!$Y$1&amp;'1_BD questio brut'!Y309,'Données 1_BD questio'!A:A&amp;'Données 1_BD questio'!B:B,0))</f>
        <v>Rhône-Alpes hors RA2B</v>
      </c>
      <c r="AB309" s="191" t="str">
        <f>'1_BD questio brut'!Z309</f>
        <v>2</v>
      </c>
      <c r="AC309" s="191" t="str">
        <f>'1_BD questio brut'!AA309</f>
        <v>1 à 2 ans</v>
      </c>
      <c r="AD309" s="191" t="str">
        <f>'1_BD questio brut'!AB309</f>
        <v>Résineux</v>
      </c>
      <c r="AE309" s="191" t="str">
        <f t="array" ref="AE309">INDEX('Données 1_BD questio'!C:C,MATCH('1_BD questio brut'!$AC$1&amp;'1_BD questio brut'!AC309,'Données 1_BD questio'!A:A&amp;'Données 1_BD questio'!B:B,0))</f>
        <v>un professionnel</v>
      </c>
      <c r="AF309" s="191" t="str">
        <f>'1_BD questio brut'!AD309</f>
        <v>1 fois par an</v>
      </c>
      <c r="AG309" s="191" t="str">
        <f>'1_BD questio brut'!AE309</f>
        <v/>
      </c>
      <c r="AH309" s="191" t="str">
        <f>'1_BD questio brut'!AF309</f>
        <v>Poêle</v>
      </c>
      <c r="AI309" s="191" t="str">
        <f>'1_BD questio brut'!AG309</f>
        <v>1</v>
      </c>
      <c r="AJ309" s="191" t="str">
        <f>'1_BD questio brut'!AH309</f>
        <v/>
      </c>
      <c r="AK309" s="191" t="str">
        <f>'1_BD questio brut'!AI309</f>
        <v>Chauffage d'appoint</v>
      </c>
      <c r="AL309" s="191" t="str">
        <f>'1_BD questio brut'!AJ309</f>
        <v>Pas de réponse</v>
      </c>
      <c r="AM309" s="191" t="str">
        <f>'1_BD questio brut'!AK309</f>
        <v>2; 4</v>
      </c>
      <c r="AN309" s="191" t="str">
        <f>'1_BD questio brut'!AL309</f>
        <v/>
      </c>
      <c r="AO309" s="191" t="str">
        <f>'1_BD questio brut'!AM309</f>
        <v>5</v>
      </c>
      <c r="AP309" s="191" t="str">
        <f>'1_BD questio brut'!AN309</f>
        <v/>
      </c>
      <c r="AQ309" s="191" t="str">
        <f>'1_BD questio brut'!AO309</f>
        <v/>
      </c>
    </row>
    <row r="310" spans="1:43" ht="43.5" hidden="1">
      <c r="A310" s="98">
        <f>INDEX('3_BD instruction total'!A:A,MATCH(C310,'3_BD instruction total'!F:F,0))</f>
        <v>2022</v>
      </c>
      <c r="B310" s="98" t="str">
        <f>INDEX('3_BD instruction total'!C:C,MATCH(C310,'3_BD instruction total'!F:F,0))</f>
        <v>non</v>
      </c>
      <c r="C310" s="191" t="str">
        <f>'1_BD questio brut'!A310</f>
        <v>VRB0322</v>
      </c>
      <c r="D310" s="191" t="str">
        <f t="array" ref="D310">INDEX('Données 1_BD questio'!C:C,MATCH('1_BD questio brut'!$B$1&amp;'1_BD questio brut'!B310,'Données 1_BD questio'!A:A&amp;'Données 1_BD questio'!B:B,0))</f>
        <v>CAPV</v>
      </c>
      <c r="E310" s="191" t="str">
        <f t="array" ref="E310">INDEX('Données 1_BD questio'!C:C,MATCH('1_BD questio brut'!$C$1&amp;'1_BD questio brut'!C310,'Données 1_BD questio'!A:A&amp;'Données 1_BD questio'!B:B,0))</f>
        <v>Ouvrier</v>
      </c>
      <c r="F310" s="191" t="str">
        <f t="array" ref="F310">INDEX('Données 1_BD questio'!C:C,MATCH('1_BD questio brut'!$D$1&amp;'1_BD questio brut'!D310,'Données 1_BD questio'!A:A&amp;'Données 1_BD questio'!B:B,0))</f>
        <v>Ouvrier</v>
      </c>
      <c r="G310" s="191" t="str">
        <f>'1_BD questio brut'!E310</f>
        <v>50 à 64 ans</v>
      </c>
      <c r="H310" s="191">
        <f>'1_BD questio brut'!F310</f>
        <v>2</v>
      </c>
      <c r="I310" s="191" t="str">
        <f>'1_BD questio brut'!G310</f>
        <v>Pas de réponse</v>
      </c>
      <c r="J310" s="191" t="str">
        <f t="array" ref="J310">INDEX('Données 1_BD questio'!C:C,MATCH('1_BD questio brut'!$H$1&amp;'1_BD questio brut'!H310,'Données 1_BD questio'!A:A&amp;'Données 1_BD questio'!B:B,0))</f>
        <v>Maison avec jardin</v>
      </c>
      <c r="K310" s="191">
        <f>'1_BD questio brut'!I310</f>
        <v>110</v>
      </c>
      <c r="L310" s="191" t="str">
        <f>'1_BD questio brut'!J310</f>
        <v>1990-2005</v>
      </c>
      <c r="M310" s="191" t="str">
        <f>'1_BD questio brut'!K310</f>
        <v>1; 4</v>
      </c>
      <c r="N310" s="191" t="str">
        <f>'1_BD questio brut'!L310</f>
        <v>Pas de réponse</v>
      </c>
      <c r="O310" s="191" t="str">
        <f>'1_BD questio brut'!M310</f>
        <v>Propriétaire occupant</v>
      </c>
      <c r="P310" s="191" t="str">
        <f>'1_BD questio brut'!N310</f>
        <v>Insert / foyer fermé</v>
      </c>
      <c r="Q310" s="191" t="str">
        <f>'1_BD questio brut'!O310</f>
        <v>Chauffage de base</v>
      </c>
      <c r="R310" s="191" t="str">
        <f>'1_BD questio brut'!P310</f>
        <v>Tous les jours</v>
      </c>
      <c r="S310" s="191" t="str">
        <f>'1_BD questio brut'!Q310</f>
        <v>4</v>
      </c>
      <c r="T310" s="191" t="str">
        <f>'1_BD questio brut'!R310</f>
        <v>1996-2002</v>
      </c>
      <c r="U310" s="191" t="str">
        <f>'1_BD questio brut'!S310</f>
        <v>Bois bûche</v>
      </c>
      <c r="V310" s="191" t="str">
        <f>'1_BD questio brut'!T310</f>
        <v/>
      </c>
      <c r="W310" s="191" t="str">
        <f>'1_BD questio brut'!U310</f>
        <v>20</v>
      </c>
      <c r="X310" s="191" t="str">
        <f>'1_BD questio brut'!V310</f>
        <v>STERES</v>
      </c>
      <c r="Y310" s="191" t="str">
        <f>'1_BD questio brut'!W310</f>
        <v>1</v>
      </c>
      <c r="Z310" s="191" t="str">
        <f>'1_BD questio brut'!X310</f>
        <v/>
      </c>
      <c r="AA310" s="191" t="str">
        <f t="array" ref="AA310">INDEX('Données 1_BD questio'!C:C,MATCH('1_BD questio brut'!$Y$1&amp;'1_BD questio brut'!Y310,'Données 1_BD questio'!A:A&amp;'Données 1_BD questio'!B:B,0))</f>
        <v>Pas de réponse</v>
      </c>
      <c r="AB310" s="191" t="str">
        <f>'1_BD questio brut'!Z310</f>
        <v>2</v>
      </c>
      <c r="AC310" s="191" t="str">
        <f>'1_BD questio brut'!AA310</f>
        <v>&lt; 1 an</v>
      </c>
      <c r="AD310" s="191" t="str">
        <f>'1_BD questio brut'!AB310</f>
        <v>Feuillus</v>
      </c>
      <c r="AE310" s="191" t="str">
        <f t="array" ref="AE310">INDEX('Données 1_BD questio'!C:C,MATCH('1_BD questio brut'!$AC$1&amp;'1_BD questio brut'!AC310,'Données 1_BD questio'!A:A&amp;'Données 1_BD questio'!B:B,0))</f>
        <v>un professionnel</v>
      </c>
      <c r="AF310" s="191" t="str">
        <f>'1_BD questio brut'!AD310</f>
        <v>1 fois par an</v>
      </c>
      <c r="AG310" s="191" t="str">
        <f>'1_BD questio brut'!AE310</f>
        <v/>
      </c>
      <c r="AH310" s="191" t="str">
        <f>'1_BD questio brut'!AF310</f>
        <v>Poêle</v>
      </c>
      <c r="AI310" s="191" t="str">
        <f>'1_BD questio brut'!AG310</f>
        <v>2</v>
      </c>
      <c r="AJ310" s="191" t="str">
        <f>'1_BD questio brut'!AH310</f>
        <v/>
      </c>
      <c r="AK310" s="191" t="str">
        <f>'1_BD questio brut'!AI310</f>
        <v>Chauffage de base</v>
      </c>
      <c r="AL310" s="191" t="str">
        <f>'1_BD questio brut'!AJ310</f>
        <v>Pas de réponse</v>
      </c>
      <c r="AM310" s="191" t="str">
        <f>'1_BD questio brut'!AK310</f>
        <v>1; 2; 4; 5</v>
      </c>
      <c r="AN310" s="191" t="str">
        <f>'1_BD questio brut'!AL310</f>
        <v/>
      </c>
      <c r="AO310" s="191" t="str">
        <f>'1_BD questio brut'!AM310</f>
        <v>5</v>
      </c>
      <c r="AP310" s="191" t="str">
        <f>'1_BD questio brut'!AN310</f>
        <v/>
      </c>
      <c r="AQ310" s="191" t="str">
        <f>'1_BD questio brut'!AO310</f>
        <v/>
      </c>
    </row>
    <row r="311" spans="1:43" ht="29" hidden="1">
      <c r="A311" s="98">
        <f>INDEX('3_BD instruction total'!A:A,MATCH(C311,'3_BD instruction total'!F:F,0))</f>
        <v>2022</v>
      </c>
      <c r="B311" s="98" t="str">
        <f>INDEX('3_BD instruction total'!C:C,MATCH(C311,'3_BD instruction total'!F:F,0))</f>
        <v>non</v>
      </c>
      <c r="C311" s="191" t="str">
        <f>'1_BD questio brut'!A311</f>
        <v>VRB0323</v>
      </c>
      <c r="D311" s="191" t="str">
        <f t="array" ref="D311">INDEX('Données 1_BD questio'!C:C,MATCH('1_BD questio brut'!$B$1&amp;'1_BD questio brut'!B311,'Données 1_BD questio'!A:A&amp;'Données 1_BD questio'!B:B,0))</f>
        <v>CAPV</v>
      </c>
      <c r="E311" s="191" t="str">
        <f t="array" ref="E311">INDEX('Données 1_BD questio'!C:C,MATCH('1_BD questio brut'!$C$1&amp;'1_BD questio brut'!C311,'Données 1_BD questio'!A:A&amp;'Données 1_BD questio'!B:B,0))</f>
        <v>Employé</v>
      </c>
      <c r="F311" s="191" t="str">
        <f t="array" ref="F311">INDEX('Données 1_BD questio'!C:C,MATCH('1_BD questio brut'!$D$1&amp;'1_BD questio brut'!D311,'Données 1_BD questio'!A:A&amp;'Données 1_BD questio'!B:B,0))</f>
        <v>Cadre</v>
      </c>
      <c r="G311" s="191" t="str">
        <f>'1_BD questio brut'!E311</f>
        <v>50 à 64 ans</v>
      </c>
      <c r="H311" s="191">
        <f>'1_BD questio brut'!F311</f>
        <v>3</v>
      </c>
      <c r="I311" s="191" t="str">
        <f>'1_BD questio brut'!G311</f>
        <v>Pas de réponse</v>
      </c>
      <c r="J311" s="191" t="str">
        <f t="array" ref="J311">INDEX('Données 1_BD questio'!C:C,MATCH('1_BD questio brut'!$H$1&amp;'1_BD questio brut'!H311,'Données 1_BD questio'!A:A&amp;'Données 1_BD questio'!B:B,0))</f>
        <v>Maison avec jardin</v>
      </c>
      <c r="K311" s="191">
        <f>'1_BD questio brut'!I311</f>
        <v>127</v>
      </c>
      <c r="L311" s="191" t="str">
        <f>'1_BD questio brut'!J311</f>
        <v>1990-2005</v>
      </c>
      <c r="M311" s="191" t="str">
        <f>'1_BD questio brut'!K311</f>
        <v>4</v>
      </c>
      <c r="N311" s="191" t="str">
        <f>'1_BD questio brut'!L311</f>
        <v>Pas de réponse</v>
      </c>
      <c r="O311" s="191" t="str">
        <f>'1_BD questio brut'!M311</f>
        <v>Propriétaire occupant</v>
      </c>
      <c r="P311" s="191" t="str">
        <f>'1_BD questio brut'!N311</f>
        <v>Insert / foyer fermé</v>
      </c>
      <c r="Q311" s="191" t="str">
        <f>'1_BD questio brut'!O311</f>
        <v>Chauffage de base</v>
      </c>
      <c r="R311" s="191" t="str">
        <f>'1_BD questio brut'!P311</f>
        <v>Tous les jours</v>
      </c>
      <c r="S311" s="191" t="str">
        <f>'1_BD questio brut'!Q311</f>
        <v>4</v>
      </c>
      <c r="T311" s="191" t="str">
        <f>'1_BD questio brut'!R311</f>
        <v>1990-1995</v>
      </c>
      <c r="U311" s="191" t="str">
        <f>'1_BD questio brut'!S311</f>
        <v>Bois bûche</v>
      </c>
      <c r="V311" s="191" t="str">
        <f>'1_BD questio brut'!T311</f>
        <v/>
      </c>
      <c r="W311" s="191" t="str">
        <f>'1_BD questio brut'!U311</f>
        <v/>
      </c>
      <c r="X311" s="191" t="str">
        <f>'1_BD questio brut'!V311</f>
        <v/>
      </c>
      <c r="Y311" s="191" t="str">
        <f>'1_BD questio brut'!W311</f>
        <v>1</v>
      </c>
      <c r="Z311" s="191" t="str">
        <f>'1_BD questio brut'!X311</f>
        <v/>
      </c>
      <c r="AA311" s="191" t="str">
        <f t="array" ref="AA311">INDEX('Données 1_BD questio'!C:C,MATCH('1_BD questio brut'!$Y$1&amp;'1_BD questio brut'!Y311,'Données 1_BD questio'!A:A&amp;'Données 1_BD questio'!B:B,0))</f>
        <v>Pas de réponse</v>
      </c>
      <c r="AB311" s="191" t="str">
        <f>'1_BD questio brut'!Z311</f>
        <v>2</v>
      </c>
      <c r="AC311" s="191" t="str">
        <f>'1_BD questio brut'!AA311</f>
        <v>&gt; 2 ans</v>
      </c>
      <c r="AD311" s="191" t="str">
        <f>'1_BD questio brut'!AB311</f>
        <v>Feuillus</v>
      </c>
      <c r="AE311" s="191" t="str">
        <f t="array" ref="AE311">INDEX('Données 1_BD questio'!C:C,MATCH('1_BD questio brut'!$AC$1&amp;'1_BD questio brut'!AC311,'Données 1_BD questio'!A:A&amp;'Données 1_BD questio'!B:B,0))</f>
        <v>vous-même</v>
      </c>
      <c r="AF311" s="191" t="str">
        <f>'1_BD questio brut'!AD311</f>
        <v>2 fois par an</v>
      </c>
      <c r="AG311" s="191" t="str">
        <f>'1_BD questio brut'!AE311</f>
        <v/>
      </c>
      <c r="AH311" s="191" t="str">
        <f>'1_BD questio brut'!AF311</f>
        <v>Poêle</v>
      </c>
      <c r="AI311" s="191" t="str">
        <f>'1_BD questio brut'!AG311</f>
        <v>1</v>
      </c>
      <c r="AJ311" s="191" t="str">
        <f>'1_BD questio brut'!AH311</f>
        <v/>
      </c>
      <c r="AK311" s="191" t="str">
        <f>'1_BD questio brut'!AI311</f>
        <v>Chauffage de base</v>
      </c>
      <c r="AL311" s="191" t="str">
        <f>'1_BD questio brut'!AJ311</f>
        <v>Pas de réponse</v>
      </c>
      <c r="AM311" s="191" t="str">
        <f>'1_BD questio brut'!AK311</f>
        <v>2; 4; 5</v>
      </c>
      <c r="AN311" s="191" t="str">
        <f>'1_BD questio brut'!AL311</f>
        <v/>
      </c>
      <c r="AO311" s="191" t="str">
        <f>'1_BD questio brut'!AM311</f>
        <v>5</v>
      </c>
      <c r="AP311" s="191" t="str">
        <f>'1_BD questio brut'!AN311</f>
        <v/>
      </c>
      <c r="AQ311" s="191" t="str">
        <f>'1_BD questio brut'!AO311</f>
        <v/>
      </c>
    </row>
    <row r="312" spans="1:43" ht="43.5" hidden="1">
      <c r="A312" s="98">
        <f>INDEX('3_BD instruction total'!A:A,MATCH(C312,'3_BD instruction total'!F:F,0))</f>
        <v>2022</v>
      </c>
      <c r="B312" s="98" t="str">
        <f>INDEX('3_BD instruction total'!C:C,MATCH(C312,'3_BD instruction total'!F:F,0))</f>
        <v>non</v>
      </c>
      <c r="C312" s="191" t="str">
        <f>'1_BD questio brut'!A312</f>
        <v>VRB0326</v>
      </c>
      <c r="D312" s="191" t="str">
        <f t="array" ref="D312">INDEX('Données 1_BD questio'!C:C,MATCH('1_BD questio brut'!$B$1&amp;'1_BD questio brut'!B312,'Données 1_BD questio'!A:A&amp;'Données 1_BD questio'!B:B,0))</f>
        <v>CAPV</v>
      </c>
      <c r="E312" s="191" t="str">
        <f t="array" ref="E312">INDEX('Données 1_BD questio'!C:C,MATCH('1_BD questio brut'!$C$1&amp;'1_BD questio brut'!C312,'Données 1_BD questio'!A:A&amp;'Données 1_BD questio'!B:B,0))</f>
        <v>Retraité</v>
      </c>
      <c r="F312" s="191" t="str">
        <f t="array" ref="F312">INDEX('Données 1_BD questio'!C:C,MATCH('1_BD questio brut'!$D$1&amp;'1_BD questio brut'!D312,'Données 1_BD questio'!A:A&amp;'Données 1_BD questio'!B:B,0))</f>
        <v>Retraité</v>
      </c>
      <c r="G312" s="191" t="str">
        <f>'1_BD questio brut'!E312</f>
        <v>65 ans et plus</v>
      </c>
      <c r="H312" s="191">
        <f>'1_BD questio brut'!F312</f>
        <v>2</v>
      </c>
      <c r="I312" s="191" t="str">
        <f>'1_BD questio brut'!G312</f>
        <v>30 000 à 40 000 €</v>
      </c>
      <c r="J312" s="191" t="str">
        <f t="array" ref="J312">INDEX('Données 1_BD questio'!C:C,MATCH('1_BD questio brut'!$H$1&amp;'1_BD questio brut'!H312,'Données 1_BD questio'!A:A&amp;'Données 1_BD questio'!B:B,0))</f>
        <v>Maison avec jardin</v>
      </c>
      <c r="K312" s="191">
        <f>'1_BD questio brut'!I312</f>
        <v>95</v>
      </c>
      <c r="L312" s="191" t="str">
        <f>'1_BD questio brut'!J312</f>
        <v>Avant 1949</v>
      </c>
      <c r="M312" s="191" t="str">
        <f>'1_BD questio brut'!K312</f>
        <v>4</v>
      </c>
      <c r="N312" s="191" t="str">
        <f>'1_BD questio brut'!L312</f>
        <v>Pas de réponse</v>
      </c>
      <c r="O312" s="191" t="str">
        <f>'1_BD questio brut'!M312</f>
        <v>Propriétaire occupant</v>
      </c>
      <c r="P312" s="191" t="str">
        <f>'1_BD questio brut'!N312</f>
        <v>Cuisinière</v>
      </c>
      <c r="Q312" s="191" t="str">
        <f>'1_BD questio brut'!O312</f>
        <v>Chauffage de base</v>
      </c>
      <c r="R312" s="191" t="str">
        <f>'1_BD questio brut'!P312</f>
        <v>Tous les jours</v>
      </c>
      <c r="S312" s="191" t="str">
        <f>'1_BD questio brut'!Q312</f>
        <v>7</v>
      </c>
      <c r="T312" s="191" t="str">
        <f>'1_BD questio brut'!R312</f>
        <v>1990-1995</v>
      </c>
      <c r="U312" s="191" t="str">
        <f>'1_BD questio brut'!S312</f>
        <v>Bois bûche</v>
      </c>
      <c r="V312" s="191" t="str">
        <f>'1_BD questio brut'!T312</f>
        <v/>
      </c>
      <c r="W312" s="191" t="str">
        <f>'1_BD questio brut'!U312</f>
        <v>7</v>
      </c>
      <c r="X312" s="191" t="str">
        <f>'1_BD questio brut'!V312</f>
        <v>Stère</v>
      </c>
      <c r="Y312" s="191" t="str">
        <f>'1_BD questio brut'!W312</f>
        <v>2</v>
      </c>
      <c r="Z312" s="191" t="str">
        <f>'1_BD questio brut'!X312</f>
        <v/>
      </c>
      <c r="AA312" s="191" t="str">
        <f t="array" ref="AA312">INDEX('Données 1_BD questio'!C:C,MATCH('1_BD questio brut'!$Y$1&amp;'1_BD questio brut'!Y312,'Données 1_BD questio'!A:A&amp;'Données 1_BD questio'!B:B,0))</f>
        <v>Pas de réponse</v>
      </c>
      <c r="AB312" s="191" t="str">
        <f>'1_BD questio brut'!Z312</f>
        <v>2</v>
      </c>
      <c r="AC312" s="191" t="str">
        <f>'1_BD questio brut'!AA312</f>
        <v>1 à 2 ans</v>
      </c>
      <c r="AD312" s="191" t="str">
        <f>'1_BD questio brut'!AB312</f>
        <v>Feuillus</v>
      </c>
      <c r="AE312" s="191" t="str">
        <f t="array" ref="AE312">INDEX('Données 1_BD questio'!C:C,MATCH('1_BD questio brut'!$AC$1&amp;'1_BD questio brut'!AC312,'Données 1_BD questio'!A:A&amp;'Données 1_BD questio'!B:B,0))</f>
        <v>un professionnel</v>
      </c>
      <c r="AF312" s="191" t="str">
        <f>'1_BD questio brut'!AD312</f>
        <v>1 fois par an</v>
      </c>
      <c r="AG312" s="191" t="str">
        <f>'1_BD questio brut'!AE312</f>
        <v/>
      </c>
      <c r="AH312" s="191" t="str">
        <f>'1_BD questio brut'!AF312</f>
        <v>Poêle</v>
      </c>
      <c r="AI312" s="191" t="str">
        <f>'1_BD questio brut'!AG312</f>
        <v>2</v>
      </c>
      <c r="AJ312" s="191" t="str">
        <f>'1_BD questio brut'!AH312</f>
        <v/>
      </c>
      <c r="AK312" s="191" t="str">
        <f>'1_BD questio brut'!AI312</f>
        <v>Chauffage de base</v>
      </c>
      <c r="AL312" s="191" t="str">
        <f>'1_BD questio brut'!AJ312</f>
        <v>Pas de réponse</v>
      </c>
      <c r="AM312" s="191" t="str">
        <f>'1_BD questio brut'!AK312</f>
        <v>1; 4; 5</v>
      </c>
      <c r="AN312" s="191" t="str">
        <f>'1_BD questio brut'!AL312</f>
        <v/>
      </c>
      <c r="AO312" s="191" t="str">
        <f>'1_BD questio brut'!AM312</f>
        <v>5</v>
      </c>
      <c r="AP312" s="191" t="str">
        <f>'1_BD questio brut'!AN312</f>
        <v/>
      </c>
      <c r="AQ312" s="191" t="str">
        <f>'1_BD questio brut'!AO312</f>
        <v/>
      </c>
    </row>
    <row r="313" spans="1:43" ht="29" hidden="1">
      <c r="A313" s="98" t="e">
        <f>INDEX('3_BD instruction total'!A:A,MATCH(C313,'3_BD instruction total'!F:F,0))</f>
        <v>#VALUE!</v>
      </c>
      <c r="B313" s="98" t="str">
        <f>INDEX('3_BD instruction total'!C:C,MATCH(C313,'3_BD instruction total'!F:F,0))</f>
        <v>oui</v>
      </c>
      <c r="C313" s="191" t="str">
        <f>'1_BD questio brut'!A313</f>
        <v>VRB0328</v>
      </c>
      <c r="D313" s="191" t="str">
        <f t="array" ref="D313">INDEX('Données 1_BD questio'!C:C,MATCH('1_BD questio brut'!$B$1&amp;'1_BD questio brut'!B313,'Données 1_BD questio'!A:A&amp;'Données 1_BD questio'!B:B,0))</f>
        <v>CAPV</v>
      </c>
      <c r="E313" s="191" t="str">
        <f t="array" ref="E313">INDEX('Données 1_BD questio'!C:C,MATCH('1_BD questio brut'!$C$1&amp;'1_BD questio brut'!C313,'Données 1_BD questio'!A:A&amp;'Données 1_BD questio'!B:B,0))</f>
        <v>Artisan,commerçant,chef d'entreprise</v>
      </c>
      <c r="F313" s="191" t="str">
        <f t="array" ref="F313">INDEX('Données 1_BD questio'!C:C,MATCH('1_BD questio brut'!$D$1&amp;'1_BD questio brut'!D313,'Données 1_BD questio'!A:A&amp;'Données 1_BD questio'!B:B,0))</f>
        <v>Cadre</v>
      </c>
      <c r="G313" s="191" t="str">
        <f>'1_BD questio brut'!E313</f>
        <v>35 à 49 ans</v>
      </c>
      <c r="H313" s="191">
        <f>'1_BD questio brut'!F313</f>
        <v>4</v>
      </c>
      <c r="I313" s="191" t="str">
        <f>'1_BD questio brut'!G313</f>
        <v>50 000 à 60 000 €</v>
      </c>
      <c r="J313" s="191" t="str">
        <f t="array" ref="J313">INDEX('Données 1_BD questio'!C:C,MATCH('1_BD questio brut'!$H$1&amp;'1_BD questio brut'!H313,'Données 1_BD questio'!A:A&amp;'Données 1_BD questio'!B:B,0))</f>
        <v>Maison avec jardin</v>
      </c>
      <c r="K313" s="191">
        <f>'1_BD questio brut'!I313</f>
        <v>50</v>
      </c>
      <c r="L313" s="191" t="str">
        <f>'1_BD questio brut'!J313</f>
        <v>Avant 1949</v>
      </c>
      <c r="M313" s="191" t="str">
        <f>'1_BD questio brut'!K313</f>
        <v>6</v>
      </c>
      <c r="N313" s="191" t="str">
        <f>'1_BD questio brut'!L313</f>
        <v>Pas de réponse</v>
      </c>
      <c r="O313" s="191" t="str">
        <f>'1_BD questio brut'!M313</f>
        <v>Propriétaire occupant</v>
      </c>
      <c r="P313" s="191" t="str">
        <f>'1_BD questio brut'!N313</f>
        <v>Foyer ouvert</v>
      </c>
      <c r="Q313" s="191" t="str">
        <f>'1_BD questio brut'!O313</f>
        <v>Chauffage de base</v>
      </c>
      <c r="R313" s="191" t="str">
        <f>'1_BD questio brut'!P313</f>
        <v>Pas de réponse</v>
      </c>
      <c r="S313" s="191" t="str">
        <f>'1_BD questio brut'!Q313</f>
        <v>7</v>
      </c>
      <c r="T313" s="191" t="str">
        <f>'1_BD questio brut'!R313</f>
        <v>Avant 1990</v>
      </c>
      <c r="U313" s="191" t="str">
        <f>'1_BD questio brut'!S313</f>
        <v>Pas de réponse</v>
      </c>
      <c r="V313" s="191" t="str">
        <f>'1_BD questio brut'!T313</f>
        <v/>
      </c>
      <c r="W313" s="191" t="str">
        <f>'1_BD questio brut'!U313</f>
        <v/>
      </c>
      <c r="X313" s="191" t="str">
        <f>'1_BD questio brut'!V313</f>
        <v/>
      </c>
      <c r="Y313" s="191" t="str">
        <f>'1_BD questio brut'!W313</f>
        <v>5</v>
      </c>
      <c r="Z313" s="191" t="str">
        <f>'1_BD questio brut'!X313</f>
        <v/>
      </c>
      <c r="AA313" s="191" t="str">
        <f t="array" ref="AA313">INDEX('Données 1_BD questio'!C:C,MATCH('1_BD questio brut'!$Y$1&amp;'1_BD questio brut'!Y313,'Données 1_BD questio'!A:A&amp;'Données 1_BD questio'!B:B,0))</f>
        <v>Pas de réponse</v>
      </c>
      <c r="AB313" s="191" t="str">
        <f>'1_BD questio brut'!Z313</f>
        <v>4</v>
      </c>
      <c r="AC313" s="191" t="str">
        <f>'1_BD questio brut'!AA313</f>
        <v>Pas de réponse</v>
      </c>
      <c r="AD313" s="191" t="str">
        <f>'1_BD questio brut'!AB313</f>
        <v>Pas de réponse</v>
      </c>
      <c r="AE313" s="191" t="str">
        <f t="array" ref="AE313">INDEX('Données 1_BD questio'!C:C,MATCH('1_BD questio brut'!$AC$1&amp;'1_BD questio brut'!AC313,'Données 1_BD questio'!A:A&amp;'Données 1_BD questio'!B:B,0))</f>
        <v>Pas de réponse</v>
      </c>
      <c r="AF313" s="191" t="str">
        <f>'1_BD questio brut'!AD313</f>
        <v>Pas de réponse</v>
      </c>
      <c r="AG313" s="191" t="str">
        <f>'1_BD questio brut'!AE313</f>
        <v/>
      </c>
      <c r="AH313" s="191" t="str">
        <f>'1_BD questio brut'!AF313</f>
        <v>Poêle</v>
      </c>
      <c r="AI313" s="191" t="str">
        <f>'1_BD questio brut'!AG313</f>
        <v>1</v>
      </c>
      <c r="AJ313" s="191" t="str">
        <f>'1_BD questio brut'!AH313</f>
        <v/>
      </c>
      <c r="AK313" s="191" t="str">
        <f>'1_BD questio brut'!AI313</f>
        <v>Chauffage d'appoint</v>
      </c>
      <c r="AL313" s="191" t="str">
        <f>'1_BD questio brut'!AJ313</f>
        <v>Pas de réponse</v>
      </c>
      <c r="AM313" s="191" t="str">
        <f>'1_BD questio brut'!AK313</f>
        <v>4; 5</v>
      </c>
      <c r="AN313" s="191" t="str">
        <f>'1_BD questio brut'!AL313</f>
        <v/>
      </c>
      <c r="AO313" s="191" t="str">
        <f>'1_BD questio brut'!AM313</f>
        <v>7</v>
      </c>
      <c r="AP313" s="191" t="str">
        <f>'1_BD questio brut'!AN313</f>
        <v/>
      </c>
      <c r="AQ313" s="191" t="str">
        <f>'1_BD questio brut'!AO313</f>
        <v/>
      </c>
    </row>
    <row r="314" spans="1:43" ht="43.5" hidden="1">
      <c r="A314" s="98">
        <f>INDEX('3_BD instruction total'!A:A,MATCH(C314,'3_BD instruction total'!F:F,0))</f>
        <v>2022</v>
      </c>
      <c r="B314" s="98" t="str">
        <f>INDEX('3_BD instruction total'!C:C,MATCH(C314,'3_BD instruction total'!F:F,0))</f>
        <v>non</v>
      </c>
      <c r="C314" s="191" t="str">
        <f>'1_BD questio brut'!A314</f>
        <v>VRB0330</v>
      </c>
      <c r="D314" s="191" t="str">
        <f t="array" ref="D314">INDEX('Données 1_BD questio'!C:C,MATCH('1_BD questio brut'!$B$1&amp;'1_BD questio brut'!B314,'Données 1_BD questio'!A:A&amp;'Données 1_BD questio'!B:B,0))</f>
        <v>CAPV</v>
      </c>
      <c r="E314" s="191" t="str">
        <f t="array" ref="E314">INDEX('Données 1_BD questio'!C:C,MATCH('1_BD questio brut'!$C$1&amp;'1_BD questio brut'!C314,'Données 1_BD questio'!A:A&amp;'Données 1_BD questio'!B:B,0))</f>
        <v>Retraité</v>
      </c>
      <c r="F314" s="191" t="str">
        <f t="array" ref="F314">INDEX('Données 1_BD questio'!C:C,MATCH('1_BD questio brut'!$D$1&amp;'1_BD questio brut'!D314,'Données 1_BD questio'!A:A&amp;'Données 1_BD questio'!B:B,0))</f>
        <v>Pas de réponse</v>
      </c>
      <c r="G314" s="191" t="str">
        <f>'1_BD questio brut'!E314</f>
        <v>65 ans et plus</v>
      </c>
      <c r="H314" s="191">
        <f>'1_BD questio brut'!F314</f>
        <v>1</v>
      </c>
      <c r="I314" s="191" t="str">
        <f>'1_BD questio brut'!G314</f>
        <v>Moins de 20 000 €</v>
      </c>
      <c r="J314" s="191" t="str">
        <f t="array" ref="J314">INDEX('Données 1_BD questio'!C:C,MATCH('1_BD questio brut'!$H$1&amp;'1_BD questio brut'!H314,'Données 1_BD questio'!A:A&amp;'Données 1_BD questio'!B:B,0))</f>
        <v>Maison avec jardin</v>
      </c>
      <c r="K314" s="191">
        <f>'1_BD questio brut'!I314</f>
        <v>80</v>
      </c>
      <c r="L314" s="191" t="str">
        <f>'1_BD questio brut'!J314</f>
        <v>1975-1990</v>
      </c>
      <c r="M314" s="191" t="str">
        <f>'1_BD questio brut'!K314</f>
        <v>1; 6</v>
      </c>
      <c r="N314" s="191" t="str">
        <f>'1_BD questio brut'!L314</f>
        <v>Ne sait pas</v>
      </c>
      <c r="O314" s="191" t="str">
        <f>'1_BD questio brut'!M314</f>
        <v>Propriétaire occupant</v>
      </c>
      <c r="P314" s="191" t="str">
        <f>'1_BD questio brut'!N314</f>
        <v>Insert / foyer fermé</v>
      </c>
      <c r="Q314" s="191" t="str">
        <f>'1_BD questio brut'!O314</f>
        <v>Chauffage d'apoint</v>
      </c>
      <c r="R314" s="191" t="str">
        <f>'1_BD questio brut'!P314</f>
        <v>Tous les jours</v>
      </c>
      <c r="S314" s="191" t="str">
        <f>'1_BD questio brut'!Q314</f>
        <v>1; 2; 4</v>
      </c>
      <c r="T314" s="191" t="str">
        <f>'1_BD questio brut'!R314</f>
        <v>Pas de réponse</v>
      </c>
      <c r="U314" s="191" t="str">
        <f>'1_BD questio brut'!S314</f>
        <v>Bois bûche</v>
      </c>
      <c r="V314" s="191" t="str">
        <f>'1_BD questio brut'!T314</f>
        <v/>
      </c>
      <c r="W314" s="191" t="str">
        <f>'1_BD questio brut'!U314</f>
        <v>3</v>
      </c>
      <c r="X314" s="191" t="str">
        <f>'1_BD questio brut'!V314</f>
        <v>Stère</v>
      </c>
      <c r="Y314" s="191" t="str">
        <f>'1_BD questio brut'!W314</f>
        <v>2</v>
      </c>
      <c r="Z314" s="191" t="str">
        <f>'1_BD questio brut'!X314</f>
        <v/>
      </c>
      <c r="AA314" s="191" t="str">
        <f t="array" ref="AA314">INDEX('Données 1_BD questio'!C:C,MATCH('1_BD questio brut'!$Y$1&amp;'1_BD questio brut'!Y314,'Données 1_BD questio'!A:A&amp;'Données 1_BD questio'!B:B,0))</f>
        <v>RA2B</v>
      </c>
      <c r="AB314" s="191" t="str">
        <f>'1_BD questio brut'!Z314</f>
        <v>2</v>
      </c>
      <c r="AC314" s="191" t="str">
        <f>'1_BD questio brut'!AA314</f>
        <v>1 à 2 ans</v>
      </c>
      <c r="AD314" s="191" t="str">
        <f>'1_BD questio brut'!AB314</f>
        <v>Les deux</v>
      </c>
      <c r="AE314" s="191" t="str">
        <f t="array" ref="AE314">INDEX('Données 1_BD questio'!C:C,MATCH('1_BD questio brut'!$AC$1&amp;'1_BD questio brut'!AC314,'Données 1_BD questio'!A:A&amp;'Données 1_BD questio'!B:B,0))</f>
        <v>un professionnel</v>
      </c>
      <c r="AF314" s="191" t="str">
        <f>'1_BD questio brut'!AD314</f>
        <v>1 fois par an</v>
      </c>
      <c r="AG314" s="191" t="str">
        <f>'1_BD questio brut'!AE314</f>
        <v/>
      </c>
      <c r="AH314" s="191" t="str">
        <f>'1_BD questio brut'!AF314</f>
        <v>Poêle</v>
      </c>
      <c r="AI314" s="191" t="str">
        <f>'1_BD questio brut'!AG314</f>
        <v>2</v>
      </c>
      <c r="AJ314" s="191" t="str">
        <f>'1_BD questio brut'!AH314</f>
        <v/>
      </c>
      <c r="AK314" s="191" t="str">
        <f>'1_BD questio brut'!AI314</f>
        <v>Chauffage de base</v>
      </c>
      <c r="AL314" s="191" t="str">
        <f>'1_BD questio brut'!AJ314</f>
        <v>Pas de réponse</v>
      </c>
      <c r="AM314" s="191" t="str">
        <f>'1_BD questio brut'!AK314</f>
        <v>1; 2; 4; 5</v>
      </c>
      <c r="AN314" s="191" t="str">
        <f>'1_BD questio brut'!AL314</f>
        <v/>
      </c>
      <c r="AO314" s="191" t="str">
        <f>'1_BD questio brut'!AM314</f>
        <v>5</v>
      </c>
      <c r="AP314" s="191" t="str">
        <f>'1_BD questio brut'!AN314</f>
        <v/>
      </c>
      <c r="AQ314" s="191" t="str">
        <f>'1_BD questio brut'!AO314</f>
        <v/>
      </c>
    </row>
    <row r="315" spans="1:43" ht="43.5" hidden="1">
      <c r="A315" s="98">
        <f>INDEX('3_BD instruction total'!A:A,MATCH(C315,'3_BD instruction total'!F:F,0))</f>
        <v>2022</v>
      </c>
      <c r="B315" s="98" t="str">
        <f>INDEX('3_BD instruction total'!C:C,MATCH(C315,'3_BD instruction total'!F:F,0))</f>
        <v>non</v>
      </c>
      <c r="C315" s="191" t="str">
        <f>'1_BD questio brut'!A315</f>
        <v>VRB0331</v>
      </c>
      <c r="D315" s="191" t="str">
        <f t="array" ref="D315">INDEX('Données 1_BD questio'!C:C,MATCH('1_BD questio brut'!$B$1&amp;'1_BD questio brut'!B315,'Données 1_BD questio'!A:A&amp;'Données 1_BD questio'!B:B,0))</f>
        <v>CAPV</v>
      </c>
      <c r="E315" s="191" t="str">
        <f t="array" ref="E315">INDEX('Données 1_BD questio'!C:C,MATCH('1_BD questio brut'!$C$1&amp;'1_BD questio brut'!C315,'Données 1_BD questio'!A:A&amp;'Données 1_BD questio'!B:B,0))</f>
        <v>Retraité</v>
      </c>
      <c r="F315" s="191" t="str">
        <f t="array" ref="F315">INDEX('Données 1_BD questio'!C:C,MATCH('1_BD questio brut'!$D$1&amp;'1_BD questio brut'!D315,'Données 1_BD questio'!A:A&amp;'Données 1_BD questio'!B:B,0))</f>
        <v>Autre,sans activité</v>
      </c>
      <c r="G315" s="191" t="str">
        <f>'1_BD questio brut'!E315</f>
        <v>65 ans et plus</v>
      </c>
      <c r="H315" s="191">
        <f>'1_BD questio brut'!F315</f>
        <v>1</v>
      </c>
      <c r="I315" s="191" t="str">
        <f>'1_BD questio brut'!G315</f>
        <v>Moins de 20 000 €</v>
      </c>
      <c r="J315" s="191" t="str">
        <f t="array" ref="J315">INDEX('Données 1_BD questio'!C:C,MATCH('1_BD questio brut'!$H$1&amp;'1_BD questio brut'!H315,'Données 1_BD questio'!A:A&amp;'Données 1_BD questio'!B:B,0))</f>
        <v>Maison avec jardin</v>
      </c>
      <c r="K315" s="191">
        <f>'1_BD questio brut'!I315</f>
        <v>90</v>
      </c>
      <c r="L315" s="191" t="str">
        <f>'1_BD questio brut'!J315</f>
        <v>1990-2005</v>
      </c>
      <c r="M315" s="191" t="str">
        <f>'1_BD questio brut'!K315</f>
        <v>6</v>
      </c>
      <c r="N315" s="191" t="str">
        <f>'1_BD questio brut'!L315</f>
        <v>Pas de réponse</v>
      </c>
      <c r="O315" s="191" t="str">
        <f>'1_BD questio brut'!M315</f>
        <v>Propriétaire occupant</v>
      </c>
      <c r="P315" s="191" t="str">
        <f>'1_BD questio brut'!N315</f>
        <v>Poêle</v>
      </c>
      <c r="Q315" s="191" t="str">
        <f>'1_BD questio brut'!O315</f>
        <v>Chauffage de base</v>
      </c>
      <c r="R315" s="191" t="str">
        <f>'1_BD questio brut'!P315</f>
        <v>Tous les jours</v>
      </c>
      <c r="S315" s="191" t="str">
        <f>'1_BD questio brut'!Q315</f>
        <v>1; 2; 4</v>
      </c>
      <c r="T315" s="191" t="str">
        <f>'1_BD questio brut'!R315</f>
        <v>1996-2002</v>
      </c>
      <c r="U315" s="191" t="str">
        <f>'1_BD questio brut'!S315</f>
        <v>Bois bûche</v>
      </c>
      <c r="V315" s="191" t="str">
        <f>'1_BD questio brut'!T315</f>
        <v/>
      </c>
      <c r="W315" s="191" t="str">
        <f>'1_BD questio brut'!U315</f>
        <v>6</v>
      </c>
      <c r="X315" s="191" t="str">
        <f>'1_BD questio brut'!V315</f>
        <v>Stère</v>
      </c>
      <c r="Y315" s="191" t="str">
        <f>'1_BD questio brut'!W315</f>
        <v>3</v>
      </c>
      <c r="Z315" s="191" t="str">
        <f>'1_BD questio brut'!X315</f>
        <v/>
      </c>
      <c r="AA315" s="191" t="str">
        <f t="array" ref="AA315">INDEX('Données 1_BD questio'!C:C,MATCH('1_BD questio brut'!$Y$1&amp;'1_BD questio brut'!Y315,'Données 1_BD questio'!A:A&amp;'Données 1_BD questio'!B:B,0))</f>
        <v>Ne sait pas</v>
      </c>
      <c r="AB315" s="191" t="str">
        <f>'1_BD questio brut'!Z315</f>
        <v>3</v>
      </c>
      <c r="AC315" s="191" t="str">
        <f>'1_BD questio brut'!AA315</f>
        <v>&gt; 2 ans</v>
      </c>
      <c r="AD315" s="191" t="str">
        <f>'1_BD questio brut'!AB315</f>
        <v>Les deux</v>
      </c>
      <c r="AE315" s="191" t="str">
        <f t="array" ref="AE315">INDEX('Données 1_BD questio'!C:C,MATCH('1_BD questio brut'!$AC$1&amp;'1_BD questio brut'!AC315,'Données 1_BD questio'!A:A&amp;'Données 1_BD questio'!B:B,0))</f>
        <v>un professionnel</v>
      </c>
      <c r="AF315" s="191" t="str">
        <f>'1_BD questio brut'!AD315</f>
        <v>1 fois par an</v>
      </c>
      <c r="AG315" s="191" t="str">
        <f>'1_BD questio brut'!AE315</f>
        <v/>
      </c>
      <c r="AH315" s="191" t="str">
        <f>'1_BD questio brut'!AF315</f>
        <v>Poêle</v>
      </c>
      <c r="AI315" s="191" t="str">
        <f>'1_BD questio brut'!AG315</f>
        <v>2</v>
      </c>
      <c r="AJ315" s="191" t="str">
        <f>'1_BD questio brut'!AH315</f>
        <v/>
      </c>
      <c r="AK315" s="191" t="str">
        <f>'1_BD questio brut'!AI315</f>
        <v>Chauffage de base</v>
      </c>
      <c r="AL315" s="191" t="str">
        <f>'1_BD questio brut'!AJ315</f>
        <v>Pas de réponse</v>
      </c>
      <c r="AM315" s="191" t="str">
        <f>'1_BD questio brut'!AK315</f>
        <v>1; 2</v>
      </c>
      <c r="AN315" s="191" t="str">
        <f>'1_BD questio brut'!AL315</f>
        <v/>
      </c>
      <c r="AO315" s="191" t="str">
        <f>'1_BD questio brut'!AM315</f>
        <v>5</v>
      </c>
      <c r="AP315" s="191" t="str">
        <f>'1_BD questio brut'!AN315</f>
        <v/>
      </c>
      <c r="AQ315" s="191" t="str">
        <f>'1_BD questio brut'!AO315</f>
        <v/>
      </c>
    </row>
    <row r="316" spans="1:43" ht="43.5" hidden="1">
      <c r="A316" s="98">
        <f>INDEX('3_BD instruction total'!A:A,MATCH(C316,'3_BD instruction total'!F:F,0))</f>
        <v>2022</v>
      </c>
      <c r="B316" s="98" t="str">
        <f>INDEX('3_BD instruction total'!C:C,MATCH(C316,'3_BD instruction total'!F:F,0))</f>
        <v>non</v>
      </c>
      <c r="C316" s="191" t="str">
        <f>'1_BD questio brut'!A316</f>
        <v>VRB0332</v>
      </c>
      <c r="D316" s="191" t="str">
        <f t="array" ref="D316">INDEX('Données 1_BD questio'!C:C,MATCH('1_BD questio brut'!$B$1&amp;'1_BD questio brut'!B316,'Données 1_BD questio'!A:A&amp;'Données 1_BD questio'!B:B,0))</f>
        <v>CAPV</v>
      </c>
      <c r="E316" s="191" t="str">
        <f t="array" ref="E316">INDEX('Données 1_BD questio'!C:C,MATCH('1_BD questio brut'!$C$1&amp;'1_BD questio brut'!C316,'Données 1_BD questio'!A:A&amp;'Données 1_BD questio'!B:B,0))</f>
        <v>Ouvrier</v>
      </c>
      <c r="F316" s="191" t="str">
        <f t="array" ref="F316">INDEX('Données 1_BD questio'!C:C,MATCH('1_BD questio brut'!$D$1&amp;'1_BD questio brut'!D316,'Données 1_BD questio'!A:A&amp;'Données 1_BD questio'!B:B,0))</f>
        <v>Employé</v>
      </c>
      <c r="G316" s="191" t="str">
        <f>'1_BD questio brut'!E316</f>
        <v>50 à 64 ans</v>
      </c>
      <c r="H316" s="191">
        <f>'1_BD questio brut'!F316</f>
        <v>2</v>
      </c>
      <c r="I316" s="191" t="str">
        <f>'1_BD questio brut'!G316</f>
        <v>30 000 à 40 000 €</v>
      </c>
      <c r="J316" s="191" t="str">
        <f t="array" ref="J316">INDEX('Données 1_BD questio'!C:C,MATCH('1_BD questio brut'!$H$1&amp;'1_BD questio brut'!H316,'Données 1_BD questio'!A:A&amp;'Données 1_BD questio'!B:B,0))</f>
        <v>Maison avec jardin</v>
      </c>
      <c r="K316" s="191">
        <f>'1_BD questio brut'!I316</f>
        <v>123</v>
      </c>
      <c r="L316" s="191" t="str">
        <f>'1_BD questio brut'!J316</f>
        <v>1990-2005</v>
      </c>
      <c r="M316" s="191" t="str">
        <f>'1_BD questio brut'!K316</f>
        <v>1</v>
      </c>
      <c r="N316" s="191" t="str">
        <f>'1_BD questio brut'!L316</f>
        <v>Pas de réponse</v>
      </c>
      <c r="O316" s="191" t="str">
        <f>'1_BD questio brut'!M316</f>
        <v>Propriétaire occupant</v>
      </c>
      <c r="P316" s="191" t="str">
        <f>'1_BD questio brut'!N316</f>
        <v>Insert / foyer fermé</v>
      </c>
      <c r="Q316" s="191" t="str">
        <f>'1_BD questio brut'!O316</f>
        <v>Chauffage de base</v>
      </c>
      <c r="R316" s="191" t="str">
        <f>'1_BD questio brut'!P316</f>
        <v>Tous les jours</v>
      </c>
      <c r="S316" s="191" t="str">
        <f>'1_BD questio brut'!Q316</f>
        <v>4; 5</v>
      </c>
      <c r="T316" s="191" t="str">
        <f>'1_BD questio brut'!R316</f>
        <v>1990-1995</v>
      </c>
      <c r="U316" s="191" t="str">
        <f>'1_BD questio brut'!S316</f>
        <v>Bois bûche</v>
      </c>
      <c r="V316" s="191" t="str">
        <f>'1_BD questio brut'!T316</f>
        <v/>
      </c>
      <c r="W316" s="191" t="str">
        <f>'1_BD questio brut'!U316</f>
        <v>4,5</v>
      </c>
      <c r="X316" s="191" t="str">
        <f>'1_BD questio brut'!V316</f>
        <v>TONES</v>
      </c>
      <c r="Y316" s="191" t="str">
        <f>'1_BD questio brut'!W316</f>
        <v>1; 2</v>
      </c>
      <c r="Z316" s="191" t="str">
        <f>'1_BD questio brut'!X316</f>
        <v/>
      </c>
      <c r="AA316" s="191" t="str">
        <f t="array" ref="AA316">INDEX('Données 1_BD questio'!C:C,MATCH('1_BD questio brut'!$Y$1&amp;'1_BD questio brut'!Y316,'Données 1_BD questio'!A:A&amp;'Données 1_BD questio'!B:B,0))</f>
        <v>Pas de réponse</v>
      </c>
      <c r="AB316" s="191" t="str">
        <f>'1_BD questio brut'!Z316</f>
        <v>2</v>
      </c>
      <c r="AC316" s="191" t="str">
        <f>'1_BD questio brut'!AA316</f>
        <v>&gt; 2 ans</v>
      </c>
      <c r="AD316" s="191" t="str">
        <f>'1_BD questio brut'!AB316</f>
        <v>Les deux</v>
      </c>
      <c r="AE316" s="191" t="str">
        <f t="array" ref="AE316">INDEX('Données 1_BD questio'!C:C,MATCH('1_BD questio brut'!$AC$1&amp;'1_BD questio brut'!AC316,'Données 1_BD questio'!A:A&amp;'Données 1_BD questio'!B:B,0))</f>
        <v>un professionnel</v>
      </c>
      <c r="AF316" s="191" t="str">
        <f>'1_BD questio brut'!AD316</f>
        <v>1 fois par an</v>
      </c>
      <c r="AG316" s="191" t="str">
        <f>'1_BD questio brut'!AE316</f>
        <v/>
      </c>
      <c r="AH316" s="191" t="str">
        <f>'1_BD questio brut'!AF316</f>
        <v>Poêle</v>
      </c>
      <c r="AI316" s="191" t="str">
        <f>'1_BD questio brut'!AG316</f>
        <v>1</v>
      </c>
      <c r="AJ316" s="191" t="str">
        <f>'1_BD questio brut'!AH316</f>
        <v/>
      </c>
      <c r="AK316" s="191" t="str">
        <f>'1_BD questio brut'!AI316</f>
        <v>Chauffage de base</v>
      </c>
      <c r="AL316" s="191" t="str">
        <f>'1_BD questio brut'!AJ316</f>
        <v>Pas de réponse</v>
      </c>
      <c r="AM316" s="191" t="str">
        <f>'1_BD questio brut'!AK316</f>
        <v>2; 4</v>
      </c>
      <c r="AN316" s="191" t="str">
        <f>'1_BD questio brut'!AL316</f>
        <v/>
      </c>
      <c r="AO316" s="191" t="str">
        <f>'1_BD questio brut'!AM316</f>
        <v>5</v>
      </c>
      <c r="AP316" s="191" t="str">
        <f>'1_BD questio brut'!AN316</f>
        <v/>
      </c>
      <c r="AQ316" s="191" t="str">
        <f>'1_BD questio brut'!AO316</f>
        <v/>
      </c>
    </row>
    <row r="317" spans="1:43" ht="43.5" hidden="1">
      <c r="A317" s="98">
        <f>INDEX('3_BD instruction total'!A:A,MATCH(C317,'3_BD instruction total'!F:F,0))</f>
        <v>2022</v>
      </c>
      <c r="B317" s="98" t="str">
        <f>INDEX('3_BD instruction total'!C:C,MATCH(C317,'3_BD instruction total'!F:F,0))</f>
        <v>non</v>
      </c>
      <c r="C317" s="191" t="str">
        <f>'1_BD questio brut'!A317</f>
        <v>VRB0333</v>
      </c>
      <c r="D317" s="191" t="str">
        <f t="array" ref="D317">INDEX('Données 1_BD questio'!C:C,MATCH('1_BD questio brut'!$B$1&amp;'1_BD questio brut'!B317,'Données 1_BD questio'!A:A&amp;'Données 1_BD questio'!B:B,0))</f>
        <v>CAPV</v>
      </c>
      <c r="E317" s="191" t="str">
        <f t="array" ref="E317">INDEX('Données 1_BD questio'!C:C,MATCH('1_BD questio brut'!$C$1&amp;'1_BD questio brut'!C317,'Données 1_BD questio'!A:A&amp;'Données 1_BD questio'!B:B,0))</f>
        <v>Profession intermédiaire</v>
      </c>
      <c r="F317" s="191" t="str">
        <f t="array" ref="F317">INDEX('Données 1_BD questio'!C:C,MATCH('1_BD questio brut'!$D$1&amp;'1_BD questio brut'!D317,'Données 1_BD questio'!A:A&amp;'Données 1_BD questio'!B:B,0))</f>
        <v>Autre,sans activité</v>
      </c>
      <c r="G317" s="191" t="str">
        <f>'1_BD questio brut'!E317</f>
        <v>50 à 64 ans</v>
      </c>
      <c r="H317" s="191">
        <f>'1_BD questio brut'!F317</f>
        <v>2</v>
      </c>
      <c r="I317" s="191" t="str">
        <f>'1_BD questio brut'!G317</f>
        <v>30 000 à 40 000 €</v>
      </c>
      <c r="J317" s="191" t="str">
        <f t="array" ref="J317">INDEX('Données 1_BD questio'!C:C,MATCH('1_BD questio brut'!$H$1&amp;'1_BD questio brut'!H317,'Données 1_BD questio'!A:A&amp;'Données 1_BD questio'!B:B,0))</f>
        <v>Maison avec jardin</v>
      </c>
      <c r="K317" s="191">
        <f>'1_BD questio brut'!I317</f>
        <v>175</v>
      </c>
      <c r="L317" s="191" t="str">
        <f>'1_BD questio brut'!J317</f>
        <v>1990-2005</v>
      </c>
      <c r="M317" s="191" t="str">
        <f>'1_BD questio brut'!K317</f>
        <v>6</v>
      </c>
      <c r="N317" s="191" t="str">
        <f>'1_BD questio brut'!L317</f>
        <v>Pas de réponse</v>
      </c>
      <c r="O317" s="191" t="str">
        <f>'1_BD questio brut'!M317</f>
        <v>Propriétaire occupant</v>
      </c>
      <c r="P317" s="191" t="str">
        <f>'1_BD questio brut'!N317</f>
        <v>Insert / foyer fermé</v>
      </c>
      <c r="Q317" s="191" t="str">
        <f>'1_BD questio brut'!O317</f>
        <v>Chauffage de base</v>
      </c>
      <c r="R317" s="191" t="str">
        <f>'1_BD questio brut'!P317</f>
        <v>Tous les jours</v>
      </c>
      <c r="S317" s="191" t="str">
        <f>'1_BD questio brut'!Q317</f>
        <v>1; 2; 4</v>
      </c>
      <c r="T317" s="191" t="str">
        <f>'1_BD questio brut'!R317</f>
        <v>1990-1995</v>
      </c>
      <c r="U317" s="191" t="str">
        <f>'1_BD questio brut'!S317</f>
        <v>Bois bûche</v>
      </c>
      <c r="V317" s="191" t="str">
        <f>'1_BD questio brut'!T317</f>
        <v/>
      </c>
      <c r="W317" s="191" t="str">
        <f>'1_BD questio brut'!U317</f>
        <v>2 à 6</v>
      </c>
      <c r="X317" s="191" t="str">
        <f>'1_BD questio brut'!V317</f>
        <v>M3</v>
      </c>
      <c r="Y317" s="191" t="str">
        <f>'1_BD questio brut'!W317</f>
        <v>2</v>
      </c>
      <c r="Z317" s="191" t="str">
        <f>'1_BD questio brut'!X317</f>
        <v/>
      </c>
      <c r="AA317" s="191" t="str">
        <f t="array" ref="AA317">INDEX('Données 1_BD questio'!C:C,MATCH('1_BD questio brut'!$Y$1&amp;'1_BD questio brut'!Y317,'Données 1_BD questio'!A:A&amp;'Données 1_BD questio'!B:B,0))</f>
        <v>Ne sait pas</v>
      </c>
      <c r="AB317" s="191" t="str">
        <f>'1_BD questio brut'!Z317</f>
        <v>2</v>
      </c>
      <c r="AC317" s="191" t="str">
        <f>'1_BD questio brut'!AA317</f>
        <v>1 à 2 ans</v>
      </c>
      <c r="AD317" s="191" t="str">
        <f>'1_BD questio brut'!AB317</f>
        <v>Feuillus</v>
      </c>
      <c r="AE317" s="191" t="str">
        <f t="array" ref="AE317">INDEX('Données 1_BD questio'!C:C,MATCH('1_BD questio brut'!$AC$1&amp;'1_BD questio brut'!AC317,'Données 1_BD questio'!A:A&amp;'Données 1_BD questio'!B:B,0))</f>
        <v>un professionnel</v>
      </c>
      <c r="AF317" s="191" t="str">
        <f>'1_BD questio brut'!AD317</f>
        <v>1 fois par an</v>
      </c>
      <c r="AG317" s="191" t="str">
        <f>'1_BD questio brut'!AE317</f>
        <v/>
      </c>
      <c r="AH317" s="191" t="str">
        <f>'1_BD questio brut'!AF317</f>
        <v>Poêle</v>
      </c>
      <c r="AI317" s="191" t="str">
        <f>'1_BD questio brut'!AG317</f>
        <v>1</v>
      </c>
      <c r="AJ317" s="191" t="str">
        <f>'1_BD questio brut'!AH317</f>
        <v/>
      </c>
      <c r="AK317" s="191" t="str">
        <f>'1_BD questio brut'!AI317</f>
        <v>Chauffage de base</v>
      </c>
      <c r="AL317" s="191" t="str">
        <f>'1_BD questio brut'!AJ317</f>
        <v>Pas de réponse</v>
      </c>
      <c r="AM317" s="191" t="str">
        <f>'1_BD questio brut'!AK317</f>
        <v>2; 5</v>
      </c>
      <c r="AN317" s="191" t="str">
        <f>'1_BD questio brut'!AL317</f>
        <v/>
      </c>
      <c r="AO317" s="191" t="str">
        <f>'1_BD questio brut'!AM317</f>
        <v>7</v>
      </c>
      <c r="AP317" s="191" t="str">
        <f>'1_BD questio brut'!AN317</f>
        <v/>
      </c>
      <c r="AQ317" s="191" t="str">
        <f>'1_BD questio brut'!AO317</f>
        <v/>
      </c>
    </row>
    <row r="318" spans="1:43" ht="43.5" hidden="1">
      <c r="A318" s="98">
        <f>INDEX('3_BD instruction total'!A:A,MATCH(C318,'3_BD instruction total'!F:F,0))</f>
        <v>2022</v>
      </c>
      <c r="B318" s="98" t="str">
        <f>INDEX('3_BD instruction total'!C:C,MATCH(C318,'3_BD instruction total'!F:F,0))</f>
        <v>non</v>
      </c>
      <c r="C318" s="191" t="str">
        <f>'1_BD questio brut'!A318</f>
        <v>VRB0335</v>
      </c>
      <c r="D318" s="191" t="str">
        <f t="array" ref="D318">INDEX('Données 1_BD questio'!C:C,MATCH('1_BD questio brut'!$B$1&amp;'1_BD questio brut'!B318,'Données 1_BD questio'!A:A&amp;'Données 1_BD questio'!B:B,0))</f>
        <v>CAPV</v>
      </c>
      <c r="E318" s="191" t="str">
        <f t="array" ref="E318">INDEX('Données 1_BD questio'!C:C,MATCH('1_BD questio brut'!$C$1&amp;'1_BD questio brut'!C318,'Données 1_BD questio'!A:A&amp;'Données 1_BD questio'!B:B,0))</f>
        <v>Cadre</v>
      </c>
      <c r="F318" s="191" t="str">
        <f t="array" ref="F318">INDEX('Données 1_BD questio'!C:C,MATCH('1_BD questio brut'!$D$1&amp;'1_BD questio brut'!D318,'Données 1_BD questio'!A:A&amp;'Données 1_BD questio'!B:B,0))</f>
        <v>Artisan,commerçant,chef d'entreprise</v>
      </c>
      <c r="G318" s="191" t="str">
        <f>'1_BD questio brut'!E318</f>
        <v>50 à 64 ans</v>
      </c>
      <c r="H318" s="191">
        <f>'1_BD questio brut'!F318</f>
        <v>2</v>
      </c>
      <c r="I318" s="191" t="str">
        <f>'1_BD questio brut'!G318</f>
        <v>Plus de 100 000 €</v>
      </c>
      <c r="J318" s="191" t="str">
        <f t="array" ref="J318">INDEX('Données 1_BD questio'!C:C,MATCH('1_BD questio brut'!$H$1&amp;'1_BD questio brut'!H318,'Données 1_BD questio'!A:A&amp;'Données 1_BD questio'!B:B,0))</f>
        <v>Maison avec jardin</v>
      </c>
      <c r="K318" s="191">
        <f>'1_BD questio brut'!I318</f>
        <v>130</v>
      </c>
      <c r="L318" s="191" t="str">
        <f>'1_BD questio brut'!J318</f>
        <v>1949-1975</v>
      </c>
      <c r="M318" s="191" t="str">
        <f>'1_BD questio brut'!K318</f>
        <v>1</v>
      </c>
      <c r="N318" s="191" t="str">
        <f>'1_BD questio brut'!L318</f>
        <v>Pas de réponse</v>
      </c>
      <c r="O318" s="191" t="str">
        <f>'1_BD questio brut'!M318</f>
        <v>Propriétaire occupant</v>
      </c>
      <c r="P318" s="191" t="str">
        <f>'1_BD questio brut'!N318</f>
        <v>Foyer ouvert</v>
      </c>
      <c r="Q318" s="191" t="str">
        <f>'1_BD questio brut'!O318</f>
        <v>Chauffage d'apoint</v>
      </c>
      <c r="R318" s="191" t="str">
        <f>'1_BD questio brut'!P318</f>
        <v>1 à 2 jours/semaine</v>
      </c>
      <c r="S318" s="191" t="str">
        <f>'1_BD questio brut'!Q318</f>
        <v>2; 3; 6</v>
      </c>
      <c r="T318" s="191" t="str">
        <f>'1_BD questio brut'!R318</f>
        <v>Avant 1990</v>
      </c>
      <c r="U318" s="191" t="str">
        <f>'1_BD questio brut'!S318</f>
        <v>Bois bûche</v>
      </c>
      <c r="V318" s="191" t="str">
        <f>'1_BD questio brut'!T318</f>
        <v/>
      </c>
      <c r="W318" s="191" t="str">
        <f>'1_BD questio brut'!U318</f>
        <v>4</v>
      </c>
      <c r="X318" s="191" t="str">
        <f>'1_BD questio brut'!V318</f>
        <v>M3</v>
      </c>
      <c r="Y318" s="191" t="str">
        <f>'1_BD questio brut'!W318</f>
        <v>1</v>
      </c>
      <c r="Z318" s="191" t="str">
        <f>'1_BD questio brut'!X318</f>
        <v/>
      </c>
      <c r="AA318" s="191" t="str">
        <f t="array" ref="AA318">INDEX('Données 1_BD questio'!C:C,MATCH('1_BD questio brut'!$Y$1&amp;'1_BD questio brut'!Y318,'Données 1_BD questio'!A:A&amp;'Données 1_BD questio'!B:B,0))</f>
        <v>Ne sait pas</v>
      </c>
      <c r="AB318" s="191" t="str">
        <f>'1_BD questio brut'!Z318</f>
        <v>3</v>
      </c>
      <c r="AC318" s="191" t="str">
        <f>'1_BD questio brut'!AA318</f>
        <v>1 à 2 ans</v>
      </c>
      <c r="AD318" s="191" t="str">
        <f>'1_BD questio brut'!AB318</f>
        <v>Feuillus</v>
      </c>
      <c r="AE318" s="191" t="str">
        <f t="array" ref="AE318">INDEX('Données 1_BD questio'!C:C,MATCH('1_BD questio brut'!$AC$1&amp;'1_BD questio brut'!AC318,'Données 1_BD questio'!A:A&amp;'Données 1_BD questio'!B:B,0))</f>
        <v>un professionnel</v>
      </c>
      <c r="AF318" s="191" t="str">
        <f>'1_BD questio brut'!AD318</f>
        <v>1 fois par an</v>
      </c>
      <c r="AG318" s="191" t="str">
        <f>'1_BD questio brut'!AE318</f>
        <v/>
      </c>
      <c r="AH318" s="191" t="str">
        <f>'1_BD questio brut'!AF318</f>
        <v>Poêle</v>
      </c>
      <c r="AI318" s="191" t="str">
        <f>'1_BD questio brut'!AG318</f>
        <v>1</v>
      </c>
      <c r="AJ318" s="191" t="str">
        <f>'1_BD questio brut'!AH318</f>
        <v/>
      </c>
      <c r="AK318" s="191" t="str">
        <f>'1_BD questio brut'!AI318</f>
        <v>Chauffage d'appoint</v>
      </c>
      <c r="AL318" s="191" t="str">
        <f>'1_BD questio brut'!AJ318</f>
        <v>Pas de réponse</v>
      </c>
      <c r="AM318" s="191" t="str">
        <f>'1_BD questio brut'!AK318</f>
        <v>1; 2; 4; 5</v>
      </c>
      <c r="AN318" s="191" t="str">
        <f>'1_BD questio brut'!AL318</f>
        <v/>
      </c>
      <c r="AO318" s="191" t="str">
        <f>'1_BD questio brut'!AM318</f>
        <v>5</v>
      </c>
      <c r="AP318" s="191" t="str">
        <f>'1_BD questio brut'!AN318</f>
        <v/>
      </c>
      <c r="AQ318" s="191" t="str">
        <f>'1_BD questio brut'!AO318</f>
        <v/>
      </c>
    </row>
    <row r="319" spans="1:43" ht="43.5" hidden="1">
      <c r="A319" s="98">
        <f>INDEX('3_BD instruction total'!A:A,MATCH(C319,'3_BD instruction total'!F:F,0))</f>
        <v>2022</v>
      </c>
      <c r="B319" s="98" t="str">
        <f>INDEX('3_BD instruction total'!C:C,MATCH(C319,'3_BD instruction total'!F:F,0))</f>
        <v>non</v>
      </c>
      <c r="C319" s="191" t="str">
        <f>'1_BD questio brut'!A319</f>
        <v>VRB0336</v>
      </c>
      <c r="D319" s="191" t="str">
        <f t="array" ref="D319">INDEX('Données 1_BD questio'!C:C,MATCH('1_BD questio brut'!$B$1&amp;'1_BD questio brut'!B319,'Données 1_BD questio'!A:A&amp;'Données 1_BD questio'!B:B,0))</f>
        <v>CAPV</v>
      </c>
      <c r="E319" s="191" t="str">
        <f t="array" ref="E319">INDEX('Données 1_BD questio'!C:C,MATCH('1_BD questio brut'!$C$1&amp;'1_BD questio brut'!C319,'Données 1_BD questio'!A:A&amp;'Données 1_BD questio'!B:B,0))</f>
        <v>Employé</v>
      </c>
      <c r="F319" s="191" t="str">
        <f t="array" ref="F319">INDEX('Données 1_BD questio'!C:C,MATCH('1_BD questio brut'!$D$1&amp;'1_BD questio brut'!D319,'Données 1_BD questio'!A:A&amp;'Données 1_BD questio'!B:B,0))</f>
        <v>Pas de réponse</v>
      </c>
      <c r="G319" s="191" t="str">
        <f>'1_BD questio brut'!E319</f>
        <v>50 à 64 ans</v>
      </c>
      <c r="H319" s="191">
        <f>'1_BD questio brut'!F319</f>
        <v>1</v>
      </c>
      <c r="I319" s="191" t="str">
        <f>'1_BD questio brut'!G319</f>
        <v>20 000 à 30 000 €</v>
      </c>
      <c r="J319" s="191" t="str">
        <f t="array" ref="J319">INDEX('Données 1_BD questio'!C:C,MATCH('1_BD questio brut'!$H$1&amp;'1_BD questio brut'!H319,'Données 1_BD questio'!A:A&amp;'Données 1_BD questio'!B:B,0))</f>
        <v>Maison avec jardin</v>
      </c>
      <c r="K319" s="191">
        <f>'1_BD questio brut'!I319</f>
        <v>100</v>
      </c>
      <c r="L319" s="191" t="str">
        <f>'1_BD questio brut'!J319</f>
        <v>1990-2005</v>
      </c>
      <c r="M319" s="191" t="str">
        <f>'1_BD questio brut'!K319</f>
        <v>6</v>
      </c>
      <c r="N319" s="191" t="str">
        <f>'1_BD questio brut'!L319</f>
        <v>Pas de réponse</v>
      </c>
      <c r="O319" s="191" t="str">
        <f>'1_BD questio brut'!M319</f>
        <v>Propriétaire occupant</v>
      </c>
      <c r="P319" s="191" t="str">
        <f>'1_BD questio brut'!N319</f>
        <v>Insert / foyer fermé</v>
      </c>
      <c r="Q319" s="191" t="str">
        <f>'1_BD questio brut'!O319</f>
        <v>Chauffage de base</v>
      </c>
      <c r="R319" s="191" t="str">
        <f>'1_BD questio brut'!P319</f>
        <v>Tous les jours</v>
      </c>
      <c r="S319" s="191" t="str">
        <f>'1_BD questio brut'!Q319</f>
        <v>4</v>
      </c>
      <c r="T319" s="191" t="str">
        <f>'1_BD questio brut'!R319</f>
        <v>1996-2002</v>
      </c>
      <c r="U319" s="191" t="str">
        <f>'1_BD questio brut'!S319</f>
        <v>Bois bûche</v>
      </c>
      <c r="V319" s="191" t="str">
        <f>'1_BD questio brut'!T319</f>
        <v/>
      </c>
      <c r="W319" s="191" t="str">
        <f>'1_BD questio brut'!U319</f>
        <v>7 à 8</v>
      </c>
      <c r="X319" s="191" t="str">
        <f>'1_BD questio brut'!V319</f>
        <v/>
      </c>
      <c r="Y319" s="191" t="str">
        <f>'1_BD questio brut'!W319</f>
        <v>2</v>
      </c>
      <c r="Z319" s="191" t="str">
        <f>'1_BD questio brut'!X319</f>
        <v/>
      </c>
      <c r="AA319" s="191" t="str">
        <f t="array" ref="AA319">INDEX('Données 1_BD questio'!C:C,MATCH('1_BD questio brut'!$Y$1&amp;'1_BD questio brut'!Y319,'Données 1_BD questio'!A:A&amp;'Données 1_BD questio'!B:B,0))</f>
        <v>Ne sait pas</v>
      </c>
      <c r="AB319" s="191" t="str">
        <f>'1_BD questio brut'!Z319</f>
        <v>2</v>
      </c>
      <c r="AC319" s="191" t="str">
        <f>'1_BD questio brut'!AA319</f>
        <v>&gt; 2 ans</v>
      </c>
      <c r="AD319" s="191" t="str">
        <f>'1_BD questio brut'!AB319</f>
        <v>Feuillus</v>
      </c>
      <c r="AE319" s="191" t="str">
        <f t="array" ref="AE319">INDEX('Données 1_BD questio'!C:C,MATCH('1_BD questio brut'!$AC$1&amp;'1_BD questio brut'!AC319,'Données 1_BD questio'!A:A&amp;'Données 1_BD questio'!B:B,0))</f>
        <v>un professionnel</v>
      </c>
      <c r="AF319" s="191" t="str">
        <f>'1_BD questio brut'!AD319</f>
        <v>1 fois par an</v>
      </c>
      <c r="AG319" s="191" t="str">
        <f>'1_BD questio brut'!AE319</f>
        <v/>
      </c>
      <c r="AH319" s="191" t="str">
        <f>'1_BD questio brut'!AF319</f>
        <v>Poêle</v>
      </c>
      <c r="AI319" s="191" t="str">
        <f>'1_BD questio brut'!AG319</f>
        <v>2</v>
      </c>
      <c r="AJ319" s="191" t="str">
        <f>'1_BD questio brut'!AH319</f>
        <v/>
      </c>
      <c r="AK319" s="191" t="str">
        <f>'1_BD questio brut'!AI319</f>
        <v>Chauffage de base</v>
      </c>
      <c r="AL319" s="191" t="str">
        <f>'1_BD questio brut'!AJ319</f>
        <v>Pas de réponse</v>
      </c>
      <c r="AM319" s="191" t="str">
        <f>'1_BD questio brut'!AK319</f>
        <v>2; 4</v>
      </c>
      <c r="AN319" s="191" t="str">
        <f>'1_BD questio brut'!AL319</f>
        <v/>
      </c>
      <c r="AO319" s="191" t="str">
        <f>'1_BD questio brut'!AM319</f>
        <v>5</v>
      </c>
      <c r="AP319" s="191" t="str">
        <f>'1_BD questio brut'!AN319</f>
        <v/>
      </c>
      <c r="AQ319" s="191" t="str">
        <f>'1_BD questio brut'!AO319</f>
        <v/>
      </c>
    </row>
    <row r="320" spans="1:43" ht="29" hidden="1">
      <c r="A320" s="98">
        <f>INDEX('3_BD instruction total'!A:A,MATCH(C320,'3_BD instruction total'!F:F,0))</f>
        <v>2022</v>
      </c>
      <c r="B320" s="98" t="str">
        <f>INDEX('3_BD instruction total'!C:C,MATCH(C320,'3_BD instruction total'!F:F,0))</f>
        <v>non</v>
      </c>
      <c r="C320" s="191" t="str">
        <f>'1_BD questio brut'!A320</f>
        <v>VRB0337</v>
      </c>
      <c r="D320" s="191" t="str">
        <f t="array" ref="D320">INDEX('Données 1_BD questio'!C:C,MATCH('1_BD questio brut'!$B$1&amp;'1_BD questio brut'!B320,'Données 1_BD questio'!A:A&amp;'Données 1_BD questio'!B:B,0))</f>
        <v>CAPV</v>
      </c>
      <c r="E320" s="191" t="str">
        <f t="array" ref="E320">INDEX('Données 1_BD questio'!C:C,MATCH('1_BD questio brut'!$C$1&amp;'1_BD questio brut'!C320,'Données 1_BD questio'!A:A&amp;'Données 1_BD questio'!B:B,0))</f>
        <v>Ouvrier</v>
      </c>
      <c r="F320" s="191" t="str">
        <f t="array" ref="F320">INDEX('Données 1_BD questio'!C:C,MATCH('1_BD questio brut'!$D$1&amp;'1_BD questio brut'!D320,'Données 1_BD questio'!A:A&amp;'Données 1_BD questio'!B:B,0))</f>
        <v>Employé</v>
      </c>
      <c r="G320" s="191" t="str">
        <f>'1_BD questio brut'!E320</f>
        <v>35 à 49 ans</v>
      </c>
      <c r="H320" s="191">
        <f>'1_BD questio brut'!F320</f>
        <v>4</v>
      </c>
      <c r="I320" s="191" t="str">
        <f>'1_BD questio brut'!G320</f>
        <v>30 000 à 40 000 €</v>
      </c>
      <c r="J320" s="191" t="str">
        <f t="array" ref="J320">INDEX('Données 1_BD questio'!C:C,MATCH('1_BD questio brut'!$H$1&amp;'1_BD questio brut'!H320,'Données 1_BD questio'!A:A&amp;'Données 1_BD questio'!B:B,0))</f>
        <v>Maison avec jardin</v>
      </c>
      <c r="K320" s="191">
        <f>'1_BD questio brut'!I320</f>
        <v>140</v>
      </c>
      <c r="L320" s="191" t="str">
        <f>'1_BD questio brut'!J320</f>
        <v>Après 2005</v>
      </c>
      <c r="M320" s="191" t="str">
        <f>'1_BD questio brut'!K320</f>
        <v>6</v>
      </c>
      <c r="N320" s="191" t="str">
        <f>'1_BD questio brut'!L320</f>
        <v>Pas de réponse</v>
      </c>
      <c r="O320" s="191" t="str">
        <f>'1_BD questio brut'!M320</f>
        <v>Propriétaire occupant</v>
      </c>
      <c r="P320" s="191" t="str">
        <f>'1_BD questio brut'!N320</f>
        <v>Poêle</v>
      </c>
      <c r="Q320" s="191" t="str">
        <f>'1_BD questio brut'!O320</f>
        <v>Chauffage de base</v>
      </c>
      <c r="R320" s="191" t="str">
        <f>'1_BD questio brut'!P320</f>
        <v>Tous les jours</v>
      </c>
      <c r="S320" s="191" t="str">
        <f>'1_BD questio brut'!Q320</f>
        <v>4</v>
      </c>
      <c r="T320" s="191" t="str">
        <f>'1_BD questio brut'!R320</f>
        <v>Après 2002</v>
      </c>
      <c r="U320" s="191" t="str">
        <f>'1_BD questio brut'!S320</f>
        <v>Bois bûche</v>
      </c>
      <c r="V320" s="191" t="str">
        <f>'1_BD questio brut'!T320</f>
        <v/>
      </c>
      <c r="W320" s="191" t="str">
        <f>'1_BD questio brut'!U320</f>
        <v>9</v>
      </c>
      <c r="X320" s="191" t="str">
        <f>'1_BD questio brut'!V320</f>
        <v>Stères</v>
      </c>
      <c r="Y320" s="191" t="str">
        <f>'1_BD questio brut'!W320</f>
        <v>1</v>
      </c>
      <c r="Z320" s="191" t="str">
        <f>'1_BD questio brut'!X320</f>
        <v/>
      </c>
      <c r="AA320" s="191" t="str">
        <f t="array" ref="AA320">INDEX('Données 1_BD questio'!C:C,MATCH('1_BD questio brut'!$Y$1&amp;'1_BD questio brut'!Y320,'Données 1_BD questio'!A:A&amp;'Données 1_BD questio'!B:B,0))</f>
        <v>Rhône-Alpes hors RA2B</v>
      </c>
      <c r="AB320" s="191" t="str">
        <f>'1_BD questio brut'!Z320</f>
        <v>2</v>
      </c>
      <c r="AC320" s="191" t="str">
        <f>'1_BD questio brut'!AA320</f>
        <v>&gt; 2 ans</v>
      </c>
      <c r="AD320" s="191" t="str">
        <f>'1_BD questio brut'!AB320</f>
        <v>Feuillus</v>
      </c>
      <c r="AE320" s="191" t="str">
        <f t="array" ref="AE320">INDEX('Données 1_BD questio'!C:C,MATCH('1_BD questio brut'!$AC$1&amp;'1_BD questio brut'!AC320,'Données 1_BD questio'!A:A&amp;'Données 1_BD questio'!B:B,0))</f>
        <v>vous-même</v>
      </c>
      <c r="AF320" s="191" t="str">
        <f>'1_BD questio brut'!AD320</f>
        <v>2 fois par an</v>
      </c>
      <c r="AG320" s="191" t="str">
        <f>'1_BD questio brut'!AE320</f>
        <v/>
      </c>
      <c r="AH320" s="191" t="str">
        <f>'1_BD questio brut'!AF320</f>
        <v>Poêle</v>
      </c>
      <c r="AI320" s="191" t="str">
        <f>'1_BD questio brut'!AG320</f>
        <v>1; 2</v>
      </c>
      <c r="AJ320" s="191" t="str">
        <f>'1_BD questio brut'!AH320</f>
        <v/>
      </c>
      <c r="AK320" s="191" t="str">
        <f>'1_BD questio brut'!AI320</f>
        <v>Chauffage de base</v>
      </c>
      <c r="AL320" s="191" t="str">
        <f>'1_BD questio brut'!AJ320</f>
        <v>Pas de réponse</v>
      </c>
      <c r="AM320" s="191" t="str">
        <f>'1_BD questio brut'!AK320</f>
        <v>2; 4</v>
      </c>
      <c r="AN320" s="191" t="str">
        <f>'1_BD questio brut'!AL320</f>
        <v/>
      </c>
      <c r="AO320" s="191" t="str">
        <f>'1_BD questio brut'!AM320</f>
        <v>7</v>
      </c>
      <c r="AP320" s="191" t="str">
        <f>'1_BD questio brut'!AN320</f>
        <v/>
      </c>
      <c r="AQ320" s="191" t="str">
        <f>'1_BD questio brut'!AO320</f>
        <v/>
      </c>
    </row>
    <row r="321" spans="1:43" ht="29" hidden="1">
      <c r="A321" s="98">
        <f>INDEX('3_BD instruction total'!A:A,MATCH(C321,'3_BD instruction total'!F:F,0))</f>
        <v>2022</v>
      </c>
      <c r="B321" s="98" t="str">
        <f>INDEX('3_BD instruction total'!C:C,MATCH(C321,'3_BD instruction total'!F:F,0))</f>
        <v>non</v>
      </c>
      <c r="C321" s="191" t="str">
        <f>'1_BD questio brut'!A321</f>
        <v>VRB0338</v>
      </c>
      <c r="D321" s="191" t="str">
        <f t="array" ref="D321">INDEX('Données 1_BD questio'!C:C,MATCH('1_BD questio brut'!$B$1&amp;'1_BD questio brut'!B321,'Données 1_BD questio'!A:A&amp;'Données 1_BD questio'!B:B,0))</f>
        <v>CAPV</v>
      </c>
      <c r="E321" s="191" t="str">
        <f t="array" ref="E321">INDEX('Données 1_BD questio'!C:C,MATCH('1_BD questio brut'!$C$1&amp;'1_BD questio brut'!C321,'Données 1_BD questio'!A:A&amp;'Données 1_BD questio'!B:B,0))</f>
        <v>Artisan,commerçant,chef d'entreprise</v>
      </c>
      <c r="F321" s="191" t="str">
        <f t="array" ref="F321">INDEX('Données 1_BD questio'!C:C,MATCH('1_BD questio brut'!$D$1&amp;'1_BD questio brut'!D321,'Données 1_BD questio'!A:A&amp;'Données 1_BD questio'!B:B,0))</f>
        <v>Pas de réponse</v>
      </c>
      <c r="G321" s="191" t="str">
        <f>'1_BD questio brut'!E321</f>
        <v>Pas de réponse</v>
      </c>
      <c r="H321" s="191">
        <f>'1_BD questio brut'!F321</f>
        <v>2</v>
      </c>
      <c r="I321" s="191" t="str">
        <f>'1_BD questio brut'!G321</f>
        <v>Moins de 20 000 €</v>
      </c>
      <c r="J321" s="191" t="str">
        <f t="array" ref="J321">INDEX('Données 1_BD questio'!C:C,MATCH('1_BD questio brut'!$H$1&amp;'1_BD questio brut'!H321,'Données 1_BD questio'!A:A&amp;'Données 1_BD questio'!B:B,0))</f>
        <v>Maison avec jardin</v>
      </c>
      <c r="K321" s="191">
        <f>'1_BD questio brut'!I321</f>
        <v>88</v>
      </c>
      <c r="L321" s="191" t="str">
        <f>'1_BD questio brut'!J321</f>
        <v>1975-1990</v>
      </c>
      <c r="M321" s="191" t="str">
        <f>'1_BD questio brut'!K321</f>
        <v>4</v>
      </c>
      <c r="N321" s="191" t="str">
        <f>'1_BD questio brut'!L321</f>
        <v>Pas de réponse</v>
      </c>
      <c r="O321" s="191" t="str">
        <f>'1_BD questio brut'!M321</f>
        <v>Propriétaire occupant</v>
      </c>
      <c r="P321" s="191" t="str">
        <f>'1_BD questio brut'!N321</f>
        <v>Poêle</v>
      </c>
      <c r="Q321" s="191" t="str">
        <f>'1_BD questio brut'!O321</f>
        <v>Chauffage de base</v>
      </c>
      <c r="R321" s="191" t="str">
        <f>'1_BD questio brut'!P321</f>
        <v>Tous les jours</v>
      </c>
      <c r="S321" s="191" t="str">
        <f>'1_BD questio brut'!Q321</f>
        <v>7</v>
      </c>
      <c r="T321" s="191" t="str">
        <f>'1_BD questio brut'!R321</f>
        <v>1996-2002</v>
      </c>
      <c r="U321" s="191" t="str">
        <f>'1_BD questio brut'!S321</f>
        <v>Bois bûche</v>
      </c>
      <c r="V321" s="191" t="str">
        <f>'1_BD questio brut'!T321</f>
        <v/>
      </c>
      <c r="W321" s="191" t="str">
        <f>'1_BD questio brut'!U321</f>
        <v>5</v>
      </c>
      <c r="X321" s="191" t="str">
        <f>'1_BD questio brut'!V321</f>
        <v/>
      </c>
      <c r="Y321" s="191" t="str">
        <f>'1_BD questio brut'!W321</f>
        <v>2</v>
      </c>
      <c r="Z321" s="191" t="str">
        <f>'1_BD questio brut'!X321</f>
        <v/>
      </c>
      <c r="AA321" s="191" t="str">
        <f t="array" ref="AA321">INDEX('Données 1_BD questio'!C:C,MATCH('1_BD questio brut'!$Y$1&amp;'1_BD questio brut'!Y321,'Données 1_BD questio'!A:A&amp;'Données 1_BD questio'!B:B,0))</f>
        <v>RA2B</v>
      </c>
      <c r="AB321" s="191" t="str">
        <f>'1_BD questio brut'!Z321</f>
        <v>2</v>
      </c>
      <c r="AC321" s="191" t="str">
        <f>'1_BD questio brut'!AA321</f>
        <v>1 à 2 ans</v>
      </c>
      <c r="AD321" s="191" t="str">
        <f>'1_BD questio brut'!AB321</f>
        <v>Feuillus</v>
      </c>
      <c r="AE321" s="191" t="str">
        <f t="array" ref="AE321">INDEX('Données 1_BD questio'!C:C,MATCH('1_BD questio brut'!$AC$1&amp;'1_BD questio brut'!AC321,'Données 1_BD questio'!A:A&amp;'Données 1_BD questio'!B:B,0))</f>
        <v>vous-même</v>
      </c>
      <c r="AF321" s="191" t="str">
        <f>'1_BD questio brut'!AD321</f>
        <v>1 fois par an</v>
      </c>
      <c r="AG321" s="191" t="str">
        <f>'1_BD questio brut'!AE321</f>
        <v/>
      </c>
      <c r="AH321" s="191" t="str">
        <f>'1_BD questio brut'!AF321</f>
        <v>Poêle</v>
      </c>
      <c r="AI321" s="191" t="str">
        <f>'1_BD questio brut'!AG321</f>
        <v>2</v>
      </c>
      <c r="AJ321" s="191" t="str">
        <f>'1_BD questio brut'!AH321</f>
        <v/>
      </c>
      <c r="AK321" s="191" t="str">
        <f>'1_BD questio brut'!AI321</f>
        <v>Chauffage de base</v>
      </c>
      <c r="AL321" s="191" t="str">
        <f>'1_BD questio brut'!AJ321</f>
        <v>Pas de réponse</v>
      </c>
      <c r="AM321" s="191" t="str">
        <f>'1_BD questio brut'!AK321</f>
        <v>1; 2; 4; 5</v>
      </c>
      <c r="AN321" s="191" t="str">
        <f>'1_BD questio brut'!AL321</f>
        <v/>
      </c>
      <c r="AO321" s="191" t="str">
        <f>'1_BD questio brut'!AM321</f>
        <v>5</v>
      </c>
      <c r="AP321" s="191" t="str">
        <f>'1_BD questio brut'!AN321</f>
        <v/>
      </c>
      <c r="AQ321" s="191" t="str">
        <f>'1_BD questio brut'!AO321</f>
        <v/>
      </c>
    </row>
    <row r="322" spans="1:43" ht="29" hidden="1">
      <c r="A322" s="98">
        <f>INDEX('3_BD instruction total'!A:A,MATCH(C322,'3_BD instruction total'!F:F,0))</f>
        <v>2022</v>
      </c>
      <c r="B322" s="98" t="str">
        <f>INDEX('3_BD instruction total'!C:C,MATCH(C322,'3_BD instruction total'!F:F,0))</f>
        <v>non</v>
      </c>
      <c r="C322" s="191" t="str">
        <f>'1_BD questio brut'!A322</f>
        <v>VRB0339</v>
      </c>
      <c r="D322" s="191" t="str">
        <f t="array" ref="D322">INDEX('Données 1_BD questio'!C:C,MATCH('1_BD questio brut'!$B$1&amp;'1_BD questio brut'!B322,'Données 1_BD questio'!A:A&amp;'Données 1_BD questio'!B:B,0))</f>
        <v>CAPV</v>
      </c>
      <c r="E322" s="191" t="str">
        <f t="array" ref="E322">INDEX('Données 1_BD questio'!C:C,MATCH('1_BD questio brut'!$C$1&amp;'1_BD questio brut'!C322,'Données 1_BD questio'!A:A&amp;'Données 1_BD questio'!B:B,0))</f>
        <v>Retraité</v>
      </c>
      <c r="F322" s="191" t="str">
        <f t="array" ref="F322">INDEX('Données 1_BD questio'!C:C,MATCH('1_BD questio brut'!$D$1&amp;'1_BD questio brut'!D322,'Données 1_BD questio'!A:A&amp;'Données 1_BD questio'!B:B,0))</f>
        <v>Retraité</v>
      </c>
      <c r="G322" s="191" t="str">
        <f>'1_BD questio brut'!E322</f>
        <v>65 ans et plus</v>
      </c>
      <c r="H322" s="191">
        <f>'1_BD questio brut'!F322</f>
        <v>2</v>
      </c>
      <c r="I322" s="191" t="str">
        <f>'1_BD questio brut'!G322</f>
        <v>20 000 à 30 000 €</v>
      </c>
      <c r="J322" s="191" t="str">
        <f t="array" ref="J322">INDEX('Données 1_BD questio'!C:C,MATCH('1_BD questio brut'!$H$1&amp;'1_BD questio brut'!H322,'Données 1_BD questio'!A:A&amp;'Données 1_BD questio'!B:B,0))</f>
        <v>Maison avec jardin</v>
      </c>
      <c r="K322" s="191">
        <f>'1_BD questio brut'!I322</f>
        <v>90</v>
      </c>
      <c r="L322" s="191" t="str">
        <f>'1_BD questio brut'!J322</f>
        <v>1975-1990</v>
      </c>
      <c r="M322" s="191" t="str">
        <f>'1_BD questio brut'!K322</f>
        <v>4</v>
      </c>
      <c r="N322" s="191" t="str">
        <f>'1_BD questio brut'!L322</f>
        <v>Pas de réponse</v>
      </c>
      <c r="O322" s="191" t="str">
        <f>'1_BD questio brut'!M322</f>
        <v>Propriétaire occupant</v>
      </c>
      <c r="P322" s="191" t="str">
        <f>'1_BD questio brut'!N322</f>
        <v>Poêle</v>
      </c>
      <c r="Q322" s="191" t="str">
        <f>'1_BD questio brut'!O322</f>
        <v>Chauffage de base</v>
      </c>
      <c r="R322" s="191" t="str">
        <f>'1_BD questio brut'!P322</f>
        <v>Tous les jours</v>
      </c>
      <c r="S322" s="191" t="str">
        <f>'1_BD questio brut'!Q322</f>
        <v>7</v>
      </c>
      <c r="T322" s="191" t="str">
        <f>'1_BD questio brut'!R322</f>
        <v>1996-2002</v>
      </c>
      <c r="U322" s="191" t="str">
        <f>'1_BD questio brut'!S322</f>
        <v>Bois bûche</v>
      </c>
      <c r="V322" s="191" t="str">
        <f>'1_BD questio brut'!T322</f>
        <v/>
      </c>
      <c r="W322" s="191" t="str">
        <f>'1_BD questio brut'!U322</f>
        <v>4</v>
      </c>
      <c r="X322" s="191" t="str">
        <f>'1_BD questio brut'!V322</f>
        <v>Stère</v>
      </c>
      <c r="Y322" s="191" t="str">
        <f>'1_BD questio brut'!W322</f>
        <v>2</v>
      </c>
      <c r="Z322" s="191" t="str">
        <f>'1_BD questio brut'!X322</f>
        <v/>
      </c>
      <c r="AA322" s="191" t="str">
        <f t="array" ref="AA322">INDEX('Données 1_BD questio'!C:C,MATCH('1_BD questio brut'!$Y$1&amp;'1_BD questio brut'!Y322,'Données 1_BD questio'!A:A&amp;'Données 1_BD questio'!B:B,0))</f>
        <v>RA2B</v>
      </c>
      <c r="AB322" s="191" t="str">
        <f>'1_BD questio brut'!Z322</f>
        <v>2</v>
      </c>
      <c r="AC322" s="191" t="str">
        <f>'1_BD questio brut'!AA322</f>
        <v>&gt; 2 ans</v>
      </c>
      <c r="AD322" s="191" t="str">
        <f>'1_BD questio brut'!AB322</f>
        <v>Feuillus</v>
      </c>
      <c r="AE322" s="191" t="str">
        <f t="array" ref="AE322">INDEX('Données 1_BD questio'!C:C,MATCH('1_BD questio brut'!$AC$1&amp;'1_BD questio brut'!AC322,'Données 1_BD questio'!A:A&amp;'Données 1_BD questio'!B:B,0))</f>
        <v>vous-même</v>
      </c>
      <c r="AF322" s="191" t="str">
        <f>'1_BD questio brut'!AD322</f>
        <v>1 fois par an</v>
      </c>
      <c r="AG322" s="191" t="str">
        <f>'1_BD questio brut'!AE322</f>
        <v/>
      </c>
      <c r="AH322" s="191" t="str">
        <f>'1_BD questio brut'!AF322</f>
        <v>Poêle</v>
      </c>
      <c r="AI322" s="191" t="str">
        <f>'1_BD questio brut'!AG322</f>
        <v>2</v>
      </c>
      <c r="AJ322" s="191" t="str">
        <f>'1_BD questio brut'!AH322</f>
        <v/>
      </c>
      <c r="AK322" s="191" t="str">
        <f>'1_BD questio brut'!AI322</f>
        <v>Chauffage de base</v>
      </c>
      <c r="AL322" s="191" t="str">
        <f>'1_BD questio brut'!AJ322</f>
        <v>Pas de réponse</v>
      </c>
      <c r="AM322" s="191" t="str">
        <f>'1_BD questio brut'!AK322</f>
        <v>1; 2; 4; 5</v>
      </c>
      <c r="AN322" s="191" t="str">
        <f>'1_BD questio brut'!AL322</f>
        <v/>
      </c>
      <c r="AO322" s="191" t="str">
        <f>'1_BD questio brut'!AM322</f>
        <v>5</v>
      </c>
      <c r="AP322" s="191" t="str">
        <f>'1_BD questio brut'!AN322</f>
        <v/>
      </c>
      <c r="AQ322" s="191" t="str">
        <f>'1_BD questio brut'!AO322</f>
        <v/>
      </c>
    </row>
    <row r="323" spans="1:43" ht="29" hidden="1">
      <c r="A323" s="98">
        <f>INDEX('3_BD instruction total'!A:A,MATCH(C323,'3_BD instruction total'!F:F,0))</f>
        <v>1900</v>
      </c>
      <c r="B323" s="98" t="str">
        <f>INDEX('3_BD instruction total'!C:C,MATCH(C323,'3_BD instruction total'!F:F,0))</f>
        <v>oui</v>
      </c>
      <c r="C323" s="191" t="str">
        <f>'1_BD questio brut'!A323</f>
        <v>VRB0340</v>
      </c>
      <c r="D323" s="191" t="str">
        <f t="array" ref="D323">INDEX('Données 1_BD questio'!C:C,MATCH('1_BD questio brut'!$B$1&amp;'1_BD questio brut'!B323,'Données 1_BD questio'!A:A&amp;'Données 1_BD questio'!B:B,0))</f>
        <v>CAPV</v>
      </c>
      <c r="E323" s="191" t="str">
        <f t="array" ref="E323">INDEX('Données 1_BD questio'!C:C,MATCH('1_BD questio brut'!$C$1&amp;'1_BD questio brut'!C323,'Données 1_BD questio'!A:A&amp;'Données 1_BD questio'!B:B,0))</f>
        <v>Employé</v>
      </c>
      <c r="F323" s="191" t="str">
        <f t="array" ref="F323">INDEX('Données 1_BD questio'!C:C,MATCH('1_BD questio brut'!$D$1&amp;'1_BD questio brut'!D323,'Données 1_BD questio'!A:A&amp;'Données 1_BD questio'!B:B,0))</f>
        <v>Employé</v>
      </c>
      <c r="G323" s="191" t="str">
        <f>'1_BD questio brut'!E323</f>
        <v>Pas de réponse</v>
      </c>
      <c r="H323" s="191">
        <f>'1_BD questio brut'!F323</f>
        <v>3</v>
      </c>
      <c r="I323" s="191" t="str">
        <f>'1_BD questio brut'!G323</f>
        <v>30 000 à 40 000 €</v>
      </c>
      <c r="J323" s="191" t="str">
        <f t="array" ref="J323">INDEX('Données 1_BD questio'!C:C,MATCH('1_BD questio brut'!$H$1&amp;'1_BD questio brut'!H323,'Données 1_BD questio'!A:A&amp;'Données 1_BD questio'!B:B,0))</f>
        <v>Maison avec jardin</v>
      </c>
      <c r="K323" s="191">
        <f>'1_BD questio brut'!I323</f>
        <v>120</v>
      </c>
      <c r="L323" s="191" t="str">
        <f>'1_BD questio brut'!J323</f>
        <v>1990-2005</v>
      </c>
      <c r="M323" s="191" t="str">
        <f>'1_BD questio brut'!K323</f>
        <v>4</v>
      </c>
      <c r="N323" s="191" t="str">
        <f>'1_BD questio brut'!L323</f>
        <v>Pas de réponse</v>
      </c>
      <c r="O323" s="191" t="str">
        <f>'1_BD questio brut'!M323</f>
        <v>Propriétaire occupant</v>
      </c>
      <c r="P323" s="191" t="str">
        <f>'1_BD questio brut'!N323</f>
        <v>Insert / foyer fermé</v>
      </c>
      <c r="Q323" s="191" t="str">
        <f>'1_BD questio brut'!O323</f>
        <v>Chauffage de base</v>
      </c>
      <c r="R323" s="191" t="str">
        <f>'1_BD questio brut'!P323</f>
        <v>Tous les jours</v>
      </c>
      <c r="S323" s="191" t="str">
        <f>'1_BD questio brut'!Q323</f>
        <v>1; 2; 3</v>
      </c>
      <c r="T323" s="191" t="str">
        <f>'1_BD questio brut'!R323</f>
        <v>1996-2002</v>
      </c>
      <c r="U323" s="191" t="str">
        <f>'1_BD questio brut'!S323</f>
        <v>Bois bûche</v>
      </c>
      <c r="V323" s="191" t="str">
        <f>'1_BD questio brut'!T323</f>
        <v/>
      </c>
      <c r="W323" s="191" t="str">
        <f>'1_BD questio brut'!U323</f>
        <v/>
      </c>
      <c r="X323" s="191" t="str">
        <f>'1_BD questio brut'!V323</f>
        <v>Inconnu</v>
      </c>
      <c r="Y323" s="191" t="str">
        <f>'1_BD questio brut'!W323</f>
        <v>5</v>
      </c>
      <c r="Z323" s="191" t="str">
        <f>'1_BD questio brut'!X323</f>
        <v>nouveau proprietaire</v>
      </c>
      <c r="AA323" s="191" t="str">
        <f t="array" ref="AA323">INDEX('Données 1_BD questio'!C:C,MATCH('1_BD questio brut'!$Y$1&amp;'1_BD questio brut'!Y323,'Données 1_BD questio'!A:A&amp;'Données 1_BD questio'!B:B,0))</f>
        <v>Pas de réponse</v>
      </c>
      <c r="AB323" s="191" t="str">
        <f>'1_BD questio brut'!Z323</f>
        <v>4</v>
      </c>
      <c r="AC323" s="191" t="str">
        <f>'1_BD questio brut'!AA323</f>
        <v>Pas de réponse</v>
      </c>
      <c r="AD323" s="191" t="str">
        <f>'1_BD questio brut'!AB323</f>
        <v>Pas de réponse</v>
      </c>
      <c r="AE323" s="191" t="str">
        <f t="array" ref="AE323">INDEX('Données 1_BD questio'!C:C,MATCH('1_BD questio brut'!$AC$1&amp;'1_BD questio brut'!AC323,'Données 1_BD questio'!A:A&amp;'Données 1_BD questio'!B:B,0))</f>
        <v>Pas de réponse</v>
      </c>
      <c r="AF323" s="191" t="str">
        <f>'1_BD questio brut'!AD323</f>
        <v>Pas de réponse</v>
      </c>
      <c r="AG323" s="191" t="str">
        <f>'1_BD questio brut'!AE323</f>
        <v/>
      </c>
      <c r="AH323" s="191" t="str">
        <f>'1_BD questio brut'!AF323</f>
        <v>Poêle</v>
      </c>
      <c r="AI323" s="191" t="str">
        <f>'1_BD questio brut'!AG323</f>
        <v>2</v>
      </c>
      <c r="AJ323" s="191" t="str">
        <f>'1_BD questio brut'!AH323</f>
        <v/>
      </c>
      <c r="AK323" s="191" t="str">
        <f>'1_BD questio brut'!AI323</f>
        <v>Chauffage de base</v>
      </c>
      <c r="AL323" s="191" t="str">
        <f>'1_BD questio brut'!AJ323</f>
        <v>Pas de réponse</v>
      </c>
      <c r="AM323" s="191" t="str">
        <f>'1_BD questio brut'!AK323</f>
        <v>1; 2; 4; 5</v>
      </c>
      <c r="AN323" s="191" t="str">
        <f>'1_BD questio brut'!AL323</f>
        <v/>
      </c>
      <c r="AO323" s="191" t="str">
        <f>'1_BD questio brut'!AM323</f>
        <v>5</v>
      </c>
      <c r="AP323" s="191" t="str">
        <f>'1_BD questio brut'!AN323</f>
        <v/>
      </c>
      <c r="AQ323" s="191" t="str">
        <f>'1_BD questio brut'!AO323</f>
        <v/>
      </c>
    </row>
    <row r="324" spans="1:43" ht="43.5" hidden="1">
      <c r="A324" s="98">
        <f>INDEX('3_BD instruction total'!A:A,MATCH(C324,'3_BD instruction total'!F:F,0))</f>
        <v>2022</v>
      </c>
      <c r="B324" s="98" t="str">
        <f>INDEX('3_BD instruction total'!C:C,MATCH(C324,'3_BD instruction total'!F:F,0))</f>
        <v>non</v>
      </c>
      <c r="C324" s="191" t="str">
        <f>'1_BD questio brut'!A324</f>
        <v>VRB0341</v>
      </c>
      <c r="D324" s="191" t="str">
        <f t="array" ref="D324">INDEX('Données 1_BD questio'!C:C,MATCH('1_BD questio brut'!$B$1&amp;'1_BD questio brut'!B324,'Données 1_BD questio'!A:A&amp;'Données 1_BD questio'!B:B,0))</f>
        <v>CAPV</v>
      </c>
      <c r="E324" s="191" t="str">
        <f t="array" ref="E324">INDEX('Données 1_BD questio'!C:C,MATCH('1_BD questio brut'!$C$1&amp;'1_BD questio brut'!C324,'Données 1_BD questio'!A:A&amp;'Données 1_BD questio'!B:B,0))</f>
        <v>Ouvrier</v>
      </c>
      <c r="F324" s="191" t="str">
        <f t="array" ref="F324">INDEX('Données 1_BD questio'!C:C,MATCH('1_BD questio brut'!$D$1&amp;'1_BD questio brut'!D324,'Données 1_BD questio'!A:A&amp;'Données 1_BD questio'!B:B,0))</f>
        <v>Employé</v>
      </c>
      <c r="G324" s="191" t="str">
        <f>'1_BD questio brut'!E324</f>
        <v>25 à 34 ans</v>
      </c>
      <c r="H324" s="191">
        <f>'1_BD questio brut'!F324</f>
        <v>3</v>
      </c>
      <c r="I324" s="191" t="str">
        <f>'1_BD questio brut'!G324</f>
        <v>20 000 à 30 000 €</v>
      </c>
      <c r="J324" s="191" t="str">
        <f t="array" ref="J324">INDEX('Données 1_BD questio'!C:C,MATCH('1_BD questio brut'!$H$1&amp;'1_BD questio brut'!H324,'Données 1_BD questio'!A:A&amp;'Données 1_BD questio'!B:B,0))</f>
        <v>Maison avec jardin</v>
      </c>
      <c r="K324" s="191">
        <f>'1_BD questio brut'!I324</f>
        <v>94</v>
      </c>
      <c r="L324" s="191" t="str">
        <f>'1_BD questio brut'!J324</f>
        <v>1975-1990</v>
      </c>
      <c r="M324" s="191" t="str">
        <f>'1_BD questio brut'!K324</f>
        <v>4</v>
      </c>
      <c r="N324" s="191" t="str">
        <f>'1_BD questio brut'!L324</f>
        <v>E</v>
      </c>
      <c r="O324" s="191" t="str">
        <f>'1_BD questio brut'!M324</f>
        <v>Propriétaire occupant</v>
      </c>
      <c r="P324" s="191" t="str">
        <f>'1_BD questio brut'!N324</f>
        <v>Insert / foyer fermé</v>
      </c>
      <c r="Q324" s="191" t="str">
        <f>'1_BD questio brut'!O324</f>
        <v>Chauffage d'apoint</v>
      </c>
      <c r="R324" s="191" t="str">
        <f>'1_BD questio brut'!P324</f>
        <v>Pas de réponse</v>
      </c>
      <c r="S324" s="191" t="str">
        <f>'1_BD questio brut'!Q324</f>
        <v>6</v>
      </c>
      <c r="T324" s="191" t="str">
        <f>'1_BD questio brut'!R324</f>
        <v>Avant 1990</v>
      </c>
      <c r="U324" s="191" t="str">
        <f>'1_BD questio brut'!S324</f>
        <v>Bois bûche</v>
      </c>
      <c r="V324" s="191" t="str">
        <f>'1_BD questio brut'!T324</f>
        <v/>
      </c>
      <c r="W324" s="191" t="str">
        <f>'1_BD questio brut'!U324</f>
        <v/>
      </c>
      <c r="X324" s="191" t="str">
        <f>'1_BD questio brut'!V324</f>
        <v/>
      </c>
      <c r="Y324" s="191" t="str">
        <f>'1_BD questio brut'!W324</f>
        <v>5</v>
      </c>
      <c r="Z324" s="191" t="str">
        <f>'1_BD questio brut'!X324</f>
        <v/>
      </c>
      <c r="AA324" s="191" t="str">
        <f t="array" ref="AA324">INDEX('Données 1_BD questio'!C:C,MATCH('1_BD questio brut'!$Y$1&amp;'1_BD questio brut'!Y324,'Données 1_BD questio'!A:A&amp;'Données 1_BD questio'!B:B,0))</f>
        <v>Ne sait pas</v>
      </c>
      <c r="AB324" s="191" t="str">
        <f>'1_BD questio brut'!Z324</f>
        <v>2</v>
      </c>
      <c r="AC324" s="191" t="str">
        <f>'1_BD questio brut'!AA324</f>
        <v>Ne sait pas</v>
      </c>
      <c r="AD324" s="191" t="str">
        <f>'1_BD questio brut'!AB324</f>
        <v>Ne sait pas</v>
      </c>
      <c r="AE324" s="191" t="str">
        <f t="array" ref="AE324">INDEX('Données 1_BD questio'!C:C,MATCH('1_BD questio brut'!$AC$1&amp;'1_BD questio brut'!AC324,'Données 1_BD questio'!A:A&amp;'Données 1_BD questio'!B:B,0))</f>
        <v>un professionnel</v>
      </c>
      <c r="AF324" s="191" t="str">
        <f>'1_BD questio brut'!AD324</f>
        <v>Pas de réponse</v>
      </c>
      <c r="AG324" s="191" t="str">
        <f>'1_BD questio brut'!AE324</f>
        <v/>
      </c>
      <c r="AH324" s="191" t="str">
        <f>'1_BD questio brut'!AF324</f>
        <v>Poêle</v>
      </c>
      <c r="AI324" s="191" t="str">
        <f>'1_BD questio brut'!AG324</f>
        <v>2</v>
      </c>
      <c r="AJ324" s="191" t="str">
        <f>'1_BD questio brut'!AH324</f>
        <v/>
      </c>
      <c r="AK324" s="191" t="str">
        <f>'1_BD questio brut'!AI324</f>
        <v>Chauffage de base</v>
      </c>
      <c r="AL324" s="191" t="str">
        <f>'1_BD questio brut'!AJ324</f>
        <v>Pas de réponse</v>
      </c>
      <c r="AM324" s="191" t="str">
        <f>'1_BD questio brut'!AK324</f>
        <v>2; 4; 5</v>
      </c>
      <c r="AN324" s="191" t="str">
        <f>'1_BD questio brut'!AL324</f>
        <v/>
      </c>
      <c r="AO324" s="191" t="str">
        <f>'1_BD questio brut'!AM324</f>
        <v>5</v>
      </c>
      <c r="AP324" s="191" t="str">
        <f>'1_BD questio brut'!AN324</f>
        <v/>
      </c>
      <c r="AQ324" s="191" t="str">
        <f>'1_BD questio brut'!AO324</f>
        <v/>
      </c>
    </row>
    <row r="325" spans="1:43" ht="43.5" hidden="1">
      <c r="A325" s="98">
        <f>INDEX('3_BD instruction total'!A:A,MATCH(C325,'3_BD instruction total'!F:F,0))</f>
        <v>2022</v>
      </c>
      <c r="B325" s="98" t="str">
        <f>INDEX('3_BD instruction total'!C:C,MATCH(C325,'3_BD instruction total'!F:F,0))</f>
        <v>non</v>
      </c>
      <c r="C325" s="191" t="str">
        <f>'1_BD questio brut'!A325</f>
        <v>VRB0342</v>
      </c>
      <c r="D325" s="191" t="str">
        <f t="array" ref="D325">INDEX('Données 1_BD questio'!C:C,MATCH('1_BD questio brut'!$B$1&amp;'1_BD questio brut'!B325,'Données 1_BD questio'!A:A&amp;'Données 1_BD questio'!B:B,0))</f>
        <v>CAPV</v>
      </c>
      <c r="E325" s="191" t="str">
        <f t="array" ref="E325">INDEX('Données 1_BD questio'!C:C,MATCH('1_BD questio brut'!$C$1&amp;'1_BD questio brut'!C325,'Données 1_BD questio'!A:A&amp;'Données 1_BD questio'!B:B,0))</f>
        <v>Retraité</v>
      </c>
      <c r="F325" s="191" t="str">
        <f t="array" ref="F325">INDEX('Données 1_BD questio'!C:C,MATCH('1_BD questio brut'!$D$1&amp;'1_BD questio brut'!D325,'Données 1_BD questio'!A:A&amp;'Données 1_BD questio'!B:B,0))</f>
        <v>Pas de réponse</v>
      </c>
      <c r="G325" s="191" t="str">
        <f>'1_BD questio brut'!E325</f>
        <v>65 ans et plus</v>
      </c>
      <c r="H325" s="191">
        <f>'1_BD questio brut'!F325</f>
        <v>1</v>
      </c>
      <c r="I325" s="191" t="str">
        <f>'1_BD questio brut'!G325</f>
        <v>20 000 à 30 000 €</v>
      </c>
      <c r="J325" s="191" t="str">
        <f t="array" ref="J325">INDEX('Données 1_BD questio'!C:C,MATCH('1_BD questio brut'!$H$1&amp;'1_BD questio brut'!H325,'Données 1_BD questio'!A:A&amp;'Données 1_BD questio'!B:B,0))</f>
        <v>Maison avec jardin</v>
      </c>
      <c r="K325" s="191">
        <f>'1_BD questio brut'!I325</f>
        <v>90</v>
      </c>
      <c r="L325" s="191" t="str">
        <f>'1_BD questio brut'!J325</f>
        <v>Avant 1949</v>
      </c>
      <c r="M325" s="191" t="str">
        <f>'1_BD questio brut'!K325</f>
        <v>1; 4</v>
      </c>
      <c r="N325" s="191" t="str">
        <f>'1_BD questio brut'!L325</f>
        <v>Pas de réponse</v>
      </c>
      <c r="O325" s="191" t="str">
        <f>'1_BD questio brut'!M325</f>
        <v>Propriétaire occupant</v>
      </c>
      <c r="P325" s="191" t="str">
        <f>'1_BD questio brut'!N325</f>
        <v>Poêle</v>
      </c>
      <c r="Q325" s="191" t="str">
        <f>'1_BD questio brut'!O325</f>
        <v>Chauffage d'apoint</v>
      </c>
      <c r="R325" s="191" t="str">
        <f>'1_BD questio brut'!P325</f>
        <v>Tous les jours</v>
      </c>
      <c r="S325" s="191" t="str">
        <f>'1_BD questio brut'!Q325</f>
        <v>6</v>
      </c>
      <c r="T325" s="191" t="str">
        <f>'1_BD questio brut'!R325</f>
        <v>1996-2002</v>
      </c>
      <c r="U325" s="191" t="str">
        <f>'1_BD questio brut'!S325</f>
        <v>Bois bûche</v>
      </c>
      <c r="V325" s="191" t="str">
        <f>'1_BD questio brut'!T325</f>
        <v/>
      </c>
      <c r="W325" s="191" t="str">
        <f>'1_BD questio brut'!U325</f>
        <v>5</v>
      </c>
      <c r="X325" s="191" t="str">
        <f>'1_BD questio brut'!V325</f>
        <v>stère</v>
      </c>
      <c r="Y325" s="191" t="str">
        <f>'1_BD questio brut'!W325</f>
        <v>2</v>
      </c>
      <c r="Z325" s="191" t="str">
        <f>'1_BD questio brut'!X325</f>
        <v/>
      </c>
      <c r="AA325" s="191" t="str">
        <f t="array" ref="AA325">INDEX('Données 1_BD questio'!C:C,MATCH('1_BD questio brut'!$Y$1&amp;'1_BD questio brut'!Y325,'Données 1_BD questio'!A:A&amp;'Données 1_BD questio'!B:B,0))</f>
        <v>Ne sait pas</v>
      </c>
      <c r="AB325" s="191" t="str">
        <f>'1_BD questio brut'!Z325</f>
        <v>2</v>
      </c>
      <c r="AC325" s="191" t="str">
        <f>'1_BD questio brut'!AA325</f>
        <v>Ne sait pas</v>
      </c>
      <c r="AD325" s="191" t="str">
        <f>'1_BD questio brut'!AB325</f>
        <v>Les deux</v>
      </c>
      <c r="AE325" s="191" t="str">
        <f t="array" ref="AE325">INDEX('Données 1_BD questio'!C:C,MATCH('1_BD questio brut'!$AC$1&amp;'1_BD questio brut'!AC325,'Données 1_BD questio'!A:A&amp;'Données 1_BD questio'!B:B,0))</f>
        <v>un professionnel</v>
      </c>
      <c r="AF325" s="191" t="str">
        <f>'1_BD questio brut'!AD325</f>
        <v>1 fois par an</v>
      </c>
      <c r="AG325" s="191" t="str">
        <f>'1_BD questio brut'!AE325</f>
        <v/>
      </c>
      <c r="AH325" s="191" t="str">
        <f>'1_BD questio brut'!AF325</f>
        <v>Poêle</v>
      </c>
      <c r="AI325" s="191" t="str">
        <f>'1_BD questio brut'!AG325</f>
        <v>2</v>
      </c>
      <c r="AJ325" s="191" t="str">
        <f>'1_BD questio brut'!AH325</f>
        <v/>
      </c>
      <c r="AK325" s="191" t="str">
        <f>'1_BD questio brut'!AI325</f>
        <v>Chauffage d'appoint</v>
      </c>
      <c r="AL325" s="191" t="str">
        <f>'1_BD questio brut'!AJ325</f>
        <v>Pas de réponse</v>
      </c>
      <c r="AM325" s="191" t="str">
        <f>'1_BD questio brut'!AK325</f>
        <v>1; 2; 4; 5</v>
      </c>
      <c r="AN325" s="191" t="str">
        <f>'1_BD questio brut'!AL325</f>
        <v/>
      </c>
      <c r="AO325" s="191" t="str">
        <f>'1_BD questio brut'!AM325</f>
        <v>5</v>
      </c>
      <c r="AP325" s="191" t="str">
        <f>'1_BD questio brut'!AN325</f>
        <v/>
      </c>
      <c r="AQ325" s="191" t="str">
        <f>'1_BD questio brut'!AO325</f>
        <v/>
      </c>
    </row>
    <row r="326" spans="1:43" ht="43.5" hidden="1">
      <c r="A326" s="98">
        <f>INDEX('3_BD instruction total'!A:A,MATCH(C326,'3_BD instruction total'!F:F,0))</f>
        <v>2022</v>
      </c>
      <c r="B326" s="98" t="str">
        <f>INDEX('3_BD instruction total'!C:C,MATCH(C326,'3_BD instruction total'!F:F,0))</f>
        <v>non</v>
      </c>
      <c r="C326" s="191" t="str">
        <f>'1_BD questio brut'!A326</f>
        <v>VRB0343</v>
      </c>
      <c r="D326" s="191" t="str">
        <f t="array" ref="D326">INDEX('Données 1_BD questio'!C:C,MATCH('1_BD questio brut'!$B$1&amp;'1_BD questio brut'!B326,'Données 1_BD questio'!A:A&amp;'Données 1_BD questio'!B:B,0))</f>
        <v>CAPV</v>
      </c>
      <c r="E326" s="191" t="str">
        <f t="array" ref="E326">INDEX('Données 1_BD questio'!C:C,MATCH('1_BD questio brut'!$C$1&amp;'1_BD questio brut'!C326,'Données 1_BD questio'!A:A&amp;'Données 1_BD questio'!B:B,0))</f>
        <v>Retraité</v>
      </c>
      <c r="F326" s="191" t="str">
        <f t="array" ref="F326">INDEX('Données 1_BD questio'!C:C,MATCH('1_BD questio brut'!$D$1&amp;'1_BD questio brut'!D326,'Données 1_BD questio'!A:A&amp;'Données 1_BD questio'!B:B,0))</f>
        <v>Employé</v>
      </c>
      <c r="G326" s="191" t="str">
        <f>'1_BD questio brut'!E326</f>
        <v>50 à 64 ans</v>
      </c>
      <c r="H326" s="191">
        <f>'1_BD questio brut'!F326</f>
        <v>2</v>
      </c>
      <c r="I326" s="191" t="str">
        <f>'1_BD questio brut'!G326</f>
        <v>20 000 à 30 000 €</v>
      </c>
      <c r="J326" s="191" t="str">
        <f t="array" ref="J326">INDEX('Données 1_BD questio'!C:C,MATCH('1_BD questio brut'!$H$1&amp;'1_BD questio brut'!H326,'Données 1_BD questio'!A:A&amp;'Données 1_BD questio'!B:B,0))</f>
        <v>Maison avec jardin</v>
      </c>
      <c r="K326" s="191">
        <f>'1_BD questio brut'!I326</f>
        <v>70</v>
      </c>
      <c r="L326" s="191" t="str">
        <f>'1_BD questio brut'!J326</f>
        <v>1949-1975</v>
      </c>
      <c r="M326" s="191" t="str">
        <f>'1_BD questio brut'!K326</f>
        <v>1; 4</v>
      </c>
      <c r="N326" s="191" t="str">
        <f>'1_BD questio brut'!L326</f>
        <v>Pas de réponse</v>
      </c>
      <c r="O326" s="191" t="str">
        <f>'1_BD questio brut'!M326</f>
        <v>Propriétaire occupant</v>
      </c>
      <c r="P326" s="191" t="str">
        <f>'1_BD questio brut'!N326</f>
        <v>Foyer ouvert</v>
      </c>
      <c r="Q326" s="191" t="str">
        <f>'1_BD questio brut'!O326</f>
        <v>Chauffage d'apoint</v>
      </c>
      <c r="R326" s="191" t="str">
        <f>'1_BD questio brut'!P326</f>
        <v>3 à 4 jours/semaine</v>
      </c>
      <c r="S326" s="191" t="str">
        <f>'1_BD questio brut'!Q326</f>
        <v>3; 4</v>
      </c>
      <c r="T326" s="191" t="str">
        <f>'1_BD questio brut'!R326</f>
        <v>Avant 1990</v>
      </c>
      <c r="U326" s="191" t="str">
        <f>'1_BD questio brut'!S326</f>
        <v>Bois bûche</v>
      </c>
      <c r="V326" s="191" t="str">
        <f>'1_BD questio brut'!T326</f>
        <v/>
      </c>
      <c r="W326" s="191" t="str">
        <f>'1_BD questio brut'!U326</f>
        <v>3</v>
      </c>
      <c r="X326" s="191" t="str">
        <f>'1_BD questio brut'!V326</f>
        <v>Stère</v>
      </c>
      <c r="Y326" s="191" t="str">
        <f>'1_BD questio brut'!W326</f>
        <v>1</v>
      </c>
      <c r="Z326" s="191" t="str">
        <f>'1_BD questio brut'!X326</f>
        <v/>
      </c>
      <c r="AA326" s="191" t="str">
        <f t="array" ref="AA326">INDEX('Données 1_BD questio'!C:C,MATCH('1_BD questio brut'!$Y$1&amp;'1_BD questio brut'!Y326,'Données 1_BD questio'!A:A&amp;'Données 1_BD questio'!B:B,0))</f>
        <v>RA2B</v>
      </c>
      <c r="AB326" s="191" t="str">
        <f>'1_BD questio brut'!Z326</f>
        <v>2</v>
      </c>
      <c r="AC326" s="191" t="str">
        <f>'1_BD questio brut'!AA326</f>
        <v>&gt; 2 ans</v>
      </c>
      <c r="AD326" s="191" t="str">
        <f>'1_BD questio brut'!AB326</f>
        <v>Feuillus</v>
      </c>
      <c r="AE326" s="191" t="str">
        <f t="array" ref="AE326">INDEX('Données 1_BD questio'!C:C,MATCH('1_BD questio brut'!$AC$1&amp;'1_BD questio brut'!AC326,'Données 1_BD questio'!A:A&amp;'Données 1_BD questio'!B:B,0))</f>
        <v>un professionnel</v>
      </c>
      <c r="AF326" s="191" t="str">
        <f>'1_BD questio brut'!AD326</f>
        <v>1 fois par an</v>
      </c>
      <c r="AG326" s="191" t="str">
        <f>'1_BD questio brut'!AE326</f>
        <v/>
      </c>
      <c r="AH326" s="191" t="str">
        <f>'1_BD questio brut'!AF326</f>
        <v>Insert cheminée</v>
      </c>
      <c r="AI326" s="191" t="str">
        <f>'1_BD questio brut'!AG326</f>
        <v>1</v>
      </c>
      <c r="AJ326" s="191" t="str">
        <f>'1_BD questio brut'!AH326</f>
        <v/>
      </c>
      <c r="AK326" s="191" t="str">
        <f>'1_BD questio brut'!AI326</f>
        <v>Chauffage d'appoint</v>
      </c>
      <c r="AL326" s="191" t="str">
        <f>'1_BD questio brut'!AJ326</f>
        <v>Pas de réponse</v>
      </c>
      <c r="AM326" s="191" t="str">
        <f>'1_BD questio brut'!AK326</f>
        <v>1; 5</v>
      </c>
      <c r="AN326" s="191" t="str">
        <f>'1_BD questio brut'!AL326</f>
        <v/>
      </c>
      <c r="AO326" s="191" t="str">
        <f>'1_BD questio brut'!AM326</f>
        <v>5; 11</v>
      </c>
      <c r="AP326" s="191" t="str">
        <f>'1_BD questio brut'!AN326</f>
        <v/>
      </c>
      <c r="AQ326" s="191" t="str">
        <f>'1_BD questio brut'!AO326</f>
        <v/>
      </c>
    </row>
    <row r="327" spans="1:43" ht="29" hidden="1">
      <c r="A327" s="98">
        <f>INDEX('3_BD instruction total'!A:A,MATCH(C327,'3_BD instruction total'!F:F,0))</f>
        <v>2022</v>
      </c>
      <c r="B327" s="98" t="str">
        <f>INDEX('3_BD instruction total'!C:C,MATCH(C327,'3_BD instruction total'!F:F,0))</f>
        <v>non</v>
      </c>
      <c r="C327" s="191" t="str">
        <f>'1_BD questio brut'!A327</f>
        <v>VRB0344</v>
      </c>
      <c r="D327" s="191" t="str">
        <f t="array" ref="D327">INDEX('Données 1_BD questio'!C:C,MATCH('1_BD questio brut'!$B$1&amp;'1_BD questio brut'!B327,'Données 1_BD questio'!A:A&amp;'Données 1_BD questio'!B:B,0))</f>
        <v>CAPV</v>
      </c>
      <c r="E327" s="191" t="str">
        <f t="array" ref="E327">INDEX('Données 1_BD questio'!C:C,MATCH('1_BD questio brut'!$C$1&amp;'1_BD questio brut'!C327,'Données 1_BD questio'!A:A&amp;'Données 1_BD questio'!B:B,0))</f>
        <v>Retraité</v>
      </c>
      <c r="F327" s="191" t="str">
        <f t="array" ref="F327">INDEX('Données 1_BD questio'!C:C,MATCH('1_BD questio brut'!$D$1&amp;'1_BD questio brut'!D327,'Données 1_BD questio'!A:A&amp;'Données 1_BD questio'!B:B,0))</f>
        <v>Retraité</v>
      </c>
      <c r="G327" s="191" t="str">
        <f>'1_BD questio brut'!E327</f>
        <v>65 ans et plus</v>
      </c>
      <c r="H327" s="191">
        <f>'1_BD questio brut'!F327</f>
        <v>2</v>
      </c>
      <c r="I327" s="191" t="str">
        <f>'1_BD questio brut'!G327</f>
        <v>30 000 à 40 000 €</v>
      </c>
      <c r="J327" s="191" t="str">
        <f t="array" ref="J327">INDEX('Données 1_BD questio'!C:C,MATCH('1_BD questio brut'!$H$1&amp;'1_BD questio brut'!H327,'Données 1_BD questio'!A:A&amp;'Données 1_BD questio'!B:B,0))</f>
        <v>Maison avec jardin</v>
      </c>
      <c r="K327" s="191">
        <f>'1_BD questio brut'!I327</f>
        <v>96</v>
      </c>
      <c r="L327" s="191" t="str">
        <f>'1_BD questio brut'!J327</f>
        <v>1990-2005</v>
      </c>
      <c r="M327" s="191" t="str">
        <f>'1_BD questio brut'!K327</f>
        <v>1</v>
      </c>
      <c r="N327" s="191" t="str">
        <f>'1_BD questio brut'!L327</f>
        <v>Pas de réponse</v>
      </c>
      <c r="O327" s="191" t="str">
        <f>'1_BD questio brut'!M327</f>
        <v>Propriétaire occupant</v>
      </c>
      <c r="P327" s="191" t="str">
        <f>'1_BD questio brut'!N327</f>
        <v>Poêle</v>
      </c>
      <c r="Q327" s="191" t="str">
        <f>'1_BD questio brut'!O327</f>
        <v>Chauffage d'apoint</v>
      </c>
      <c r="R327" s="191" t="str">
        <f>'1_BD questio brut'!P327</f>
        <v>Tous les jours</v>
      </c>
      <c r="S327" s="191" t="str">
        <f>'1_BD questio brut'!Q327</f>
        <v>1; 2; 4</v>
      </c>
      <c r="T327" s="191" t="str">
        <f>'1_BD questio brut'!R327</f>
        <v>1996-2002</v>
      </c>
      <c r="U327" s="191" t="str">
        <f>'1_BD questio brut'!S327</f>
        <v>Bois bûche</v>
      </c>
      <c r="V327" s="191" t="str">
        <f>'1_BD questio brut'!T327</f>
        <v/>
      </c>
      <c r="W327" s="191" t="str">
        <f>'1_BD questio brut'!U327</f>
        <v>10</v>
      </c>
      <c r="X327" s="191" t="str">
        <f>'1_BD questio brut'!V327</f>
        <v>Stères</v>
      </c>
      <c r="Y327" s="191" t="str">
        <f>'1_BD questio brut'!W327</f>
        <v>2</v>
      </c>
      <c r="Z327" s="191" t="str">
        <f>'1_BD questio brut'!X327</f>
        <v/>
      </c>
      <c r="AA327" s="191" t="str">
        <f t="array" ref="AA327">INDEX('Données 1_BD questio'!C:C,MATCH('1_BD questio brut'!$Y$1&amp;'1_BD questio brut'!Y327,'Données 1_BD questio'!A:A&amp;'Données 1_BD questio'!B:B,0))</f>
        <v>RA2B</v>
      </c>
      <c r="AB327" s="191" t="str">
        <f>'1_BD questio brut'!Z327</f>
        <v>2</v>
      </c>
      <c r="AC327" s="191" t="str">
        <f>'1_BD questio brut'!AA327</f>
        <v>1 à 2 ans</v>
      </c>
      <c r="AD327" s="191" t="str">
        <f>'1_BD questio brut'!AB327</f>
        <v>Feuillus</v>
      </c>
      <c r="AE327" s="191" t="e">
        <f t="array" ref="AE327">INDEX('Données 1_BD questio'!C:C,MATCH('1_BD questio brut'!$AC$1&amp;'1_BD questio brut'!AC327,'Données 1_BD questio'!A:A&amp;'Données 1_BD questio'!B:B,0))</f>
        <v>#N/A</v>
      </c>
      <c r="AF327" s="191" t="str">
        <f>'1_BD questio brut'!AD327</f>
        <v>2 fois par an</v>
      </c>
      <c r="AG327" s="191" t="str">
        <f>'1_BD questio brut'!AE327</f>
        <v/>
      </c>
      <c r="AH327" s="191" t="str">
        <f>'1_BD questio brut'!AF327</f>
        <v>Poêle</v>
      </c>
      <c r="AI327" s="191" t="str">
        <f>'1_BD questio brut'!AG327</f>
        <v>2</v>
      </c>
      <c r="AJ327" s="191" t="str">
        <f>'1_BD questio brut'!AH327</f>
        <v/>
      </c>
      <c r="AK327" s="191" t="str">
        <f>'1_BD questio brut'!AI327</f>
        <v>Chauffage d'appoint</v>
      </c>
      <c r="AL327" s="191" t="str">
        <f>'1_BD questio brut'!AJ327</f>
        <v>Pas de réponse</v>
      </c>
      <c r="AM327" s="191" t="str">
        <f>'1_BD questio brut'!AK327</f>
        <v>1; 2; 4; 5</v>
      </c>
      <c r="AN327" s="191" t="str">
        <f>'1_BD questio brut'!AL327</f>
        <v/>
      </c>
      <c r="AO327" s="191" t="str">
        <f>'1_BD questio brut'!AM327</f>
        <v>5</v>
      </c>
      <c r="AP327" s="191" t="str">
        <f>'1_BD questio brut'!AN327</f>
        <v/>
      </c>
      <c r="AQ327" s="191" t="str">
        <f>'1_BD questio brut'!AO327</f>
        <v/>
      </c>
    </row>
    <row r="328" spans="1:43" ht="43.5" hidden="1">
      <c r="A328" s="98">
        <f>INDEX('3_BD instruction total'!A:A,MATCH(C328,'3_BD instruction total'!F:F,0))</f>
        <v>2022</v>
      </c>
      <c r="B328" s="98" t="str">
        <f>INDEX('3_BD instruction total'!C:C,MATCH(C328,'3_BD instruction total'!F:F,0))</f>
        <v>non</v>
      </c>
      <c r="C328" s="191" t="str">
        <f>'1_BD questio brut'!A328</f>
        <v>VRB0345</v>
      </c>
      <c r="D328" s="191" t="str">
        <f t="array" ref="D328">INDEX('Données 1_BD questio'!C:C,MATCH('1_BD questio brut'!$B$1&amp;'1_BD questio brut'!B328,'Données 1_BD questio'!A:A&amp;'Données 1_BD questio'!B:B,0))</f>
        <v>CAPV</v>
      </c>
      <c r="E328" s="191" t="str">
        <f t="array" ref="E328">INDEX('Données 1_BD questio'!C:C,MATCH('1_BD questio brut'!$C$1&amp;'1_BD questio brut'!C328,'Données 1_BD questio'!A:A&amp;'Données 1_BD questio'!B:B,0))</f>
        <v>Employé</v>
      </c>
      <c r="F328" s="191" t="str">
        <f t="array" ref="F328">INDEX('Données 1_BD questio'!C:C,MATCH('1_BD questio brut'!$D$1&amp;'1_BD questio brut'!D328,'Données 1_BD questio'!A:A&amp;'Données 1_BD questio'!B:B,0))</f>
        <v>Artisan,commerçant,chef d'entreprise</v>
      </c>
      <c r="G328" s="191" t="str">
        <f>'1_BD questio brut'!E328</f>
        <v>35 à 49 ans</v>
      </c>
      <c r="H328" s="191">
        <f>'1_BD questio brut'!F328</f>
        <v>3</v>
      </c>
      <c r="I328" s="191" t="str">
        <f>'1_BD questio brut'!G328</f>
        <v>20 000 à 30 000 €</v>
      </c>
      <c r="J328" s="191" t="str">
        <f t="array" ref="J328">INDEX('Données 1_BD questio'!C:C,MATCH('1_BD questio brut'!$H$1&amp;'1_BD questio brut'!H328,'Données 1_BD questio'!A:A&amp;'Données 1_BD questio'!B:B,0))</f>
        <v>Maison avec jardin</v>
      </c>
      <c r="K328" s="191">
        <f>'1_BD questio brut'!I328</f>
        <v>150</v>
      </c>
      <c r="L328" s="191" t="str">
        <f>'1_BD questio brut'!J328</f>
        <v>1949-1975</v>
      </c>
      <c r="M328" s="191" t="str">
        <f>'1_BD questio brut'!K328</f>
        <v>6</v>
      </c>
      <c r="N328" s="191" t="str">
        <f>'1_BD questio brut'!L328</f>
        <v>D</v>
      </c>
      <c r="O328" s="191" t="str">
        <f>'1_BD questio brut'!M328</f>
        <v>Propriétaire occupant</v>
      </c>
      <c r="P328" s="191" t="str">
        <f>'1_BD questio brut'!N328</f>
        <v>Foyer ouvert</v>
      </c>
      <c r="Q328" s="191" t="str">
        <f>'1_BD questio brut'!O328</f>
        <v>Chauffage d'apoint</v>
      </c>
      <c r="R328" s="191" t="str">
        <f>'1_BD questio brut'!P328</f>
        <v>1 à 3 jours/mois</v>
      </c>
      <c r="S328" s="191" t="str">
        <f>'1_BD questio brut'!Q328</f>
        <v>2</v>
      </c>
      <c r="T328" s="191" t="str">
        <f>'1_BD questio brut'!R328</f>
        <v>Avant 1990</v>
      </c>
      <c r="U328" s="191" t="str">
        <f>'1_BD questio brut'!S328</f>
        <v>Bois bûche</v>
      </c>
      <c r="V328" s="191" t="str">
        <f>'1_BD questio brut'!T328</f>
        <v/>
      </c>
      <c r="W328" s="191" t="str">
        <f>'1_BD questio brut'!U328</f>
        <v>3</v>
      </c>
      <c r="X328" s="191" t="str">
        <f>'1_BD questio brut'!V328</f>
        <v>Stères</v>
      </c>
      <c r="Y328" s="191" t="str">
        <f>'1_BD questio brut'!W328</f>
        <v>2</v>
      </c>
      <c r="Z328" s="191" t="str">
        <f>'1_BD questio brut'!X328</f>
        <v/>
      </c>
      <c r="AA328" s="191" t="str">
        <f t="array" ref="AA328">INDEX('Données 1_BD questio'!C:C,MATCH('1_BD questio brut'!$Y$1&amp;'1_BD questio brut'!Y328,'Données 1_BD questio'!A:A&amp;'Données 1_BD questio'!B:B,0))</f>
        <v>Rhône-Alpes hors RA2B</v>
      </c>
      <c r="AB328" s="191" t="str">
        <f>'1_BD questio brut'!Z328</f>
        <v>2</v>
      </c>
      <c r="AC328" s="191" t="str">
        <f>'1_BD questio brut'!AA328</f>
        <v>1 à 2 ans</v>
      </c>
      <c r="AD328" s="191" t="str">
        <f>'1_BD questio brut'!AB328</f>
        <v>Les deux</v>
      </c>
      <c r="AE328" s="191" t="str">
        <f t="array" ref="AE328">INDEX('Données 1_BD questio'!C:C,MATCH('1_BD questio brut'!$AC$1&amp;'1_BD questio brut'!AC328,'Données 1_BD questio'!A:A&amp;'Données 1_BD questio'!B:B,0))</f>
        <v>un professionnel</v>
      </c>
      <c r="AF328" s="191" t="str">
        <f>'1_BD questio brut'!AD328</f>
        <v>1 fois par an</v>
      </c>
      <c r="AG328" s="191" t="str">
        <f>'1_BD questio brut'!AE328</f>
        <v/>
      </c>
      <c r="AH328" s="191" t="str">
        <f>'1_BD questio brut'!AF328</f>
        <v>Poêle</v>
      </c>
      <c r="AI328" s="191" t="str">
        <f>'1_BD questio brut'!AG328</f>
        <v>2</v>
      </c>
      <c r="AJ328" s="191" t="str">
        <f>'1_BD questio brut'!AH328</f>
        <v/>
      </c>
      <c r="AK328" s="191" t="str">
        <f>'1_BD questio brut'!AI328</f>
        <v>Chauffage de base</v>
      </c>
      <c r="AL328" s="191" t="str">
        <f>'1_BD questio brut'!AJ328</f>
        <v>Pas de réponse</v>
      </c>
      <c r="AM328" s="191" t="str">
        <f>'1_BD questio brut'!AK328</f>
        <v>2; 4</v>
      </c>
      <c r="AN328" s="191" t="str">
        <f>'1_BD questio brut'!AL328</f>
        <v/>
      </c>
      <c r="AO328" s="191" t="str">
        <f>'1_BD questio brut'!AM328</f>
        <v>1</v>
      </c>
      <c r="AP328" s="191" t="str">
        <f>'1_BD questio brut'!AN328</f>
        <v/>
      </c>
      <c r="AQ328" s="191" t="str">
        <f>'1_BD questio brut'!AO328</f>
        <v/>
      </c>
    </row>
    <row r="329" spans="1:43" ht="87" hidden="1">
      <c r="A329" s="98">
        <f>INDEX('3_BD instruction total'!A:A,MATCH(C329,'3_BD instruction total'!F:F,0))</f>
        <v>2022</v>
      </c>
      <c r="B329" s="98" t="str">
        <f>INDEX('3_BD instruction total'!C:C,MATCH(C329,'3_BD instruction total'!F:F,0))</f>
        <v>non</v>
      </c>
      <c r="C329" s="191" t="str">
        <f>'1_BD questio brut'!A329</f>
        <v>VRB0346</v>
      </c>
      <c r="D329" s="191" t="str">
        <f t="array" ref="D329">INDEX('Données 1_BD questio'!C:C,MATCH('1_BD questio brut'!$B$1&amp;'1_BD questio brut'!B329,'Données 1_BD questio'!A:A&amp;'Données 1_BD questio'!B:B,0))</f>
        <v>CAPV</v>
      </c>
      <c r="E329" s="191" t="str">
        <f t="array" ref="E329">INDEX('Données 1_BD questio'!C:C,MATCH('1_BD questio brut'!$C$1&amp;'1_BD questio brut'!C329,'Données 1_BD questio'!A:A&amp;'Données 1_BD questio'!B:B,0))</f>
        <v>Retraité</v>
      </c>
      <c r="F329" s="191" t="str">
        <f t="array" ref="F329">INDEX('Données 1_BD questio'!C:C,MATCH('1_BD questio brut'!$D$1&amp;'1_BD questio brut'!D329,'Données 1_BD questio'!A:A&amp;'Données 1_BD questio'!B:B,0))</f>
        <v>Retraité</v>
      </c>
      <c r="G329" s="191" t="str">
        <f>'1_BD questio brut'!E329</f>
        <v>65 ans et plus</v>
      </c>
      <c r="H329" s="191">
        <f>'1_BD questio brut'!F329</f>
        <v>2</v>
      </c>
      <c r="I329" s="191" t="str">
        <f>'1_BD questio brut'!G329</f>
        <v>40 000 à 50 000 €</v>
      </c>
      <c r="J329" s="191" t="str">
        <f t="array" ref="J329">INDEX('Données 1_BD questio'!C:C,MATCH('1_BD questio brut'!$H$1&amp;'1_BD questio brut'!H329,'Données 1_BD questio'!A:A&amp;'Données 1_BD questio'!B:B,0))</f>
        <v>Maison avec jardin</v>
      </c>
      <c r="K329" s="191">
        <f>'1_BD questio brut'!I329</f>
        <v>110</v>
      </c>
      <c r="L329" s="191" t="str">
        <f>'1_BD questio brut'!J329</f>
        <v>1975-1990</v>
      </c>
      <c r="M329" s="191" t="str">
        <f>'1_BD questio brut'!K329</f>
        <v>1; 3; 4</v>
      </c>
      <c r="N329" s="191" t="str">
        <f>'1_BD questio brut'!L329</f>
        <v>Pas de réponse</v>
      </c>
      <c r="O329" s="191" t="str">
        <f>'1_BD questio brut'!M329</f>
        <v>Propriétaire occupant</v>
      </c>
      <c r="P329" s="191" t="str">
        <f>'1_BD questio brut'!N329</f>
        <v>Poêle</v>
      </c>
      <c r="Q329" s="191" t="str">
        <f>'1_BD questio brut'!O329</f>
        <v>Chauffage de base</v>
      </c>
      <c r="R329" s="191" t="str">
        <f>'1_BD questio brut'!P329</f>
        <v>Tous les jours</v>
      </c>
      <c r="S329" s="191" t="str">
        <f>'1_BD questio brut'!Q329</f>
        <v>4; 5</v>
      </c>
      <c r="T329" s="191" t="str">
        <f>'1_BD questio brut'!R329</f>
        <v>Avant 1990</v>
      </c>
      <c r="U329" s="191" t="str">
        <f>'1_BD questio brut'!S329</f>
        <v>Bois bûche</v>
      </c>
      <c r="V329" s="191" t="str">
        <f>'1_BD questio brut'!T329</f>
        <v/>
      </c>
      <c r="W329" s="191" t="str">
        <f>'1_BD questio brut'!U329</f>
        <v>5</v>
      </c>
      <c r="X329" s="191" t="str">
        <f>'1_BD questio brut'!V329</f>
        <v>M3</v>
      </c>
      <c r="Y329" s="191" t="str">
        <f>'1_BD questio brut'!W329</f>
        <v>1</v>
      </c>
      <c r="Z329" s="191" t="str">
        <f>'1_BD questio brut'!X329</f>
        <v/>
      </c>
      <c r="AA329" s="191" t="str">
        <f t="array" ref="AA329">INDEX('Données 1_BD questio'!C:C,MATCH('1_BD questio brut'!$Y$1&amp;'1_BD questio brut'!Y329,'Données 1_BD questio'!A:A&amp;'Données 1_BD questio'!B:B,0))</f>
        <v>France hors Rhône-Alpes</v>
      </c>
      <c r="AB329" s="191" t="str">
        <f>'1_BD questio brut'!Z329</f>
        <v>2</v>
      </c>
      <c r="AC329" s="191" t="str">
        <f>'1_BD questio brut'!AA329</f>
        <v>&gt; 2 ans</v>
      </c>
      <c r="AD329" s="191" t="str">
        <f>'1_BD questio brut'!AB329</f>
        <v>Feuillus</v>
      </c>
      <c r="AE329" s="191" t="str">
        <f t="array" ref="AE329">INDEX('Données 1_BD questio'!C:C,MATCH('1_BD questio brut'!$AC$1&amp;'1_BD questio brut'!AC329,'Données 1_BD questio'!A:A&amp;'Données 1_BD questio'!B:B,0))</f>
        <v>vous-même</v>
      </c>
      <c r="AF329" s="191" t="str">
        <f>'1_BD questio brut'!AD329</f>
        <v>2 fois par an</v>
      </c>
      <c r="AG329" s="191" t="str">
        <f>'1_BD questio brut'!AE329</f>
        <v/>
      </c>
      <c r="AH329" s="191" t="str">
        <f>'1_BD questio brut'!AF329</f>
        <v>Poêle</v>
      </c>
      <c r="AI329" s="191" t="str">
        <f>'1_BD questio brut'!AG329</f>
        <v>1</v>
      </c>
      <c r="AJ329" s="191" t="str">
        <f>'1_BD questio brut'!AH329</f>
        <v/>
      </c>
      <c r="AK329" s="191" t="str">
        <f>'1_BD questio brut'!AI329</f>
        <v>Chauffage de base</v>
      </c>
      <c r="AL329" s="191" t="str">
        <f>'1_BD questio brut'!AJ329</f>
        <v>Pas de réponse</v>
      </c>
      <c r="AM329" s="191" t="str">
        <f>'1_BD questio brut'!AK329</f>
        <v>2; 4; 6</v>
      </c>
      <c r="AN329" s="191" t="str">
        <f>'1_BD questio brut'!AL329</f>
        <v>Mon ancien poêlede 40 ans n'est plus aux normes exigées</v>
      </c>
      <c r="AO329" s="191" t="str">
        <f>'1_BD questio brut'!AM329</f>
        <v>11</v>
      </c>
      <c r="AP329" s="191" t="str">
        <f>'1_BD questio brut'!AN329</f>
        <v/>
      </c>
      <c r="AQ329" s="191" t="str">
        <f>'1_BD questio brut'!AO329</f>
        <v/>
      </c>
    </row>
    <row r="330" spans="1:43" ht="43.5" hidden="1">
      <c r="A330" s="98">
        <f>INDEX('3_BD instruction total'!A:A,MATCH(C330,'3_BD instruction total'!F:F,0))</f>
        <v>2022</v>
      </c>
      <c r="B330" s="98" t="str">
        <f>INDEX('3_BD instruction total'!C:C,MATCH(C330,'3_BD instruction total'!F:F,0))</f>
        <v>non</v>
      </c>
      <c r="C330" s="191" t="str">
        <f>'1_BD questio brut'!A330</f>
        <v>VRB0348</v>
      </c>
      <c r="D330" s="191" t="str">
        <f t="array" ref="D330">INDEX('Données 1_BD questio'!C:C,MATCH('1_BD questio brut'!$B$1&amp;'1_BD questio brut'!B330,'Données 1_BD questio'!A:A&amp;'Données 1_BD questio'!B:B,0))</f>
        <v>CAPV</v>
      </c>
      <c r="E330" s="191" t="str">
        <f t="array" ref="E330">INDEX('Données 1_BD questio'!C:C,MATCH('1_BD questio brut'!$C$1&amp;'1_BD questio brut'!C330,'Données 1_BD questio'!A:A&amp;'Données 1_BD questio'!B:B,0))</f>
        <v>Autre,sans activité</v>
      </c>
      <c r="F330" s="191" t="str">
        <f t="array" ref="F330">INDEX('Données 1_BD questio'!C:C,MATCH('1_BD questio brut'!$D$1&amp;'1_BD questio brut'!D330,'Données 1_BD questio'!A:A&amp;'Données 1_BD questio'!B:B,0))</f>
        <v>Employé</v>
      </c>
      <c r="G330" s="191" t="str">
        <f>'1_BD questio brut'!E330</f>
        <v>35 à 49 ans</v>
      </c>
      <c r="H330" s="191">
        <f>'1_BD questio brut'!F330</f>
        <v>4</v>
      </c>
      <c r="I330" s="191" t="str">
        <f>'1_BD questio brut'!G330</f>
        <v>40 000 à 50 000 €</v>
      </c>
      <c r="J330" s="191" t="str">
        <f t="array" ref="J330">INDEX('Données 1_BD questio'!C:C,MATCH('1_BD questio brut'!$H$1&amp;'1_BD questio brut'!H330,'Données 1_BD questio'!A:A&amp;'Données 1_BD questio'!B:B,0))</f>
        <v>Maison avec jardin</v>
      </c>
      <c r="K330" s="191">
        <f>'1_BD questio brut'!I330</f>
        <v>120</v>
      </c>
      <c r="L330" s="191" t="str">
        <f>'1_BD questio brut'!J330</f>
        <v>1975-1990</v>
      </c>
      <c r="M330" s="191" t="str">
        <f>'1_BD questio brut'!K330</f>
        <v>1</v>
      </c>
      <c r="N330" s="191" t="str">
        <f>'1_BD questio brut'!L330</f>
        <v>Pas de réponse</v>
      </c>
      <c r="O330" s="191" t="str">
        <f>'1_BD questio brut'!M330</f>
        <v>Propriétaire occupant</v>
      </c>
      <c r="P330" s="191" t="str">
        <f>'1_BD questio brut'!N330</f>
        <v>Foyer ouvert</v>
      </c>
      <c r="Q330" s="191" t="str">
        <f>'1_BD questio brut'!O330</f>
        <v>Chauffage de base</v>
      </c>
      <c r="R330" s="191" t="str">
        <f>'1_BD questio brut'!P330</f>
        <v>Tous les jours</v>
      </c>
      <c r="S330" s="191" t="str">
        <f>'1_BD questio brut'!Q330</f>
        <v>4</v>
      </c>
      <c r="T330" s="191" t="str">
        <f>'1_BD questio brut'!R330</f>
        <v>Avant 1990</v>
      </c>
      <c r="U330" s="191" t="str">
        <f>'1_BD questio brut'!S330</f>
        <v>Bois bûche</v>
      </c>
      <c r="V330" s="191" t="str">
        <f>'1_BD questio brut'!T330</f>
        <v/>
      </c>
      <c r="W330" s="191" t="str">
        <f>'1_BD questio brut'!U330</f>
        <v>5</v>
      </c>
      <c r="X330" s="191" t="str">
        <f>'1_BD questio brut'!V330</f>
        <v>Stères</v>
      </c>
      <c r="Y330" s="191" t="str">
        <f>'1_BD questio brut'!W330</f>
        <v>2</v>
      </c>
      <c r="Z330" s="191" t="str">
        <f>'1_BD questio brut'!X330</f>
        <v/>
      </c>
      <c r="AA330" s="191" t="str">
        <f t="array" ref="AA330">INDEX('Données 1_BD questio'!C:C,MATCH('1_BD questio brut'!$Y$1&amp;'1_BD questio brut'!Y330,'Données 1_BD questio'!A:A&amp;'Données 1_BD questio'!B:B,0))</f>
        <v>Rhône-Alpes hors RA2B</v>
      </c>
      <c r="AB330" s="191" t="str">
        <f>'1_BD questio brut'!Z330</f>
        <v>2</v>
      </c>
      <c r="AC330" s="191" t="str">
        <f>'1_BD questio brut'!AA330</f>
        <v>1 à 2 ans</v>
      </c>
      <c r="AD330" s="191" t="str">
        <f>'1_BD questio brut'!AB330</f>
        <v>Les deux</v>
      </c>
      <c r="AE330" s="191" t="str">
        <f t="array" ref="AE330">INDEX('Données 1_BD questio'!C:C,MATCH('1_BD questio brut'!$AC$1&amp;'1_BD questio brut'!AC330,'Données 1_BD questio'!A:A&amp;'Données 1_BD questio'!B:B,0))</f>
        <v>un professionnel</v>
      </c>
      <c r="AF330" s="191" t="str">
        <f>'1_BD questio brut'!AD330</f>
        <v>1 fois par an</v>
      </c>
      <c r="AG330" s="191" t="str">
        <f>'1_BD questio brut'!AE330</f>
        <v/>
      </c>
      <c r="AH330" s="191" t="str">
        <f>'1_BD questio brut'!AF330</f>
        <v>Poêle</v>
      </c>
      <c r="AI330" s="191" t="str">
        <f>'1_BD questio brut'!AG330</f>
        <v>2</v>
      </c>
      <c r="AJ330" s="191" t="str">
        <f>'1_BD questio brut'!AH330</f>
        <v/>
      </c>
      <c r="AK330" s="191" t="str">
        <f>'1_BD questio brut'!AI330</f>
        <v>Chauffage de base</v>
      </c>
      <c r="AL330" s="191" t="str">
        <f>'1_BD questio brut'!AJ330</f>
        <v>Pas de réponse</v>
      </c>
      <c r="AM330" s="191" t="str">
        <f>'1_BD questio brut'!AK330</f>
        <v>4</v>
      </c>
      <c r="AN330" s="191" t="str">
        <f>'1_BD questio brut'!AL330</f>
        <v/>
      </c>
      <c r="AO330" s="191" t="str">
        <f>'1_BD questio brut'!AM330</f>
        <v>1</v>
      </c>
      <c r="AP330" s="191" t="str">
        <f>'1_BD questio brut'!AN330</f>
        <v/>
      </c>
      <c r="AQ330" s="191" t="str">
        <f>'1_BD questio brut'!AO330</f>
        <v/>
      </c>
    </row>
    <row r="331" spans="1:43" ht="29" hidden="1">
      <c r="A331" s="98">
        <f>INDEX('3_BD instruction total'!A:A,MATCH(C331,'3_BD instruction total'!F:F,0))</f>
        <v>2022</v>
      </c>
      <c r="B331" s="98" t="str">
        <f>INDEX('3_BD instruction total'!C:C,MATCH(C331,'3_BD instruction total'!F:F,0))</f>
        <v>non</v>
      </c>
      <c r="C331" s="191" t="str">
        <f>'1_BD questio brut'!A331</f>
        <v>VRB0350</v>
      </c>
      <c r="D331" s="191" t="str">
        <f t="array" ref="D331">INDEX('Données 1_BD questio'!C:C,MATCH('1_BD questio brut'!$B$1&amp;'1_BD questio brut'!B331,'Données 1_BD questio'!A:A&amp;'Données 1_BD questio'!B:B,0))</f>
        <v>CAPV</v>
      </c>
      <c r="E331" s="191" t="str">
        <f t="array" ref="E331">INDEX('Données 1_BD questio'!C:C,MATCH('1_BD questio brut'!$C$1&amp;'1_BD questio brut'!C331,'Données 1_BD questio'!A:A&amp;'Données 1_BD questio'!B:B,0))</f>
        <v>Employé</v>
      </c>
      <c r="F331" s="191" t="str">
        <f t="array" ref="F331">INDEX('Données 1_BD questio'!C:C,MATCH('1_BD questio brut'!$D$1&amp;'1_BD questio brut'!D331,'Données 1_BD questio'!A:A&amp;'Données 1_BD questio'!B:B,0))</f>
        <v>Employé</v>
      </c>
      <c r="G331" s="191" t="str">
        <f>'1_BD questio brut'!E331</f>
        <v>50 à 64 ans</v>
      </c>
      <c r="H331" s="191">
        <f>'1_BD questio brut'!F331</f>
        <v>2</v>
      </c>
      <c r="I331" s="191" t="str">
        <f>'1_BD questio brut'!G331</f>
        <v>60 000 à 70 000 €</v>
      </c>
      <c r="J331" s="191" t="str">
        <f t="array" ref="J331">INDEX('Données 1_BD questio'!C:C,MATCH('1_BD questio brut'!$H$1&amp;'1_BD questio brut'!H331,'Données 1_BD questio'!A:A&amp;'Données 1_BD questio'!B:B,0))</f>
        <v>Maison avec jardin</v>
      </c>
      <c r="K331" s="191">
        <f>'1_BD questio brut'!I331</f>
        <v>0</v>
      </c>
      <c r="L331" s="191" t="str">
        <f>'1_BD questio brut'!J331</f>
        <v>Avant 1949</v>
      </c>
      <c r="M331" s="191" t="str">
        <f>'1_BD questio brut'!K331</f>
        <v>6</v>
      </c>
      <c r="N331" s="191" t="str">
        <f>'1_BD questio brut'!L331</f>
        <v>Pas de réponse</v>
      </c>
      <c r="O331" s="191" t="str">
        <f>'1_BD questio brut'!M331</f>
        <v>Propriétaire occupant</v>
      </c>
      <c r="P331" s="191" t="str">
        <f>'1_BD questio brut'!N331</f>
        <v>Poêle</v>
      </c>
      <c r="Q331" s="191" t="str">
        <f>'1_BD questio brut'!O331</f>
        <v>Chauffage d'apoint</v>
      </c>
      <c r="R331" s="191" t="str">
        <f>'1_BD questio brut'!P331</f>
        <v>Pas de réponse</v>
      </c>
      <c r="S331" s="191" t="str">
        <f>'1_BD questio brut'!Q331</f>
        <v>2; 3</v>
      </c>
      <c r="T331" s="191" t="str">
        <f>'1_BD questio brut'!R331</f>
        <v>1990-1995</v>
      </c>
      <c r="U331" s="191" t="str">
        <f>'1_BD questio brut'!S331</f>
        <v>Bois bûche</v>
      </c>
      <c r="V331" s="191" t="str">
        <f>'1_BD questio brut'!T331</f>
        <v/>
      </c>
      <c r="W331" s="191" t="str">
        <f>'1_BD questio brut'!U331</f>
        <v>0</v>
      </c>
      <c r="X331" s="191" t="str">
        <f>'1_BD questio brut'!V331</f>
        <v/>
      </c>
      <c r="Y331" s="191" t="str">
        <f>'1_BD questio brut'!W331</f>
        <v>1; 2</v>
      </c>
      <c r="Z331" s="191" t="str">
        <f>'1_BD questio brut'!X331</f>
        <v/>
      </c>
      <c r="AA331" s="191" t="str">
        <f t="array" ref="AA331">INDEX('Données 1_BD questio'!C:C,MATCH('1_BD questio brut'!$Y$1&amp;'1_BD questio brut'!Y331,'Données 1_BD questio'!A:A&amp;'Données 1_BD questio'!B:B,0))</f>
        <v>Ne sait pas</v>
      </c>
      <c r="AB331" s="191" t="str">
        <f>'1_BD questio brut'!Z331</f>
        <v>2</v>
      </c>
      <c r="AC331" s="191" t="str">
        <f>'1_BD questio brut'!AA331</f>
        <v>1 à 2 ans</v>
      </c>
      <c r="AD331" s="191" t="str">
        <f>'1_BD questio brut'!AB331</f>
        <v>Les deux</v>
      </c>
      <c r="AE331" s="191" t="e">
        <f t="array" ref="AE331">INDEX('Données 1_BD questio'!C:C,MATCH('1_BD questio brut'!$AC$1&amp;'1_BD questio brut'!AC331,'Données 1_BD questio'!A:A&amp;'Données 1_BD questio'!B:B,0))</f>
        <v>#N/A</v>
      </c>
      <c r="AF331" s="191" t="str">
        <f>'1_BD questio brut'!AD331</f>
        <v>1 fois tous les 2 ans</v>
      </c>
      <c r="AG331" s="191" t="str">
        <f>'1_BD questio brut'!AE331</f>
        <v/>
      </c>
      <c r="AH331" s="191" t="str">
        <f>'1_BD questio brut'!AF331</f>
        <v>Poêle</v>
      </c>
      <c r="AI331" s="191" t="str">
        <f>'1_BD questio brut'!AG331</f>
        <v>1</v>
      </c>
      <c r="AJ331" s="191" t="str">
        <f>'1_BD questio brut'!AH331</f>
        <v/>
      </c>
      <c r="AK331" s="191" t="str">
        <f>'1_BD questio brut'!AI331</f>
        <v>Chauffage d'appoint</v>
      </c>
      <c r="AL331" s="191" t="str">
        <f>'1_BD questio brut'!AJ331</f>
        <v>Pas de réponse</v>
      </c>
      <c r="AM331" s="191" t="str">
        <f>'1_BD questio brut'!AK331</f>
        <v>4</v>
      </c>
      <c r="AN331" s="191" t="str">
        <f>'1_BD questio brut'!AL331</f>
        <v/>
      </c>
      <c r="AO331" s="191" t="str">
        <f>'1_BD questio brut'!AM331</f>
        <v>5</v>
      </c>
      <c r="AP331" s="191" t="str">
        <f>'1_BD questio brut'!AN331</f>
        <v/>
      </c>
      <c r="AQ331" s="191" t="str">
        <f>'1_BD questio brut'!AO331</f>
        <v/>
      </c>
    </row>
    <row r="332" spans="1:43" ht="29" hidden="1">
      <c r="A332" s="98">
        <f>INDEX('3_BD instruction total'!A:A,MATCH(C332,'3_BD instruction total'!F:F,0))</f>
        <v>2022</v>
      </c>
      <c r="B332" s="98" t="str">
        <f>INDEX('3_BD instruction total'!C:C,MATCH(C332,'3_BD instruction total'!F:F,0))</f>
        <v>non</v>
      </c>
      <c r="C332" s="191" t="str">
        <f>'1_BD questio brut'!A332</f>
        <v>VRB0351</v>
      </c>
      <c r="D332" s="191" t="str">
        <f t="array" ref="D332">INDEX('Données 1_BD questio'!C:C,MATCH('1_BD questio brut'!$B$1&amp;'1_BD questio brut'!B332,'Données 1_BD questio'!A:A&amp;'Données 1_BD questio'!B:B,0))</f>
        <v>CAPV</v>
      </c>
      <c r="E332" s="191" t="str">
        <f t="array" ref="E332">INDEX('Données 1_BD questio'!C:C,MATCH('1_BD questio brut'!$C$1&amp;'1_BD questio brut'!C332,'Données 1_BD questio'!A:A&amp;'Données 1_BD questio'!B:B,0))</f>
        <v>Retraité</v>
      </c>
      <c r="F332" s="191" t="str">
        <f t="array" ref="F332">INDEX('Données 1_BD questio'!C:C,MATCH('1_BD questio brut'!$D$1&amp;'1_BD questio brut'!D332,'Données 1_BD questio'!A:A&amp;'Données 1_BD questio'!B:B,0))</f>
        <v>Retraité</v>
      </c>
      <c r="G332" s="191" t="str">
        <f>'1_BD questio brut'!E332</f>
        <v>65 ans et plus</v>
      </c>
      <c r="H332" s="191">
        <f>'1_BD questio brut'!F332</f>
        <v>2</v>
      </c>
      <c r="I332" s="191" t="str">
        <f>'1_BD questio brut'!G332</f>
        <v>40 000 à 50 000 €</v>
      </c>
      <c r="J332" s="191" t="str">
        <f t="array" ref="J332">INDEX('Données 1_BD questio'!C:C,MATCH('1_BD questio brut'!$H$1&amp;'1_BD questio brut'!H332,'Données 1_BD questio'!A:A&amp;'Données 1_BD questio'!B:B,0))</f>
        <v>Maison avec jardin</v>
      </c>
      <c r="K332" s="191">
        <f>'1_BD questio brut'!I332</f>
        <v>100</v>
      </c>
      <c r="L332" s="191" t="str">
        <f>'1_BD questio brut'!J332</f>
        <v>1975-1990</v>
      </c>
      <c r="M332" s="191" t="str">
        <f>'1_BD questio brut'!K332</f>
        <v>1; 4</v>
      </c>
      <c r="N332" s="191" t="str">
        <f>'1_BD questio brut'!L332</f>
        <v>Pas de réponse</v>
      </c>
      <c r="O332" s="191" t="str">
        <f>'1_BD questio brut'!M332</f>
        <v>Propriétaire occupant</v>
      </c>
      <c r="P332" s="191" t="str">
        <f>'1_BD questio brut'!N332</f>
        <v>Insert / foyer fermé</v>
      </c>
      <c r="Q332" s="191" t="str">
        <f>'1_BD questio brut'!O332</f>
        <v>Chauffage d'apoint</v>
      </c>
      <c r="R332" s="191" t="str">
        <f>'1_BD questio brut'!P332</f>
        <v>Tous les jours</v>
      </c>
      <c r="S332" s="191" t="str">
        <f>'1_BD questio brut'!Q332</f>
        <v>4</v>
      </c>
      <c r="T332" s="191" t="str">
        <f>'1_BD questio brut'!R332</f>
        <v>Avant 1990</v>
      </c>
      <c r="U332" s="191" t="str">
        <f>'1_BD questio brut'!S332</f>
        <v>Bois bûche</v>
      </c>
      <c r="V332" s="191" t="str">
        <f>'1_BD questio brut'!T332</f>
        <v/>
      </c>
      <c r="W332" s="191" t="str">
        <f>'1_BD questio brut'!U332</f>
        <v>6</v>
      </c>
      <c r="X332" s="191" t="str">
        <f>'1_BD questio brut'!V332</f>
        <v>stère</v>
      </c>
      <c r="Y332" s="191" t="str">
        <f>'1_BD questio brut'!W332</f>
        <v>2</v>
      </c>
      <c r="Z332" s="191" t="str">
        <f>'1_BD questio brut'!X332</f>
        <v/>
      </c>
      <c r="AA332" s="191" t="str">
        <f t="array" ref="AA332">INDEX('Données 1_BD questio'!C:C,MATCH('1_BD questio brut'!$Y$1&amp;'1_BD questio brut'!Y332,'Données 1_BD questio'!A:A&amp;'Données 1_BD questio'!B:B,0))</f>
        <v>Ne sait pas</v>
      </c>
      <c r="AB332" s="191" t="str">
        <f>'1_BD questio brut'!Z332</f>
        <v>2</v>
      </c>
      <c r="AC332" s="191" t="str">
        <f>'1_BD questio brut'!AA332</f>
        <v>1 à 2 ans</v>
      </c>
      <c r="AD332" s="191" t="str">
        <f>'1_BD questio brut'!AB332</f>
        <v>Feuillus</v>
      </c>
      <c r="AE332" s="191" t="str">
        <f t="array" ref="AE332">INDEX('Données 1_BD questio'!C:C,MATCH('1_BD questio brut'!$AC$1&amp;'1_BD questio brut'!AC332,'Données 1_BD questio'!A:A&amp;'Données 1_BD questio'!B:B,0))</f>
        <v>vous-même</v>
      </c>
      <c r="AF332" s="191" t="str">
        <f>'1_BD questio brut'!AD332</f>
        <v>2 fois par an</v>
      </c>
      <c r="AG332" s="191" t="str">
        <f>'1_BD questio brut'!AE332</f>
        <v/>
      </c>
      <c r="AH332" s="191" t="str">
        <f>'1_BD questio brut'!AF332</f>
        <v>Poêle</v>
      </c>
      <c r="AI332" s="191" t="str">
        <f>'1_BD questio brut'!AG332</f>
        <v>2</v>
      </c>
      <c r="AJ332" s="191" t="str">
        <f>'1_BD questio brut'!AH332</f>
        <v/>
      </c>
      <c r="AK332" s="191" t="str">
        <f>'1_BD questio brut'!AI332</f>
        <v>Chauffage de base</v>
      </c>
      <c r="AL332" s="191" t="str">
        <f>'1_BD questio brut'!AJ332</f>
        <v>Pas de réponse</v>
      </c>
      <c r="AM332" s="191" t="str">
        <f>'1_BD questio brut'!AK332</f>
        <v>1; 2; 4; 5</v>
      </c>
      <c r="AN332" s="191" t="str">
        <f>'1_BD questio brut'!AL332</f>
        <v/>
      </c>
      <c r="AO332" s="191" t="str">
        <f>'1_BD questio brut'!AM332</f>
        <v>5</v>
      </c>
      <c r="AP332" s="191" t="str">
        <f>'1_BD questio brut'!AN332</f>
        <v/>
      </c>
      <c r="AQ332" s="191" t="str">
        <f>'1_BD questio brut'!AO332</f>
        <v/>
      </c>
    </row>
    <row r="333" spans="1:43" ht="72.5" hidden="1">
      <c r="A333" s="98">
        <f>INDEX('3_BD instruction total'!A:A,MATCH(C333,'3_BD instruction total'!F:F,0))</f>
        <v>2022</v>
      </c>
      <c r="B333" s="98" t="str">
        <f>INDEX('3_BD instruction total'!C:C,MATCH(C333,'3_BD instruction total'!F:F,0))</f>
        <v>non</v>
      </c>
      <c r="C333" s="191" t="str">
        <f>'1_BD questio brut'!A333</f>
        <v>VRB0352</v>
      </c>
      <c r="D333" s="191" t="str">
        <f t="array" ref="D333">INDEX('Données 1_BD questio'!C:C,MATCH('1_BD questio brut'!$B$1&amp;'1_BD questio brut'!B333,'Données 1_BD questio'!A:A&amp;'Données 1_BD questio'!B:B,0))</f>
        <v>CAPV</v>
      </c>
      <c r="E333" s="191" t="str">
        <f t="array" ref="E333">INDEX('Données 1_BD questio'!C:C,MATCH('1_BD questio brut'!$C$1&amp;'1_BD questio brut'!C333,'Données 1_BD questio'!A:A&amp;'Données 1_BD questio'!B:B,0))</f>
        <v>Retraité</v>
      </c>
      <c r="F333" s="191" t="str">
        <f t="array" ref="F333">INDEX('Données 1_BD questio'!C:C,MATCH('1_BD questio brut'!$D$1&amp;'1_BD questio brut'!D333,'Données 1_BD questio'!A:A&amp;'Données 1_BD questio'!B:B,0))</f>
        <v>Pas de réponse</v>
      </c>
      <c r="G333" s="191" t="str">
        <f>'1_BD questio brut'!E333</f>
        <v>65 ans et plus</v>
      </c>
      <c r="H333" s="191">
        <f>'1_BD questio brut'!F333</f>
        <v>1</v>
      </c>
      <c r="I333" s="191" t="str">
        <f>'1_BD questio brut'!G333</f>
        <v>Moins de 20 000 €</v>
      </c>
      <c r="J333" s="191" t="str">
        <f t="array" ref="J333">INDEX('Données 1_BD questio'!C:C,MATCH('1_BD questio brut'!$H$1&amp;'1_BD questio brut'!H333,'Données 1_BD questio'!A:A&amp;'Données 1_BD questio'!B:B,0))</f>
        <v>Maison avec jardin</v>
      </c>
      <c r="K333" s="191">
        <f>'1_BD questio brut'!I333</f>
        <v>150</v>
      </c>
      <c r="L333" s="191" t="str">
        <f>'1_BD questio brut'!J333</f>
        <v>Avant 1949</v>
      </c>
      <c r="M333" s="191" t="str">
        <f>'1_BD questio brut'!K333</f>
        <v>1; 2; 4</v>
      </c>
      <c r="N333" s="191" t="str">
        <f>'1_BD questio brut'!L333</f>
        <v>Pas de réponse</v>
      </c>
      <c r="O333" s="191" t="str">
        <f>'1_BD questio brut'!M333</f>
        <v>Propriétaire occupant</v>
      </c>
      <c r="P333" s="191" t="str">
        <f>'1_BD questio brut'!N333</f>
        <v>Foyer ouvert</v>
      </c>
      <c r="Q333" s="191" t="str">
        <f>'1_BD questio brut'!O333</f>
        <v>Chauffage d'apoint</v>
      </c>
      <c r="R333" s="191" t="str">
        <f>'1_BD questio brut'!P333</f>
        <v>1 à 2 jours/semaine</v>
      </c>
      <c r="S333" s="191" t="str">
        <f>'1_BD questio brut'!Q333</f>
        <v>2</v>
      </c>
      <c r="T333" s="191" t="str">
        <f>'1_BD questio brut'!R333</f>
        <v>Avant 1990</v>
      </c>
      <c r="U333" s="191" t="str">
        <f>'1_BD questio brut'!S333</f>
        <v>Bois bûche</v>
      </c>
      <c r="V333" s="191" t="str">
        <f>'1_BD questio brut'!T333</f>
        <v/>
      </c>
      <c r="W333" s="191" t="str">
        <f>'1_BD questio brut'!U333</f>
        <v>1</v>
      </c>
      <c r="X333" s="191" t="str">
        <f>'1_BD questio brut'!V333</f>
        <v>Stère</v>
      </c>
      <c r="Y333" s="191" t="str">
        <f>'1_BD questio brut'!W333</f>
        <v>1</v>
      </c>
      <c r="Z333" s="191" t="str">
        <f>'1_BD questio brut'!X333</f>
        <v/>
      </c>
      <c r="AA333" s="191" t="str">
        <f t="array" ref="AA333">INDEX('Données 1_BD questio'!C:C,MATCH('1_BD questio brut'!$Y$1&amp;'1_BD questio brut'!Y333,'Données 1_BD questio'!A:A&amp;'Données 1_BD questio'!B:B,0))</f>
        <v>Ne sait pas</v>
      </c>
      <c r="AB333" s="191" t="str">
        <f>'1_BD questio brut'!Z333</f>
        <v>2</v>
      </c>
      <c r="AC333" s="191" t="str">
        <f>'1_BD questio brut'!AA333</f>
        <v>1 à 2 ans</v>
      </c>
      <c r="AD333" s="191" t="str">
        <f>'1_BD questio brut'!AB333</f>
        <v>Les deux</v>
      </c>
      <c r="AE333" s="191" t="str">
        <f t="array" ref="AE333">INDEX('Données 1_BD questio'!C:C,MATCH('1_BD questio brut'!$AC$1&amp;'1_BD questio brut'!AC333,'Données 1_BD questio'!A:A&amp;'Données 1_BD questio'!B:B,0))</f>
        <v>un professionnel</v>
      </c>
      <c r="AF333" s="191" t="str">
        <f>'1_BD questio brut'!AD333</f>
        <v>1 fois par an</v>
      </c>
      <c r="AG333" s="191" t="str">
        <f>'1_BD questio brut'!AE333</f>
        <v/>
      </c>
      <c r="AH333" s="191" t="str">
        <f>'1_BD questio brut'!AF333</f>
        <v>Poêle</v>
      </c>
      <c r="AI333" s="191" t="str">
        <f>'1_BD questio brut'!AG333</f>
        <v>2</v>
      </c>
      <c r="AJ333" s="191" t="str">
        <f>'1_BD questio brut'!AH333</f>
        <v/>
      </c>
      <c r="AK333" s="191" t="str">
        <f>'1_BD questio brut'!AI333</f>
        <v>Chauffage d'appoint</v>
      </c>
      <c r="AL333" s="191" t="str">
        <f>'1_BD questio brut'!AJ333</f>
        <v>Pas de réponse</v>
      </c>
      <c r="AM333" s="191" t="str">
        <f>'1_BD questio brut'!AK333</f>
        <v>2; 4; 5</v>
      </c>
      <c r="AN333" s="191" t="str">
        <f>'1_BD questio brut'!AL333</f>
        <v>Diminuez ma conso de fioul de mon chauffage principal</v>
      </c>
      <c r="AO333" s="191" t="str">
        <f>'1_BD questio brut'!AM333</f>
        <v>7</v>
      </c>
      <c r="AP333" s="191" t="str">
        <f>'1_BD questio brut'!AN333</f>
        <v/>
      </c>
      <c r="AQ333" s="191" t="str">
        <f>'1_BD questio brut'!AO333</f>
        <v/>
      </c>
    </row>
    <row r="334" spans="1:43" ht="43.5" hidden="1">
      <c r="A334" s="98">
        <f>INDEX('3_BD instruction total'!A:A,MATCH(C334,'3_BD instruction total'!F:F,0))</f>
        <v>2022</v>
      </c>
      <c r="B334" s="98" t="str">
        <f>INDEX('3_BD instruction total'!C:C,MATCH(C334,'3_BD instruction total'!F:F,0))</f>
        <v>non</v>
      </c>
      <c r="C334" s="191" t="str">
        <f>'1_BD questio brut'!A334</f>
        <v>VRB0354</v>
      </c>
      <c r="D334" s="191" t="str">
        <f t="array" ref="D334">INDEX('Données 1_BD questio'!C:C,MATCH('1_BD questio brut'!$B$1&amp;'1_BD questio brut'!B334,'Données 1_BD questio'!A:A&amp;'Données 1_BD questio'!B:B,0))</f>
        <v>CAPV</v>
      </c>
      <c r="E334" s="191" t="str">
        <f t="array" ref="E334">INDEX('Données 1_BD questio'!C:C,MATCH('1_BD questio brut'!$C$1&amp;'1_BD questio brut'!C334,'Données 1_BD questio'!A:A&amp;'Données 1_BD questio'!B:B,0))</f>
        <v>Retraité</v>
      </c>
      <c r="F334" s="191" t="str">
        <f t="array" ref="F334">INDEX('Données 1_BD questio'!C:C,MATCH('1_BD questio brut'!$D$1&amp;'1_BD questio brut'!D334,'Données 1_BD questio'!A:A&amp;'Données 1_BD questio'!B:B,0))</f>
        <v>Pas de réponse</v>
      </c>
      <c r="G334" s="191" t="str">
        <f>'1_BD questio brut'!E334</f>
        <v>50 à 64 ans</v>
      </c>
      <c r="H334" s="191">
        <f>'1_BD questio brut'!F334</f>
        <v>2</v>
      </c>
      <c r="I334" s="191" t="str">
        <f>'1_BD questio brut'!G334</f>
        <v>Moins de 20 000 €</v>
      </c>
      <c r="J334" s="191" t="str">
        <f t="array" ref="J334">INDEX('Données 1_BD questio'!C:C,MATCH('1_BD questio brut'!$H$1&amp;'1_BD questio brut'!H334,'Données 1_BD questio'!A:A&amp;'Données 1_BD questio'!B:B,0))</f>
        <v>Maison avec jardin</v>
      </c>
      <c r="K334" s="191">
        <f>'1_BD questio brut'!I334</f>
        <v>85</v>
      </c>
      <c r="L334" s="191" t="str">
        <f>'1_BD questio brut'!J334</f>
        <v>Avant 1949</v>
      </c>
      <c r="M334" s="191" t="str">
        <f>'1_BD questio brut'!K334</f>
        <v>6</v>
      </c>
      <c r="N334" s="191" t="str">
        <f>'1_BD questio brut'!L334</f>
        <v>F</v>
      </c>
      <c r="O334" s="191" t="str">
        <f>'1_BD questio brut'!M334</f>
        <v>Propriétaire occupant</v>
      </c>
      <c r="P334" s="191" t="str">
        <f>'1_BD questio brut'!N334</f>
        <v>Foyer ouvert</v>
      </c>
      <c r="Q334" s="191" t="str">
        <f>'1_BD questio brut'!O334</f>
        <v>Chauffage d'apoint</v>
      </c>
      <c r="R334" s="191" t="str">
        <f>'1_BD questio brut'!P334</f>
        <v>3 à 4 jours/semaine</v>
      </c>
      <c r="S334" s="191" t="str">
        <f>'1_BD questio brut'!Q334</f>
        <v>4</v>
      </c>
      <c r="T334" s="191" t="str">
        <f>'1_BD questio brut'!R334</f>
        <v>Avant 1990</v>
      </c>
      <c r="U334" s="191" t="str">
        <f>'1_BD questio brut'!S334</f>
        <v>Bois bûche</v>
      </c>
      <c r="V334" s="191" t="str">
        <f>'1_BD questio brut'!T334</f>
        <v/>
      </c>
      <c r="W334" s="191" t="str">
        <f>'1_BD questio brut'!U334</f>
        <v>7</v>
      </c>
      <c r="X334" s="191" t="str">
        <f>'1_BD questio brut'!V334</f>
        <v>stère</v>
      </c>
      <c r="Y334" s="191" t="str">
        <f>'1_BD questio brut'!W334</f>
        <v>2</v>
      </c>
      <c r="Z334" s="191" t="str">
        <f>'1_BD questio brut'!X334</f>
        <v/>
      </c>
      <c r="AA334" s="191" t="str">
        <f t="array" ref="AA334">INDEX('Données 1_BD questio'!C:C,MATCH('1_BD questio brut'!$Y$1&amp;'1_BD questio brut'!Y334,'Données 1_BD questio'!A:A&amp;'Données 1_BD questio'!B:B,0))</f>
        <v>Ne sait pas</v>
      </c>
      <c r="AB334" s="191" t="str">
        <f>'1_BD questio brut'!Z334</f>
        <v>2</v>
      </c>
      <c r="AC334" s="191" t="str">
        <f>'1_BD questio brut'!AA334</f>
        <v>&gt; 2 ans</v>
      </c>
      <c r="AD334" s="191" t="str">
        <f>'1_BD questio brut'!AB334</f>
        <v>Feuillus</v>
      </c>
      <c r="AE334" s="191" t="str">
        <f t="array" ref="AE334">INDEX('Données 1_BD questio'!C:C,MATCH('1_BD questio brut'!$AC$1&amp;'1_BD questio brut'!AC334,'Données 1_BD questio'!A:A&amp;'Données 1_BD questio'!B:B,0))</f>
        <v>un professionnel</v>
      </c>
      <c r="AF334" s="191" t="str">
        <f>'1_BD questio brut'!AD334</f>
        <v>2 fois par an</v>
      </c>
      <c r="AG334" s="191" t="str">
        <f>'1_BD questio brut'!AE334</f>
        <v/>
      </c>
      <c r="AH334" s="191" t="str">
        <f>'1_BD questio brut'!AF334</f>
        <v>Poêle</v>
      </c>
      <c r="AI334" s="191" t="str">
        <f>'1_BD questio brut'!AG334</f>
        <v>1</v>
      </c>
      <c r="AJ334" s="191" t="str">
        <f>'1_BD questio brut'!AH334</f>
        <v/>
      </c>
      <c r="AK334" s="191" t="str">
        <f>'1_BD questio brut'!AI334</f>
        <v>Chauffage d'appoint</v>
      </c>
      <c r="AL334" s="191" t="str">
        <f>'1_BD questio brut'!AJ334</f>
        <v>Pas de réponse</v>
      </c>
      <c r="AM334" s="191" t="str">
        <f>'1_BD questio brut'!AK334</f>
        <v>4</v>
      </c>
      <c r="AN334" s="191" t="str">
        <f>'1_BD questio brut'!AL334</f>
        <v/>
      </c>
      <c r="AO334" s="191" t="str">
        <f>'1_BD questio brut'!AM334</f>
        <v>7</v>
      </c>
      <c r="AP334" s="191" t="str">
        <f>'1_BD questio brut'!AN334</f>
        <v/>
      </c>
      <c r="AQ334" s="191" t="str">
        <f>'1_BD questio brut'!AO334</f>
        <v/>
      </c>
    </row>
    <row r="335" spans="1:43" ht="43.5" hidden="1">
      <c r="A335" s="98">
        <f>INDEX('3_BD instruction total'!A:A,MATCH(C335,'3_BD instruction total'!F:F,0))</f>
        <v>2022</v>
      </c>
      <c r="B335" s="98" t="str">
        <f>INDEX('3_BD instruction total'!C:C,MATCH(C335,'3_BD instruction total'!F:F,0))</f>
        <v>non</v>
      </c>
      <c r="C335" s="191" t="str">
        <f>'1_BD questio brut'!A335</f>
        <v>VRB0355</v>
      </c>
      <c r="D335" s="191" t="str">
        <f t="array" ref="D335">INDEX('Données 1_BD questio'!C:C,MATCH('1_BD questio brut'!$B$1&amp;'1_BD questio brut'!B335,'Données 1_BD questio'!A:A&amp;'Données 1_BD questio'!B:B,0))</f>
        <v>CAPV</v>
      </c>
      <c r="E335" s="191" t="str">
        <f t="array" ref="E335">INDEX('Données 1_BD questio'!C:C,MATCH('1_BD questio brut'!$C$1&amp;'1_BD questio brut'!C335,'Données 1_BD questio'!A:A&amp;'Données 1_BD questio'!B:B,0))</f>
        <v>Artisan,commerçant,chef d'entreprise</v>
      </c>
      <c r="F335" s="191" t="str">
        <f t="array" ref="F335">INDEX('Données 1_BD questio'!C:C,MATCH('1_BD questio brut'!$D$1&amp;'1_BD questio brut'!D335,'Données 1_BD questio'!A:A&amp;'Données 1_BD questio'!B:B,0))</f>
        <v>Pas de réponse</v>
      </c>
      <c r="G335" s="191" t="str">
        <f>'1_BD questio brut'!E335</f>
        <v>35 à 49 ans</v>
      </c>
      <c r="H335" s="191">
        <f>'1_BD questio brut'!F335</f>
        <v>3</v>
      </c>
      <c r="I335" s="191" t="str">
        <f>'1_BD questio brut'!G335</f>
        <v>50 000 à 60 000 €</v>
      </c>
      <c r="J335" s="191" t="str">
        <f t="array" ref="J335">INDEX('Données 1_BD questio'!C:C,MATCH('1_BD questio brut'!$H$1&amp;'1_BD questio brut'!H335,'Données 1_BD questio'!A:A&amp;'Données 1_BD questio'!B:B,0))</f>
        <v>Maison avec jardin</v>
      </c>
      <c r="K335" s="191">
        <f>'1_BD questio brut'!I335</f>
        <v>144</v>
      </c>
      <c r="L335" s="191" t="str">
        <f>'1_BD questio brut'!J335</f>
        <v>1949-1975</v>
      </c>
      <c r="M335" s="191" t="str">
        <f>'1_BD questio brut'!K335</f>
        <v>1; 3; 4</v>
      </c>
      <c r="N335" s="191" t="str">
        <f>'1_BD questio brut'!L335</f>
        <v>Pas de réponse</v>
      </c>
      <c r="O335" s="191" t="str">
        <f>'1_BD questio brut'!M335</f>
        <v>Propriétaire occupant</v>
      </c>
      <c r="P335" s="191" t="str">
        <f>'1_BD questio brut'!N335</f>
        <v>Foyer ouvert</v>
      </c>
      <c r="Q335" s="191" t="str">
        <f>'1_BD questio brut'!O335</f>
        <v>Chauffage d'apoint</v>
      </c>
      <c r="R335" s="191" t="str">
        <f>'1_BD questio brut'!P335</f>
        <v>3 à 4 jours/semaine</v>
      </c>
      <c r="S335" s="191" t="str">
        <f>'1_BD questio brut'!Q335</f>
        <v>2</v>
      </c>
      <c r="T335" s="191" t="str">
        <f>'1_BD questio brut'!R335</f>
        <v>Avant 1990</v>
      </c>
      <c r="U335" s="191" t="str">
        <f>'1_BD questio brut'!S335</f>
        <v>Pas de réponse</v>
      </c>
      <c r="V335" s="191" t="str">
        <f>'1_BD questio brut'!T335</f>
        <v/>
      </c>
      <c r="W335" s="191" t="str">
        <f>'1_BD questio brut'!U335</f>
        <v>4</v>
      </c>
      <c r="X335" s="191" t="str">
        <f>'1_BD questio brut'!V335</f>
        <v>Stères</v>
      </c>
      <c r="Y335" s="191" t="str">
        <f>'1_BD questio brut'!W335</f>
        <v>1</v>
      </c>
      <c r="Z335" s="191" t="str">
        <f>'1_BD questio brut'!X335</f>
        <v/>
      </c>
      <c r="AA335" s="191" t="str">
        <f t="array" ref="AA335">INDEX('Données 1_BD questio'!C:C,MATCH('1_BD questio brut'!$Y$1&amp;'1_BD questio brut'!Y335,'Données 1_BD questio'!A:A&amp;'Données 1_BD questio'!B:B,0))</f>
        <v>Pas de réponse</v>
      </c>
      <c r="AB335" s="191" t="str">
        <f>'1_BD questio brut'!Z335</f>
        <v>2</v>
      </c>
      <c r="AC335" s="191" t="str">
        <f>'1_BD questio brut'!AA335</f>
        <v>&gt; 2 ans</v>
      </c>
      <c r="AD335" s="191" t="str">
        <f>'1_BD questio brut'!AB335</f>
        <v>Pas de réponse</v>
      </c>
      <c r="AE335" s="191" t="str">
        <f t="array" ref="AE335">INDEX('Données 1_BD questio'!C:C,MATCH('1_BD questio brut'!$AC$1&amp;'1_BD questio brut'!AC335,'Données 1_BD questio'!A:A&amp;'Données 1_BD questio'!B:B,0))</f>
        <v>Pas de réponse</v>
      </c>
      <c r="AF335" s="191" t="str">
        <f>'1_BD questio brut'!AD335</f>
        <v>Pas de réponse</v>
      </c>
      <c r="AG335" s="191" t="str">
        <f>'1_BD questio brut'!AE335</f>
        <v/>
      </c>
      <c r="AH335" s="191" t="str">
        <f>'1_BD questio brut'!AF335</f>
        <v>Poêle</v>
      </c>
      <c r="AI335" s="191" t="str">
        <f>'1_BD questio brut'!AG335</f>
        <v>1</v>
      </c>
      <c r="AJ335" s="191" t="str">
        <f>'1_BD questio brut'!AH335</f>
        <v/>
      </c>
      <c r="AK335" s="191" t="str">
        <f>'1_BD questio brut'!AI335</f>
        <v>Chauffage d'appoint</v>
      </c>
      <c r="AL335" s="191" t="str">
        <f>'1_BD questio brut'!AJ335</f>
        <v>Pas de réponse</v>
      </c>
      <c r="AM335" s="191" t="str">
        <f>'1_BD questio brut'!AK335</f>
        <v>1; 2; 4; 5</v>
      </c>
      <c r="AN335" s="191" t="str">
        <f>'1_BD questio brut'!AL335</f>
        <v/>
      </c>
      <c r="AO335" s="191" t="str">
        <f>'1_BD questio brut'!AM335</f>
        <v>5</v>
      </c>
      <c r="AP335" s="191" t="str">
        <f>'1_BD questio brut'!AN335</f>
        <v/>
      </c>
      <c r="AQ335" s="191" t="str">
        <f>'1_BD questio brut'!AO335</f>
        <v/>
      </c>
    </row>
    <row r="336" spans="1:43" ht="43.5" hidden="1">
      <c r="A336" s="98">
        <f>INDEX('3_BD instruction total'!A:A,MATCH(C336,'3_BD instruction total'!F:F,0))</f>
        <v>2022</v>
      </c>
      <c r="B336" s="98" t="str">
        <f>INDEX('3_BD instruction total'!C:C,MATCH(C336,'3_BD instruction total'!F:F,0))</f>
        <v>non</v>
      </c>
      <c r="C336" s="191" t="str">
        <f>'1_BD questio brut'!A336</f>
        <v>VRB0357</v>
      </c>
      <c r="D336" s="191" t="str">
        <f t="array" ref="D336">INDEX('Données 1_BD questio'!C:C,MATCH('1_BD questio brut'!$B$1&amp;'1_BD questio brut'!B336,'Données 1_BD questio'!A:A&amp;'Données 1_BD questio'!B:B,0))</f>
        <v>CAPV</v>
      </c>
      <c r="E336" s="191" t="str">
        <f t="array" ref="E336">INDEX('Données 1_BD questio'!C:C,MATCH('1_BD questio brut'!$C$1&amp;'1_BD questio brut'!C336,'Données 1_BD questio'!A:A&amp;'Données 1_BD questio'!B:B,0))</f>
        <v>Artisan,commerçant,chef d'entreprise</v>
      </c>
      <c r="F336" s="191" t="str">
        <f t="array" ref="F336">INDEX('Données 1_BD questio'!C:C,MATCH('1_BD questio brut'!$D$1&amp;'1_BD questio brut'!D336,'Données 1_BD questio'!A:A&amp;'Données 1_BD questio'!B:B,0))</f>
        <v>Profession intermédiaire</v>
      </c>
      <c r="G336" s="191" t="str">
        <f>'1_BD questio brut'!E336</f>
        <v>50 à 64 ans</v>
      </c>
      <c r="H336" s="191">
        <f>'1_BD questio brut'!F336</f>
        <v>2</v>
      </c>
      <c r="I336" s="191" t="str">
        <f>'1_BD questio brut'!G336</f>
        <v>70 000 à 80 000 €</v>
      </c>
      <c r="J336" s="191" t="str">
        <f t="array" ref="J336">INDEX('Données 1_BD questio'!C:C,MATCH('1_BD questio brut'!$H$1&amp;'1_BD questio brut'!H336,'Données 1_BD questio'!A:A&amp;'Données 1_BD questio'!B:B,0))</f>
        <v>Maison avec jardin</v>
      </c>
      <c r="K336" s="191">
        <f>'1_BD questio brut'!I336</f>
        <v>120</v>
      </c>
      <c r="L336" s="191" t="str">
        <f>'1_BD questio brut'!J336</f>
        <v>1975-1990</v>
      </c>
      <c r="M336" s="191" t="str">
        <f>'1_BD questio brut'!K336</f>
        <v>1</v>
      </c>
      <c r="N336" s="191" t="str">
        <f>'1_BD questio brut'!L336</f>
        <v>Pas de réponse</v>
      </c>
      <c r="O336" s="191" t="str">
        <f>'1_BD questio brut'!M336</f>
        <v>Propriétaire occupant</v>
      </c>
      <c r="P336" s="191" t="str">
        <f>'1_BD questio brut'!N336</f>
        <v>Poêle</v>
      </c>
      <c r="Q336" s="191" t="str">
        <f>'1_BD questio brut'!O336</f>
        <v>Chauffage d'apoint</v>
      </c>
      <c r="R336" s="191" t="str">
        <f>'1_BD questio brut'!P336</f>
        <v>Tous les jours</v>
      </c>
      <c r="S336" s="191" t="str">
        <f>'1_BD questio brut'!Q336</f>
        <v>3</v>
      </c>
      <c r="T336" s="191" t="str">
        <f>'1_BD questio brut'!R336</f>
        <v>1990-1995</v>
      </c>
      <c r="U336" s="191" t="str">
        <f>'1_BD questio brut'!S336</f>
        <v>Bois bûche</v>
      </c>
      <c r="V336" s="191" t="str">
        <f>'1_BD questio brut'!T336</f>
        <v/>
      </c>
      <c r="W336" s="191" t="str">
        <f>'1_BD questio brut'!U336</f>
        <v>4</v>
      </c>
      <c r="X336" s="191" t="str">
        <f>'1_BD questio brut'!V336</f>
        <v/>
      </c>
      <c r="Y336" s="191" t="str">
        <f>'1_BD questio brut'!W336</f>
        <v>2</v>
      </c>
      <c r="Z336" s="191" t="str">
        <f>'1_BD questio brut'!X336</f>
        <v/>
      </c>
      <c r="AA336" s="191" t="str">
        <f t="array" ref="AA336">INDEX('Données 1_BD questio'!C:C,MATCH('1_BD questio brut'!$Y$1&amp;'1_BD questio brut'!Y336,'Données 1_BD questio'!A:A&amp;'Données 1_BD questio'!B:B,0))</f>
        <v>Ne sait pas</v>
      </c>
      <c r="AB336" s="191" t="str">
        <f>'1_BD questio brut'!Z336</f>
        <v>2</v>
      </c>
      <c r="AC336" s="191" t="str">
        <f>'1_BD questio brut'!AA336</f>
        <v>&gt; 2 ans</v>
      </c>
      <c r="AD336" s="191" t="str">
        <f>'1_BD questio brut'!AB336</f>
        <v>Feuillus</v>
      </c>
      <c r="AE336" s="191" t="str">
        <f t="array" ref="AE336">INDEX('Données 1_BD questio'!C:C,MATCH('1_BD questio brut'!$AC$1&amp;'1_BD questio brut'!AC336,'Données 1_BD questio'!A:A&amp;'Données 1_BD questio'!B:B,0))</f>
        <v>un professionnel</v>
      </c>
      <c r="AF336" s="191" t="str">
        <f>'1_BD questio brut'!AD336</f>
        <v>1 fois par an</v>
      </c>
      <c r="AG336" s="191" t="str">
        <f>'1_BD questio brut'!AE336</f>
        <v/>
      </c>
      <c r="AH336" s="191" t="str">
        <f>'1_BD questio brut'!AF336</f>
        <v>Poêle</v>
      </c>
      <c r="AI336" s="191" t="str">
        <f>'1_BD questio brut'!AG336</f>
        <v>1</v>
      </c>
      <c r="AJ336" s="191" t="str">
        <f>'1_BD questio brut'!AH336</f>
        <v/>
      </c>
      <c r="AK336" s="191" t="str">
        <f>'1_BD questio brut'!AI336</f>
        <v>Chauffage d'appoint</v>
      </c>
      <c r="AL336" s="191" t="str">
        <f>'1_BD questio brut'!AJ336</f>
        <v>Pas de réponse</v>
      </c>
      <c r="AM336" s="191" t="str">
        <f>'1_BD questio brut'!AK336</f>
        <v>2; 4; 5</v>
      </c>
      <c r="AN336" s="191" t="str">
        <f>'1_BD questio brut'!AL336</f>
        <v/>
      </c>
      <c r="AO336" s="191" t="str">
        <f>'1_BD questio brut'!AM336</f>
        <v>1; 5</v>
      </c>
      <c r="AP336" s="191" t="str">
        <f>'1_BD questio brut'!AN336</f>
        <v/>
      </c>
      <c r="AQ336" s="191" t="str">
        <f>'1_BD questio brut'!AO336</f>
        <v/>
      </c>
    </row>
    <row r="337" spans="1:43" ht="43.5" hidden="1">
      <c r="A337" s="98">
        <f>INDEX('3_BD instruction total'!A:A,MATCH(C337,'3_BD instruction total'!F:F,0))</f>
        <v>2022</v>
      </c>
      <c r="B337" s="98" t="str">
        <f>INDEX('3_BD instruction total'!C:C,MATCH(C337,'3_BD instruction total'!F:F,0))</f>
        <v>non</v>
      </c>
      <c r="C337" s="191" t="str">
        <f>'1_BD questio brut'!A337</f>
        <v>VRB0358</v>
      </c>
      <c r="D337" s="191" t="str">
        <f t="array" ref="D337">INDEX('Données 1_BD questio'!C:C,MATCH('1_BD questio brut'!$B$1&amp;'1_BD questio brut'!B337,'Données 1_BD questio'!A:A&amp;'Données 1_BD questio'!B:B,0))</f>
        <v>CAPV</v>
      </c>
      <c r="E337" s="191" t="str">
        <f t="array" ref="E337">INDEX('Données 1_BD questio'!C:C,MATCH('1_BD questio brut'!$C$1&amp;'1_BD questio brut'!C337,'Données 1_BD questio'!A:A&amp;'Données 1_BD questio'!B:B,0))</f>
        <v>Retraité</v>
      </c>
      <c r="F337" s="191" t="str">
        <f t="array" ref="F337">INDEX('Données 1_BD questio'!C:C,MATCH('1_BD questio brut'!$D$1&amp;'1_BD questio brut'!D337,'Données 1_BD questio'!A:A&amp;'Données 1_BD questio'!B:B,0))</f>
        <v>Retraité</v>
      </c>
      <c r="G337" s="191" t="str">
        <f>'1_BD questio brut'!E337</f>
        <v>50 à 64 ans</v>
      </c>
      <c r="H337" s="191">
        <f>'1_BD questio brut'!F337</f>
        <v>2</v>
      </c>
      <c r="I337" s="191" t="str">
        <f>'1_BD questio brut'!G337</f>
        <v>40 000 à 50 000 €</v>
      </c>
      <c r="J337" s="191" t="str">
        <f t="array" ref="J337">INDEX('Données 1_BD questio'!C:C,MATCH('1_BD questio brut'!$H$1&amp;'1_BD questio brut'!H337,'Données 1_BD questio'!A:A&amp;'Données 1_BD questio'!B:B,0))</f>
        <v>Maison avec jardin</v>
      </c>
      <c r="K337" s="191">
        <f>'1_BD questio brut'!I337</f>
        <v>100</v>
      </c>
      <c r="L337" s="191" t="str">
        <f>'1_BD questio brut'!J337</f>
        <v>1975-1990</v>
      </c>
      <c r="M337" s="191" t="str">
        <f>'1_BD questio brut'!K337</f>
        <v>4</v>
      </c>
      <c r="N337" s="191" t="str">
        <f>'1_BD questio brut'!L337</f>
        <v>Pas de réponse</v>
      </c>
      <c r="O337" s="191" t="str">
        <f>'1_BD questio brut'!M337</f>
        <v>Propriétaire occupant</v>
      </c>
      <c r="P337" s="191" t="str">
        <f>'1_BD questio brut'!N337</f>
        <v>Insert / foyer fermé</v>
      </c>
      <c r="Q337" s="191" t="str">
        <f>'1_BD questio brut'!O337</f>
        <v>Chauffage d'apoint</v>
      </c>
      <c r="R337" s="191" t="str">
        <f>'1_BD questio brut'!P337</f>
        <v>3 à 4 jours/semaine</v>
      </c>
      <c r="S337" s="191" t="str">
        <f>'1_BD questio brut'!Q337</f>
        <v>2; 3; 6</v>
      </c>
      <c r="T337" s="191" t="str">
        <f>'1_BD questio brut'!R337</f>
        <v>Avant 1990</v>
      </c>
      <c r="U337" s="191" t="str">
        <f>'1_BD questio brut'!S337</f>
        <v>Bois bûche</v>
      </c>
      <c r="V337" s="191" t="str">
        <f>'1_BD questio brut'!T337</f>
        <v/>
      </c>
      <c r="W337" s="191" t="str">
        <f>'1_BD questio brut'!U337</f>
        <v>5 a 6</v>
      </c>
      <c r="X337" s="191" t="str">
        <f>'1_BD questio brut'!V337</f>
        <v>m3</v>
      </c>
      <c r="Y337" s="191" t="str">
        <f>'1_BD questio brut'!W337</f>
        <v>2</v>
      </c>
      <c r="Z337" s="191" t="str">
        <f>'1_BD questio brut'!X337</f>
        <v/>
      </c>
      <c r="AA337" s="191" t="str">
        <f t="array" ref="AA337">INDEX('Données 1_BD questio'!C:C,MATCH('1_BD questio brut'!$Y$1&amp;'1_BD questio brut'!Y337,'Données 1_BD questio'!A:A&amp;'Données 1_BD questio'!B:B,0))</f>
        <v>Rhône-Alpes hors RA2B</v>
      </c>
      <c r="AB337" s="191" t="str">
        <f>'1_BD questio brut'!Z337</f>
        <v>2</v>
      </c>
      <c r="AC337" s="191" t="str">
        <f>'1_BD questio brut'!AA337</f>
        <v>1 à 2 ans</v>
      </c>
      <c r="AD337" s="191" t="str">
        <f>'1_BD questio brut'!AB337</f>
        <v>Feuillus</v>
      </c>
      <c r="AE337" s="191" t="str">
        <f t="array" ref="AE337">INDEX('Données 1_BD questio'!C:C,MATCH('1_BD questio brut'!$AC$1&amp;'1_BD questio brut'!AC337,'Données 1_BD questio'!A:A&amp;'Données 1_BD questio'!B:B,0))</f>
        <v>un professionnel</v>
      </c>
      <c r="AF337" s="191" t="str">
        <f>'1_BD questio brut'!AD337</f>
        <v>1 fois par an</v>
      </c>
      <c r="AG337" s="191" t="str">
        <f>'1_BD questio brut'!AE337</f>
        <v/>
      </c>
      <c r="AH337" s="191" t="str">
        <f>'1_BD questio brut'!AF337</f>
        <v>Poêle</v>
      </c>
      <c r="AI337" s="191" t="str">
        <f>'1_BD questio brut'!AG337</f>
        <v>1</v>
      </c>
      <c r="AJ337" s="191" t="str">
        <f>'1_BD questio brut'!AH337</f>
        <v/>
      </c>
      <c r="AK337" s="191" t="str">
        <f>'1_BD questio brut'!AI337</f>
        <v>Chauffage d'appoint</v>
      </c>
      <c r="AL337" s="191" t="str">
        <f>'1_BD questio brut'!AJ337</f>
        <v>Pas de réponse</v>
      </c>
      <c r="AM337" s="191" t="str">
        <f>'1_BD questio brut'!AK337</f>
        <v>2; 4; 5</v>
      </c>
      <c r="AN337" s="191" t="str">
        <f>'1_BD questio brut'!AL337</f>
        <v/>
      </c>
      <c r="AO337" s="191" t="str">
        <f>'1_BD questio brut'!AM337</f>
        <v>7</v>
      </c>
      <c r="AP337" s="191" t="str">
        <f>'1_BD questio brut'!AN337</f>
        <v/>
      </c>
      <c r="AQ337" s="191" t="str">
        <f>'1_BD questio brut'!AO337</f>
        <v/>
      </c>
    </row>
    <row r="338" spans="1:43" ht="87" hidden="1">
      <c r="A338" s="98">
        <f>INDEX('3_BD instruction total'!A:A,MATCH(C338,'3_BD instruction total'!F:F,0))</f>
        <v>2022</v>
      </c>
      <c r="B338" s="98" t="str">
        <f>INDEX('3_BD instruction total'!C:C,MATCH(C338,'3_BD instruction total'!F:F,0))</f>
        <v>non</v>
      </c>
      <c r="C338" s="191" t="str">
        <f>'1_BD questio brut'!A338</f>
        <v>VRB0359</v>
      </c>
      <c r="D338" s="191" t="str">
        <f t="array" ref="D338">INDEX('Données 1_BD questio'!C:C,MATCH('1_BD questio brut'!$B$1&amp;'1_BD questio brut'!B338,'Données 1_BD questio'!A:A&amp;'Données 1_BD questio'!B:B,0))</f>
        <v>CAPV</v>
      </c>
      <c r="E338" s="191" t="str">
        <f t="array" ref="E338">INDEX('Données 1_BD questio'!C:C,MATCH('1_BD questio brut'!$C$1&amp;'1_BD questio brut'!C338,'Données 1_BD questio'!A:A&amp;'Données 1_BD questio'!B:B,0))</f>
        <v>Ouvrier</v>
      </c>
      <c r="F338" s="191" t="str">
        <f t="array" ref="F338">INDEX('Données 1_BD questio'!C:C,MATCH('1_BD questio brut'!$D$1&amp;'1_BD questio brut'!D338,'Données 1_BD questio'!A:A&amp;'Données 1_BD questio'!B:B,0))</f>
        <v>Autre,sans activité</v>
      </c>
      <c r="G338" s="191" t="str">
        <f>'1_BD questio brut'!E338</f>
        <v>25 à 34 ans</v>
      </c>
      <c r="H338" s="191">
        <f>'1_BD questio brut'!F338</f>
        <v>4</v>
      </c>
      <c r="I338" s="191" t="str">
        <f>'1_BD questio brut'!G338</f>
        <v>20 000 à 30 000 €</v>
      </c>
      <c r="J338" s="191" t="str">
        <f t="array" ref="J338">INDEX('Données 1_BD questio'!C:C,MATCH('1_BD questio brut'!$H$1&amp;'1_BD questio brut'!H338,'Données 1_BD questio'!A:A&amp;'Données 1_BD questio'!B:B,0))</f>
        <v>Maison avec jardin</v>
      </c>
      <c r="K338" s="191">
        <f>'1_BD questio brut'!I338</f>
        <v>160</v>
      </c>
      <c r="L338" s="191" t="str">
        <f>'1_BD questio brut'!J338</f>
        <v>1975-1990</v>
      </c>
      <c r="M338" s="191" t="str">
        <f>'1_BD questio brut'!K338</f>
        <v>4</v>
      </c>
      <c r="N338" s="191" t="str">
        <f>'1_BD questio brut'!L338</f>
        <v>Pas de réponse</v>
      </c>
      <c r="O338" s="191" t="str">
        <f>'1_BD questio brut'!M338</f>
        <v>Propriétaire occupant</v>
      </c>
      <c r="P338" s="191" t="str">
        <f>'1_BD questio brut'!N338</f>
        <v>Chaudière</v>
      </c>
      <c r="Q338" s="191" t="str">
        <f>'1_BD questio brut'!O338</f>
        <v>Chauffage de base</v>
      </c>
      <c r="R338" s="191" t="str">
        <f>'1_BD questio brut'!P338</f>
        <v>Tous les jours</v>
      </c>
      <c r="S338" s="191" t="str">
        <f>'1_BD questio brut'!Q338</f>
        <v>4</v>
      </c>
      <c r="T338" s="191" t="str">
        <f>'1_BD questio brut'!R338</f>
        <v>Pas de réponse</v>
      </c>
      <c r="U338" s="191" t="str">
        <f>'1_BD questio brut'!S338</f>
        <v>Bois bûche</v>
      </c>
      <c r="V338" s="191" t="str">
        <f>'1_BD questio brut'!T338</f>
        <v/>
      </c>
      <c r="W338" s="191" t="str">
        <f>'1_BD questio brut'!U338</f>
        <v>0</v>
      </c>
      <c r="X338" s="191" t="str">
        <f>'1_BD questio brut'!V338</f>
        <v/>
      </c>
      <c r="Y338" s="191" t="str">
        <f>'1_BD questio brut'!W338</f>
        <v>5</v>
      </c>
      <c r="Z338" s="191" t="str">
        <f>'1_BD questio brut'!X338</f>
        <v>Inconu</v>
      </c>
      <c r="AA338" s="191" t="str">
        <f t="array" ref="AA338">INDEX('Données 1_BD questio'!C:C,MATCH('1_BD questio brut'!$Y$1&amp;'1_BD questio brut'!Y338,'Données 1_BD questio'!A:A&amp;'Données 1_BD questio'!B:B,0))</f>
        <v>Ne sait pas</v>
      </c>
      <c r="AB338" s="191" t="str">
        <f>'1_BD questio brut'!Z338</f>
        <v>2</v>
      </c>
      <c r="AC338" s="191" t="str">
        <f>'1_BD questio brut'!AA338</f>
        <v>Ne sait pas</v>
      </c>
      <c r="AD338" s="191" t="str">
        <f>'1_BD questio brut'!AB338</f>
        <v>Ne sait pas</v>
      </c>
      <c r="AE338" s="191" t="str">
        <f t="array" ref="AE338">INDEX('Données 1_BD questio'!C:C,MATCH('1_BD questio brut'!$AC$1&amp;'1_BD questio brut'!AC338,'Données 1_BD questio'!A:A&amp;'Données 1_BD questio'!B:B,0))</f>
        <v>Pas de réponse</v>
      </c>
      <c r="AF338" s="191" t="str">
        <f>'1_BD questio brut'!AD338</f>
        <v>Pas de réponse</v>
      </c>
      <c r="AG338" s="191" t="str">
        <f>'1_BD questio brut'!AE338</f>
        <v/>
      </c>
      <c r="AH338" s="191" t="str">
        <f>'1_BD questio brut'!AF338</f>
        <v>Poêle</v>
      </c>
      <c r="AI338" s="191" t="str">
        <f>'1_BD questio brut'!AG338</f>
        <v>1</v>
      </c>
      <c r="AJ338" s="191" t="str">
        <f>'1_BD questio brut'!AH338</f>
        <v/>
      </c>
      <c r="AK338" s="191" t="str">
        <f>'1_BD questio brut'!AI338</f>
        <v>Chauffage de base</v>
      </c>
      <c r="AL338" s="191" t="str">
        <f>'1_BD questio brut'!AJ338</f>
        <v>Pas de réponse</v>
      </c>
      <c r="AM338" s="191" t="str">
        <f>'1_BD questio brut'!AK338</f>
        <v>6</v>
      </c>
      <c r="AN338" s="191" t="str">
        <f>'1_BD questio brut'!AL338</f>
        <v>remplacement d'unchauffage obsolète et unitilisable</v>
      </c>
      <c r="AO338" s="191" t="str">
        <f>'1_BD questio brut'!AM338</f>
        <v>5</v>
      </c>
      <c r="AP338" s="191" t="str">
        <f>'1_BD questio brut'!AN338</f>
        <v/>
      </c>
      <c r="AQ338" s="191" t="str">
        <f>'1_BD questio brut'!AO338</f>
        <v/>
      </c>
    </row>
    <row r="339" spans="1:43" ht="43.5" hidden="1">
      <c r="A339" s="98">
        <f>INDEX('3_BD instruction total'!A:A,MATCH(C339,'3_BD instruction total'!F:F,0))</f>
        <v>2022</v>
      </c>
      <c r="B339" s="98" t="str">
        <f>INDEX('3_BD instruction total'!C:C,MATCH(C339,'3_BD instruction total'!F:F,0))</f>
        <v>non</v>
      </c>
      <c r="C339" s="191" t="str">
        <f>'1_BD questio brut'!A339</f>
        <v>VRB0360</v>
      </c>
      <c r="D339" s="191" t="str">
        <f t="array" ref="D339">INDEX('Données 1_BD questio'!C:C,MATCH('1_BD questio brut'!$B$1&amp;'1_BD questio brut'!B339,'Données 1_BD questio'!A:A&amp;'Données 1_BD questio'!B:B,0))</f>
        <v>CAPV</v>
      </c>
      <c r="E339" s="191" t="str">
        <f t="array" ref="E339">INDEX('Données 1_BD questio'!C:C,MATCH('1_BD questio brut'!$C$1&amp;'1_BD questio brut'!C339,'Données 1_BD questio'!A:A&amp;'Données 1_BD questio'!B:B,0))</f>
        <v>Ouvrier</v>
      </c>
      <c r="F339" s="191" t="str">
        <f t="array" ref="F339">INDEX('Données 1_BD questio'!C:C,MATCH('1_BD questio brut'!$D$1&amp;'1_BD questio brut'!D339,'Données 1_BD questio'!A:A&amp;'Données 1_BD questio'!B:B,0))</f>
        <v>Employé</v>
      </c>
      <c r="G339" s="191" t="str">
        <f>'1_BD questio brut'!E339</f>
        <v>50 à 64 ans</v>
      </c>
      <c r="H339" s="191">
        <f>'1_BD questio brut'!F339</f>
        <v>2</v>
      </c>
      <c r="I339" s="191" t="str">
        <f>'1_BD questio brut'!G339</f>
        <v>40 000 à 50 000 €</v>
      </c>
      <c r="J339" s="191" t="str">
        <f t="array" ref="J339">INDEX('Données 1_BD questio'!C:C,MATCH('1_BD questio brut'!$H$1&amp;'1_BD questio brut'!H339,'Données 1_BD questio'!A:A&amp;'Données 1_BD questio'!B:B,0))</f>
        <v>Maison avec jardin</v>
      </c>
      <c r="K339" s="191">
        <f>'1_BD questio brut'!I339</f>
        <v>90</v>
      </c>
      <c r="L339" s="191" t="str">
        <f>'1_BD questio brut'!J339</f>
        <v>1975-1990</v>
      </c>
      <c r="M339" s="191" t="str">
        <f>'1_BD questio brut'!K339</f>
        <v>6</v>
      </c>
      <c r="N339" s="191" t="str">
        <f>'1_BD questio brut'!L339</f>
        <v>Pas de réponse</v>
      </c>
      <c r="O339" s="191" t="str">
        <f>'1_BD questio brut'!M339</f>
        <v>Propriétaire occupant</v>
      </c>
      <c r="P339" s="191" t="str">
        <f>'1_BD questio brut'!N339</f>
        <v>Insert / foyer fermé</v>
      </c>
      <c r="Q339" s="191" t="str">
        <f>'1_BD questio brut'!O339</f>
        <v>Chauffage de base</v>
      </c>
      <c r="R339" s="191" t="str">
        <f>'1_BD questio brut'!P339</f>
        <v>Tous les jours</v>
      </c>
      <c r="S339" s="191" t="str">
        <f>'1_BD questio brut'!Q339</f>
        <v>4; 5</v>
      </c>
      <c r="T339" s="191" t="str">
        <f>'1_BD questio brut'!R339</f>
        <v>Avant 1990</v>
      </c>
      <c r="U339" s="191" t="str">
        <f>'1_BD questio brut'!S339</f>
        <v>Bois bûche</v>
      </c>
      <c r="V339" s="191" t="str">
        <f>'1_BD questio brut'!T339</f>
        <v/>
      </c>
      <c r="W339" s="191" t="str">
        <f>'1_BD questio brut'!U339</f>
        <v>0</v>
      </c>
      <c r="X339" s="191" t="str">
        <f>'1_BD questio brut'!V339</f>
        <v/>
      </c>
      <c r="Y339" s="191" t="str">
        <f>'1_BD questio brut'!W339</f>
        <v>2</v>
      </c>
      <c r="Z339" s="191" t="str">
        <f>'1_BD questio brut'!X339</f>
        <v/>
      </c>
      <c r="AA339" s="191" t="str">
        <f t="array" ref="AA339">INDEX('Données 1_BD questio'!C:C,MATCH('1_BD questio brut'!$Y$1&amp;'1_BD questio brut'!Y339,'Données 1_BD questio'!A:A&amp;'Données 1_BD questio'!B:B,0))</f>
        <v>Ne sait pas</v>
      </c>
      <c r="AB339" s="191" t="str">
        <f>'1_BD questio brut'!Z339</f>
        <v>3</v>
      </c>
      <c r="AC339" s="191" t="str">
        <f>'1_BD questio brut'!AA339</f>
        <v>&lt; 1 an</v>
      </c>
      <c r="AD339" s="191" t="str">
        <f>'1_BD questio brut'!AB339</f>
        <v>Feuillus</v>
      </c>
      <c r="AE339" s="191" t="str">
        <f t="array" ref="AE339">INDEX('Données 1_BD questio'!C:C,MATCH('1_BD questio brut'!$AC$1&amp;'1_BD questio brut'!AC339,'Données 1_BD questio'!A:A&amp;'Données 1_BD questio'!B:B,0))</f>
        <v>un professionnel</v>
      </c>
      <c r="AF339" s="191" t="str">
        <f>'1_BD questio brut'!AD339</f>
        <v>1 fois tous les 2 ans</v>
      </c>
      <c r="AG339" s="191" t="str">
        <f>'1_BD questio brut'!AE339</f>
        <v/>
      </c>
      <c r="AH339" s="191" t="str">
        <f>'1_BD questio brut'!AF339</f>
        <v>Poêle</v>
      </c>
      <c r="AI339" s="191" t="str">
        <f>'1_BD questio brut'!AG339</f>
        <v>2</v>
      </c>
      <c r="AJ339" s="191" t="str">
        <f>'1_BD questio brut'!AH339</f>
        <v/>
      </c>
      <c r="AK339" s="191" t="str">
        <f>'1_BD questio brut'!AI339</f>
        <v>Chauffage de base</v>
      </c>
      <c r="AL339" s="191" t="str">
        <f>'1_BD questio brut'!AJ339</f>
        <v>Pas de réponse</v>
      </c>
      <c r="AM339" s="191" t="str">
        <f>'1_BD questio brut'!AK339</f>
        <v>2; 5</v>
      </c>
      <c r="AN339" s="191" t="str">
        <f>'1_BD questio brut'!AL339</f>
        <v/>
      </c>
      <c r="AO339" s="191" t="str">
        <f>'1_BD questio brut'!AM339</f>
        <v>5</v>
      </c>
      <c r="AP339" s="191" t="str">
        <f>'1_BD questio brut'!AN339</f>
        <v/>
      </c>
      <c r="AQ339" s="191" t="str">
        <f>'1_BD questio brut'!AO339</f>
        <v/>
      </c>
    </row>
    <row r="340" spans="1:43" ht="43.5" hidden="1">
      <c r="A340" s="98">
        <f>INDEX('3_BD instruction total'!A:A,MATCH(C340,'3_BD instruction total'!F:F,0))</f>
        <v>1900</v>
      </c>
      <c r="B340" s="98" t="str">
        <f>INDEX('3_BD instruction total'!C:C,MATCH(C340,'3_BD instruction total'!F:F,0))</f>
        <v>oui</v>
      </c>
      <c r="C340" s="191" t="str">
        <f>'1_BD questio brut'!A340</f>
        <v>VRB0362</v>
      </c>
      <c r="D340" s="191" t="str">
        <f t="array" ref="D340">INDEX('Données 1_BD questio'!C:C,MATCH('1_BD questio brut'!$B$1&amp;'1_BD questio brut'!B340,'Données 1_BD questio'!A:A&amp;'Données 1_BD questio'!B:B,0))</f>
        <v>CAPV</v>
      </c>
      <c r="E340" s="191" t="str">
        <f t="array" ref="E340">INDEX('Données 1_BD questio'!C:C,MATCH('1_BD questio brut'!$C$1&amp;'1_BD questio brut'!C340,'Données 1_BD questio'!A:A&amp;'Données 1_BD questio'!B:B,0))</f>
        <v>Employé</v>
      </c>
      <c r="F340" s="191" t="str">
        <f t="array" ref="F340">INDEX('Données 1_BD questio'!C:C,MATCH('1_BD questio brut'!$D$1&amp;'1_BD questio brut'!D340,'Données 1_BD questio'!A:A&amp;'Données 1_BD questio'!B:B,0))</f>
        <v>Employé</v>
      </c>
      <c r="G340" s="191" t="str">
        <f>'1_BD questio brut'!E340</f>
        <v>25 à 34 ans</v>
      </c>
      <c r="H340" s="191">
        <f>'1_BD questio brut'!F340</f>
        <v>4</v>
      </c>
      <c r="I340" s="191" t="str">
        <f>'1_BD questio brut'!G340</f>
        <v>30 000 à 40 000 €</v>
      </c>
      <c r="J340" s="191" t="str">
        <f t="array" ref="J340">INDEX('Données 1_BD questio'!C:C,MATCH('1_BD questio brut'!$H$1&amp;'1_BD questio brut'!H340,'Données 1_BD questio'!A:A&amp;'Données 1_BD questio'!B:B,0))</f>
        <v>Maison avec jardin</v>
      </c>
      <c r="K340" s="191">
        <f>'1_BD questio brut'!I340</f>
        <v>101</v>
      </c>
      <c r="L340" s="191" t="str">
        <f>'1_BD questio brut'!J340</f>
        <v>1975-1990</v>
      </c>
      <c r="M340" s="191" t="str">
        <f>'1_BD questio brut'!K340</f>
        <v>1</v>
      </c>
      <c r="N340" s="191" t="str">
        <f>'1_BD questio brut'!L340</f>
        <v>E</v>
      </c>
      <c r="O340" s="191" t="str">
        <f>'1_BD questio brut'!M340</f>
        <v>Propriétaire occupant</v>
      </c>
      <c r="P340" s="191" t="str">
        <f>'1_BD questio brut'!N340</f>
        <v>Insert / foyer fermé</v>
      </c>
      <c r="Q340" s="191" t="str">
        <f>'1_BD questio brut'!O340</f>
        <v>Chauffage de base</v>
      </c>
      <c r="R340" s="191" t="str">
        <f>'1_BD questio brut'!P340</f>
        <v>Tous les jours</v>
      </c>
      <c r="S340" s="191" t="str">
        <f>'1_BD questio brut'!Q340</f>
        <v>1; 2; 4</v>
      </c>
      <c r="T340" s="191" t="str">
        <f>'1_BD questio brut'!R340</f>
        <v>1990-1995</v>
      </c>
      <c r="U340" s="191" t="str">
        <f>'1_BD questio brut'!S340</f>
        <v>Bois bûche</v>
      </c>
      <c r="V340" s="191" t="str">
        <f>'1_BD questio brut'!T340</f>
        <v/>
      </c>
      <c r="W340" s="191" t="str">
        <f>'1_BD questio brut'!U340</f>
        <v>7</v>
      </c>
      <c r="X340" s="191" t="str">
        <f>'1_BD questio brut'!V340</f>
        <v>Stères</v>
      </c>
      <c r="Y340" s="191" t="str">
        <f>'1_BD questio brut'!W340</f>
        <v>2</v>
      </c>
      <c r="Z340" s="191" t="str">
        <f>'1_BD questio brut'!X340</f>
        <v/>
      </c>
      <c r="AA340" s="191" t="str">
        <f t="array" ref="AA340">INDEX('Données 1_BD questio'!C:C,MATCH('1_BD questio brut'!$Y$1&amp;'1_BD questio brut'!Y340,'Données 1_BD questio'!A:A&amp;'Données 1_BD questio'!B:B,0))</f>
        <v>Ne sait pas</v>
      </c>
      <c r="AB340" s="191" t="str">
        <f>'1_BD questio brut'!Z340</f>
        <v>2</v>
      </c>
      <c r="AC340" s="191" t="str">
        <f>'1_BD questio brut'!AA340</f>
        <v>&gt; 2 ans</v>
      </c>
      <c r="AD340" s="191" t="str">
        <f>'1_BD questio brut'!AB340</f>
        <v>Les deux</v>
      </c>
      <c r="AE340" s="191" t="str">
        <f t="array" ref="AE340">INDEX('Données 1_BD questio'!C:C,MATCH('1_BD questio brut'!$AC$1&amp;'1_BD questio brut'!AC340,'Données 1_BD questio'!A:A&amp;'Données 1_BD questio'!B:B,0))</f>
        <v>un professionnel</v>
      </c>
      <c r="AF340" s="191" t="str">
        <f>'1_BD questio brut'!AD340</f>
        <v>2 fois par an</v>
      </c>
      <c r="AG340" s="191" t="str">
        <f>'1_BD questio brut'!AE340</f>
        <v/>
      </c>
      <c r="AH340" s="191" t="str">
        <f>'1_BD questio brut'!AF340</f>
        <v>Poêle</v>
      </c>
      <c r="AI340" s="191" t="str">
        <f>'1_BD questio brut'!AG340</f>
        <v>1</v>
      </c>
      <c r="AJ340" s="191" t="str">
        <f>'1_BD questio brut'!AH340</f>
        <v/>
      </c>
      <c r="AK340" s="191" t="str">
        <f>'1_BD questio brut'!AI340</f>
        <v>Chauffage de base</v>
      </c>
      <c r="AL340" s="191" t="str">
        <f>'1_BD questio brut'!AJ340</f>
        <v>Pas de réponse</v>
      </c>
      <c r="AM340" s="191" t="str">
        <f>'1_BD questio brut'!AK340</f>
        <v>1; 2; 4; 5</v>
      </c>
      <c r="AN340" s="191" t="str">
        <f>'1_BD questio brut'!AL340</f>
        <v/>
      </c>
      <c r="AO340" s="191" t="str">
        <f>'1_BD questio brut'!AM340</f>
        <v>12</v>
      </c>
      <c r="AP340" s="191" t="str">
        <f>'1_BD questio brut'!AN340</f>
        <v>Infosenergie38</v>
      </c>
      <c r="AQ340" s="191" t="str">
        <f>'1_BD questio brut'!AO340</f>
        <v/>
      </c>
    </row>
    <row r="341" spans="1:43" ht="43.5" hidden="1">
      <c r="A341" s="98">
        <f>INDEX('3_BD instruction total'!A:A,MATCH(C341,'3_BD instruction total'!F:F,0))</f>
        <v>2022</v>
      </c>
      <c r="B341" s="98" t="str">
        <f>INDEX('3_BD instruction total'!C:C,MATCH(C341,'3_BD instruction total'!F:F,0))</f>
        <v>non</v>
      </c>
      <c r="C341" s="191" t="str">
        <f>'1_BD questio brut'!A341</f>
        <v>VRB0363</v>
      </c>
      <c r="D341" s="191" t="str">
        <f t="array" ref="D341">INDEX('Données 1_BD questio'!C:C,MATCH('1_BD questio brut'!$B$1&amp;'1_BD questio brut'!B341,'Données 1_BD questio'!A:A&amp;'Données 1_BD questio'!B:B,0))</f>
        <v>CAPV</v>
      </c>
      <c r="E341" s="191" t="str">
        <f t="array" ref="E341">INDEX('Données 1_BD questio'!C:C,MATCH('1_BD questio brut'!$C$1&amp;'1_BD questio brut'!C341,'Données 1_BD questio'!A:A&amp;'Données 1_BD questio'!B:B,0))</f>
        <v>Cadre</v>
      </c>
      <c r="F341" s="191" t="str">
        <f t="array" ref="F341">INDEX('Données 1_BD questio'!C:C,MATCH('1_BD questio brut'!$D$1&amp;'1_BD questio brut'!D341,'Données 1_BD questio'!A:A&amp;'Données 1_BD questio'!B:B,0))</f>
        <v>Cadre</v>
      </c>
      <c r="G341" s="191" t="str">
        <f>'1_BD questio brut'!E341</f>
        <v>50 à 64 ans</v>
      </c>
      <c r="H341" s="191">
        <f>'1_BD questio brut'!F341</f>
        <v>3</v>
      </c>
      <c r="I341" s="191" t="str">
        <f>'1_BD questio brut'!G341</f>
        <v>60 000 à 70 000 €</v>
      </c>
      <c r="J341" s="191" t="str">
        <f t="array" ref="J341">INDEX('Données 1_BD questio'!C:C,MATCH('1_BD questio brut'!$H$1&amp;'1_BD questio brut'!H341,'Données 1_BD questio'!A:A&amp;'Données 1_BD questio'!B:B,0))</f>
        <v>Maison avec jardin</v>
      </c>
      <c r="K341" s="191">
        <f>'1_BD questio brut'!I341</f>
        <v>160</v>
      </c>
      <c r="L341" s="191" t="str">
        <f>'1_BD questio brut'!J341</f>
        <v>1949-1975</v>
      </c>
      <c r="M341" s="191" t="str">
        <f>'1_BD questio brut'!K341</f>
        <v>1; 4</v>
      </c>
      <c r="N341" s="191" t="str">
        <f>'1_BD questio brut'!L341</f>
        <v>Pas de réponse</v>
      </c>
      <c r="O341" s="191" t="str">
        <f>'1_BD questio brut'!M341</f>
        <v>Propriétaire occupant</v>
      </c>
      <c r="P341" s="191" t="str">
        <f>'1_BD questio brut'!N341</f>
        <v>Foyer ouvert</v>
      </c>
      <c r="Q341" s="191" t="str">
        <f>'1_BD questio brut'!O341</f>
        <v>Chauffage d'apoint</v>
      </c>
      <c r="R341" s="191" t="str">
        <f>'1_BD questio brut'!P341</f>
        <v>1 à 2 jours/semaine</v>
      </c>
      <c r="S341" s="191" t="str">
        <f>'1_BD questio brut'!Q341</f>
        <v>2; 3; 6</v>
      </c>
      <c r="T341" s="191" t="str">
        <f>'1_BD questio brut'!R341</f>
        <v>1990-1995</v>
      </c>
      <c r="U341" s="191" t="str">
        <f>'1_BD questio brut'!S341</f>
        <v>Bois de récupération, à préciser</v>
      </c>
      <c r="V341" s="191" t="str">
        <f>'1_BD questio brut'!T341</f>
        <v>coupe arbres jardin</v>
      </c>
      <c r="W341" s="191" t="str">
        <f>'1_BD questio brut'!U341</f>
        <v>4</v>
      </c>
      <c r="X341" s="191" t="str">
        <f>'1_BD questio brut'!V341</f>
        <v/>
      </c>
      <c r="Y341" s="191" t="str">
        <f>'1_BD questio brut'!W341</f>
        <v>1</v>
      </c>
      <c r="Z341" s="191" t="str">
        <f>'1_BD questio brut'!X341</f>
        <v/>
      </c>
      <c r="AA341" s="191" t="str">
        <f t="array" ref="AA341">INDEX('Données 1_BD questio'!C:C,MATCH('1_BD questio brut'!$Y$1&amp;'1_BD questio brut'!Y341,'Données 1_BD questio'!A:A&amp;'Données 1_BD questio'!B:B,0))</f>
        <v>Ne sait pas</v>
      </c>
      <c r="AB341" s="191" t="str">
        <f>'1_BD questio brut'!Z341</f>
        <v>2</v>
      </c>
      <c r="AC341" s="191" t="str">
        <f>'1_BD questio brut'!AA341</f>
        <v>&gt; 2 ans</v>
      </c>
      <c r="AD341" s="191" t="str">
        <f>'1_BD questio brut'!AB341</f>
        <v>Feuillus</v>
      </c>
      <c r="AE341" s="191" t="str">
        <f t="array" ref="AE341">INDEX('Données 1_BD questio'!C:C,MATCH('1_BD questio brut'!$AC$1&amp;'1_BD questio brut'!AC341,'Données 1_BD questio'!A:A&amp;'Données 1_BD questio'!B:B,0))</f>
        <v>vous-même</v>
      </c>
      <c r="AF341" s="191" t="str">
        <f>'1_BD questio brut'!AD341</f>
        <v>1 fois par an</v>
      </c>
      <c r="AG341" s="191" t="str">
        <f>'1_BD questio brut'!AE341</f>
        <v/>
      </c>
      <c r="AH341" s="191" t="str">
        <f>'1_BD questio brut'!AF341</f>
        <v>Poêle</v>
      </c>
      <c r="AI341" s="191" t="str">
        <f>'1_BD questio brut'!AG341</f>
        <v>1</v>
      </c>
      <c r="AJ341" s="191" t="str">
        <f>'1_BD questio brut'!AH341</f>
        <v/>
      </c>
      <c r="AK341" s="191" t="str">
        <f>'1_BD questio brut'!AI341</f>
        <v>Chauffage d'appoint</v>
      </c>
      <c r="AL341" s="191" t="str">
        <f>'1_BD questio brut'!AJ341</f>
        <v>Pas de réponse</v>
      </c>
      <c r="AM341" s="191" t="str">
        <f>'1_BD questio brut'!AK341</f>
        <v>1; 2; 4; 5; 6</v>
      </c>
      <c r="AN341" s="191" t="str">
        <f>'1_BD questio brut'!AL341</f>
        <v>Améliorer la sécurité</v>
      </c>
      <c r="AO341" s="191" t="str">
        <f>'1_BD questio brut'!AM341</f>
        <v>5</v>
      </c>
      <c r="AP341" s="191" t="str">
        <f>'1_BD questio brut'!AN341</f>
        <v/>
      </c>
      <c r="AQ341" s="191" t="str">
        <f>'1_BD questio brut'!AO341</f>
        <v/>
      </c>
    </row>
    <row r="342" spans="1:43" ht="43.5" hidden="1">
      <c r="A342" s="98">
        <f>INDEX('3_BD instruction total'!A:A,MATCH(C342,'3_BD instruction total'!F:F,0))</f>
        <v>2022</v>
      </c>
      <c r="B342" s="98" t="str">
        <f>INDEX('3_BD instruction total'!C:C,MATCH(C342,'3_BD instruction total'!F:F,0))</f>
        <v>non</v>
      </c>
      <c r="C342" s="191" t="str">
        <f>'1_BD questio brut'!A342</f>
        <v>VRB0364</v>
      </c>
      <c r="D342" s="191" t="str">
        <f t="array" ref="D342">INDEX('Données 1_BD questio'!C:C,MATCH('1_BD questio brut'!$B$1&amp;'1_BD questio brut'!B342,'Données 1_BD questio'!A:A&amp;'Données 1_BD questio'!B:B,0))</f>
        <v>CAPV</v>
      </c>
      <c r="E342" s="191" t="str">
        <f t="array" ref="E342">INDEX('Données 1_BD questio'!C:C,MATCH('1_BD questio brut'!$C$1&amp;'1_BD questio brut'!C342,'Données 1_BD questio'!A:A&amp;'Données 1_BD questio'!B:B,0))</f>
        <v>Retraité</v>
      </c>
      <c r="F342" s="191" t="str">
        <f t="array" ref="F342">INDEX('Données 1_BD questio'!C:C,MATCH('1_BD questio brut'!$D$1&amp;'1_BD questio brut'!D342,'Données 1_BD questio'!A:A&amp;'Données 1_BD questio'!B:B,0))</f>
        <v>Pas de réponse</v>
      </c>
      <c r="G342" s="191" t="str">
        <f>'1_BD questio brut'!E342</f>
        <v>65 ans et plus</v>
      </c>
      <c r="H342" s="191">
        <f>'1_BD questio brut'!F342</f>
        <v>1</v>
      </c>
      <c r="I342" s="191" t="str">
        <f>'1_BD questio brut'!G342</f>
        <v>Moins de 20 000 €</v>
      </c>
      <c r="J342" s="191" t="str">
        <f t="array" ref="J342">INDEX('Données 1_BD questio'!C:C,MATCH('1_BD questio brut'!$H$1&amp;'1_BD questio brut'!H342,'Données 1_BD questio'!A:A&amp;'Données 1_BD questio'!B:B,0))</f>
        <v>Maison avec jardin</v>
      </c>
      <c r="K342" s="191">
        <f>'1_BD questio brut'!I342</f>
        <v>96</v>
      </c>
      <c r="L342" s="191" t="str">
        <f>'1_BD questio brut'!J342</f>
        <v>Avant 1949</v>
      </c>
      <c r="M342" s="191" t="str">
        <f>'1_BD questio brut'!K342</f>
        <v>4</v>
      </c>
      <c r="N342" s="191" t="str">
        <f>'1_BD questio brut'!L342</f>
        <v>Pas de réponse</v>
      </c>
      <c r="O342" s="191" t="str">
        <f>'1_BD questio brut'!M342</f>
        <v>Propriétaire occupant</v>
      </c>
      <c r="P342" s="191" t="str">
        <f>'1_BD questio brut'!N342</f>
        <v>Poêle</v>
      </c>
      <c r="Q342" s="191" t="str">
        <f>'1_BD questio brut'!O342</f>
        <v>Chauffage de base</v>
      </c>
      <c r="R342" s="191" t="str">
        <f>'1_BD questio brut'!P342</f>
        <v>Tous les jours</v>
      </c>
      <c r="S342" s="191" t="str">
        <f>'1_BD questio brut'!Q342</f>
        <v>1; 2; 3; 4; 5; 6</v>
      </c>
      <c r="T342" s="191" t="str">
        <f>'1_BD questio brut'!R342</f>
        <v>Avant 1990</v>
      </c>
      <c r="U342" s="191" t="str">
        <f>'1_BD questio brut'!S342</f>
        <v>Bois bûche</v>
      </c>
      <c r="V342" s="191" t="str">
        <f>'1_BD questio brut'!T342</f>
        <v/>
      </c>
      <c r="W342" s="191" t="str">
        <f>'1_BD questio brut'!U342</f>
        <v>11</v>
      </c>
      <c r="X342" s="191" t="str">
        <f>'1_BD questio brut'!V342</f>
        <v>Stère</v>
      </c>
      <c r="Y342" s="191" t="str">
        <f>'1_BD questio brut'!W342</f>
        <v>2</v>
      </c>
      <c r="Z342" s="191" t="str">
        <f>'1_BD questio brut'!X342</f>
        <v/>
      </c>
      <c r="AA342" s="191" t="str">
        <f t="array" ref="AA342">INDEX('Données 1_BD questio'!C:C,MATCH('1_BD questio brut'!$Y$1&amp;'1_BD questio brut'!Y342,'Données 1_BD questio'!A:A&amp;'Données 1_BD questio'!B:B,0))</f>
        <v>RA2B</v>
      </c>
      <c r="AB342" s="191" t="str">
        <f>'1_BD questio brut'!Z342</f>
        <v>2</v>
      </c>
      <c r="AC342" s="191" t="str">
        <f>'1_BD questio brut'!AA342</f>
        <v>&gt; 2 ans</v>
      </c>
      <c r="AD342" s="191" t="str">
        <f>'1_BD questio brut'!AB342</f>
        <v>Les deux</v>
      </c>
      <c r="AE342" s="191" t="str">
        <f t="array" ref="AE342">INDEX('Données 1_BD questio'!C:C,MATCH('1_BD questio brut'!$AC$1&amp;'1_BD questio brut'!AC342,'Données 1_BD questio'!A:A&amp;'Données 1_BD questio'!B:B,0))</f>
        <v>un professionnel</v>
      </c>
      <c r="AF342" s="191" t="str">
        <f>'1_BD questio brut'!AD342</f>
        <v>1 fois tous les 2 ans</v>
      </c>
      <c r="AG342" s="191" t="str">
        <f>'1_BD questio brut'!AE342</f>
        <v/>
      </c>
      <c r="AH342" s="191" t="str">
        <f>'1_BD questio brut'!AF342</f>
        <v>Pôele hydro</v>
      </c>
      <c r="AI342" s="191" t="str">
        <f>'1_BD questio brut'!AG342</f>
        <v>2</v>
      </c>
      <c r="AJ342" s="191" t="str">
        <f>'1_BD questio brut'!AH342</f>
        <v/>
      </c>
      <c r="AK342" s="191" t="str">
        <f>'1_BD questio brut'!AI342</f>
        <v>Chauffage de base</v>
      </c>
      <c r="AL342" s="191" t="str">
        <f>'1_BD questio brut'!AJ342</f>
        <v>Pas de réponse</v>
      </c>
      <c r="AM342" s="191" t="str">
        <f>'1_BD questio brut'!AK342</f>
        <v>1; 2; 4; 5</v>
      </c>
      <c r="AN342" s="191" t="str">
        <f>'1_BD questio brut'!AL342</f>
        <v/>
      </c>
      <c r="AO342" s="191" t="str">
        <f>'1_BD questio brut'!AM342</f>
        <v>5</v>
      </c>
      <c r="AP342" s="191" t="str">
        <f>'1_BD questio brut'!AN342</f>
        <v/>
      </c>
      <c r="AQ342" s="191" t="str">
        <f>'1_BD questio brut'!AO342</f>
        <v/>
      </c>
    </row>
    <row r="343" spans="1:43" ht="58" hidden="1">
      <c r="A343" s="98">
        <f>INDEX('3_BD instruction total'!A:A,MATCH(C343,'3_BD instruction total'!F:F,0))</f>
        <v>1900</v>
      </c>
      <c r="B343" s="98" t="str">
        <f>INDEX('3_BD instruction total'!C:C,MATCH(C343,'3_BD instruction total'!F:F,0))</f>
        <v>non</v>
      </c>
      <c r="C343" s="191" t="str">
        <f>'1_BD questio brut'!A343</f>
        <v>VRB0365</v>
      </c>
      <c r="D343" s="191" t="str">
        <f t="array" ref="D343">INDEX('Données 1_BD questio'!C:C,MATCH('1_BD questio brut'!$B$1&amp;'1_BD questio brut'!B343,'Données 1_BD questio'!A:A&amp;'Données 1_BD questio'!B:B,0))</f>
        <v>CAPV</v>
      </c>
      <c r="E343" s="191" t="str">
        <f t="array" ref="E343">INDEX('Données 1_BD questio'!C:C,MATCH('1_BD questio brut'!$C$1&amp;'1_BD questio brut'!C343,'Données 1_BD questio'!A:A&amp;'Données 1_BD questio'!B:B,0))</f>
        <v>Profession intermédiaire</v>
      </c>
      <c r="F343" s="191" t="str">
        <f t="array" ref="F343">INDEX('Données 1_BD questio'!C:C,MATCH('1_BD questio brut'!$D$1&amp;'1_BD questio brut'!D343,'Données 1_BD questio'!A:A&amp;'Données 1_BD questio'!B:B,0))</f>
        <v>Employé</v>
      </c>
      <c r="G343" s="191" t="str">
        <f>'1_BD questio brut'!E343</f>
        <v>50 à 64 ans</v>
      </c>
      <c r="H343" s="191">
        <f>'1_BD questio brut'!F343</f>
        <v>1</v>
      </c>
      <c r="I343" s="191" t="str">
        <f>'1_BD questio brut'!G343</f>
        <v>40 000 à 50 000 €</v>
      </c>
      <c r="J343" s="191" t="str">
        <f t="array" ref="J343">INDEX('Données 1_BD questio'!C:C,MATCH('1_BD questio brut'!$H$1&amp;'1_BD questio brut'!H343,'Données 1_BD questio'!A:A&amp;'Données 1_BD questio'!B:B,0))</f>
        <v>Maison avec jardin</v>
      </c>
      <c r="K343" s="191">
        <f>'1_BD questio brut'!I343</f>
        <v>120</v>
      </c>
      <c r="L343" s="191" t="str">
        <f>'1_BD questio brut'!J343</f>
        <v>1975-1990</v>
      </c>
      <c r="M343" s="191" t="str">
        <f>'1_BD questio brut'!K343</f>
        <v>4</v>
      </c>
      <c r="N343" s="191" t="str">
        <f>'1_BD questio brut'!L343</f>
        <v>E</v>
      </c>
      <c r="O343" s="191" t="str">
        <f>'1_BD questio brut'!M343</f>
        <v>Propriétaire occupant</v>
      </c>
      <c r="P343" s="191" t="str">
        <f>'1_BD questio brut'!N343</f>
        <v>Poêle</v>
      </c>
      <c r="Q343" s="191" t="str">
        <f>'1_BD questio brut'!O343</f>
        <v>Chauffage de base</v>
      </c>
      <c r="R343" s="191" t="str">
        <f>'1_BD questio brut'!P343</f>
        <v>Tous les jours</v>
      </c>
      <c r="S343" s="191" t="str">
        <f>'1_BD questio brut'!Q343</f>
        <v>1; 2; 3; 4; 5; 6</v>
      </c>
      <c r="T343" s="191" t="str">
        <f>'1_BD questio brut'!R343</f>
        <v>1996-2002</v>
      </c>
      <c r="U343" s="191" t="str">
        <f>'1_BD questio brut'!S343</f>
        <v>Bois bûche</v>
      </c>
      <c r="V343" s="191" t="str">
        <f>'1_BD questio brut'!T343</f>
        <v/>
      </c>
      <c r="W343" s="191" t="str">
        <f>'1_BD questio brut'!U343</f>
        <v>14</v>
      </c>
      <c r="X343" s="191" t="str">
        <f>'1_BD questio brut'!V343</f>
        <v>Stères</v>
      </c>
      <c r="Y343" s="191" t="str">
        <f>'1_BD questio brut'!W343</f>
        <v>2</v>
      </c>
      <c r="Z343" s="191" t="str">
        <f>'1_BD questio brut'!X343</f>
        <v/>
      </c>
      <c r="AA343" s="191" t="str">
        <f t="array" ref="AA343">INDEX('Données 1_BD questio'!C:C,MATCH('1_BD questio brut'!$Y$1&amp;'1_BD questio brut'!Y343,'Données 1_BD questio'!A:A&amp;'Données 1_BD questio'!B:B,0))</f>
        <v>Rhône-Alpes hors RA2B</v>
      </c>
      <c r="AB343" s="191" t="str">
        <f>'1_BD questio brut'!Z343</f>
        <v>2</v>
      </c>
      <c r="AC343" s="191" t="str">
        <f>'1_BD questio brut'!AA343</f>
        <v>1 à 2 ans</v>
      </c>
      <c r="AD343" s="191" t="str">
        <f>'1_BD questio brut'!AB343</f>
        <v>Feuillus</v>
      </c>
      <c r="AE343" s="191" t="str">
        <f t="array" ref="AE343">INDEX('Données 1_BD questio'!C:C,MATCH('1_BD questio brut'!$AC$1&amp;'1_BD questio brut'!AC343,'Données 1_BD questio'!A:A&amp;'Données 1_BD questio'!B:B,0))</f>
        <v>un professionnel</v>
      </c>
      <c r="AF343" s="191" t="str">
        <f>'1_BD questio brut'!AD343</f>
        <v>1 fois par an</v>
      </c>
      <c r="AG343" s="191" t="str">
        <f>'1_BD questio brut'!AE343</f>
        <v/>
      </c>
      <c r="AH343" s="191" t="str">
        <f>'1_BD questio brut'!AF343</f>
        <v>Poêle</v>
      </c>
      <c r="AI343" s="191" t="str">
        <f>'1_BD questio brut'!AG343</f>
        <v>1</v>
      </c>
      <c r="AJ343" s="191" t="str">
        <f>'1_BD questio brut'!AH343</f>
        <v/>
      </c>
      <c r="AK343" s="191" t="str">
        <f>'1_BD questio brut'!AI343</f>
        <v>Chauffage de base</v>
      </c>
      <c r="AL343" s="191" t="str">
        <f>'1_BD questio brut'!AJ343</f>
        <v>Pas de réponse</v>
      </c>
      <c r="AM343" s="191" t="str">
        <f>'1_BD questio brut'!AK343</f>
        <v>1; 2; 4; 5</v>
      </c>
      <c r="AN343" s="191" t="str">
        <f>'1_BD questio brut'!AL343</f>
        <v/>
      </c>
      <c r="AO343" s="191" t="str">
        <f>'1_BD questio brut'!AM343</f>
        <v>12</v>
      </c>
      <c r="AP343" s="191" t="str">
        <f>'1_BD questio brut'!AN343</f>
        <v>Pays voironnais + recherche personnel</v>
      </c>
      <c r="AQ343" s="191" t="str">
        <f>'1_BD questio brut'!AO343</f>
        <v/>
      </c>
    </row>
    <row r="344" spans="1:43" ht="43.5" hidden="1">
      <c r="A344" s="98">
        <f>INDEX('3_BD instruction total'!A:A,MATCH(C344,'3_BD instruction total'!F:F,0))</f>
        <v>2022</v>
      </c>
      <c r="B344" s="98" t="str">
        <f>INDEX('3_BD instruction total'!C:C,MATCH(C344,'3_BD instruction total'!F:F,0))</f>
        <v>non</v>
      </c>
      <c r="C344" s="191" t="str">
        <f>'1_BD questio brut'!A344</f>
        <v>VRB0366</v>
      </c>
      <c r="D344" s="191" t="str">
        <f t="array" ref="D344">INDEX('Données 1_BD questio'!C:C,MATCH('1_BD questio brut'!$B$1&amp;'1_BD questio brut'!B344,'Données 1_BD questio'!A:A&amp;'Données 1_BD questio'!B:B,0))</f>
        <v>CAPV</v>
      </c>
      <c r="E344" s="191" t="str">
        <f t="array" ref="E344">INDEX('Données 1_BD questio'!C:C,MATCH('1_BD questio brut'!$C$1&amp;'1_BD questio brut'!C344,'Données 1_BD questio'!A:A&amp;'Données 1_BD questio'!B:B,0))</f>
        <v>Autre,sans activité</v>
      </c>
      <c r="F344" s="191" t="str">
        <f t="array" ref="F344">INDEX('Données 1_BD questio'!C:C,MATCH('1_BD questio brut'!$D$1&amp;'1_BD questio brut'!D344,'Données 1_BD questio'!A:A&amp;'Données 1_BD questio'!B:B,0))</f>
        <v>Employé</v>
      </c>
      <c r="G344" s="191" t="str">
        <f>'1_BD questio brut'!E344</f>
        <v>50 à 64 ans</v>
      </c>
      <c r="H344" s="191">
        <f>'1_BD questio brut'!F344</f>
        <v>2</v>
      </c>
      <c r="I344" s="191" t="str">
        <f>'1_BD questio brut'!G344</f>
        <v>Moins de 20 000 €</v>
      </c>
      <c r="J344" s="191" t="str">
        <f t="array" ref="J344">INDEX('Données 1_BD questio'!C:C,MATCH('1_BD questio brut'!$H$1&amp;'1_BD questio brut'!H344,'Données 1_BD questio'!A:A&amp;'Données 1_BD questio'!B:B,0))</f>
        <v>Maison avec jardin</v>
      </c>
      <c r="K344" s="191">
        <f>'1_BD questio brut'!I344</f>
        <v>110</v>
      </c>
      <c r="L344" s="191" t="str">
        <f>'1_BD questio brut'!J344</f>
        <v>Avant 1949</v>
      </c>
      <c r="M344" s="191" t="str">
        <f>'1_BD questio brut'!K344</f>
        <v>1; 2; 4</v>
      </c>
      <c r="N344" s="191" t="str">
        <f>'1_BD questio brut'!L344</f>
        <v>Pas de réponse</v>
      </c>
      <c r="O344" s="191" t="str">
        <f>'1_BD questio brut'!M344</f>
        <v>Propriétaire occupant</v>
      </c>
      <c r="P344" s="191" t="str">
        <f>'1_BD questio brut'!N344</f>
        <v>Poêle</v>
      </c>
      <c r="Q344" s="191" t="str">
        <f>'1_BD questio brut'!O344</f>
        <v>Chauffage de base</v>
      </c>
      <c r="R344" s="191" t="str">
        <f>'1_BD questio brut'!P344</f>
        <v>Tous les jours</v>
      </c>
      <c r="S344" s="191" t="str">
        <f>'1_BD questio brut'!Q344</f>
        <v>4; 5</v>
      </c>
      <c r="T344" s="191" t="str">
        <f>'1_BD questio brut'!R344</f>
        <v>Avant 1990</v>
      </c>
      <c r="U344" s="191" t="str">
        <f>'1_BD questio brut'!S344</f>
        <v>Bois bûche</v>
      </c>
      <c r="V344" s="191" t="str">
        <f>'1_BD questio brut'!T344</f>
        <v/>
      </c>
      <c r="W344" s="191" t="str">
        <f>'1_BD questio brut'!U344</f>
        <v>13</v>
      </c>
      <c r="X344" s="191" t="str">
        <f>'1_BD questio brut'!V344</f>
        <v>M3</v>
      </c>
      <c r="Y344" s="191" t="str">
        <f>'1_BD questio brut'!W344</f>
        <v>2</v>
      </c>
      <c r="Z344" s="191" t="str">
        <f>'1_BD questio brut'!X344</f>
        <v/>
      </c>
      <c r="AA344" s="191" t="str">
        <f t="array" ref="AA344">INDEX('Données 1_BD questio'!C:C,MATCH('1_BD questio brut'!$Y$1&amp;'1_BD questio brut'!Y344,'Données 1_BD questio'!A:A&amp;'Données 1_BD questio'!B:B,0))</f>
        <v>Ne sait pas</v>
      </c>
      <c r="AB344" s="191" t="str">
        <f>'1_BD questio brut'!Z344</f>
        <v>2</v>
      </c>
      <c r="AC344" s="191" t="str">
        <f>'1_BD questio brut'!AA344</f>
        <v>1 à 2 ans</v>
      </c>
      <c r="AD344" s="191" t="str">
        <f>'1_BD questio brut'!AB344</f>
        <v>Feuillus</v>
      </c>
      <c r="AE344" s="191" t="str">
        <f t="array" ref="AE344">INDEX('Données 1_BD questio'!C:C,MATCH('1_BD questio brut'!$AC$1&amp;'1_BD questio brut'!AC344,'Données 1_BD questio'!A:A&amp;'Données 1_BD questio'!B:B,0))</f>
        <v>un professionnel</v>
      </c>
      <c r="AF344" s="191" t="str">
        <f>'1_BD questio brut'!AD344</f>
        <v>1 fois par an</v>
      </c>
      <c r="AG344" s="191" t="str">
        <f>'1_BD questio brut'!AE344</f>
        <v/>
      </c>
      <c r="AH344" s="191" t="str">
        <f>'1_BD questio brut'!AF344</f>
        <v>Pôele hydro</v>
      </c>
      <c r="AI344" s="191" t="str">
        <f>'1_BD questio brut'!AG344</f>
        <v>2</v>
      </c>
      <c r="AJ344" s="191" t="str">
        <f>'1_BD questio brut'!AH344</f>
        <v/>
      </c>
      <c r="AK344" s="191" t="str">
        <f>'1_BD questio brut'!AI344</f>
        <v>Chauffage de base</v>
      </c>
      <c r="AL344" s="191" t="str">
        <f>'1_BD questio brut'!AJ344</f>
        <v>Pas de réponse</v>
      </c>
      <c r="AM344" s="191" t="str">
        <f>'1_BD questio brut'!AK344</f>
        <v>1; 4; 5</v>
      </c>
      <c r="AN344" s="191" t="str">
        <f>'1_BD questio brut'!AL344</f>
        <v/>
      </c>
      <c r="AO344" s="191" t="str">
        <f>'1_BD questio brut'!AM344</f>
        <v>5</v>
      </c>
      <c r="AP344" s="191" t="str">
        <f>'1_BD questio brut'!AN344</f>
        <v/>
      </c>
      <c r="AQ344" s="191" t="str">
        <f>'1_BD questio brut'!AO344</f>
        <v/>
      </c>
    </row>
    <row r="345" spans="1:43" ht="29" hidden="1">
      <c r="A345" s="98">
        <f>INDEX('3_BD instruction total'!A:A,MATCH(C345,'3_BD instruction total'!F:F,0))</f>
        <v>2022</v>
      </c>
      <c r="B345" s="98" t="str">
        <f>INDEX('3_BD instruction total'!C:C,MATCH(C345,'3_BD instruction total'!F:F,0))</f>
        <v>non</v>
      </c>
      <c r="C345" s="191" t="str">
        <f>'1_BD questio brut'!A345</f>
        <v>VRB0369</v>
      </c>
      <c r="D345" s="191" t="str">
        <f t="array" ref="D345">INDEX('Données 1_BD questio'!C:C,MATCH('1_BD questio brut'!$B$1&amp;'1_BD questio brut'!B345,'Données 1_BD questio'!A:A&amp;'Données 1_BD questio'!B:B,0))</f>
        <v>CAPV</v>
      </c>
      <c r="E345" s="191" t="str">
        <f t="array" ref="E345">INDEX('Données 1_BD questio'!C:C,MATCH('1_BD questio brut'!$C$1&amp;'1_BD questio brut'!C345,'Données 1_BD questio'!A:A&amp;'Données 1_BD questio'!B:B,0))</f>
        <v>Ouvrier</v>
      </c>
      <c r="F345" s="191" t="str">
        <f t="array" ref="F345">INDEX('Données 1_BD questio'!C:C,MATCH('1_BD questio brut'!$D$1&amp;'1_BD questio brut'!D345,'Données 1_BD questio'!A:A&amp;'Données 1_BD questio'!B:B,0))</f>
        <v>Employé</v>
      </c>
      <c r="G345" s="191" t="str">
        <f>'1_BD questio brut'!E345</f>
        <v>25 à 34 ans</v>
      </c>
      <c r="H345" s="191">
        <f>'1_BD questio brut'!F345</f>
        <v>2</v>
      </c>
      <c r="I345" s="191" t="str">
        <f>'1_BD questio brut'!G345</f>
        <v>30 000 à 40 000 €</v>
      </c>
      <c r="J345" s="191" t="str">
        <f t="array" ref="J345">INDEX('Données 1_BD questio'!C:C,MATCH('1_BD questio brut'!$H$1&amp;'1_BD questio brut'!H345,'Données 1_BD questio'!A:A&amp;'Données 1_BD questio'!B:B,0))</f>
        <v>Maison avec jardin</v>
      </c>
      <c r="K345" s="191">
        <f>'1_BD questio brut'!I345</f>
        <v>0</v>
      </c>
      <c r="L345" s="191" t="str">
        <f>'1_BD questio brut'!J345</f>
        <v>Avant 1949</v>
      </c>
      <c r="M345" s="191" t="str">
        <f>'1_BD questio brut'!K345</f>
        <v>1; 4</v>
      </c>
      <c r="N345" s="191" t="str">
        <f>'1_BD questio brut'!L345</f>
        <v>Pas de réponse</v>
      </c>
      <c r="O345" s="191" t="str">
        <f>'1_BD questio brut'!M345</f>
        <v>Propriétaire occupant</v>
      </c>
      <c r="P345" s="191" t="str">
        <f>'1_BD questio brut'!N345</f>
        <v>Poêle</v>
      </c>
      <c r="Q345" s="191" t="str">
        <f>'1_BD questio brut'!O345</f>
        <v>Chauffage de base</v>
      </c>
      <c r="R345" s="191" t="str">
        <f>'1_BD questio brut'!P345</f>
        <v>Tous les jours</v>
      </c>
      <c r="S345" s="191" t="str">
        <f>'1_BD questio brut'!Q345</f>
        <v>4</v>
      </c>
      <c r="T345" s="191" t="str">
        <f>'1_BD questio brut'!R345</f>
        <v>Avant 1990</v>
      </c>
      <c r="U345" s="191" t="str">
        <f>'1_BD questio brut'!S345</f>
        <v>Bois bûche</v>
      </c>
      <c r="V345" s="191" t="str">
        <f>'1_BD questio brut'!T345</f>
        <v/>
      </c>
      <c r="W345" s="191" t="str">
        <f>'1_BD questio brut'!U345</f>
        <v>8</v>
      </c>
      <c r="X345" s="191" t="str">
        <f>'1_BD questio brut'!V345</f>
        <v>Stère</v>
      </c>
      <c r="Y345" s="191" t="str">
        <f>'1_BD questio brut'!W345</f>
        <v>1</v>
      </c>
      <c r="Z345" s="191" t="str">
        <f>'1_BD questio brut'!X345</f>
        <v/>
      </c>
      <c r="AA345" s="191" t="str">
        <f t="array" ref="AA345">INDEX('Données 1_BD questio'!C:C,MATCH('1_BD questio brut'!$Y$1&amp;'1_BD questio brut'!Y345,'Données 1_BD questio'!A:A&amp;'Données 1_BD questio'!B:B,0))</f>
        <v>Ne sait pas</v>
      </c>
      <c r="AB345" s="191" t="str">
        <f>'1_BD questio brut'!Z345</f>
        <v>2</v>
      </c>
      <c r="AC345" s="191" t="str">
        <f>'1_BD questio brut'!AA345</f>
        <v>&lt; 1 an</v>
      </c>
      <c r="AD345" s="191" t="str">
        <f>'1_BD questio brut'!AB345</f>
        <v>Les deux</v>
      </c>
      <c r="AE345" s="191" t="str">
        <f t="array" ref="AE345">INDEX('Données 1_BD questio'!C:C,MATCH('1_BD questio brut'!$AC$1&amp;'1_BD questio brut'!AC345,'Données 1_BD questio'!A:A&amp;'Données 1_BD questio'!B:B,0))</f>
        <v>vous-même</v>
      </c>
      <c r="AF345" s="191" t="str">
        <f>'1_BD questio brut'!AD345</f>
        <v>1 fois par an</v>
      </c>
      <c r="AG345" s="191" t="str">
        <f>'1_BD questio brut'!AE345</f>
        <v/>
      </c>
      <c r="AH345" s="191" t="str">
        <f>'1_BD questio brut'!AF345</f>
        <v>Poêle</v>
      </c>
      <c r="AI345" s="191" t="str">
        <f>'1_BD questio brut'!AG345</f>
        <v>2</v>
      </c>
      <c r="AJ345" s="191" t="str">
        <f>'1_BD questio brut'!AH345</f>
        <v/>
      </c>
      <c r="AK345" s="191" t="str">
        <f>'1_BD questio brut'!AI345</f>
        <v>Chauffage de base</v>
      </c>
      <c r="AL345" s="191" t="str">
        <f>'1_BD questio brut'!AJ345</f>
        <v>Pas de réponse</v>
      </c>
      <c r="AM345" s="191" t="str">
        <f>'1_BD questio brut'!AK345</f>
        <v>2; 4</v>
      </c>
      <c r="AN345" s="191" t="str">
        <f>'1_BD questio brut'!AL345</f>
        <v/>
      </c>
      <c r="AO345" s="191" t="str">
        <f>'1_BD questio brut'!AM345</f>
        <v>5</v>
      </c>
      <c r="AP345" s="191" t="str">
        <f>'1_BD questio brut'!AN345</f>
        <v/>
      </c>
      <c r="AQ345" s="191" t="str">
        <f>'1_BD questio brut'!AO345</f>
        <v/>
      </c>
    </row>
    <row r="346" spans="1:43" ht="29" hidden="1">
      <c r="A346" s="98">
        <f>INDEX('3_BD instruction total'!A:A,MATCH(C346,'3_BD instruction total'!F:F,0))</f>
        <v>2022</v>
      </c>
      <c r="B346" s="98" t="str">
        <f>INDEX('3_BD instruction total'!C:C,MATCH(C346,'3_BD instruction total'!F:F,0))</f>
        <v>non</v>
      </c>
      <c r="C346" s="191" t="str">
        <f>'1_BD questio brut'!A346</f>
        <v>VRB0370</v>
      </c>
      <c r="D346" s="191" t="str">
        <f t="array" ref="D346">INDEX('Données 1_BD questio'!C:C,MATCH('1_BD questio brut'!$B$1&amp;'1_BD questio brut'!B346,'Données 1_BD questio'!A:A&amp;'Données 1_BD questio'!B:B,0))</f>
        <v>CAPV</v>
      </c>
      <c r="E346" s="191" t="str">
        <f t="array" ref="E346">INDEX('Données 1_BD questio'!C:C,MATCH('1_BD questio brut'!$C$1&amp;'1_BD questio brut'!C346,'Données 1_BD questio'!A:A&amp;'Données 1_BD questio'!B:B,0))</f>
        <v>Employé</v>
      </c>
      <c r="F346" s="191" t="str">
        <f t="array" ref="F346">INDEX('Données 1_BD questio'!C:C,MATCH('1_BD questio brut'!$D$1&amp;'1_BD questio brut'!D346,'Données 1_BD questio'!A:A&amp;'Données 1_BD questio'!B:B,0))</f>
        <v>Pas de réponse</v>
      </c>
      <c r="G346" s="191" t="str">
        <f>'1_BD questio brut'!E346</f>
        <v>50 à 64 ans</v>
      </c>
      <c r="H346" s="191">
        <f>'1_BD questio brut'!F346</f>
        <v>1</v>
      </c>
      <c r="I346" s="191" t="str">
        <f>'1_BD questio brut'!G346</f>
        <v>20 000 à 30 000 €</v>
      </c>
      <c r="J346" s="191" t="str">
        <f t="array" ref="J346">INDEX('Données 1_BD questio'!C:C,MATCH('1_BD questio brut'!$H$1&amp;'1_BD questio brut'!H346,'Données 1_BD questio'!A:A&amp;'Données 1_BD questio'!B:B,0))</f>
        <v>Maison avec jardin</v>
      </c>
      <c r="K346" s="191">
        <f>'1_BD questio brut'!I346</f>
        <v>90</v>
      </c>
      <c r="L346" s="191" t="str">
        <f>'1_BD questio brut'!J346</f>
        <v>1949-1975</v>
      </c>
      <c r="M346" s="191" t="str">
        <f>'1_BD questio brut'!K346</f>
        <v>6</v>
      </c>
      <c r="N346" s="191" t="str">
        <f>'1_BD questio brut'!L346</f>
        <v>G</v>
      </c>
      <c r="O346" s="191" t="str">
        <f>'1_BD questio brut'!M346</f>
        <v>Propriétaire occupant</v>
      </c>
      <c r="P346" s="191" t="str">
        <f>'1_BD questio brut'!N346</f>
        <v>Foyer ouvert</v>
      </c>
      <c r="Q346" s="191" t="str">
        <f>'1_BD questio brut'!O346</f>
        <v>Chauffage d'apoint</v>
      </c>
      <c r="R346" s="191" t="str">
        <f>'1_BD questio brut'!P346</f>
        <v>Pas de réponse</v>
      </c>
      <c r="S346" s="191" t="str">
        <f>'1_BD questio brut'!Q346</f>
        <v>7</v>
      </c>
      <c r="T346" s="191" t="str">
        <f>'1_BD questio brut'!R346</f>
        <v>Avant 1990</v>
      </c>
      <c r="U346" s="191" t="str">
        <f>'1_BD questio brut'!S346</f>
        <v>Bois bûche</v>
      </c>
      <c r="V346" s="191" t="str">
        <f>'1_BD questio brut'!T346</f>
        <v/>
      </c>
      <c r="W346" s="191" t="str">
        <f>'1_BD questio brut'!U346</f>
        <v/>
      </c>
      <c r="X346" s="191" t="str">
        <f>'1_BD questio brut'!V346</f>
        <v/>
      </c>
      <c r="Y346" s="191" t="str">
        <f>'1_BD questio brut'!W346</f>
        <v>5</v>
      </c>
      <c r="Z346" s="191" t="str">
        <f>'1_BD questio brut'!X346</f>
        <v/>
      </c>
      <c r="AA346" s="191" t="str">
        <f t="array" ref="AA346">INDEX('Données 1_BD questio'!C:C,MATCH('1_BD questio brut'!$Y$1&amp;'1_BD questio brut'!Y346,'Données 1_BD questio'!A:A&amp;'Données 1_BD questio'!B:B,0))</f>
        <v>Pas de réponse</v>
      </c>
      <c r="AB346" s="191" t="str">
        <f>'1_BD questio brut'!Z346</f>
        <v>4</v>
      </c>
      <c r="AC346" s="191" t="str">
        <f>'1_BD questio brut'!AA346</f>
        <v>Pas de réponse</v>
      </c>
      <c r="AD346" s="191" t="str">
        <f>'1_BD questio brut'!AB346</f>
        <v>Pas de réponse</v>
      </c>
      <c r="AE346" s="191" t="str">
        <f t="array" ref="AE346">INDEX('Données 1_BD questio'!C:C,MATCH('1_BD questio brut'!$AC$1&amp;'1_BD questio brut'!AC346,'Données 1_BD questio'!A:A&amp;'Données 1_BD questio'!B:B,0))</f>
        <v>Pas de réponse</v>
      </c>
      <c r="AF346" s="191" t="str">
        <f>'1_BD questio brut'!AD346</f>
        <v>Pas de réponse</v>
      </c>
      <c r="AG346" s="191" t="str">
        <f>'1_BD questio brut'!AE346</f>
        <v/>
      </c>
      <c r="AH346" s="191" t="str">
        <f>'1_BD questio brut'!AF346</f>
        <v>Poêle</v>
      </c>
      <c r="AI346" s="191" t="str">
        <f>'1_BD questio brut'!AG346</f>
        <v>2</v>
      </c>
      <c r="AJ346" s="191" t="str">
        <f>'1_BD questio brut'!AH346</f>
        <v/>
      </c>
      <c r="AK346" s="191" t="str">
        <f>'1_BD questio brut'!AI346</f>
        <v>Chauffage de base</v>
      </c>
      <c r="AL346" s="191" t="str">
        <f>'1_BD questio brut'!AJ346</f>
        <v>Pas de réponse</v>
      </c>
      <c r="AM346" s="191" t="str">
        <f>'1_BD questio brut'!AK346</f>
        <v>2; 5</v>
      </c>
      <c r="AN346" s="191" t="str">
        <f>'1_BD questio brut'!AL346</f>
        <v/>
      </c>
      <c r="AO346" s="191" t="str">
        <f>'1_BD questio brut'!AM346</f>
        <v>1</v>
      </c>
      <c r="AP346" s="191" t="str">
        <f>'1_BD questio brut'!AN346</f>
        <v/>
      </c>
      <c r="AQ346" s="191" t="str">
        <f>'1_BD questio brut'!AO346</f>
        <v/>
      </c>
    </row>
    <row r="347" spans="1:43" ht="43.5" hidden="1">
      <c r="A347" s="98">
        <f>INDEX('3_BD instruction total'!A:A,MATCH(C347,'3_BD instruction total'!F:F,0))</f>
        <v>2022</v>
      </c>
      <c r="B347" s="98" t="str">
        <f>INDEX('3_BD instruction total'!C:C,MATCH(C347,'3_BD instruction total'!F:F,0))</f>
        <v>non</v>
      </c>
      <c r="C347" s="191" t="str">
        <f>'1_BD questio brut'!A347</f>
        <v>VRB0371</v>
      </c>
      <c r="D347" s="191" t="str">
        <f t="array" ref="D347">INDEX('Données 1_BD questio'!C:C,MATCH('1_BD questio brut'!$B$1&amp;'1_BD questio brut'!B347,'Données 1_BD questio'!A:A&amp;'Données 1_BD questio'!B:B,0))</f>
        <v>CAPV</v>
      </c>
      <c r="E347" s="191" t="str">
        <f t="array" ref="E347">INDEX('Données 1_BD questio'!C:C,MATCH('1_BD questio brut'!$C$1&amp;'1_BD questio brut'!C347,'Données 1_BD questio'!A:A&amp;'Données 1_BD questio'!B:B,0))</f>
        <v>Cadre</v>
      </c>
      <c r="F347" s="191" t="str">
        <f t="array" ref="F347">INDEX('Données 1_BD questio'!C:C,MATCH('1_BD questio brut'!$D$1&amp;'1_BD questio brut'!D347,'Données 1_BD questio'!A:A&amp;'Données 1_BD questio'!B:B,0))</f>
        <v>Cadre</v>
      </c>
      <c r="G347" s="191" t="str">
        <f>'1_BD questio brut'!E347</f>
        <v>35 à 49 ans</v>
      </c>
      <c r="H347" s="191">
        <f>'1_BD questio brut'!F347</f>
        <v>1</v>
      </c>
      <c r="I347" s="191" t="str">
        <f>'1_BD questio brut'!G347</f>
        <v>Moins de 20 000 €</v>
      </c>
      <c r="J347" s="191" t="str">
        <f t="array" ref="J347">INDEX('Données 1_BD questio'!C:C,MATCH('1_BD questio brut'!$H$1&amp;'1_BD questio brut'!H347,'Données 1_BD questio'!A:A&amp;'Données 1_BD questio'!B:B,0))</f>
        <v>Maison avec jardin</v>
      </c>
      <c r="K347" s="191">
        <f>'1_BD questio brut'!I347</f>
        <v>70</v>
      </c>
      <c r="L347" s="191" t="str">
        <f>'1_BD questio brut'!J347</f>
        <v>Avant 1949</v>
      </c>
      <c r="M347" s="191" t="str">
        <f>'1_BD questio brut'!K347</f>
        <v>2; 4</v>
      </c>
      <c r="N347" s="191" t="str">
        <f>'1_BD questio brut'!L347</f>
        <v>Pas de réponse</v>
      </c>
      <c r="O347" s="191" t="str">
        <f>'1_BD questio brut'!M347</f>
        <v>Propriétaire occupant</v>
      </c>
      <c r="P347" s="191" t="str">
        <f>'1_BD questio brut'!N347</f>
        <v>Poêle</v>
      </c>
      <c r="Q347" s="191" t="str">
        <f>'1_BD questio brut'!O347</f>
        <v>Chauffage de base</v>
      </c>
      <c r="R347" s="191" t="str">
        <f>'1_BD questio brut'!P347</f>
        <v>3 à 4 jours/semaine</v>
      </c>
      <c r="S347" s="191" t="str">
        <f>'1_BD questio brut'!Q347</f>
        <v>2; 4</v>
      </c>
      <c r="T347" s="191" t="str">
        <f>'1_BD questio brut'!R347</f>
        <v>1996-2002</v>
      </c>
      <c r="U347" s="191" t="str">
        <f>'1_BD questio brut'!S347</f>
        <v>Bois bûche</v>
      </c>
      <c r="V347" s="191" t="str">
        <f>'1_BD questio brut'!T347</f>
        <v/>
      </c>
      <c r="W347" s="191" t="str">
        <f>'1_BD questio brut'!U347</f>
        <v>4</v>
      </c>
      <c r="X347" s="191" t="str">
        <f>'1_BD questio brut'!V347</f>
        <v>Stère</v>
      </c>
      <c r="Y347" s="191" t="str">
        <f>'1_BD questio brut'!W347</f>
        <v>3</v>
      </c>
      <c r="Z347" s="191" t="str">
        <f>'1_BD questio brut'!X347</f>
        <v/>
      </c>
      <c r="AA347" s="191" t="str">
        <f t="array" ref="AA347">INDEX('Données 1_BD questio'!C:C,MATCH('1_BD questio brut'!$Y$1&amp;'1_BD questio brut'!Y347,'Données 1_BD questio'!A:A&amp;'Données 1_BD questio'!B:B,0))</f>
        <v>Ne sait pas</v>
      </c>
      <c r="AB347" s="191" t="str">
        <f>'1_BD questio brut'!Z347</f>
        <v>1</v>
      </c>
      <c r="AC347" s="191" t="str">
        <f>'1_BD questio brut'!AA347</f>
        <v>1 à 2 ans</v>
      </c>
      <c r="AD347" s="191" t="str">
        <f>'1_BD questio brut'!AB347</f>
        <v>Feuillus</v>
      </c>
      <c r="AE347" s="191" t="str">
        <f t="array" ref="AE347">INDEX('Données 1_BD questio'!C:C,MATCH('1_BD questio brut'!$AC$1&amp;'1_BD questio brut'!AC347,'Données 1_BD questio'!A:A&amp;'Données 1_BD questio'!B:B,0))</f>
        <v>un professionnel</v>
      </c>
      <c r="AF347" s="191" t="str">
        <f>'1_BD questio brut'!AD347</f>
        <v>1 fois par an</v>
      </c>
      <c r="AG347" s="191" t="str">
        <f>'1_BD questio brut'!AE347</f>
        <v/>
      </c>
      <c r="AH347" s="191" t="str">
        <f>'1_BD questio brut'!AF347</f>
        <v>Poêle</v>
      </c>
      <c r="AI347" s="191" t="str">
        <f>'1_BD questio brut'!AG347</f>
        <v>2</v>
      </c>
      <c r="AJ347" s="191" t="str">
        <f>'1_BD questio brut'!AH347</f>
        <v/>
      </c>
      <c r="AK347" s="191" t="str">
        <f>'1_BD questio brut'!AI347</f>
        <v>Chauffage de base</v>
      </c>
      <c r="AL347" s="191" t="str">
        <f>'1_BD questio brut'!AJ347</f>
        <v>Pas de réponse</v>
      </c>
      <c r="AM347" s="191" t="str">
        <f>'1_BD questio brut'!AK347</f>
        <v>1; 4; 5</v>
      </c>
      <c r="AN347" s="191" t="str">
        <f>'1_BD questio brut'!AL347</f>
        <v/>
      </c>
      <c r="AO347" s="191" t="str">
        <f>'1_BD questio brut'!AM347</f>
        <v>1; 5; 7</v>
      </c>
      <c r="AP347" s="191" t="str">
        <f>'1_BD questio brut'!AN347</f>
        <v/>
      </c>
      <c r="AQ347" s="191" t="str">
        <f>'1_BD questio brut'!AO347</f>
        <v/>
      </c>
    </row>
    <row r="348" spans="1:43" ht="29" hidden="1">
      <c r="A348" s="98">
        <f>INDEX('3_BD instruction total'!A:A,MATCH(C348,'3_BD instruction total'!F:F,0))</f>
        <v>2022</v>
      </c>
      <c r="B348" s="98" t="str">
        <f>INDEX('3_BD instruction total'!C:C,MATCH(C348,'3_BD instruction total'!F:F,0))</f>
        <v>non</v>
      </c>
      <c r="C348" s="191" t="str">
        <f>'1_BD questio brut'!A348</f>
        <v>VRB0372</v>
      </c>
      <c r="D348" s="191" t="str">
        <f t="array" ref="D348">INDEX('Données 1_BD questio'!C:C,MATCH('1_BD questio brut'!$B$1&amp;'1_BD questio brut'!B348,'Données 1_BD questio'!A:A&amp;'Données 1_BD questio'!B:B,0))</f>
        <v>CAPV</v>
      </c>
      <c r="E348" s="191" t="str">
        <f t="array" ref="E348">INDEX('Données 1_BD questio'!C:C,MATCH('1_BD questio brut'!$C$1&amp;'1_BD questio brut'!C348,'Données 1_BD questio'!A:A&amp;'Données 1_BD questio'!B:B,0))</f>
        <v>Retraité</v>
      </c>
      <c r="F348" s="191" t="str">
        <f t="array" ref="F348">INDEX('Données 1_BD questio'!C:C,MATCH('1_BD questio brut'!$D$1&amp;'1_BD questio brut'!D348,'Données 1_BD questio'!A:A&amp;'Données 1_BD questio'!B:B,0))</f>
        <v>Employé</v>
      </c>
      <c r="G348" s="191" t="str">
        <f>'1_BD questio brut'!E348</f>
        <v>65 ans et plus</v>
      </c>
      <c r="H348" s="191">
        <f>'1_BD questio brut'!F348</f>
        <v>3</v>
      </c>
      <c r="I348" s="191" t="str">
        <f>'1_BD questio brut'!G348</f>
        <v>40 000 à 50 000 €</v>
      </c>
      <c r="J348" s="191" t="str">
        <f t="array" ref="J348">INDEX('Données 1_BD questio'!C:C,MATCH('1_BD questio brut'!$H$1&amp;'1_BD questio brut'!H348,'Données 1_BD questio'!A:A&amp;'Données 1_BD questio'!B:B,0))</f>
        <v>Maison avec jardin</v>
      </c>
      <c r="K348" s="191">
        <f>'1_BD questio brut'!I348</f>
        <v>100</v>
      </c>
      <c r="L348" s="191" t="str">
        <f>'1_BD questio brut'!J348</f>
        <v>1975-1990</v>
      </c>
      <c r="M348" s="191" t="str">
        <f>'1_BD questio brut'!K348</f>
        <v>1; 4</v>
      </c>
      <c r="N348" s="191" t="str">
        <f>'1_BD questio brut'!L348</f>
        <v>Ne sait pas</v>
      </c>
      <c r="O348" s="191" t="str">
        <f>'1_BD questio brut'!M348</f>
        <v>Propriétaire occupant</v>
      </c>
      <c r="P348" s="191" t="str">
        <f>'1_BD questio brut'!N348</f>
        <v>Insert / foyer fermé</v>
      </c>
      <c r="Q348" s="191" t="str">
        <f>'1_BD questio brut'!O348</f>
        <v>Chauffage de base</v>
      </c>
      <c r="R348" s="191" t="str">
        <f>'1_BD questio brut'!P348</f>
        <v>Tous les jours</v>
      </c>
      <c r="S348" s="191" t="str">
        <f>'1_BD questio brut'!Q348</f>
        <v>2; 3; 4; 6</v>
      </c>
      <c r="T348" s="191" t="str">
        <f>'1_BD questio brut'!R348</f>
        <v>Avant 1990</v>
      </c>
      <c r="U348" s="191" t="str">
        <f>'1_BD questio brut'!S348</f>
        <v>Bois bûche</v>
      </c>
      <c r="V348" s="191" t="str">
        <f>'1_BD questio brut'!T348</f>
        <v/>
      </c>
      <c r="W348" s="191" t="str">
        <f>'1_BD questio brut'!U348</f>
        <v>8 a 9</v>
      </c>
      <c r="X348" s="191" t="str">
        <f>'1_BD questio brut'!V348</f>
        <v>Stère</v>
      </c>
      <c r="Y348" s="191" t="str">
        <f>'1_BD questio brut'!W348</f>
        <v>2</v>
      </c>
      <c r="Z348" s="191" t="str">
        <f>'1_BD questio brut'!X348</f>
        <v/>
      </c>
      <c r="AA348" s="191" t="str">
        <f t="array" ref="AA348">INDEX('Données 1_BD questio'!C:C,MATCH('1_BD questio brut'!$Y$1&amp;'1_BD questio brut'!Y348,'Données 1_BD questio'!A:A&amp;'Données 1_BD questio'!B:B,0))</f>
        <v>RA2B</v>
      </c>
      <c r="AB348" s="191" t="str">
        <f>'1_BD questio brut'!Z348</f>
        <v>2</v>
      </c>
      <c r="AC348" s="191" t="str">
        <f>'1_BD questio brut'!AA348</f>
        <v>1 à 2 ans</v>
      </c>
      <c r="AD348" s="191" t="str">
        <f>'1_BD questio brut'!AB348</f>
        <v>Feuillus</v>
      </c>
      <c r="AE348" s="191" t="str">
        <f t="array" ref="AE348">INDEX('Données 1_BD questio'!C:C,MATCH('1_BD questio brut'!$AC$1&amp;'1_BD questio brut'!AC348,'Données 1_BD questio'!A:A&amp;'Données 1_BD questio'!B:B,0))</f>
        <v>vous-même</v>
      </c>
      <c r="AF348" s="191" t="str">
        <f>'1_BD questio brut'!AD348</f>
        <v>2 fois par an</v>
      </c>
      <c r="AG348" s="191" t="str">
        <f>'1_BD questio brut'!AE348</f>
        <v/>
      </c>
      <c r="AH348" s="191" t="str">
        <f>'1_BD questio brut'!AF348</f>
        <v>Poêle</v>
      </c>
      <c r="AI348" s="191" t="str">
        <f>'1_BD questio brut'!AG348</f>
        <v>2</v>
      </c>
      <c r="AJ348" s="191" t="str">
        <f>'1_BD questio brut'!AH348</f>
        <v/>
      </c>
      <c r="AK348" s="191" t="str">
        <f>'1_BD questio brut'!AI348</f>
        <v>Chauffage de base</v>
      </c>
      <c r="AL348" s="191" t="str">
        <f>'1_BD questio brut'!AJ348</f>
        <v>Pas de réponse</v>
      </c>
      <c r="AM348" s="191" t="str">
        <f>'1_BD questio brut'!AK348</f>
        <v>2; 4; 5</v>
      </c>
      <c r="AN348" s="191" t="str">
        <f>'1_BD questio brut'!AL348</f>
        <v/>
      </c>
      <c r="AO348" s="191" t="str">
        <f>'1_BD questio brut'!AM348</f>
        <v>2</v>
      </c>
      <c r="AP348" s="191" t="str">
        <f>'1_BD questio brut'!AN348</f>
        <v/>
      </c>
      <c r="AQ348" s="191" t="str">
        <f>'1_BD questio brut'!AO348</f>
        <v/>
      </c>
    </row>
    <row r="349" spans="1:43" ht="43.5" hidden="1">
      <c r="A349" s="98">
        <f>INDEX('3_BD instruction total'!A:A,MATCH(C349,'3_BD instruction total'!F:F,0))</f>
        <v>2022</v>
      </c>
      <c r="B349" s="98" t="str">
        <f>INDEX('3_BD instruction total'!C:C,MATCH(C349,'3_BD instruction total'!F:F,0))</f>
        <v>non</v>
      </c>
      <c r="C349" s="191" t="str">
        <f>'1_BD questio brut'!A349</f>
        <v>VRB0374</v>
      </c>
      <c r="D349" s="191" t="str">
        <f t="array" ref="D349">INDEX('Données 1_BD questio'!C:C,MATCH('1_BD questio brut'!$B$1&amp;'1_BD questio brut'!B349,'Données 1_BD questio'!A:A&amp;'Données 1_BD questio'!B:B,0))</f>
        <v>CAPV</v>
      </c>
      <c r="E349" s="191" t="str">
        <f t="array" ref="E349">INDEX('Données 1_BD questio'!C:C,MATCH('1_BD questio brut'!$C$1&amp;'1_BD questio brut'!C349,'Données 1_BD questio'!A:A&amp;'Données 1_BD questio'!B:B,0))</f>
        <v>Retraité</v>
      </c>
      <c r="F349" s="191" t="str">
        <f t="array" ref="F349">INDEX('Données 1_BD questio'!C:C,MATCH('1_BD questio brut'!$D$1&amp;'1_BD questio brut'!D349,'Données 1_BD questio'!A:A&amp;'Données 1_BD questio'!B:B,0))</f>
        <v>Pas de réponse</v>
      </c>
      <c r="G349" s="191" t="str">
        <f>'1_BD questio brut'!E349</f>
        <v>65 ans et plus</v>
      </c>
      <c r="H349" s="191">
        <f>'1_BD questio brut'!F349</f>
        <v>1</v>
      </c>
      <c r="I349" s="191" t="str">
        <f>'1_BD questio brut'!G349</f>
        <v>Moins de 20 000 €</v>
      </c>
      <c r="J349" s="191" t="str">
        <f t="array" ref="J349">INDEX('Données 1_BD questio'!C:C,MATCH('1_BD questio brut'!$H$1&amp;'1_BD questio brut'!H349,'Données 1_BD questio'!A:A&amp;'Données 1_BD questio'!B:B,0))</f>
        <v>Maison avec jardin</v>
      </c>
      <c r="K349" s="191">
        <f>'1_BD questio brut'!I349</f>
        <v>100</v>
      </c>
      <c r="L349" s="191" t="str">
        <f>'1_BD questio brut'!J349</f>
        <v>1975-1990</v>
      </c>
      <c r="M349" s="191" t="str">
        <f>'1_BD questio brut'!K349</f>
        <v>1</v>
      </c>
      <c r="N349" s="191" t="str">
        <f>'1_BD questio brut'!L349</f>
        <v>Pas de réponse</v>
      </c>
      <c r="O349" s="191" t="str">
        <f>'1_BD questio brut'!M349</f>
        <v>Propriétaire occupant</v>
      </c>
      <c r="P349" s="191" t="str">
        <f>'1_BD questio brut'!N349</f>
        <v>Insert / foyer fermé</v>
      </c>
      <c r="Q349" s="191" t="str">
        <f>'1_BD questio brut'!O349</f>
        <v>Chauffage de base</v>
      </c>
      <c r="R349" s="191" t="str">
        <f>'1_BD questio brut'!P349</f>
        <v>Tous les jours</v>
      </c>
      <c r="S349" s="191" t="str">
        <f>'1_BD questio brut'!Q349</f>
        <v>4; 5; 6</v>
      </c>
      <c r="T349" s="191" t="str">
        <f>'1_BD questio brut'!R349</f>
        <v>Avant 1990</v>
      </c>
      <c r="U349" s="191" t="str">
        <f>'1_BD questio brut'!S349</f>
        <v>Bois bûche</v>
      </c>
      <c r="V349" s="191" t="str">
        <f>'1_BD questio brut'!T349</f>
        <v/>
      </c>
      <c r="W349" s="191" t="str">
        <f>'1_BD questio brut'!U349</f>
        <v>11</v>
      </c>
      <c r="X349" s="191" t="str">
        <f>'1_BD questio brut'!V349</f>
        <v>stère</v>
      </c>
      <c r="Y349" s="191" t="str">
        <f>'1_BD questio brut'!W349</f>
        <v>2</v>
      </c>
      <c r="Z349" s="191" t="str">
        <f>'1_BD questio brut'!X349</f>
        <v/>
      </c>
      <c r="AA349" s="191" t="str">
        <f t="array" ref="AA349">INDEX('Données 1_BD questio'!C:C,MATCH('1_BD questio brut'!$Y$1&amp;'1_BD questio brut'!Y349,'Données 1_BD questio'!A:A&amp;'Données 1_BD questio'!B:B,0))</f>
        <v>Rhône-Alpes hors RA2B</v>
      </c>
      <c r="AB349" s="191" t="str">
        <f>'1_BD questio brut'!Z349</f>
        <v>2</v>
      </c>
      <c r="AC349" s="191" t="str">
        <f>'1_BD questio brut'!AA349</f>
        <v>1 à 2 ans</v>
      </c>
      <c r="AD349" s="191" t="str">
        <f>'1_BD questio brut'!AB349</f>
        <v>Feuillus</v>
      </c>
      <c r="AE349" s="191" t="str">
        <f t="array" ref="AE349">INDEX('Données 1_BD questio'!C:C,MATCH('1_BD questio brut'!$AC$1&amp;'1_BD questio brut'!AC349,'Données 1_BD questio'!A:A&amp;'Données 1_BD questio'!B:B,0))</f>
        <v>un professionnel</v>
      </c>
      <c r="AF349" s="191" t="str">
        <f>'1_BD questio brut'!AD349</f>
        <v>1 fois par an</v>
      </c>
      <c r="AG349" s="191" t="str">
        <f>'1_BD questio brut'!AE349</f>
        <v/>
      </c>
      <c r="AH349" s="191" t="str">
        <f>'1_BD questio brut'!AF349</f>
        <v>Poêle</v>
      </c>
      <c r="AI349" s="191" t="str">
        <f>'1_BD questio brut'!AG349</f>
        <v>2</v>
      </c>
      <c r="AJ349" s="191" t="str">
        <f>'1_BD questio brut'!AH349</f>
        <v/>
      </c>
      <c r="AK349" s="191" t="str">
        <f>'1_BD questio brut'!AI349</f>
        <v>Chauffage de base</v>
      </c>
      <c r="AL349" s="191" t="str">
        <f>'1_BD questio brut'!AJ349</f>
        <v>Pas de réponse</v>
      </c>
      <c r="AM349" s="191" t="str">
        <f>'1_BD questio brut'!AK349</f>
        <v>2; 4; 5</v>
      </c>
      <c r="AN349" s="191" t="str">
        <f>'1_BD questio brut'!AL349</f>
        <v/>
      </c>
      <c r="AO349" s="191" t="str">
        <f>'1_BD questio brut'!AM349</f>
        <v>7; 11</v>
      </c>
      <c r="AP349" s="191" t="str">
        <f>'1_BD questio brut'!AN349</f>
        <v/>
      </c>
      <c r="AQ349" s="191" t="str">
        <f>'1_BD questio brut'!AO349</f>
        <v/>
      </c>
    </row>
    <row r="350" spans="1:43" ht="43.5" hidden="1">
      <c r="A350" s="98">
        <f>INDEX('3_BD instruction total'!A:A,MATCH(C350,'3_BD instruction total'!F:F,0))</f>
        <v>2022</v>
      </c>
      <c r="B350" s="98" t="str">
        <f>INDEX('3_BD instruction total'!C:C,MATCH(C350,'3_BD instruction total'!F:F,0))</f>
        <v>non</v>
      </c>
      <c r="C350" s="191" t="str">
        <f>'1_BD questio brut'!A350</f>
        <v>VRB0375</v>
      </c>
      <c r="D350" s="191" t="str">
        <f t="array" ref="D350">INDEX('Données 1_BD questio'!C:C,MATCH('1_BD questio brut'!$B$1&amp;'1_BD questio brut'!B350,'Données 1_BD questio'!A:A&amp;'Données 1_BD questio'!B:B,0))</f>
        <v>CAPV</v>
      </c>
      <c r="E350" s="191" t="str">
        <f t="array" ref="E350">INDEX('Données 1_BD questio'!C:C,MATCH('1_BD questio brut'!$C$1&amp;'1_BD questio brut'!C350,'Données 1_BD questio'!A:A&amp;'Données 1_BD questio'!B:B,0))</f>
        <v>Cadre</v>
      </c>
      <c r="F350" s="191" t="str">
        <f t="array" ref="F350">INDEX('Données 1_BD questio'!C:C,MATCH('1_BD questio brut'!$D$1&amp;'1_BD questio brut'!D350,'Données 1_BD questio'!A:A&amp;'Données 1_BD questio'!B:B,0))</f>
        <v>Employé</v>
      </c>
      <c r="G350" s="191" t="str">
        <f>'1_BD questio brut'!E350</f>
        <v>35 à 49 ans</v>
      </c>
      <c r="H350" s="191">
        <f>'1_BD questio brut'!F350</f>
        <v>2</v>
      </c>
      <c r="I350" s="191" t="str">
        <f>'1_BD questio brut'!G350</f>
        <v>50 000 à 60 000 €</v>
      </c>
      <c r="J350" s="191" t="str">
        <f t="array" ref="J350">INDEX('Données 1_BD questio'!C:C,MATCH('1_BD questio brut'!$H$1&amp;'1_BD questio brut'!H350,'Données 1_BD questio'!A:A&amp;'Données 1_BD questio'!B:B,0))</f>
        <v>Maison avec jardin</v>
      </c>
      <c r="K350" s="191">
        <f>'1_BD questio brut'!I350</f>
        <v>0</v>
      </c>
      <c r="L350" s="191" t="str">
        <f>'1_BD questio brut'!J350</f>
        <v>1975-1990</v>
      </c>
      <c r="M350" s="191" t="str">
        <f>'1_BD questio brut'!K350</f>
        <v>4</v>
      </c>
      <c r="N350" s="191" t="str">
        <f>'1_BD questio brut'!L350</f>
        <v>Pas de réponse</v>
      </c>
      <c r="O350" s="191" t="str">
        <f>'1_BD questio brut'!M350</f>
        <v>Propriétaire occupant</v>
      </c>
      <c r="P350" s="191" t="str">
        <f>'1_BD questio brut'!N350</f>
        <v>Foyer ouvert</v>
      </c>
      <c r="Q350" s="191" t="str">
        <f>'1_BD questio brut'!O350</f>
        <v>Chauffage d'apoint</v>
      </c>
      <c r="R350" s="191" t="str">
        <f>'1_BD questio brut'!P350</f>
        <v>3 à 4 jours/semaine</v>
      </c>
      <c r="S350" s="191" t="str">
        <f>'1_BD questio brut'!Q350</f>
        <v>2; 6</v>
      </c>
      <c r="T350" s="191" t="str">
        <f>'1_BD questio brut'!R350</f>
        <v>Avant 1990</v>
      </c>
      <c r="U350" s="191" t="str">
        <f>'1_BD questio brut'!S350</f>
        <v>Bois bûche</v>
      </c>
      <c r="V350" s="191" t="str">
        <f>'1_BD questio brut'!T350</f>
        <v/>
      </c>
      <c r="W350" s="191" t="str">
        <f>'1_BD questio brut'!U350</f>
        <v>0</v>
      </c>
      <c r="X350" s="191" t="str">
        <f>'1_BD questio brut'!V350</f>
        <v/>
      </c>
      <c r="Y350" s="191" t="str">
        <f>'1_BD questio brut'!W350</f>
        <v>2</v>
      </c>
      <c r="Z350" s="191" t="str">
        <f>'1_BD questio brut'!X350</f>
        <v/>
      </c>
      <c r="AA350" s="191" t="str">
        <f t="array" ref="AA350">INDEX('Données 1_BD questio'!C:C,MATCH('1_BD questio brut'!$Y$1&amp;'1_BD questio brut'!Y350,'Données 1_BD questio'!A:A&amp;'Données 1_BD questio'!B:B,0))</f>
        <v>Pas de réponse</v>
      </c>
      <c r="AB350" s="191" t="str">
        <f>'1_BD questio brut'!Z350</f>
        <v>1</v>
      </c>
      <c r="AC350" s="191" t="str">
        <f>'1_BD questio brut'!AA350</f>
        <v>&lt; 1 an</v>
      </c>
      <c r="AD350" s="191" t="str">
        <f>'1_BD questio brut'!AB350</f>
        <v>Résineux</v>
      </c>
      <c r="AE350" s="191" t="str">
        <f t="array" ref="AE350">INDEX('Données 1_BD questio'!C:C,MATCH('1_BD questio brut'!$AC$1&amp;'1_BD questio brut'!AC350,'Données 1_BD questio'!A:A&amp;'Données 1_BD questio'!B:B,0))</f>
        <v>vous-même</v>
      </c>
      <c r="AF350" s="191" t="str">
        <f>'1_BD questio brut'!AD350</f>
        <v>Autre, à préciser</v>
      </c>
      <c r="AG350" s="191" t="str">
        <f>'1_BD questio brut'!AE350</f>
        <v/>
      </c>
      <c r="AH350" s="191" t="str">
        <f>'1_BD questio brut'!AF350</f>
        <v>Poêle</v>
      </c>
      <c r="AI350" s="191" t="str">
        <f>'1_BD questio brut'!AG350</f>
        <v>2</v>
      </c>
      <c r="AJ350" s="191" t="str">
        <f>'1_BD questio brut'!AH350</f>
        <v/>
      </c>
      <c r="AK350" s="191" t="str">
        <f>'1_BD questio brut'!AI350</f>
        <v>Chauffage de base</v>
      </c>
      <c r="AL350" s="191" t="str">
        <f>'1_BD questio brut'!AJ350</f>
        <v>Pas de réponse</v>
      </c>
      <c r="AM350" s="191" t="str">
        <f>'1_BD questio brut'!AK350</f>
        <v>2; 4</v>
      </c>
      <c r="AN350" s="191" t="str">
        <f>'1_BD questio brut'!AL350</f>
        <v/>
      </c>
      <c r="AO350" s="191" t="str">
        <f>'1_BD questio brut'!AM350</f>
        <v>7</v>
      </c>
      <c r="AP350" s="191" t="str">
        <f>'1_BD questio brut'!AN350</f>
        <v/>
      </c>
      <c r="AQ350" s="191" t="str">
        <f>'1_BD questio brut'!AO350</f>
        <v/>
      </c>
    </row>
    <row r="351" spans="1:43" ht="43.5" hidden="1">
      <c r="A351" s="98">
        <f>INDEX('3_BD instruction total'!A:A,MATCH(C351,'3_BD instruction total'!F:F,0))</f>
        <v>2022</v>
      </c>
      <c r="B351" s="98" t="str">
        <f>INDEX('3_BD instruction total'!C:C,MATCH(C351,'3_BD instruction total'!F:F,0))</f>
        <v>non</v>
      </c>
      <c r="C351" s="191" t="str">
        <f>'1_BD questio brut'!A351</f>
        <v>VRB0376</v>
      </c>
      <c r="D351" s="191" t="str">
        <f t="array" ref="D351">INDEX('Données 1_BD questio'!C:C,MATCH('1_BD questio brut'!$B$1&amp;'1_BD questio brut'!B351,'Données 1_BD questio'!A:A&amp;'Données 1_BD questio'!B:B,0))</f>
        <v>CAPV</v>
      </c>
      <c r="E351" s="191" t="str">
        <f t="array" ref="E351">INDEX('Données 1_BD questio'!C:C,MATCH('1_BD questio brut'!$C$1&amp;'1_BD questio brut'!C351,'Données 1_BD questio'!A:A&amp;'Données 1_BD questio'!B:B,0))</f>
        <v>Employé</v>
      </c>
      <c r="F351" s="191" t="str">
        <f t="array" ref="F351">INDEX('Données 1_BD questio'!C:C,MATCH('1_BD questio brut'!$D$1&amp;'1_BD questio brut'!D351,'Données 1_BD questio'!A:A&amp;'Données 1_BD questio'!B:B,0))</f>
        <v>Employé</v>
      </c>
      <c r="G351" s="191" t="str">
        <f>'1_BD questio brut'!E351</f>
        <v>35 à 49 ans</v>
      </c>
      <c r="H351" s="191">
        <f>'1_BD questio brut'!F351</f>
        <v>4</v>
      </c>
      <c r="I351" s="191" t="str">
        <f>'1_BD questio brut'!G351</f>
        <v>50 000 à 60 000 €</v>
      </c>
      <c r="J351" s="191" t="str">
        <f t="array" ref="J351">INDEX('Données 1_BD questio'!C:C,MATCH('1_BD questio brut'!$H$1&amp;'1_BD questio brut'!H351,'Données 1_BD questio'!A:A&amp;'Données 1_BD questio'!B:B,0))</f>
        <v>Maison avec jardin</v>
      </c>
      <c r="K351" s="191">
        <f>'1_BD questio brut'!I351</f>
        <v>118</v>
      </c>
      <c r="L351" s="191" t="str">
        <f>'1_BD questio brut'!J351</f>
        <v>1990-2005</v>
      </c>
      <c r="M351" s="191" t="str">
        <f>'1_BD questio brut'!K351</f>
        <v>1</v>
      </c>
      <c r="N351" s="191" t="str">
        <f>'1_BD questio brut'!L351</f>
        <v>F</v>
      </c>
      <c r="O351" s="191" t="str">
        <f>'1_BD questio brut'!M351</f>
        <v>Propriétaire occupant</v>
      </c>
      <c r="P351" s="191" t="str">
        <f>'1_BD questio brut'!N351</f>
        <v>Insert / foyer fermé</v>
      </c>
      <c r="Q351" s="191" t="str">
        <f>'1_BD questio brut'!O351</f>
        <v>Chauffage de base</v>
      </c>
      <c r="R351" s="191" t="str">
        <f>'1_BD questio brut'!P351</f>
        <v>Tous les jours</v>
      </c>
      <c r="S351" s="191" t="str">
        <f>'1_BD questio brut'!Q351</f>
        <v>1; 2; 4; 6</v>
      </c>
      <c r="T351" s="191" t="str">
        <f>'1_BD questio brut'!R351</f>
        <v>1996-2002</v>
      </c>
      <c r="U351" s="191" t="str">
        <f>'1_BD questio brut'!S351</f>
        <v>Bois bûche</v>
      </c>
      <c r="V351" s="191" t="str">
        <f>'1_BD questio brut'!T351</f>
        <v/>
      </c>
      <c r="W351" s="191" t="str">
        <f>'1_BD questio brut'!U351</f>
        <v>10</v>
      </c>
      <c r="X351" s="191" t="str">
        <f>'1_BD questio brut'!V351</f>
        <v>Stère</v>
      </c>
      <c r="Y351" s="191" t="str">
        <f>'1_BD questio brut'!W351</f>
        <v>2</v>
      </c>
      <c r="Z351" s="191" t="str">
        <f>'1_BD questio brut'!X351</f>
        <v/>
      </c>
      <c r="AA351" s="191" t="str">
        <f t="array" ref="AA351">INDEX('Données 1_BD questio'!C:C,MATCH('1_BD questio brut'!$Y$1&amp;'1_BD questio brut'!Y351,'Données 1_BD questio'!A:A&amp;'Données 1_BD questio'!B:B,0))</f>
        <v>Rhône-Alpes hors RA2B</v>
      </c>
      <c r="AB351" s="191" t="str">
        <f>'1_BD questio brut'!Z351</f>
        <v>2</v>
      </c>
      <c r="AC351" s="191" t="str">
        <f>'1_BD questio brut'!AA351</f>
        <v>&gt; 2 ans</v>
      </c>
      <c r="AD351" s="191" t="str">
        <f>'1_BD questio brut'!AB351</f>
        <v>Les deux</v>
      </c>
      <c r="AE351" s="191" t="str">
        <f t="array" ref="AE351">INDEX('Données 1_BD questio'!C:C,MATCH('1_BD questio brut'!$AC$1&amp;'1_BD questio brut'!AC351,'Données 1_BD questio'!A:A&amp;'Données 1_BD questio'!B:B,0))</f>
        <v>un professionnel</v>
      </c>
      <c r="AF351" s="191" t="str">
        <f>'1_BD questio brut'!AD351</f>
        <v>1 fois par an</v>
      </c>
      <c r="AG351" s="191" t="str">
        <f>'1_BD questio brut'!AE351</f>
        <v/>
      </c>
      <c r="AH351" s="191" t="str">
        <f>'1_BD questio brut'!AF351</f>
        <v>Poêle</v>
      </c>
      <c r="AI351" s="191" t="str">
        <f>'1_BD questio brut'!AG351</f>
        <v>2</v>
      </c>
      <c r="AJ351" s="191" t="str">
        <f>'1_BD questio brut'!AH351</f>
        <v/>
      </c>
      <c r="AK351" s="191" t="str">
        <f>'1_BD questio brut'!AI351</f>
        <v>Chauffage de base</v>
      </c>
      <c r="AL351" s="191" t="str">
        <f>'1_BD questio brut'!AJ351</f>
        <v>Pas de réponse</v>
      </c>
      <c r="AM351" s="191" t="str">
        <f>'1_BD questio brut'!AK351</f>
        <v>4; 5</v>
      </c>
      <c r="AN351" s="191" t="str">
        <f>'1_BD questio brut'!AL351</f>
        <v/>
      </c>
      <c r="AO351" s="191" t="str">
        <f>'1_BD questio brut'!AM351</f>
        <v>5; 7</v>
      </c>
      <c r="AP351" s="191" t="str">
        <f>'1_BD questio brut'!AN351</f>
        <v/>
      </c>
      <c r="AQ351" s="191" t="str">
        <f>'1_BD questio brut'!AO351</f>
        <v/>
      </c>
    </row>
    <row r="352" spans="1:43" ht="43.5" hidden="1">
      <c r="A352" s="98">
        <f>INDEX('3_BD instruction total'!A:A,MATCH(C352,'3_BD instruction total'!F:F,0))</f>
        <v>2022</v>
      </c>
      <c r="B352" s="98" t="str">
        <f>INDEX('3_BD instruction total'!C:C,MATCH(C352,'3_BD instruction total'!F:F,0))</f>
        <v>non</v>
      </c>
      <c r="C352" s="191" t="str">
        <f>'1_BD questio brut'!A352</f>
        <v>VRB0377</v>
      </c>
      <c r="D352" s="191" t="str">
        <f t="array" ref="D352">INDEX('Données 1_BD questio'!C:C,MATCH('1_BD questio brut'!$B$1&amp;'1_BD questio brut'!B352,'Données 1_BD questio'!A:A&amp;'Données 1_BD questio'!B:B,0))</f>
        <v>CAPV</v>
      </c>
      <c r="E352" s="191" t="str">
        <f t="array" ref="E352">INDEX('Données 1_BD questio'!C:C,MATCH('1_BD questio brut'!$C$1&amp;'1_BD questio brut'!C352,'Données 1_BD questio'!A:A&amp;'Données 1_BD questio'!B:B,0))</f>
        <v>Retraité</v>
      </c>
      <c r="F352" s="191" t="str">
        <f t="array" ref="F352">INDEX('Données 1_BD questio'!C:C,MATCH('1_BD questio brut'!$D$1&amp;'1_BD questio brut'!D352,'Données 1_BD questio'!A:A&amp;'Données 1_BD questio'!B:B,0))</f>
        <v>Retraité</v>
      </c>
      <c r="G352" s="191" t="str">
        <f>'1_BD questio brut'!E352</f>
        <v>65 ans et plus</v>
      </c>
      <c r="H352" s="191">
        <f>'1_BD questio brut'!F352</f>
        <v>1</v>
      </c>
      <c r="I352" s="191" t="str">
        <f>'1_BD questio brut'!G352</f>
        <v>60 000 à 70 000 €</v>
      </c>
      <c r="J352" s="191" t="str">
        <f t="array" ref="J352">INDEX('Données 1_BD questio'!C:C,MATCH('1_BD questio brut'!$H$1&amp;'1_BD questio brut'!H352,'Données 1_BD questio'!A:A&amp;'Données 1_BD questio'!B:B,0))</f>
        <v>Maison avec jardin</v>
      </c>
      <c r="K352" s="191">
        <f>'1_BD questio brut'!I352</f>
        <v>228</v>
      </c>
      <c r="L352" s="191" t="str">
        <f>'1_BD questio brut'!J352</f>
        <v>Après 2005</v>
      </c>
      <c r="M352" s="191" t="str">
        <f>'1_BD questio brut'!K352</f>
        <v>1; 2</v>
      </c>
      <c r="N352" s="191" t="str">
        <f>'1_BD questio brut'!L352</f>
        <v>Pas de réponse</v>
      </c>
      <c r="O352" s="191" t="str">
        <f>'1_BD questio brut'!M352</f>
        <v>Propriétaire occupant</v>
      </c>
      <c r="P352" s="191" t="str">
        <f>'1_BD questio brut'!N352</f>
        <v>Insert / foyer fermé</v>
      </c>
      <c r="Q352" s="191" t="str">
        <f>'1_BD questio brut'!O352</f>
        <v>Chauffage d'apoint</v>
      </c>
      <c r="R352" s="191" t="str">
        <f>'1_BD questio brut'!P352</f>
        <v>1 à 2 jours/semaine</v>
      </c>
      <c r="S352" s="191" t="str">
        <f>'1_BD questio brut'!Q352</f>
        <v>2; 3</v>
      </c>
      <c r="T352" s="191" t="str">
        <f>'1_BD questio brut'!R352</f>
        <v>1990-1995</v>
      </c>
      <c r="U352" s="191" t="str">
        <f>'1_BD questio brut'!S352</f>
        <v>Bois bûche</v>
      </c>
      <c r="V352" s="191" t="str">
        <f>'1_BD questio brut'!T352</f>
        <v/>
      </c>
      <c r="W352" s="191" t="str">
        <f>'1_BD questio brut'!U352</f>
        <v>2</v>
      </c>
      <c r="X352" s="191" t="str">
        <f>'1_BD questio brut'!V352</f>
        <v>Stère</v>
      </c>
      <c r="Y352" s="191" t="str">
        <f>'1_BD questio brut'!W352</f>
        <v>2</v>
      </c>
      <c r="Z352" s="191" t="str">
        <f>'1_BD questio brut'!X352</f>
        <v/>
      </c>
      <c r="AA352" s="191" t="str">
        <f t="array" ref="AA352">INDEX('Données 1_BD questio'!C:C,MATCH('1_BD questio brut'!$Y$1&amp;'1_BD questio brut'!Y352,'Données 1_BD questio'!A:A&amp;'Données 1_BD questio'!B:B,0))</f>
        <v>Rhône-Alpes hors RA2B</v>
      </c>
      <c r="AB352" s="191" t="str">
        <f>'1_BD questio brut'!Z352</f>
        <v>2</v>
      </c>
      <c r="AC352" s="191" t="str">
        <f>'1_BD questio brut'!AA352</f>
        <v>&gt; 2 ans</v>
      </c>
      <c r="AD352" s="191" t="str">
        <f>'1_BD questio brut'!AB352</f>
        <v>Feuillus</v>
      </c>
      <c r="AE352" s="191" t="str">
        <f t="array" ref="AE352">INDEX('Données 1_BD questio'!C:C,MATCH('1_BD questio brut'!$AC$1&amp;'1_BD questio brut'!AC352,'Données 1_BD questio'!A:A&amp;'Données 1_BD questio'!B:B,0))</f>
        <v>vous-même</v>
      </c>
      <c r="AF352" s="191" t="str">
        <f>'1_BD questio brut'!AD352</f>
        <v>1 fois tous les 2 ans</v>
      </c>
      <c r="AG352" s="191" t="str">
        <f>'1_BD questio brut'!AE352</f>
        <v/>
      </c>
      <c r="AH352" s="191" t="str">
        <f>'1_BD questio brut'!AF352</f>
        <v>Insert cheminée</v>
      </c>
      <c r="AI352" s="191" t="str">
        <f>'1_BD questio brut'!AG352</f>
        <v>1</v>
      </c>
      <c r="AJ352" s="191" t="str">
        <f>'1_BD questio brut'!AH352</f>
        <v/>
      </c>
      <c r="AK352" s="191" t="str">
        <f>'1_BD questio brut'!AI352</f>
        <v>Chauffage d'appoint</v>
      </c>
      <c r="AL352" s="191" t="str">
        <f>'1_BD questio brut'!AJ352</f>
        <v>Pas de réponse</v>
      </c>
      <c r="AM352" s="191" t="str">
        <f>'1_BD questio brut'!AK352</f>
        <v>2; 4; 5</v>
      </c>
      <c r="AN352" s="191" t="str">
        <f>'1_BD questio brut'!AL352</f>
        <v/>
      </c>
      <c r="AO352" s="191" t="str">
        <f>'1_BD questio brut'!AM352</f>
        <v>1; 2</v>
      </c>
      <c r="AP352" s="191" t="str">
        <f>'1_BD questio brut'!AN352</f>
        <v/>
      </c>
      <c r="AQ352" s="191" t="str">
        <f>'1_BD questio brut'!AO352</f>
        <v/>
      </c>
    </row>
    <row r="353" spans="1:43" ht="43.5" hidden="1">
      <c r="A353" s="98">
        <f>INDEX('3_BD instruction total'!A:A,MATCH(C353,'3_BD instruction total'!F:F,0))</f>
        <v>2022</v>
      </c>
      <c r="B353" s="98" t="str">
        <f>INDEX('3_BD instruction total'!C:C,MATCH(C353,'3_BD instruction total'!F:F,0))</f>
        <v>non</v>
      </c>
      <c r="C353" s="191" t="str">
        <f>'1_BD questio brut'!A353</f>
        <v>VRB0378</v>
      </c>
      <c r="D353" s="191" t="str">
        <f t="array" ref="D353">INDEX('Données 1_BD questio'!C:C,MATCH('1_BD questio brut'!$B$1&amp;'1_BD questio brut'!B353,'Données 1_BD questio'!A:A&amp;'Données 1_BD questio'!B:B,0))</f>
        <v>CAPV</v>
      </c>
      <c r="E353" s="191" t="str">
        <f t="array" ref="E353">INDEX('Données 1_BD questio'!C:C,MATCH('1_BD questio brut'!$C$1&amp;'1_BD questio brut'!C353,'Données 1_BD questio'!A:A&amp;'Données 1_BD questio'!B:B,0))</f>
        <v>Artisan,commerçant,chef d'entreprise</v>
      </c>
      <c r="F353" s="191" t="str">
        <f t="array" ref="F353">INDEX('Données 1_BD questio'!C:C,MATCH('1_BD questio brut'!$D$1&amp;'1_BD questio brut'!D353,'Données 1_BD questio'!A:A&amp;'Données 1_BD questio'!B:B,0))</f>
        <v>Employé</v>
      </c>
      <c r="G353" s="191" t="str">
        <f>'1_BD questio brut'!E353</f>
        <v>50 à 64 ans</v>
      </c>
      <c r="H353" s="191">
        <f>'1_BD questio brut'!F353</f>
        <v>3</v>
      </c>
      <c r="I353" s="191" t="str">
        <f>'1_BD questio brut'!G353</f>
        <v>50 000 à 60 000 €</v>
      </c>
      <c r="J353" s="191" t="str">
        <f t="array" ref="J353">INDEX('Données 1_BD questio'!C:C,MATCH('1_BD questio brut'!$H$1&amp;'1_BD questio brut'!H353,'Données 1_BD questio'!A:A&amp;'Données 1_BD questio'!B:B,0))</f>
        <v>Maison avec jardin</v>
      </c>
      <c r="K353" s="191">
        <f>'1_BD questio brut'!I353</f>
        <v>100</v>
      </c>
      <c r="L353" s="191" t="str">
        <f>'1_BD questio brut'!J353</f>
        <v>1990-2005</v>
      </c>
      <c r="M353" s="191" t="str">
        <f>'1_BD questio brut'!K353</f>
        <v>6</v>
      </c>
      <c r="N353" s="191" t="str">
        <f>'1_BD questio brut'!L353</f>
        <v>Pas de réponse</v>
      </c>
      <c r="O353" s="191" t="str">
        <f>'1_BD questio brut'!M353</f>
        <v>Propriétaire occupant</v>
      </c>
      <c r="P353" s="191" t="str">
        <f>'1_BD questio brut'!N353</f>
        <v>Poêle</v>
      </c>
      <c r="Q353" s="191" t="str">
        <f>'1_BD questio brut'!O353</f>
        <v>Chauffage de base</v>
      </c>
      <c r="R353" s="191" t="str">
        <f>'1_BD questio brut'!P353</f>
        <v>Tous les jours</v>
      </c>
      <c r="S353" s="191" t="str">
        <f>'1_BD questio brut'!Q353</f>
        <v>1; 2</v>
      </c>
      <c r="T353" s="191" t="str">
        <f>'1_BD questio brut'!R353</f>
        <v>1996-2002</v>
      </c>
      <c r="U353" s="191" t="str">
        <f>'1_BD questio brut'!S353</f>
        <v>Bois bûche</v>
      </c>
      <c r="V353" s="191" t="str">
        <f>'1_BD questio brut'!T353</f>
        <v/>
      </c>
      <c r="W353" s="191" t="str">
        <f>'1_BD questio brut'!U353</f>
        <v>15</v>
      </c>
      <c r="X353" s="191" t="str">
        <f>'1_BD questio brut'!V353</f>
        <v>Stère</v>
      </c>
      <c r="Y353" s="191" t="str">
        <f>'1_BD questio brut'!W353</f>
        <v>2</v>
      </c>
      <c r="Z353" s="191" t="str">
        <f>'1_BD questio brut'!X353</f>
        <v/>
      </c>
      <c r="AA353" s="191" t="str">
        <f t="array" ref="AA353">INDEX('Données 1_BD questio'!C:C,MATCH('1_BD questio brut'!$Y$1&amp;'1_BD questio brut'!Y353,'Données 1_BD questio'!A:A&amp;'Données 1_BD questio'!B:B,0))</f>
        <v>Ne sait pas</v>
      </c>
      <c r="AB353" s="191" t="str">
        <f>'1_BD questio brut'!Z353</f>
        <v>2</v>
      </c>
      <c r="AC353" s="191" t="str">
        <f>'1_BD questio brut'!AA353</f>
        <v>1 à 2 ans</v>
      </c>
      <c r="AD353" s="191" t="str">
        <f>'1_BD questio brut'!AB353</f>
        <v>Feuillus</v>
      </c>
      <c r="AE353" s="191" t="str">
        <f t="array" ref="AE353">INDEX('Données 1_BD questio'!C:C,MATCH('1_BD questio brut'!$AC$1&amp;'1_BD questio brut'!AC353,'Données 1_BD questio'!A:A&amp;'Données 1_BD questio'!B:B,0))</f>
        <v>un professionnel</v>
      </c>
      <c r="AF353" s="191" t="str">
        <f>'1_BD questio brut'!AD353</f>
        <v>1 fois par an</v>
      </c>
      <c r="AG353" s="191" t="str">
        <f>'1_BD questio brut'!AE353</f>
        <v/>
      </c>
      <c r="AH353" s="191" t="str">
        <f>'1_BD questio brut'!AF353</f>
        <v>Poêle</v>
      </c>
      <c r="AI353" s="191" t="str">
        <f>'1_BD questio brut'!AG353</f>
        <v>2</v>
      </c>
      <c r="AJ353" s="191" t="str">
        <f>'1_BD questio brut'!AH353</f>
        <v/>
      </c>
      <c r="AK353" s="191" t="str">
        <f>'1_BD questio brut'!AI353</f>
        <v>Chauffage de base</v>
      </c>
      <c r="AL353" s="191" t="str">
        <f>'1_BD questio brut'!AJ353</f>
        <v>Pas de réponse</v>
      </c>
      <c r="AM353" s="191" t="str">
        <f>'1_BD questio brut'!AK353</f>
        <v>4</v>
      </c>
      <c r="AN353" s="191" t="str">
        <f>'1_BD questio brut'!AL353</f>
        <v/>
      </c>
      <c r="AO353" s="191" t="str">
        <f>'1_BD questio brut'!AM353</f>
        <v>5</v>
      </c>
      <c r="AP353" s="191" t="str">
        <f>'1_BD questio brut'!AN353</f>
        <v/>
      </c>
      <c r="AQ353" s="191" t="str">
        <f>'1_BD questio brut'!AO353</f>
        <v/>
      </c>
    </row>
    <row r="354" spans="1:43" ht="43.5" hidden="1">
      <c r="A354" s="98">
        <f>INDEX('3_BD instruction total'!A:A,MATCH(C354,'3_BD instruction total'!F:F,0))</f>
        <v>2022</v>
      </c>
      <c r="B354" s="98" t="str">
        <f>INDEX('3_BD instruction total'!C:C,MATCH(C354,'3_BD instruction total'!F:F,0))</f>
        <v>non</v>
      </c>
      <c r="C354" s="191" t="str">
        <f>'1_BD questio brut'!A354</f>
        <v>VRB0379</v>
      </c>
      <c r="D354" s="191" t="str">
        <f t="array" ref="D354">INDEX('Données 1_BD questio'!C:C,MATCH('1_BD questio brut'!$B$1&amp;'1_BD questio brut'!B354,'Données 1_BD questio'!A:A&amp;'Données 1_BD questio'!B:B,0))</f>
        <v>CAPV</v>
      </c>
      <c r="E354" s="191" t="str">
        <f t="array" ref="E354">INDEX('Données 1_BD questio'!C:C,MATCH('1_BD questio brut'!$C$1&amp;'1_BD questio brut'!C354,'Données 1_BD questio'!A:A&amp;'Données 1_BD questio'!B:B,0))</f>
        <v>Employé</v>
      </c>
      <c r="F354" s="191" t="str">
        <f t="array" ref="F354">INDEX('Données 1_BD questio'!C:C,MATCH('1_BD questio brut'!$D$1&amp;'1_BD questio brut'!D354,'Données 1_BD questio'!A:A&amp;'Données 1_BD questio'!B:B,0))</f>
        <v>Employé</v>
      </c>
      <c r="G354" s="191" t="str">
        <f>'1_BD questio brut'!E354</f>
        <v>25 à 34 ans</v>
      </c>
      <c r="H354" s="191">
        <f>'1_BD questio brut'!F354</f>
        <v>3</v>
      </c>
      <c r="I354" s="191" t="str">
        <f>'1_BD questio brut'!G354</f>
        <v>30 000 à 40 000 €</v>
      </c>
      <c r="J354" s="191" t="str">
        <f t="array" ref="J354">INDEX('Données 1_BD questio'!C:C,MATCH('1_BD questio brut'!$H$1&amp;'1_BD questio brut'!H354,'Données 1_BD questio'!A:A&amp;'Données 1_BD questio'!B:B,0))</f>
        <v>Maison avec jardin</v>
      </c>
      <c r="K354" s="191">
        <f>'1_BD questio brut'!I354</f>
        <v>104</v>
      </c>
      <c r="L354" s="191" t="str">
        <f>'1_BD questio brut'!J354</f>
        <v>Avant 1949</v>
      </c>
      <c r="M354" s="191" t="str">
        <f>'1_BD questio brut'!K354</f>
        <v>7</v>
      </c>
      <c r="N354" s="191" t="str">
        <f>'1_BD questio brut'!L354</f>
        <v>E</v>
      </c>
      <c r="O354" s="191" t="str">
        <f>'1_BD questio brut'!M354</f>
        <v>Propriétaire occupant</v>
      </c>
      <c r="P354" s="191" t="str">
        <f>'1_BD questio brut'!N354</f>
        <v>Foyer ouvert</v>
      </c>
      <c r="Q354" s="191" t="str">
        <f>'1_BD questio brut'!O354</f>
        <v>Chauffage d'apoint</v>
      </c>
      <c r="R354" s="191" t="str">
        <f>'1_BD questio brut'!P354</f>
        <v>3 à 4 jours/semaine</v>
      </c>
      <c r="S354" s="191" t="str">
        <f>'1_BD questio brut'!Q354</f>
        <v>6</v>
      </c>
      <c r="T354" s="191" t="str">
        <f>'1_BD questio brut'!R354</f>
        <v>Avant 1990</v>
      </c>
      <c r="U354" s="191" t="str">
        <f>'1_BD questio brut'!S354</f>
        <v>Bois bûche</v>
      </c>
      <c r="V354" s="191" t="str">
        <f>'1_BD questio brut'!T354</f>
        <v/>
      </c>
      <c r="W354" s="191" t="str">
        <f>'1_BD questio brut'!U354</f>
        <v/>
      </c>
      <c r="X354" s="191" t="str">
        <f>'1_BD questio brut'!V354</f>
        <v/>
      </c>
      <c r="Y354" s="191" t="str">
        <f>'1_BD questio brut'!W354</f>
        <v>4</v>
      </c>
      <c r="Z354" s="191" t="str">
        <f>'1_BD questio brut'!X354</f>
        <v>Non connue emènagement récent</v>
      </c>
      <c r="AA354" s="191" t="str">
        <f t="array" ref="AA354">INDEX('Données 1_BD questio'!C:C,MATCH('1_BD questio brut'!$Y$1&amp;'1_BD questio brut'!Y354,'Données 1_BD questio'!A:A&amp;'Données 1_BD questio'!B:B,0))</f>
        <v>Ne sait pas</v>
      </c>
      <c r="AB354" s="191" t="str">
        <f>'1_BD questio brut'!Z354</f>
        <v>2</v>
      </c>
      <c r="AC354" s="191" t="str">
        <f>'1_BD questio brut'!AA354</f>
        <v>Ne sait pas</v>
      </c>
      <c r="AD354" s="191" t="str">
        <f>'1_BD questio brut'!AB354</f>
        <v>Ne sait pas</v>
      </c>
      <c r="AE354" s="191" t="str">
        <f t="array" ref="AE354">INDEX('Données 1_BD questio'!C:C,MATCH('1_BD questio brut'!$AC$1&amp;'1_BD questio brut'!AC354,'Données 1_BD questio'!A:A&amp;'Données 1_BD questio'!B:B,0))</f>
        <v>Pas de réponse</v>
      </c>
      <c r="AF354" s="191" t="str">
        <f>'1_BD questio brut'!AD354</f>
        <v>Pas de réponse</v>
      </c>
      <c r="AG354" s="191" t="str">
        <f>'1_BD questio brut'!AE354</f>
        <v>non connue</v>
      </c>
      <c r="AH354" s="191" t="str">
        <f>'1_BD questio brut'!AF354</f>
        <v>Poêle</v>
      </c>
      <c r="AI354" s="191" t="str">
        <f>'1_BD questio brut'!AG354</f>
        <v>2</v>
      </c>
      <c r="AJ354" s="191" t="str">
        <f>'1_BD questio brut'!AH354</f>
        <v/>
      </c>
      <c r="AK354" s="191" t="str">
        <f>'1_BD questio brut'!AI354</f>
        <v>Chauffage d'appoint</v>
      </c>
      <c r="AL354" s="191" t="str">
        <f>'1_BD questio brut'!AJ354</f>
        <v>Pas de réponse</v>
      </c>
      <c r="AM354" s="191" t="str">
        <f>'1_BD questio brut'!AK354</f>
        <v>2; 4; 5</v>
      </c>
      <c r="AN354" s="191" t="str">
        <f>'1_BD questio brut'!AL354</f>
        <v/>
      </c>
      <c r="AO354" s="191" t="str">
        <f>'1_BD questio brut'!AM354</f>
        <v>12</v>
      </c>
      <c r="AP354" s="191" t="str">
        <f>'1_BD questio brut'!AN354</f>
        <v/>
      </c>
      <c r="AQ354" s="191" t="str">
        <f>'1_BD questio brut'!AO354</f>
        <v>Urnanis</v>
      </c>
    </row>
    <row r="355" spans="1:43" ht="72.5" hidden="1">
      <c r="A355" s="98">
        <f>INDEX('3_BD instruction total'!A:A,MATCH(C355,'3_BD instruction total'!F:F,0))</f>
        <v>2022</v>
      </c>
      <c r="B355" s="98" t="str">
        <f>INDEX('3_BD instruction total'!C:C,MATCH(C355,'3_BD instruction total'!F:F,0))</f>
        <v>non</v>
      </c>
      <c r="C355" s="191" t="str">
        <f>'1_BD questio brut'!A355</f>
        <v>VRB0380</v>
      </c>
      <c r="D355" s="191" t="str">
        <f t="array" ref="D355">INDEX('Données 1_BD questio'!C:C,MATCH('1_BD questio brut'!$B$1&amp;'1_BD questio brut'!B355,'Données 1_BD questio'!A:A&amp;'Données 1_BD questio'!B:B,0))</f>
        <v>CAPV</v>
      </c>
      <c r="E355" s="191" t="str">
        <f t="array" ref="E355">INDEX('Données 1_BD questio'!C:C,MATCH('1_BD questio brut'!$C$1&amp;'1_BD questio brut'!C355,'Données 1_BD questio'!A:A&amp;'Données 1_BD questio'!B:B,0))</f>
        <v>Cadre</v>
      </c>
      <c r="F355" s="191" t="str">
        <f t="array" ref="F355">INDEX('Données 1_BD questio'!C:C,MATCH('1_BD questio brut'!$D$1&amp;'1_BD questio brut'!D355,'Données 1_BD questio'!A:A&amp;'Données 1_BD questio'!B:B,0))</f>
        <v>Cadre</v>
      </c>
      <c r="G355" s="191" t="str">
        <f>'1_BD questio brut'!E355</f>
        <v>50 à 64 ans</v>
      </c>
      <c r="H355" s="191">
        <f>'1_BD questio brut'!F355</f>
        <v>2</v>
      </c>
      <c r="I355" s="191" t="str">
        <f>'1_BD questio brut'!G355</f>
        <v>70 000 à 80 000 €</v>
      </c>
      <c r="J355" s="191" t="str">
        <f t="array" ref="J355">INDEX('Données 1_BD questio'!C:C,MATCH('1_BD questio brut'!$H$1&amp;'1_BD questio brut'!H355,'Données 1_BD questio'!A:A&amp;'Données 1_BD questio'!B:B,0))</f>
        <v>Maison avec jardin</v>
      </c>
      <c r="K355" s="191">
        <f>'1_BD questio brut'!I355</f>
        <v>134</v>
      </c>
      <c r="L355" s="191" t="str">
        <f>'1_BD questio brut'!J355</f>
        <v>1990-2005</v>
      </c>
      <c r="M355" s="191" t="str">
        <f>'1_BD questio brut'!K355</f>
        <v>4</v>
      </c>
      <c r="N355" s="191" t="str">
        <f>'1_BD questio brut'!L355</f>
        <v>Pas de réponse</v>
      </c>
      <c r="O355" s="191" t="str">
        <f>'1_BD questio brut'!M355</f>
        <v>Propriétaire occupant</v>
      </c>
      <c r="P355" s="191" t="str">
        <f>'1_BD questio brut'!N355</f>
        <v>Poêle</v>
      </c>
      <c r="Q355" s="191" t="str">
        <f>'1_BD questio brut'!O355</f>
        <v>Chauffage d'apoint</v>
      </c>
      <c r="R355" s="191" t="str">
        <f>'1_BD questio brut'!P355</f>
        <v>1 à 2 jours/semaine</v>
      </c>
      <c r="S355" s="191" t="str">
        <f>'1_BD questio brut'!Q355</f>
        <v>2; 6</v>
      </c>
      <c r="T355" s="191" t="str">
        <f>'1_BD questio brut'!R355</f>
        <v>1996-2002</v>
      </c>
      <c r="U355" s="191" t="str">
        <f>'1_BD questio brut'!S355</f>
        <v>Bois bûche</v>
      </c>
      <c r="V355" s="191" t="str">
        <f>'1_BD questio brut'!T355</f>
        <v/>
      </c>
      <c r="W355" s="191" t="str">
        <f>'1_BD questio brut'!U355</f>
        <v>2</v>
      </c>
      <c r="X355" s="191" t="str">
        <f>'1_BD questio brut'!V355</f>
        <v>stère</v>
      </c>
      <c r="Y355" s="191" t="str">
        <f>'1_BD questio brut'!W355</f>
        <v>2</v>
      </c>
      <c r="Z355" s="191" t="str">
        <f>'1_BD questio brut'!X355</f>
        <v/>
      </c>
      <c r="AA355" s="191" t="str">
        <f t="array" ref="AA355">INDEX('Données 1_BD questio'!C:C,MATCH('1_BD questio brut'!$Y$1&amp;'1_BD questio brut'!Y355,'Données 1_BD questio'!A:A&amp;'Données 1_BD questio'!B:B,0))</f>
        <v>RA2B</v>
      </c>
      <c r="AB355" s="191" t="str">
        <f>'1_BD questio brut'!Z355</f>
        <v>2</v>
      </c>
      <c r="AC355" s="191" t="str">
        <f>'1_BD questio brut'!AA355</f>
        <v>1 à 2 ans</v>
      </c>
      <c r="AD355" s="191" t="str">
        <f>'1_BD questio brut'!AB355</f>
        <v>Feuillus</v>
      </c>
      <c r="AE355" s="191" t="str">
        <f t="array" ref="AE355">INDEX('Données 1_BD questio'!C:C,MATCH('1_BD questio brut'!$AC$1&amp;'1_BD questio brut'!AC355,'Données 1_BD questio'!A:A&amp;'Données 1_BD questio'!B:B,0))</f>
        <v>un professionnel</v>
      </c>
      <c r="AF355" s="191" t="str">
        <f>'1_BD questio brut'!AD355</f>
        <v>1 fois par an</v>
      </c>
      <c r="AG355" s="191" t="str">
        <f>'1_BD questio brut'!AE355</f>
        <v/>
      </c>
      <c r="AH355" s="191" t="str">
        <f>'1_BD questio brut'!AF355</f>
        <v>Poêle</v>
      </c>
      <c r="AI355" s="191" t="str">
        <f>'1_BD questio brut'!AG355</f>
        <v>1</v>
      </c>
      <c r="AJ355" s="191" t="str">
        <f>'1_BD questio brut'!AH355</f>
        <v/>
      </c>
      <c r="AK355" s="191" t="str">
        <f>'1_BD questio brut'!AI355</f>
        <v>Chauffage d'appoint</v>
      </c>
      <c r="AL355" s="191" t="str">
        <f>'1_BD questio brut'!AJ355</f>
        <v>Pas de réponse</v>
      </c>
      <c r="AM355" s="191" t="str">
        <f>'1_BD questio brut'!AK355</f>
        <v>2; 4; 6</v>
      </c>
      <c r="AN355" s="191" t="str">
        <f>'1_BD questio brut'!AL355</f>
        <v>Adapter la puissance de chauffe à l'espace chauffé</v>
      </c>
      <c r="AO355" s="191" t="str">
        <f>'1_BD questio brut'!AM355</f>
        <v>5</v>
      </c>
      <c r="AP355" s="191" t="str">
        <f>'1_BD questio brut'!AN355</f>
        <v/>
      </c>
      <c r="AQ355" s="191" t="str">
        <f>'1_BD questio brut'!AO355</f>
        <v/>
      </c>
    </row>
    <row r="356" spans="1:43" ht="43.5" hidden="1">
      <c r="A356" s="98">
        <f>INDEX('3_BD instruction total'!A:A,MATCH(C356,'3_BD instruction total'!F:F,0))</f>
        <v>2022</v>
      </c>
      <c r="B356" s="98" t="str">
        <f>INDEX('3_BD instruction total'!C:C,MATCH(C356,'3_BD instruction total'!F:F,0))</f>
        <v>non</v>
      </c>
      <c r="C356" s="191" t="str">
        <f>'1_BD questio brut'!A356</f>
        <v>VRB0381</v>
      </c>
      <c r="D356" s="191" t="str">
        <f t="array" ref="D356">INDEX('Données 1_BD questio'!C:C,MATCH('1_BD questio brut'!$B$1&amp;'1_BD questio brut'!B356,'Données 1_BD questio'!A:A&amp;'Données 1_BD questio'!B:B,0))</f>
        <v>CAPV</v>
      </c>
      <c r="E356" s="191" t="str">
        <f t="array" ref="E356">INDEX('Données 1_BD questio'!C:C,MATCH('1_BD questio brut'!$C$1&amp;'1_BD questio brut'!C356,'Données 1_BD questio'!A:A&amp;'Données 1_BD questio'!B:B,0))</f>
        <v>Retraité</v>
      </c>
      <c r="F356" s="191" t="str">
        <f t="array" ref="F356">INDEX('Données 1_BD questio'!C:C,MATCH('1_BD questio brut'!$D$1&amp;'1_BD questio brut'!D356,'Données 1_BD questio'!A:A&amp;'Données 1_BD questio'!B:B,0))</f>
        <v>Retraité</v>
      </c>
      <c r="G356" s="191" t="str">
        <f>'1_BD questio brut'!E356</f>
        <v>65 ans et plus</v>
      </c>
      <c r="H356" s="191">
        <f>'1_BD questio brut'!F356</f>
        <v>2</v>
      </c>
      <c r="I356" s="191" t="str">
        <f>'1_BD questio brut'!G356</f>
        <v>30 000 à 40 000 €</v>
      </c>
      <c r="J356" s="191" t="str">
        <f t="array" ref="J356">INDEX('Données 1_BD questio'!C:C,MATCH('1_BD questio brut'!$H$1&amp;'1_BD questio brut'!H356,'Données 1_BD questio'!A:A&amp;'Données 1_BD questio'!B:B,0))</f>
        <v>Maison avec jardin</v>
      </c>
      <c r="K356" s="191">
        <f>'1_BD questio brut'!I356</f>
        <v>110</v>
      </c>
      <c r="L356" s="191" t="str">
        <f>'1_BD questio brut'!J356</f>
        <v>1990-2005</v>
      </c>
      <c r="M356" s="191" t="str">
        <f>'1_BD questio brut'!K356</f>
        <v>6</v>
      </c>
      <c r="N356" s="191" t="str">
        <f>'1_BD questio brut'!L356</f>
        <v>Pas de réponse</v>
      </c>
      <c r="O356" s="191" t="str">
        <f>'1_BD questio brut'!M356</f>
        <v>Propriétaire occupant</v>
      </c>
      <c r="P356" s="191" t="str">
        <f>'1_BD questio brut'!N356</f>
        <v>Insert / foyer fermé</v>
      </c>
      <c r="Q356" s="191" t="str">
        <f>'1_BD questio brut'!O356</f>
        <v>Chauffage d'apoint</v>
      </c>
      <c r="R356" s="191" t="str">
        <f>'1_BD questio brut'!P356</f>
        <v>3 à 4 jours/semaine</v>
      </c>
      <c r="S356" s="191" t="str">
        <f>'1_BD questio brut'!Q356</f>
        <v>4</v>
      </c>
      <c r="T356" s="191" t="str">
        <f>'1_BD questio brut'!R356</f>
        <v>1990-1995</v>
      </c>
      <c r="U356" s="191" t="str">
        <f>'1_BD questio brut'!S356</f>
        <v>Bois bûche</v>
      </c>
      <c r="V356" s="191" t="str">
        <f>'1_BD questio brut'!T356</f>
        <v/>
      </c>
      <c r="W356" s="191" t="str">
        <f>'1_BD questio brut'!U356</f>
        <v>5</v>
      </c>
      <c r="X356" s="191" t="str">
        <f>'1_BD questio brut'!V356</f>
        <v>Stère</v>
      </c>
      <c r="Y356" s="191" t="str">
        <f>'1_BD questio brut'!W356</f>
        <v>2</v>
      </c>
      <c r="Z356" s="191" t="str">
        <f>'1_BD questio brut'!X356</f>
        <v/>
      </c>
      <c r="AA356" s="191" t="str">
        <f t="array" ref="AA356">INDEX('Données 1_BD questio'!C:C,MATCH('1_BD questio brut'!$Y$1&amp;'1_BD questio brut'!Y356,'Données 1_BD questio'!A:A&amp;'Données 1_BD questio'!B:B,0))</f>
        <v>Ne sait pas</v>
      </c>
      <c r="AB356" s="191" t="str">
        <f>'1_BD questio brut'!Z356</f>
        <v>2</v>
      </c>
      <c r="AC356" s="191" t="str">
        <f>'1_BD questio brut'!AA356</f>
        <v>1 à 2 ans</v>
      </c>
      <c r="AD356" s="191" t="str">
        <f>'1_BD questio brut'!AB356</f>
        <v>Feuillus</v>
      </c>
      <c r="AE356" s="191" t="str">
        <f t="array" ref="AE356">INDEX('Données 1_BD questio'!C:C,MATCH('1_BD questio brut'!$AC$1&amp;'1_BD questio brut'!AC356,'Données 1_BD questio'!A:A&amp;'Données 1_BD questio'!B:B,0))</f>
        <v>un professionnel</v>
      </c>
      <c r="AF356" s="191" t="str">
        <f>'1_BD questio brut'!AD356</f>
        <v>1 fois par an</v>
      </c>
      <c r="AG356" s="191" t="str">
        <f>'1_BD questio brut'!AE356</f>
        <v/>
      </c>
      <c r="AH356" s="191" t="str">
        <f>'1_BD questio brut'!AF356</f>
        <v>Poêle</v>
      </c>
      <c r="AI356" s="191" t="str">
        <f>'1_BD questio brut'!AG356</f>
        <v>1</v>
      </c>
      <c r="AJ356" s="191" t="str">
        <f>'1_BD questio brut'!AH356</f>
        <v/>
      </c>
      <c r="AK356" s="191" t="str">
        <f>'1_BD questio brut'!AI356</f>
        <v>Chauffage d'appoint</v>
      </c>
      <c r="AL356" s="191" t="str">
        <f>'1_BD questio brut'!AJ356</f>
        <v>Pas de réponse</v>
      </c>
      <c r="AM356" s="191" t="str">
        <f>'1_BD questio brut'!AK356</f>
        <v>2; 4</v>
      </c>
      <c r="AN356" s="191" t="str">
        <f>'1_BD questio brut'!AL356</f>
        <v/>
      </c>
      <c r="AO356" s="191" t="str">
        <f>'1_BD questio brut'!AM356</f>
        <v>7; 11</v>
      </c>
      <c r="AP356" s="191" t="str">
        <f>'1_BD questio brut'!AN356</f>
        <v/>
      </c>
      <c r="AQ356" s="191" t="str">
        <f>'1_BD questio brut'!AO356</f>
        <v/>
      </c>
    </row>
    <row r="357" spans="1:43" ht="43.5" hidden="1">
      <c r="A357" s="98">
        <f>INDEX('3_BD instruction total'!A:A,MATCH(C357,'3_BD instruction total'!F:F,0))</f>
        <v>2022</v>
      </c>
      <c r="B357" s="98" t="str">
        <f>INDEX('3_BD instruction total'!C:C,MATCH(C357,'3_BD instruction total'!F:F,0))</f>
        <v>non</v>
      </c>
      <c r="C357" s="191" t="str">
        <f>'1_BD questio brut'!A357</f>
        <v>VRB0383</v>
      </c>
      <c r="D357" s="191" t="str">
        <f t="array" ref="D357">INDEX('Données 1_BD questio'!C:C,MATCH('1_BD questio brut'!$B$1&amp;'1_BD questio brut'!B357,'Données 1_BD questio'!A:A&amp;'Données 1_BD questio'!B:B,0))</f>
        <v>CAPV</v>
      </c>
      <c r="E357" s="191" t="str">
        <f t="array" ref="E357">INDEX('Données 1_BD questio'!C:C,MATCH('1_BD questio brut'!$C$1&amp;'1_BD questio brut'!C357,'Données 1_BD questio'!A:A&amp;'Données 1_BD questio'!B:B,0))</f>
        <v>Retraité</v>
      </c>
      <c r="F357" s="191" t="str">
        <f t="array" ref="F357">INDEX('Données 1_BD questio'!C:C,MATCH('1_BD questio brut'!$D$1&amp;'1_BD questio brut'!D357,'Données 1_BD questio'!A:A&amp;'Données 1_BD questio'!B:B,0))</f>
        <v>Retraité</v>
      </c>
      <c r="G357" s="191" t="str">
        <f>'1_BD questio brut'!E357</f>
        <v>65 ans et plus</v>
      </c>
      <c r="H357" s="191">
        <f>'1_BD questio brut'!F357</f>
        <v>2</v>
      </c>
      <c r="I357" s="191" t="str">
        <f>'1_BD questio brut'!G357</f>
        <v>40 000 à 50 000 €</v>
      </c>
      <c r="J357" s="191" t="str">
        <f t="array" ref="J357">INDEX('Données 1_BD questio'!C:C,MATCH('1_BD questio brut'!$H$1&amp;'1_BD questio brut'!H357,'Données 1_BD questio'!A:A&amp;'Données 1_BD questio'!B:B,0))</f>
        <v>Maison avec jardin</v>
      </c>
      <c r="K357" s="191">
        <f>'1_BD questio brut'!I357</f>
        <v>120</v>
      </c>
      <c r="L357" s="191" t="str">
        <f>'1_BD questio brut'!J357</f>
        <v>1975-1990</v>
      </c>
      <c r="M357" s="191" t="str">
        <f>'1_BD questio brut'!K357</f>
        <v>1</v>
      </c>
      <c r="N357" s="191" t="str">
        <f>'1_BD questio brut'!L357</f>
        <v>Pas de réponse</v>
      </c>
      <c r="O357" s="191" t="str">
        <f>'1_BD questio brut'!M357</f>
        <v>Propriétaire occupant</v>
      </c>
      <c r="P357" s="191" t="str">
        <f>'1_BD questio brut'!N357</f>
        <v>Insert / foyer fermé</v>
      </c>
      <c r="Q357" s="191" t="str">
        <f>'1_BD questio brut'!O357</f>
        <v>Chauffage d'apoint</v>
      </c>
      <c r="R357" s="191" t="str">
        <f>'1_BD questio brut'!P357</f>
        <v>Tous les jours</v>
      </c>
      <c r="S357" s="191" t="str">
        <f>'1_BD questio brut'!Q357</f>
        <v>2</v>
      </c>
      <c r="T357" s="191" t="str">
        <f>'1_BD questio brut'!R357</f>
        <v>Avant 1990</v>
      </c>
      <c r="U357" s="191" t="str">
        <f>'1_BD questio brut'!S357</f>
        <v>Bois bûche</v>
      </c>
      <c r="V357" s="191" t="str">
        <f>'1_BD questio brut'!T357</f>
        <v/>
      </c>
      <c r="W357" s="191" t="str">
        <f>'1_BD questio brut'!U357</f>
        <v>5</v>
      </c>
      <c r="X357" s="191" t="str">
        <f>'1_BD questio brut'!V357</f>
        <v>Stère</v>
      </c>
      <c r="Y357" s="191" t="str">
        <f>'1_BD questio brut'!W357</f>
        <v>2</v>
      </c>
      <c r="Z357" s="191" t="str">
        <f>'1_BD questio brut'!X357</f>
        <v/>
      </c>
      <c r="AA357" s="191" t="str">
        <f t="array" ref="AA357">INDEX('Données 1_BD questio'!C:C,MATCH('1_BD questio brut'!$Y$1&amp;'1_BD questio brut'!Y357,'Données 1_BD questio'!A:A&amp;'Données 1_BD questio'!B:B,0))</f>
        <v>Rhône-Alpes hors RA2B</v>
      </c>
      <c r="AB357" s="191" t="str">
        <f>'1_BD questio brut'!Z357</f>
        <v>3</v>
      </c>
      <c r="AC357" s="191" t="str">
        <f>'1_BD questio brut'!AA357</f>
        <v>1 à 2 ans</v>
      </c>
      <c r="AD357" s="191" t="str">
        <f>'1_BD questio brut'!AB357</f>
        <v>Feuillus</v>
      </c>
      <c r="AE357" s="191" t="str">
        <f t="array" ref="AE357">INDEX('Données 1_BD questio'!C:C,MATCH('1_BD questio brut'!$AC$1&amp;'1_BD questio brut'!AC357,'Données 1_BD questio'!A:A&amp;'Données 1_BD questio'!B:B,0))</f>
        <v>un professionnel</v>
      </c>
      <c r="AF357" s="191" t="str">
        <f>'1_BD questio brut'!AD357</f>
        <v>1 fois par an</v>
      </c>
      <c r="AG357" s="191" t="str">
        <f>'1_BD questio brut'!AE357</f>
        <v/>
      </c>
      <c r="AH357" s="191" t="str">
        <f>'1_BD questio brut'!AF357</f>
        <v>Poêle</v>
      </c>
      <c r="AI357" s="191" t="str">
        <f>'1_BD questio brut'!AG357</f>
        <v>2</v>
      </c>
      <c r="AJ357" s="191" t="str">
        <f>'1_BD questio brut'!AH357</f>
        <v/>
      </c>
      <c r="AK357" s="191" t="str">
        <f>'1_BD questio brut'!AI357</f>
        <v>Chauffage de base</v>
      </c>
      <c r="AL357" s="191" t="str">
        <f>'1_BD questio brut'!AJ357</f>
        <v>Pas de réponse</v>
      </c>
      <c r="AM357" s="191" t="str">
        <f>'1_BD questio brut'!AK357</f>
        <v>2; 4; 5</v>
      </c>
      <c r="AN357" s="191" t="str">
        <f>'1_BD questio brut'!AL357</f>
        <v/>
      </c>
      <c r="AO357" s="191" t="str">
        <f>'1_BD questio brut'!AM357</f>
        <v>7</v>
      </c>
      <c r="AP357" s="191" t="str">
        <f>'1_BD questio brut'!AN357</f>
        <v/>
      </c>
      <c r="AQ357" s="191" t="str">
        <f>'1_BD questio brut'!AO357</f>
        <v/>
      </c>
    </row>
    <row r="358" spans="1:43" ht="29" hidden="1">
      <c r="A358" s="98">
        <f>INDEX('3_BD instruction total'!A:A,MATCH(C358,'3_BD instruction total'!F:F,0))</f>
        <v>2022</v>
      </c>
      <c r="B358" s="98" t="str">
        <f>INDEX('3_BD instruction total'!C:C,MATCH(C358,'3_BD instruction total'!F:F,0))</f>
        <v>non</v>
      </c>
      <c r="C358" s="191" t="str">
        <f>'1_BD questio brut'!A358</f>
        <v>VRB0384</v>
      </c>
      <c r="D358" s="191" t="str">
        <f t="array" ref="D358">INDEX('Données 1_BD questio'!C:C,MATCH('1_BD questio brut'!$B$1&amp;'1_BD questio brut'!B358,'Données 1_BD questio'!A:A&amp;'Données 1_BD questio'!B:B,0))</f>
        <v>CAPV</v>
      </c>
      <c r="E358" s="191" t="str">
        <f t="array" ref="E358">INDEX('Données 1_BD questio'!C:C,MATCH('1_BD questio brut'!$C$1&amp;'1_BD questio brut'!C358,'Données 1_BD questio'!A:A&amp;'Données 1_BD questio'!B:B,0))</f>
        <v>Cadre</v>
      </c>
      <c r="F358" s="191" t="str">
        <f t="array" ref="F358">INDEX('Données 1_BD questio'!C:C,MATCH('1_BD questio brut'!$D$1&amp;'1_BD questio brut'!D358,'Données 1_BD questio'!A:A&amp;'Données 1_BD questio'!B:B,0))</f>
        <v>Employé</v>
      </c>
      <c r="G358" s="191" t="str">
        <f>'1_BD questio brut'!E358</f>
        <v>50 à 64 ans</v>
      </c>
      <c r="H358" s="191">
        <f>'1_BD questio brut'!F358</f>
        <v>5</v>
      </c>
      <c r="I358" s="191" t="str">
        <f>'1_BD questio brut'!G358</f>
        <v>40 000 à 50 000 €</v>
      </c>
      <c r="J358" s="191" t="str">
        <f t="array" ref="J358">INDEX('Données 1_BD questio'!C:C,MATCH('1_BD questio brut'!$H$1&amp;'1_BD questio brut'!H358,'Données 1_BD questio'!A:A&amp;'Données 1_BD questio'!B:B,0))</f>
        <v>Maison avec jardin</v>
      </c>
      <c r="K358" s="191">
        <f>'1_BD questio brut'!I358</f>
        <v>100</v>
      </c>
      <c r="L358" s="191" t="str">
        <f>'1_BD questio brut'!J358</f>
        <v>1990-2005</v>
      </c>
      <c r="M358" s="191" t="str">
        <f>'1_BD questio brut'!K358</f>
        <v>6</v>
      </c>
      <c r="N358" s="191" t="str">
        <f>'1_BD questio brut'!L358</f>
        <v>Pas de réponse</v>
      </c>
      <c r="O358" s="191" t="str">
        <f>'1_BD questio brut'!M358</f>
        <v>Propriétaire occupant</v>
      </c>
      <c r="P358" s="191" t="str">
        <f>'1_BD questio brut'!N358</f>
        <v>Poêle</v>
      </c>
      <c r="Q358" s="191" t="str">
        <f>'1_BD questio brut'!O358</f>
        <v>Chauffage d'apoint</v>
      </c>
      <c r="R358" s="191" t="str">
        <f>'1_BD questio brut'!P358</f>
        <v>Tous les jours</v>
      </c>
      <c r="S358" s="191" t="str">
        <f>'1_BD questio brut'!Q358</f>
        <v>4</v>
      </c>
      <c r="T358" s="191" t="str">
        <f>'1_BD questio brut'!R358</f>
        <v>1996-2002</v>
      </c>
      <c r="U358" s="191" t="str">
        <f>'1_BD questio brut'!S358</f>
        <v>Bois bûche</v>
      </c>
      <c r="V358" s="191" t="str">
        <f>'1_BD questio brut'!T358</f>
        <v/>
      </c>
      <c r="W358" s="191" t="str">
        <f>'1_BD questio brut'!U358</f>
        <v>12</v>
      </c>
      <c r="X358" s="191" t="str">
        <f>'1_BD questio brut'!V358</f>
        <v>cm</v>
      </c>
      <c r="Y358" s="191" t="str">
        <f>'1_BD questio brut'!W358</f>
        <v>1</v>
      </c>
      <c r="Z358" s="191" t="str">
        <f>'1_BD questio brut'!X358</f>
        <v/>
      </c>
      <c r="AA358" s="191" t="str">
        <f t="array" ref="AA358">INDEX('Données 1_BD questio'!C:C,MATCH('1_BD questio brut'!$Y$1&amp;'1_BD questio brut'!Y358,'Données 1_BD questio'!A:A&amp;'Données 1_BD questio'!B:B,0))</f>
        <v>Ne sait pas</v>
      </c>
      <c r="AB358" s="191" t="str">
        <f>'1_BD questio brut'!Z358</f>
        <v>2</v>
      </c>
      <c r="AC358" s="191" t="str">
        <f>'1_BD questio brut'!AA358</f>
        <v>1 à 2 ans</v>
      </c>
      <c r="AD358" s="191" t="str">
        <f>'1_BD questio brut'!AB358</f>
        <v>Les deux</v>
      </c>
      <c r="AE358" s="191" t="str">
        <f t="array" ref="AE358">INDEX('Données 1_BD questio'!C:C,MATCH('1_BD questio brut'!$AC$1&amp;'1_BD questio brut'!AC358,'Données 1_BD questio'!A:A&amp;'Données 1_BD questio'!B:B,0))</f>
        <v>vous-même</v>
      </c>
      <c r="AF358" s="191" t="str">
        <f>'1_BD questio brut'!AD358</f>
        <v>2 fois par an</v>
      </c>
      <c r="AG358" s="191" t="str">
        <f>'1_BD questio brut'!AE358</f>
        <v/>
      </c>
      <c r="AH358" s="191" t="str">
        <f>'1_BD questio brut'!AF358</f>
        <v>Poêle</v>
      </c>
      <c r="AI358" s="191" t="str">
        <f>'1_BD questio brut'!AG358</f>
        <v>2</v>
      </c>
      <c r="AJ358" s="191" t="str">
        <f>'1_BD questio brut'!AH358</f>
        <v/>
      </c>
      <c r="AK358" s="191" t="str">
        <f>'1_BD questio brut'!AI358</f>
        <v>Chauffage de base</v>
      </c>
      <c r="AL358" s="191" t="str">
        <f>'1_BD questio brut'!AJ358</f>
        <v>Pas de réponse</v>
      </c>
      <c r="AM358" s="191" t="str">
        <f>'1_BD questio brut'!AK358</f>
        <v>1</v>
      </c>
      <c r="AN358" s="191" t="str">
        <f>'1_BD questio brut'!AL358</f>
        <v/>
      </c>
      <c r="AO358" s="191" t="str">
        <f>'1_BD questio brut'!AM358</f>
        <v>5; 7</v>
      </c>
      <c r="AP358" s="191" t="str">
        <f>'1_BD questio brut'!AN358</f>
        <v/>
      </c>
      <c r="AQ358" s="191" t="str">
        <f>'1_BD questio brut'!AO358</f>
        <v/>
      </c>
    </row>
    <row r="359" spans="1:43" ht="43.5" hidden="1">
      <c r="A359" s="98">
        <f>INDEX('3_BD instruction total'!A:A,MATCH(C359,'3_BD instruction total'!F:F,0))</f>
        <v>2022</v>
      </c>
      <c r="B359" s="98" t="str">
        <f>INDEX('3_BD instruction total'!C:C,MATCH(C359,'3_BD instruction total'!F:F,0))</f>
        <v>non</v>
      </c>
      <c r="C359" s="191" t="str">
        <f>'1_BD questio brut'!A359</f>
        <v>VRB0385</v>
      </c>
      <c r="D359" s="191" t="str">
        <f t="array" ref="D359">INDEX('Données 1_BD questio'!C:C,MATCH('1_BD questio brut'!$B$1&amp;'1_BD questio brut'!B359,'Données 1_BD questio'!A:A&amp;'Données 1_BD questio'!B:B,0))</f>
        <v>CAPV</v>
      </c>
      <c r="E359" s="191" t="str">
        <f t="array" ref="E359">INDEX('Données 1_BD questio'!C:C,MATCH('1_BD questio brut'!$C$1&amp;'1_BD questio brut'!C359,'Données 1_BD questio'!A:A&amp;'Données 1_BD questio'!B:B,0))</f>
        <v>Retraité</v>
      </c>
      <c r="F359" s="191" t="str">
        <f t="array" ref="F359">INDEX('Données 1_BD questio'!C:C,MATCH('1_BD questio brut'!$D$1&amp;'1_BD questio brut'!D359,'Données 1_BD questio'!A:A&amp;'Données 1_BD questio'!B:B,0))</f>
        <v>Pas de réponse</v>
      </c>
      <c r="G359" s="191" t="str">
        <f>'1_BD questio brut'!E359</f>
        <v>65 ans et plus</v>
      </c>
      <c r="H359" s="191">
        <f>'1_BD questio brut'!F359</f>
        <v>1</v>
      </c>
      <c r="I359" s="191" t="str">
        <f>'1_BD questio brut'!G359</f>
        <v>Moins de 20 000 €</v>
      </c>
      <c r="J359" s="191" t="str">
        <f t="array" ref="J359">INDEX('Données 1_BD questio'!C:C,MATCH('1_BD questio brut'!$H$1&amp;'1_BD questio brut'!H359,'Données 1_BD questio'!A:A&amp;'Données 1_BD questio'!B:B,0))</f>
        <v>Maison avec jardin</v>
      </c>
      <c r="K359" s="191">
        <f>'1_BD questio brut'!I359</f>
        <v>80</v>
      </c>
      <c r="L359" s="191" t="str">
        <f>'1_BD questio brut'!J359</f>
        <v>1949-1975</v>
      </c>
      <c r="M359" s="191" t="str">
        <f>'1_BD questio brut'!K359</f>
        <v>6</v>
      </c>
      <c r="N359" s="191" t="str">
        <f>'1_BD questio brut'!L359</f>
        <v>Pas de réponse</v>
      </c>
      <c r="O359" s="191" t="str">
        <f>'1_BD questio brut'!M359</f>
        <v>Propriétaire occupant</v>
      </c>
      <c r="P359" s="191" t="str">
        <f>'1_BD questio brut'!N359</f>
        <v>Cuisinière</v>
      </c>
      <c r="Q359" s="191" t="str">
        <f>'1_BD questio brut'!O359</f>
        <v>Chauffage de base</v>
      </c>
      <c r="R359" s="191" t="str">
        <f>'1_BD questio brut'!P359</f>
        <v>Tous les jours</v>
      </c>
      <c r="S359" s="191" t="str">
        <f>'1_BD questio brut'!Q359</f>
        <v>1; 2; 3; 4; 5</v>
      </c>
      <c r="T359" s="191" t="str">
        <f>'1_BD questio brut'!R359</f>
        <v>Avant 1990</v>
      </c>
      <c r="U359" s="191" t="str">
        <f>'1_BD questio brut'!S359</f>
        <v>Bois bûche</v>
      </c>
      <c r="V359" s="191" t="str">
        <f>'1_BD questio brut'!T359</f>
        <v/>
      </c>
      <c r="W359" s="191" t="str">
        <f>'1_BD questio brut'!U359</f>
        <v>6</v>
      </c>
      <c r="X359" s="191" t="str">
        <f>'1_BD questio brut'!V359</f>
        <v>Stère</v>
      </c>
      <c r="Y359" s="191" t="str">
        <f>'1_BD questio brut'!W359</f>
        <v>2</v>
      </c>
      <c r="Z359" s="191" t="str">
        <f>'1_BD questio brut'!X359</f>
        <v/>
      </c>
      <c r="AA359" s="191" t="str">
        <f t="array" ref="AA359">INDEX('Données 1_BD questio'!C:C,MATCH('1_BD questio brut'!$Y$1&amp;'1_BD questio brut'!Y359,'Données 1_BD questio'!A:A&amp;'Données 1_BD questio'!B:B,0))</f>
        <v>RA2B</v>
      </c>
      <c r="AB359" s="191" t="str">
        <f>'1_BD questio brut'!Z359</f>
        <v>2</v>
      </c>
      <c r="AC359" s="191" t="str">
        <f>'1_BD questio brut'!AA359</f>
        <v>1 à 2 ans</v>
      </c>
      <c r="AD359" s="191" t="str">
        <f>'1_BD questio brut'!AB359</f>
        <v>Les deux</v>
      </c>
      <c r="AE359" s="191" t="str">
        <f t="array" ref="AE359">INDEX('Données 1_BD questio'!C:C,MATCH('1_BD questio brut'!$AC$1&amp;'1_BD questio brut'!AC359,'Données 1_BD questio'!A:A&amp;'Données 1_BD questio'!B:B,0))</f>
        <v>un professionnel</v>
      </c>
      <c r="AF359" s="191" t="str">
        <f>'1_BD questio brut'!AD359</f>
        <v>1 fois par an</v>
      </c>
      <c r="AG359" s="191" t="str">
        <f>'1_BD questio brut'!AE359</f>
        <v/>
      </c>
      <c r="AH359" s="191" t="str">
        <f>'1_BD questio brut'!AF359</f>
        <v>Poêle</v>
      </c>
      <c r="AI359" s="191" t="str">
        <f>'1_BD questio brut'!AG359</f>
        <v>2</v>
      </c>
      <c r="AJ359" s="191" t="str">
        <f>'1_BD questio brut'!AH359</f>
        <v/>
      </c>
      <c r="AK359" s="191" t="str">
        <f>'1_BD questio brut'!AI359</f>
        <v>Chauffage de base</v>
      </c>
      <c r="AL359" s="191" t="str">
        <f>'1_BD questio brut'!AJ359</f>
        <v>Pas de réponse</v>
      </c>
      <c r="AM359" s="191" t="str">
        <f>'1_BD questio brut'!AK359</f>
        <v>1; 2; 4; 5</v>
      </c>
      <c r="AN359" s="191" t="str">
        <f>'1_BD questio brut'!AL359</f>
        <v/>
      </c>
      <c r="AO359" s="191" t="str">
        <f>'1_BD questio brut'!AM359</f>
        <v>1; 5</v>
      </c>
      <c r="AP359" s="191" t="str">
        <f>'1_BD questio brut'!AN359</f>
        <v/>
      </c>
      <c r="AQ359" s="191" t="str">
        <f>'1_BD questio brut'!AO359</f>
        <v/>
      </c>
    </row>
    <row r="360" spans="1:43" ht="43.5" hidden="1">
      <c r="A360" s="98">
        <f>INDEX('3_BD instruction total'!A:A,MATCH(C360,'3_BD instruction total'!F:F,0))</f>
        <v>2022</v>
      </c>
      <c r="B360" s="98" t="str">
        <f>INDEX('3_BD instruction total'!C:C,MATCH(C360,'3_BD instruction total'!F:F,0))</f>
        <v>non</v>
      </c>
      <c r="C360" s="191" t="str">
        <f>'1_BD questio brut'!A360</f>
        <v>VRB0386</v>
      </c>
      <c r="D360" s="191" t="str">
        <f t="array" ref="D360">INDEX('Données 1_BD questio'!C:C,MATCH('1_BD questio brut'!$B$1&amp;'1_BD questio brut'!B360,'Données 1_BD questio'!A:A&amp;'Données 1_BD questio'!B:B,0))</f>
        <v>CAPV</v>
      </c>
      <c r="E360" s="191" t="str">
        <f t="array" ref="E360">INDEX('Données 1_BD questio'!C:C,MATCH('1_BD questio brut'!$C$1&amp;'1_BD questio brut'!C360,'Données 1_BD questio'!A:A&amp;'Données 1_BD questio'!B:B,0))</f>
        <v>Retraité</v>
      </c>
      <c r="F360" s="191" t="str">
        <f t="array" ref="F360">INDEX('Données 1_BD questio'!C:C,MATCH('1_BD questio brut'!$D$1&amp;'1_BD questio brut'!D360,'Données 1_BD questio'!A:A&amp;'Données 1_BD questio'!B:B,0))</f>
        <v>Retraité</v>
      </c>
      <c r="G360" s="191" t="str">
        <f>'1_BD questio brut'!E360</f>
        <v>65 ans et plus</v>
      </c>
      <c r="H360" s="191">
        <f>'1_BD questio brut'!F360</f>
        <v>2</v>
      </c>
      <c r="I360" s="191" t="str">
        <f>'1_BD questio brut'!G360</f>
        <v>40 000 à 50 000 €</v>
      </c>
      <c r="J360" s="191" t="str">
        <f t="array" ref="J360">INDEX('Données 1_BD questio'!C:C,MATCH('1_BD questio brut'!$H$1&amp;'1_BD questio brut'!H360,'Données 1_BD questio'!A:A&amp;'Données 1_BD questio'!B:B,0))</f>
        <v>Maison avec jardin</v>
      </c>
      <c r="K360" s="191">
        <f>'1_BD questio brut'!I360</f>
        <v>120</v>
      </c>
      <c r="L360" s="191" t="str">
        <f>'1_BD questio brut'!J360</f>
        <v>1975-1990</v>
      </c>
      <c r="M360" s="191" t="str">
        <f>'1_BD questio brut'!K360</f>
        <v>1</v>
      </c>
      <c r="N360" s="191" t="str">
        <f>'1_BD questio brut'!L360</f>
        <v>Pas de réponse</v>
      </c>
      <c r="O360" s="191" t="str">
        <f>'1_BD questio brut'!M360</f>
        <v>Propriétaire occupant</v>
      </c>
      <c r="P360" s="191" t="str">
        <f>'1_BD questio brut'!N360</f>
        <v>Pas de réponse</v>
      </c>
      <c r="Q360" s="191" t="str">
        <f>'1_BD questio brut'!O360</f>
        <v>Chauffage de base</v>
      </c>
      <c r="R360" s="191" t="str">
        <f>'1_BD questio brut'!P360</f>
        <v>Tous les jours</v>
      </c>
      <c r="S360" s="191" t="str">
        <f>'1_BD questio brut'!Q360</f>
        <v>4; 5</v>
      </c>
      <c r="T360" s="191" t="str">
        <f>'1_BD questio brut'!R360</f>
        <v>Avant 1990</v>
      </c>
      <c r="U360" s="191" t="str">
        <f>'1_BD questio brut'!S360</f>
        <v>Bois bûche</v>
      </c>
      <c r="V360" s="191" t="str">
        <f>'1_BD questio brut'!T360</f>
        <v/>
      </c>
      <c r="W360" s="191" t="str">
        <f>'1_BD questio brut'!U360</f>
        <v>10</v>
      </c>
      <c r="X360" s="191" t="str">
        <f>'1_BD questio brut'!V360</f>
        <v>M2</v>
      </c>
      <c r="Y360" s="191" t="str">
        <f>'1_BD questio brut'!W360</f>
        <v>1</v>
      </c>
      <c r="Z360" s="191" t="str">
        <f>'1_BD questio brut'!X360</f>
        <v/>
      </c>
      <c r="AA360" s="191" t="str">
        <f t="array" ref="AA360">INDEX('Données 1_BD questio'!C:C,MATCH('1_BD questio brut'!$Y$1&amp;'1_BD questio brut'!Y360,'Données 1_BD questio'!A:A&amp;'Données 1_BD questio'!B:B,0))</f>
        <v>Pas de réponse</v>
      </c>
      <c r="AB360" s="191" t="str">
        <f>'1_BD questio brut'!Z360</f>
        <v>2</v>
      </c>
      <c r="AC360" s="191" t="str">
        <f>'1_BD questio brut'!AA360</f>
        <v>1 à 2 ans</v>
      </c>
      <c r="AD360" s="191" t="str">
        <f>'1_BD questio brut'!AB360</f>
        <v>Feuillus</v>
      </c>
      <c r="AE360" s="191" t="str">
        <f t="array" ref="AE360">INDEX('Données 1_BD questio'!C:C,MATCH('1_BD questio brut'!$AC$1&amp;'1_BD questio brut'!AC360,'Données 1_BD questio'!A:A&amp;'Données 1_BD questio'!B:B,0))</f>
        <v>un professionnel</v>
      </c>
      <c r="AF360" s="191" t="str">
        <f>'1_BD questio brut'!AD360</f>
        <v>1 fois par an</v>
      </c>
      <c r="AG360" s="191" t="str">
        <f>'1_BD questio brut'!AE360</f>
        <v/>
      </c>
      <c r="AH360" s="191" t="str">
        <f>'1_BD questio brut'!AF360</f>
        <v>Poêle</v>
      </c>
      <c r="AI360" s="191" t="str">
        <f>'1_BD questio brut'!AG360</f>
        <v>2</v>
      </c>
      <c r="AJ360" s="191" t="str">
        <f>'1_BD questio brut'!AH360</f>
        <v/>
      </c>
      <c r="AK360" s="191" t="str">
        <f>'1_BD questio brut'!AI360</f>
        <v>Chauffage de base</v>
      </c>
      <c r="AL360" s="191" t="str">
        <f>'1_BD questio brut'!AJ360</f>
        <v>Pas de réponse</v>
      </c>
      <c r="AM360" s="191" t="str">
        <f>'1_BD questio brut'!AK360</f>
        <v>2; 4; 5</v>
      </c>
      <c r="AN360" s="191" t="str">
        <f>'1_BD questio brut'!AL360</f>
        <v/>
      </c>
      <c r="AO360" s="191" t="str">
        <f>'1_BD questio brut'!AM360</f>
        <v>5</v>
      </c>
      <c r="AP360" s="191" t="str">
        <f>'1_BD questio brut'!AN360</f>
        <v/>
      </c>
      <c r="AQ360" s="191" t="str">
        <f>'1_BD questio brut'!AO360</f>
        <v/>
      </c>
    </row>
    <row r="361" spans="1:43" ht="43.5" hidden="1">
      <c r="A361" s="98">
        <f>INDEX('3_BD instruction total'!A:A,MATCH(C361,'3_BD instruction total'!F:F,0))</f>
        <v>2022</v>
      </c>
      <c r="B361" s="98" t="str">
        <f>INDEX('3_BD instruction total'!C:C,MATCH(C361,'3_BD instruction total'!F:F,0))</f>
        <v>non</v>
      </c>
      <c r="C361" s="191" t="str">
        <f>'1_BD questio brut'!A361</f>
        <v>VRB0388</v>
      </c>
      <c r="D361" s="191" t="str">
        <f t="array" ref="D361">INDEX('Données 1_BD questio'!C:C,MATCH('1_BD questio brut'!$B$1&amp;'1_BD questio brut'!B361,'Données 1_BD questio'!A:A&amp;'Données 1_BD questio'!B:B,0))</f>
        <v>CAPV</v>
      </c>
      <c r="E361" s="191" t="str">
        <f t="array" ref="E361">INDEX('Données 1_BD questio'!C:C,MATCH('1_BD questio brut'!$C$1&amp;'1_BD questio brut'!C361,'Données 1_BD questio'!A:A&amp;'Données 1_BD questio'!B:B,0))</f>
        <v>Retraité</v>
      </c>
      <c r="F361" s="191" t="str">
        <f t="array" ref="F361">INDEX('Données 1_BD questio'!C:C,MATCH('1_BD questio brut'!$D$1&amp;'1_BD questio brut'!D361,'Données 1_BD questio'!A:A&amp;'Données 1_BD questio'!B:B,0))</f>
        <v>Retraité</v>
      </c>
      <c r="G361" s="191" t="str">
        <f>'1_BD questio brut'!E361</f>
        <v>65 ans et plus</v>
      </c>
      <c r="H361" s="191">
        <f>'1_BD questio brut'!F361</f>
        <v>2</v>
      </c>
      <c r="I361" s="191" t="str">
        <f>'1_BD questio brut'!G361</f>
        <v>20 000 à 30 000 €</v>
      </c>
      <c r="J361" s="191" t="str">
        <f t="array" ref="J361">INDEX('Données 1_BD questio'!C:C,MATCH('1_BD questio brut'!$H$1&amp;'1_BD questio brut'!H361,'Données 1_BD questio'!A:A&amp;'Données 1_BD questio'!B:B,0))</f>
        <v>Maison avec jardin</v>
      </c>
      <c r="K361" s="191">
        <f>'1_BD questio brut'!I361</f>
        <v>53</v>
      </c>
      <c r="L361" s="191" t="str">
        <f>'1_BD questio brut'!J361</f>
        <v>1975-1990</v>
      </c>
      <c r="M361" s="191" t="str">
        <f>'1_BD questio brut'!K361</f>
        <v>6</v>
      </c>
      <c r="N361" s="191" t="str">
        <f>'1_BD questio brut'!L361</f>
        <v>Pas de réponse</v>
      </c>
      <c r="O361" s="191" t="str">
        <f>'1_BD questio brut'!M361</f>
        <v>Propriétaire occupant</v>
      </c>
      <c r="P361" s="191" t="str">
        <f>'1_BD questio brut'!N361</f>
        <v>Foyer ouvert</v>
      </c>
      <c r="Q361" s="191" t="str">
        <f>'1_BD questio brut'!O361</f>
        <v>Chauffage d'apoint</v>
      </c>
      <c r="R361" s="191" t="str">
        <f>'1_BD questio brut'!P361</f>
        <v>Tous les jours</v>
      </c>
      <c r="S361" s="191" t="str">
        <f>'1_BD questio brut'!Q361</f>
        <v>4</v>
      </c>
      <c r="T361" s="191" t="str">
        <f>'1_BD questio brut'!R361</f>
        <v>Avant 1990</v>
      </c>
      <c r="U361" s="191" t="str">
        <f>'1_BD questio brut'!S361</f>
        <v>Bois bûche</v>
      </c>
      <c r="V361" s="191" t="str">
        <f>'1_BD questio brut'!T361</f>
        <v/>
      </c>
      <c r="W361" s="191" t="str">
        <f>'1_BD questio brut'!U361</f>
        <v>~6</v>
      </c>
      <c r="X361" s="191" t="str">
        <f>'1_BD questio brut'!V361</f>
        <v>M3</v>
      </c>
      <c r="Y361" s="191" t="str">
        <f>'1_BD questio brut'!W361</f>
        <v>1</v>
      </c>
      <c r="Z361" s="191" t="str">
        <f>'1_BD questio brut'!X361</f>
        <v/>
      </c>
      <c r="AA361" s="191" t="str">
        <f t="array" ref="AA361">INDEX('Données 1_BD questio'!C:C,MATCH('1_BD questio brut'!$Y$1&amp;'1_BD questio brut'!Y361,'Données 1_BD questio'!A:A&amp;'Données 1_BD questio'!B:B,0))</f>
        <v>Pas de réponse</v>
      </c>
      <c r="AB361" s="191" t="str">
        <f>'1_BD questio brut'!Z361</f>
        <v>2</v>
      </c>
      <c r="AC361" s="191" t="str">
        <f>'1_BD questio brut'!AA361</f>
        <v>&gt; 2 ans</v>
      </c>
      <c r="AD361" s="191" t="str">
        <f>'1_BD questio brut'!AB361</f>
        <v>Feuillus</v>
      </c>
      <c r="AE361" s="191" t="str">
        <f t="array" ref="AE361">INDEX('Données 1_BD questio'!C:C,MATCH('1_BD questio brut'!$AC$1&amp;'1_BD questio brut'!AC361,'Données 1_BD questio'!A:A&amp;'Données 1_BD questio'!B:B,0))</f>
        <v>un professionnel</v>
      </c>
      <c r="AF361" s="191" t="str">
        <f>'1_BD questio brut'!AD361</f>
        <v>1 fois par an</v>
      </c>
      <c r="AG361" s="191" t="str">
        <f>'1_BD questio brut'!AE361</f>
        <v/>
      </c>
      <c r="AH361" s="191" t="str">
        <f>'1_BD questio brut'!AF361</f>
        <v>Poêle</v>
      </c>
      <c r="AI361" s="191" t="str">
        <f>'1_BD questio brut'!AG361</f>
        <v>1</v>
      </c>
      <c r="AJ361" s="191" t="str">
        <f>'1_BD questio brut'!AH361</f>
        <v/>
      </c>
      <c r="AK361" s="191" t="str">
        <f>'1_BD questio brut'!AI361</f>
        <v>Chauffage d'appoint</v>
      </c>
      <c r="AL361" s="191" t="str">
        <f>'1_BD questio brut'!AJ361</f>
        <v>Pas de réponse</v>
      </c>
      <c r="AM361" s="191" t="str">
        <f>'1_BD questio brut'!AK361</f>
        <v>4; 5</v>
      </c>
      <c r="AN361" s="191" t="str">
        <f>'1_BD questio brut'!AL361</f>
        <v/>
      </c>
      <c r="AO361" s="191" t="str">
        <f>'1_BD questio brut'!AM361</f>
        <v>5</v>
      </c>
      <c r="AP361" s="191" t="str">
        <f>'1_BD questio brut'!AN361</f>
        <v/>
      </c>
      <c r="AQ361" s="191" t="str">
        <f>'1_BD questio brut'!AO361</f>
        <v/>
      </c>
    </row>
    <row r="362" spans="1:43" ht="43.5" hidden="1">
      <c r="A362" s="98">
        <f>INDEX('3_BD instruction total'!A:A,MATCH(C362,'3_BD instruction total'!F:F,0))</f>
        <v>2022</v>
      </c>
      <c r="B362" s="98" t="str">
        <f>INDEX('3_BD instruction total'!C:C,MATCH(C362,'3_BD instruction total'!F:F,0))</f>
        <v>non</v>
      </c>
      <c r="C362" s="191" t="str">
        <f>'1_BD questio brut'!A362</f>
        <v>VRB0390</v>
      </c>
      <c r="D362" s="191" t="str">
        <f t="array" ref="D362">INDEX('Données 1_BD questio'!C:C,MATCH('1_BD questio brut'!$B$1&amp;'1_BD questio brut'!B362,'Données 1_BD questio'!A:A&amp;'Données 1_BD questio'!B:B,0))</f>
        <v>CAPV</v>
      </c>
      <c r="E362" s="191" t="str">
        <f t="array" ref="E362">INDEX('Données 1_BD questio'!C:C,MATCH('1_BD questio brut'!$C$1&amp;'1_BD questio brut'!C362,'Données 1_BD questio'!A:A&amp;'Données 1_BD questio'!B:B,0))</f>
        <v>Retraité</v>
      </c>
      <c r="F362" s="191" t="str">
        <f t="array" ref="F362">INDEX('Données 1_BD questio'!C:C,MATCH('1_BD questio brut'!$D$1&amp;'1_BD questio brut'!D362,'Données 1_BD questio'!A:A&amp;'Données 1_BD questio'!B:B,0))</f>
        <v>Retraité</v>
      </c>
      <c r="G362" s="191" t="str">
        <f>'1_BD questio brut'!E362</f>
        <v>65 ans et plus</v>
      </c>
      <c r="H362" s="191">
        <f>'1_BD questio brut'!F362</f>
        <v>2</v>
      </c>
      <c r="I362" s="191" t="str">
        <f>'1_BD questio brut'!G362</f>
        <v>40 000 à 50 000 €</v>
      </c>
      <c r="J362" s="191" t="str">
        <f t="array" ref="J362">INDEX('Données 1_BD questio'!C:C,MATCH('1_BD questio brut'!$H$1&amp;'1_BD questio brut'!H362,'Données 1_BD questio'!A:A&amp;'Données 1_BD questio'!B:B,0))</f>
        <v>Maison avec jardin</v>
      </c>
      <c r="K362" s="191">
        <f>'1_BD questio brut'!I362</f>
        <v>140</v>
      </c>
      <c r="L362" s="191" t="str">
        <f>'1_BD questio brut'!J362</f>
        <v>1975-1990</v>
      </c>
      <c r="M362" s="191" t="str">
        <f>'1_BD questio brut'!K362</f>
        <v>1</v>
      </c>
      <c r="N362" s="191" t="str">
        <f>'1_BD questio brut'!L362</f>
        <v>Pas de réponse</v>
      </c>
      <c r="O362" s="191" t="str">
        <f>'1_BD questio brut'!M362</f>
        <v>Propriétaire occupant</v>
      </c>
      <c r="P362" s="191" t="str">
        <f>'1_BD questio brut'!N362</f>
        <v>Insert / foyer fermé</v>
      </c>
      <c r="Q362" s="191" t="str">
        <f>'1_BD questio brut'!O362</f>
        <v>Chauffage d'apoint</v>
      </c>
      <c r="R362" s="191" t="str">
        <f>'1_BD questio brut'!P362</f>
        <v>Tous les jours</v>
      </c>
      <c r="S362" s="191" t="str">
        <f>'1_BD questio brut'!Q362</f>
        <v>3; 4; 6</v>
      </c>
      <c r="T362" s="191" t="str">
        <f>'1_BD questio brut'!R362</f>
        <v>Avant 1990</v>
      </c>
      <c r="U362" s="191" t="str">
        <f>'1_BD questio brut'!S362</f>
        <v>Bois bûche</v>
      </c>
      <c r="V362" s="191" t="str">
        <f>'1_BD questio brut'!T362</f>
        <v/>
      </c>
      <c r="W362" s="191" t="str">
        <f>'1_BD questio brut'!U362</f>
        <v>2/3</v>
      </c>
      <c r="X362" s="191" t="str">
        <f>'1_BD questio brut'!V362</f>
        <v>CM</v>
      </c>
      <c r="Y362" s="191" t="str">
        <f>'1_BD questio brut'!W362</f>
        <v>2</v>
      </c>
      <c r="Z362" s="191" t="str">
        <f>'1_BD questio brut'!X362</f>
        <v/>
      </c>
      <c r="AA362" s="191" t="str">
        <f t="array" ref="AA362">INDEX('Données 1_BD questio'!C:C,MATCH('1_BD questio brut'!$Y$1&amp;'1_BD questio brut'!Y362,'Données 1_BD questio'!A:A&amp;'Données 1_BD questio'!B:B,0))</f>
        <v>RA2B</v>
      </c>
      <c r="AB362" s="191" t="str">
        <f>'1_BD questio brut'!Z362</f>
        <v>2</v>
      </c>
      <c r="AC362" s="191" t="str">
        <f>'1_BD questio brut'!AA362</f>
        <v>1 à 2 ans</v>
      </c>
      <c r="AD362" s="191" t="str">
        <f>'1_BD questio brut'!AB362</f>
        <v>Feuillus</v>
      </c>
      <c r="AE362" s="191" t="str">
        <f t="array" ref="AE362">INDEX('Données 1_BD questio'!C:C,MATCH('1_BD questio brut'!$AC$1&amp;'1_BD questio brut'!AC362,'Données 1_BD questio'!A:A&amp;'Données 1_BD questio'!B:B,0))</f>
        <v>un professionnel</v>
      </c>
      <c r="AF362" s="191" t="str">
        <f>'1_BD questio brut'!AD362</f>
        <v>1 fois par an</v>
      </c>
      <c r="AG362" s="191" t="str">
        <f>'1_BD questio brut'!AE362</f>
        <v/>
      </c>
      <c r="AH362" s="191" t="str">
        <f>'1_BD questio brut'!AF362</f>
        <v>Poêle</v>
      </c>
      <c r="AI362" s="191" t="str">
        <f>'1_BD questio brut'!AG362</f>
        <v>2</v>
      </c>
      <c r="AJ362" s="191" t="str">
        <f>'1_BD questio brut'!AH362</f>
        <v/>
      </c>
      <c r="AK362" s="191" t="str">
        <f>'1_BD questio brut'!AI362</f>
        <v>Chauffage de base</v>
      </c>
      <c r="AL362" s="191" t="str">
        <f>'1_BD questio brut'!AJ362</f>
        <v>Pas de réponse</v>
      </c>
      <c r="AM362" s="191" t="str">
        <f>'1_BD questio brut'!AK362</f>
        <v>4; 5</v>
      </c>
      <c r="AN362" s="191" t="str">
        <f>'1_BD questio brut'!AL362</f>
        <v/>
      </c>
      <c r="AO362" s="191" t="str">
        <f>'1_BD questio brut'!AM362</f>
        <v>2; 7</v>
      </c>
      <c r="AP362" s="191" t="str">
        <f>'1_BD questio brut'!AN362</f>
        <v/>
      </c>
      <c r="AQ362" s="191" t="str">
        <f>'1_BD questio brut'!AO362</f>
        <v/>
      </c>
    </row>
    <row r="363" spans="1:43" ht="43.5" hidden="1">
      <c r="A363" s="98">
        <f>INDEX('3_BD instruction total'!A:A,MATCH(C363,'3_BD instruction total'!F:F,0))</f>
        <v>2022</v>
      </c>
      <c r="B363" s="98" t="str">
        <f>INDEX('3_BD instruction total'!C:C,MATCH(C363,'3_BD instruction total'!F:F,0))</f>
        <v>non</v>
      </c>
      <c r="C363" s="191" t="str">
        <f>'1_BD questio brut'!A363</f>
        <v>VRB0391</v>
      </c>
      <c r="D363" s="191" t="str">
        <f t="array" ref="D363">INDEX('Données 1_BD questio'!C:C,MATCH('1_BD questio brut'!$B$1&amp;'1_BD questio brut'!B363,'Données 1_BD questio'!A:A&amp;'Données 1_BD questio'!B:B,0))</f>
        <v>CAPV</v>
      </c>
      <c r="E363" s="191" t="str">
        <f t="array" ref="E363">INDEX('Données 1_BD questio'!C:C,MATCH('1_BD questio brut'!$C$1&amp;'1_BD questio brut'!C363,'Données 1_BD questio'!A:A&amp;'Données 1_BD questio'!B:B,0))</f>
        <v>Retraité</v>
      </c>
      <c r="F363" s="191" t="str">
        <f t="array" ref="F363">INDEX('Données 1_BD questio'!C:C,MATCH('1_BD questio brut'!$D$1&amp;'1_BD questio brut'!D363,'Données 1_BD questio'!A:A&amp;'Données 1_BD questio'!B:B,0))</f>
        <v>Employé</v>
      </c>
      <c r="G363" s="191" t="str">
        <f>'1_BD questio brut'!E363</f>
        <v>50 à 64 ans</v>
      </c>
      <c r="H363" s="191">
        <f>'1_BD questio brut'!F363</f>
        <v>2</v>
      </c>
      <c r="I363" s="191" t="str">
        <f>'1_BD questio brut'!G363</f>
        <v>30 000 à 40 000 €</v>
      </c>
      <c r="J363" s="191" t="str">
        <f t="array" ref="J363">INDEX('Données 1_BD questio'!C:C,MATCH('1_BD questio brut'!$H$1&amp;'1_BD questio brut'!H363,'Données 1_BD questio'!A:A&amp;'Données 1_BD questio'!B:B,0))</f>
        <v>Maison avec jardin</v>
      </c>
      <c r="K363" s="191">
        <f>'1_BD questio brut'!I363</f>
        <v>110</v>
      </c>
      <c r="L363" s="191" t="str">
        <f>'1_BD questio brut'!J363</f>
        <v>1990-2005</v>
      </c>
      <c r="M363" s="191" t="str">
        <f>'1_BD questio brut'!K363</f>
        <v>3</v>
      </c>
      <c r="N363" s="191" t="str">
        <f>'1_BD questio brut'!L363</f>
        <v>Ne sait pas</v>
      </c>
      <c r="O363" s="191" t="str">
        <f>'1_BD questio brut'!M363</f>
        <v>Propriétaire occupant</v>
      </c>
      <c r="P363" s="191" t="str">
        <f>'1_BD questio brut'!N363</f>
        <v>Insert / foyer fermé</v>
      </c>
      <c r="Q363" s="191" t="str">
        <f>'1_BD questio brut'!O363</f>
        <v>Chauffage d'apoint</v>
      </c>
      <c r="R363" s="191" t="str">
        <f>'1_BD questio brut'!P363</f>
        <v>3 à 4 jours/semaine</v>
      </c>
      <c r="S363" s="191" t="str">
        <f>'1_BD questio brut'!Q363</f>
        <v>2; 3; 4; 6</v>
      </c>
      <c r="T363" s="191" t="str">
        <f>'1_BD questio brut'!R363</f>
        <v>1990-1995</v>
      </c>
      <c r="U363" s="191" t="str">
        <f>'1_BD questio brut'!S363</f>
        <v>Bois bûche</v>
      </c>
      <c r="V363" s="191" t="str">
        <f>'1_BD questio brut'!T363</f>
        <v/>
      </c>
      <c r="W363" s="191" t="str">
        <f>'1_BD questio brut'!U363</f>
        <v/>
      </c>
      <c r="X363" s="191" t="str">
        <f>'1_BD questio brut'!V363</f>
        <v/>
      </c>
      <c r="Y363" s="191" t="str">
        <f>'1_BD questio brut'!W363</f>
        <v>1</v>
      </c>
      <c r="Z363" s="191" t="str">
        <f>'1_BD questio brut'!X363</f>
        <v/>
      </c>
      <c r="AA363" s="191" t="str">
        <f t="array" ref="AA363">INDEX('Données 1_BD questio'!C:C,MATCH('1_BD questio brut'!$Y$1&amp;'1_BD questio brut'!Y363,'Données 1_BD questio'!A:A&amp;'Données 1_BD questio'!B:B,0))</f>
        <v>Pas de réponse</v>
      </c>
      <c r="AB363" s="191" t="str">
        <f>'1_BD questio brut'!Z363</f>
        <v>1; 2</v>
      </c>
      <c r="AC363" s="191" t="str">
        <f>'1_BD questio brut'!AA363</f>
        <v>1 à 2 ans</v>
      </c>
      <c r="AD363" s="191" t="str">
        <f>'1_BD questio brut'!AB363</f>
        <v>Feuillus</v>
      </c>
      <c r="AE363" s="191" t="str">
        <f t="array" ref="AE363">INDEX('Données 1_BD questio'!C:C,MATCH('1_BD questio brut'!$AC$1&amp;'1_BD questio brut'!AC363,'Données 1_BD questio'!A:A&amp;'Données 1_BD questio'!B:B,0))</f>
        <v>vous-même</v>
      </c>
      <c r="AF363" s="191" t="str">
        <f>'1_BD questio brut'!AD363</f>
        <v>1 fois tous les 2 ans</v>
      </c>
      <c r="AG363" s="191" t="str">
        <f>'1_BD questio brut'!AE363</f>
        <v/>
      </c>
      <c r="AH363" s="191" t="str">
        <f>'1_BD questio brut'!AF363</f>
        <v>Poêle</v>
      </c>
      <c r="AI363" s="191" t="str">
        <f>'1_BD questio brut'!AG363</f>
        <v>2</v>
      </c>
      <c r="AJ363" s="191" t="str">
        <f>'1_BD questio brut'!AH363</f>
        <v/>
      </c>
      <c r="AK363" s="191" t="str">
        <f>'1_BD questio brut'!AI363</f>
        <v>Chauffage de base</v>
      </c>
      <c r="AL363" s="191" t="str">
        <f>'1_BD questio brut'!AJ363</f>
        <v>Pas de réponse</v>
      </c>
      <c r="AM363" s="191" t="str">
        <f>'1_BD questio brut'!AK363</f>
        <v>1; 2; 4; 5</v>
      </c>
      <c r="AN363" s="191" t="str">
        <f>'1_BD questio brut'!AL363</f>
        <v/>
      </c>
      <c r="AO363" s="191" t="str">
        <f>'1_BD questio brut'!AM363</f>
        <v>5</v>
      </c>
      <c r="AP363" s="191" t="str">
        <f>'1_BD questio brut'!AN363</f>
        <v/>
      </c>
      <c r="AQ363" s="191" t="str">
        <f>'1_BD questio brut'!AO363</f>
        <v/>
      </c>
    </row>
    <row r="364" spans="1:43" ht="43.5" hidden="1">
      <c r="A364" s="98">
        <f>INDEX('3_BD instruction total'!A:A,MATCH(C364,'3_BD instruction total'!F:F,0))</f>
        <v>2022</v>
      </c>
      <c r="B364" s="98" t="str">
        <f>INDEX('3_BD instruction total'!C:C,MATCH(C364,'3_BD instruction total'!F:F,0))</f>
        <v>non</v>
      </c>
      <c r="C364" s="191" t="str">
        <f>'1_BD questio brut'!A364</f>
        <v>VRB0392</v>
      </c>
      <c r="D364" s="191" t="str">
        <f t="array" ref="D364">INDEX('Données 1_BD questio'!C:C,MATCH('1_BD questio brut'!$B$1&amp;'1_BD questio brut'!B364,'Données 1_BD questio'!A:A&amp;'Données 1_BD questio'!B:B,0))</f>
        <v>CAPV</v>
      </c>
      <c r="E364" s="191" t="str">
        <f t="array" ref="E364">INDEX('Données 1_BD questio'!C:C,MATCH('1_BD questio brut'!$C$1&amp;'1_BD questio brut'!C364,'Données 1_BD questio'!A:A&amp;'Données 1_BD questio'!B:B,0))</f>
        <v>Retraité</v>
      </c>
      <c r="F364" s="191" t="str">
        <f t="array" ref="F364">INDEX('Données 1_BD questio'!C:C,MATCH('1_BD questio brut'!$D$1&amp;'1_BD questio brut'!D364,'Données 1_BD questio'!A:A&amp;'Données 1_BD questio'!B:B,0))</f>
        <v>Pas de réponse</v>
      </c>
      <c r="G364" s="191" t="str">
        <f>'1_BD questio brut'!E364</f>
        <v>65 ans et plus</v>
      </c>
      <c r="H364" s="191">
        <f>'1_BD questio brut'!F364</f>
        <v>1</v>
      </c>
      <c r="I364" s="191" t="str">
        <f>'1_BD questio brut'!G364</f>
        <v>Moins de 20 000 €</v>
      </c>
      <c r="J364" s="191" t="str">
        <f t="array" ref="J364">INDEX('Données 1_BD questio'!C:C,MATCH('1_BD questio brut'!$H$1&amp;'1_BD questio brut'!H364,'Données 1_BD questio'!A:A&amp;'Données 1_BD questio'!B:B,0))</f>
        <v>Maison avec jardin</v>
      </c>
      <c r="K364" s="191">
        <f>'1_BD questio brut'!I364</f>
        <v>80</v>
      </c>
      <c r="L364" s="191" t="str">
        <f>'1_BD questio brut'!J364</f>
        <v>Avant 1949</v>
      </c>
      <c r="M364" s="191" t="str">
        <f>'1_BD questio brut'!K364</f>
        <v>1</v>
      </c>
      <c r="N364" s="191" t="str">
        <f>'1_BD questio brut'!L364</f>
        <v>Pas de réponse</v>
      </c>
      <c r="O364" s="191" t="str">
        <f>'1_BD questio brut'!M364</f>
        <v>Propriétaire occupant</v>
      </c>
      <c r="P364" s="191" t="str">
        <f>'1_BD questio brut'!N364</f>
        <v>Insert / foyer fermé</v>
      </c>
      <c r="Q364" s="191" t="str">
        <f>'1_BD questio brut'!O364</f>
        <v>Chauffage de base</v>
      </c>
      <c r="R364" s="191" t="str">
        <f>'1_BD questio brut'!P364</f>
        <v>3 à 4 jours/semaine</v>
      </c>
      <c r="S364" s="191" t="str">
        <f>'1_BD questio brut'!Q364</f>
        <v>2; 3; 4; 6</v>
      </c>
      <c r="T364" s="191" t="str">
        <f>'1_BD questio brut'!R364</f>
        <v>1996-2002</v>
      </c>
      <c r="U364" s="191" t="str">
        <f>'1_BD questio brut'!S364</f>
        <v>Bois de récupération, à préciser</v>
      </c>
      <c r="V364" s="191" t="str">
        <f>'1_BD questio brut'!T364</f>
        <v>Bois du jardin</v>
      </c>
      <c r="W364" s="191" t="str">
        <f>'1_BD questio brut'!U364</f>
        <v/>
      </c>
      <c r="X364" s="191" t="str">
        <f>'1_BD questio brut'!V364</f>
        <v/>
      </c>
      <c r="Y364" s="191" t="str">
        <f>'1_BD questio brut'!W364</f>
        <v>1</v>
      </c>
      <c r="Z364" s="191" t="str">
        <f>'1_BD questio brut'!X364</f>
        <v/>
      </c>
      <c r="AA364" s="191" t="str">
        <f t="array" ref="AA364">INDEX('Données 1_BD questio'!C:C,MATCH('1_BD questio brut'!$Y$1&amp;'1_BD questio brut'!Y364,'Données 1_BD questio'!A:A&amp;'Données 1_BD questio'!B:B,0))</f>
        <v>Pas de réponse</v>
      </c>
      <c r="AB364" s="191" t="str">
        <f>'1_BD questio brut'!Z364</f>
        <v>2</v>
      </c>
      <c r="AC364" s="191" t="str">
        <f>'1_BD questio brut'!AA364</f>
        <v>&gt; 2 ans</v>
      </c>
      <c r="AD364" s="191" t="str">
        <f>'1_BD questio brut'!AB364</f>
        <v>Les deux</v>
      </c>
      <c r="AE364" s="191" t="str">
        <f t="array" ref="AE364">INDEX('Données 1_BD questio'!C:C,MATCH('1_BD questio brut'!$AC$1&amp;'1_BD questio brut'!AC364,'Données 1_BD questio'!A:A&amp;'Données 1_BD questio'!B:B,0))</f>
        <v>un professionnel</v>
      </c>
      <c r="AF364" s="191" t="str">
        <f>'1_BD questio brut'!AD364</f>
        <v>1 fois par an</v>
      </c>
      <c r="AG364" s="191" t="str">
        <f>'1_BD questio brut'!AE364</f>
        <v/>
      </c>
      <c r="AH364" s="191" t="str">
        <f>'1_BD questio brut'!AF364</f>
        <v>Insert cheminée</v>
      </c>
      <c r="AI364" s="191" t="str">
        <f>'1_BD questio brut'!AG364</f>
        <v>1</v>
      </c>
      <c r="AJ364" s="191" t="str">
        <f>'1_BD questio brut'!AH364</f>
        <v/>
      </c>
      <c r="AK364" s="191" t="str">
        <f>'1_BD questio brut'!AI364</f>
        <v>Chauffage de base</v>
      </c>
      <c r="AL364" s="191" t="str">
        <f>'1_BD questio brut'!AJ364</f>
        <v>Pas de réponse</v>
      </c>
      <c r="AM364" s="191" t="str">
        <f>'1_BD questio brut'!AK364</f>
        <v>2; 6</v>
      </c>
      <c r="AN364" s="191" t="str">
        <f>'1_BD questio brut'!AL364</f>
        <v>Gain financier</v>
      </c>
      <c r="AO364" s="191" t="str">
        <f>'1_BD questio brut'!AM364</f>
        <v>5</v>
      </c>
      <c r="AP364" s="191" t="str">
        <f>'1_BD questio brut'!AN364</f>
        <v/>
      </c>
      <c r="AQ364" s="191" t="str">
        <f>'1_BD questio brut'!AO364</f>
        <v/>
      </c>
    </row>
    <row r="365" spans="1:43" ht="43.5" hidden="1">
      <c r="A365" s="98">
        <f>INDEX('3_BD instruction total'!A:A,MATCH(C365,'3_BD instruction total'!F:F,0))</f>
        <v>2022</v>
      </c>
      <c r="B365" s="98" t="str">
        <f>INDEX('3_BD instruction total'!C:C,MATCH(C365,'3_BD instruction total'!F:F,0))</f>
        <v>non</v>
      </c>
      <c r="C365" s="191" t="str">
        <f>'1_BD questio brut'!A365</f>
        <v>VRB0393</v>
      </c>
      <c r="D365" s="191" t="str">
        <f t="array" ref="D365">INDEX('Données 1_BD questio'!C:C,MATCH('1_BD questio brut'!$B$1&amp;'1_BD questio brut'!B365,'Données 1_BD questio'!A:A&amp;'Données 1_BD questio'!B:B,0))</f>
        <v>CAPV</v>
      </c>
      <c r="E365" s="191" t="str">
        <f t="array" ref="E365">INDEX('Données 1_BD questio'!C:C,MATCH('1_BD questio brut'!$C$1&amp;'1_BD questio brut'!C365,'Données 1_BD questio'!A:A&amp;'Données 1_BD questio'!B:B,0))</f>
        <v>Cadre</v>
      </c>
      <c r="F365" s="191" t="str">
        <f t="array" ref="F365">INDEX('Données 1_BD questio'!C:C,MATCH('1_BD questio brut'!$D$1&amp;'1_BD questio brut'!D365,'Données 1_BD questio'!A:A&amp;'Données 1_BD questio'!B:B,0))</f>
        <v>Autre,sans activité</v>
      </c>
      <c r="G365" s="191" t="str">
        <f>'1_BD questio brut'!E365</f>
        <v>50 à 64 ans</v>
      </c>
      <c r="H365" s="191">
        <f>'1_BD questio brut'!F365</f>
        <v>2</v>
      </c>
      <c r="I365" s="191" t="str">
        <f>'1_BD questio brut'!G365</f>
        <v>60 000 à 70 000 €</v>
      </c>
      <c r="J365" s="191" t="str">
        <f t="array" ref="J365">INDEX('Données 1_BD questio'!C:C,MATCH('1_BD questio brut'!$H$1&amp;'1_BD questio brut'!H365,'Données 1_BD questio'!A:A&amp;'Données 1_BD questio'!B:B,0))</f>
        <v>Maison avec jardin</v>
      </c>
      <c r="K365" s="191">
        <f>'1_BD questio brut'!I365</f>
        <v>140</v>
      </c>
      <c r="L365" s="191" t="str">
        <f>'1_BD questio brut'!J365</f>
        <v>1990-2005</v>
      </c>
      <c r="M365" s="191" t="str">
        <f>'1_BD questio brut'!K365</f>
        <v>1</v>
      </c>
      <c r="N365" s="191" t="str">
        <f>'1_BD questio brut'!L365</f>
        <v>D</v>
      </c>
      <c r="O365" s="191" t="str">
        <f>'1_BD questio brut'!M365</f>
        <v>Propriétaire occupant</v>
      </c>
      <c r="P365" s="191" t="str">
        <f>'1_BD questio brut'!N365</f>
        <v>Insert / foyer fermé</v>
      </c>
      <c r="Q365" s="191" t="str">
        <f>'1_BD questio brut'!O365</f>
        <v>Chauffage d'apoint</v>
      </c>
      <c r="R365" s="191" t="str">
        <f>'1_BD questio brut'!P365</f>
        <v>Tous les jours</v>
      </c>
      <c r="S365" s="191" t="str">
        <f>'1_BD questio brut'!Q365</f>
        <v>2; 3; 6</v>
      </c>
      <c r="T365" s="191" t="str">
        <f>'1_BD questio brut'!R365</f>
        <v>1996-2002</v>
      </c>
      <c r="U365" s="191" t="str">
        <f>'1_BD questio brut'!S365</f>
        <v>Bois bûche</v>
      </c>
      <c r="V365" s="191" t="str">
        <f>'1_BD questio brut'!T365</f>
        <v/>
      </c>
      <c r="W365" s="191" t="str">
        <f>'1_BD questio brut'!U365</f>
        <v>6 a 7</v>
      </c>
      <c r="X365" s="191" t="str">
        <f>'1_BD questio brut'!V365</f>
        <v>Stère</v>
      </c>
      <c r="Y365" s="191" t="str">
        <f>'1_BD questio brut'!W365</f>
        <v>1; 2</v>
      </c>
      <c r="Z365" s="191" t="str">
        <f>'1_BD questio brut'!X365</f>
        <v/>
      </c>
      <c r="AA365" s="191" t="str">
        <f t="array" ref="AA365">INDEX('Données 1_BD questio'!C:C,MATCH('1_BD questio brut'!$Y$1&amp;'1_BD questio brut'!Y365,'Données 1_BD questio'!A:A&amp;'Données 1_BD questio'!B:B,0))</f>
        <v>Rhône-Alpes hors RA2B</v>
      </c>
      <c r="AB365" s="191" t="str">
        <f>'1_BD questio brut'!Z365</f>
        <v>2</v>
      </c>
      <c r="AC365" s="191" t="str">
        <f>'1_BD questio brut'!AA365</f>
        <v>&gt; 2 ans</v>
      </c>
      <c r="AD365" s="191" t="str">
        <f>'1_BD questio brut'!AB365</f>
        <v>Feuillus</v>
      </c>
      <c r="AE365" s="191" t="str">
        <f t="array" ref="AE365">INDEX('Données 1_BD questio'!C:C,MATCH('1_BD questio brut'!$AC$1&amp;'1_BD questio brut'!AC365,'Données 1_BD questio'!A:A&amp;'Données 1_BD questio'!B:B,0))</f>
        <v>un professionnel</v>
      </c>
      <c r="AF365" s="191" t="str">
        <f>'1_BD questio brut'!AD365</f>
        <v>1 fois par an</v>
      </c>
      <c r="AG365" s="191" t="str">
        <f>'1_BD questio brut'!AE365</f>
        <v/>
      </c>
      <c r="AH365" s="191" t="str">
        <f>'1_BD questio brut'!AF365</f>
        <v>Insert cheminée</v>
      </c>
      <c r="AI365" s="191" t="str">
        <f>'1_BD questio brut'!AG365</f>
        <v>1</v>
      </c>
      <c r="AJ365" s="191" t="str">
        <f>'1_BD questio brut'!AH365</f>
        <v/>
      </c>
      <c r="AK365" s="191" t="str">
        <f>'1_BD questio brut'!AI365</f>
        <v>Chauffage de base</v>
      </c>
      <c r="AL365" s="191" t="str">
        <f>'1_BD questio brut'!AJ365</f>
        <v>Pas de réponse</v>
      </c>
      <c r="AM365" s="191" t="str">
        <f>'1_BD questio brut'!AK365</f>
        <v>2; 4; 5</v>
      </c>
      <c r="AN365" s="191" t="str">
        <f>'1_BD questio brut'!AL365</f>
        <v/>
      </c>
      <c r="AO365" s="191" t="str">
        <f>'1_BD questio brut'!AM365</f>
        <v>5</v>
      </c>
      <c r="AP365" s="191" t="str">
        <f>'1_BD questio brut'!AN365</f>
        <v/>
      </c>
      <c r="AQ365" s="191" t="str">
        <f>'1_BD questio brut'!AO365</f>
        <v/>
      </c>
    </row>
    <row r="366" spans="1:43" ht="43.5" hidden="1">
      <c r="A366" s="98">
        <f>INDEX('3_BD instruction total'!A:A,MATCH(C366,'3_BD instruction total'!F:F,0))</f>
        <v>2022</v>
      </c>
      <c r="B366" s="98" t="str">
        <f>INDEX('3_BD instruction total'!C:C,MATCH(C366,'3_BD instruction total'!F:F,0))</f>
        <v>non</v>
      </c>
      <c r="C366" s="191" t="str">
        <f>'1_BD questio brut'!A366</f>
        <v>VRB0394</v>
      </c>
      <c r="D366" s="191" t="str">
        <f t="array" ref="D366">INDEX('Données 1_BD questio'!C:C,MATCH('1_BD questio brut'!$B$1&amp;'1_BD questio brut'!B366,'Données 1_BD questio'!A:A&amp;'Données 1_BD questio'!B:B,0))</f>
        <v>CAPV</v>
      </c>
      <c r="E366" s="191" t="str">
        <f t="array" ref="E366">INDEX('Données 1_BD questio'!C:C,MATCH('1_BD questio brut'!$C$1&amp;'1_BD questio brut'!C366,'Données 1_BD questio'!A:A&amp;'Données 1_BD questio'!B:B,0))</f>
        <v>Retraité</v>
      </c>
      <c r="F366" s="191" t="str">
        <f t="array" ref="F366">INDEX('Données 1_BD questio'!C:C,MATCH('1_BD questio brut'!$D$1&amp;'1_BD questio brut'!D366,'Données 1_BD questio'!A:A&amp;'Données 1_BD questio'!B:B,0))</f>
        <v>Retraité</v>
      </c>
      <c r="G366" s="191" t="str">
        <f>'1_BD questio brut'!E366</f>
        <v>65 ans et plus</v>
      </c>
      <c r="H366" s="191">
        <f>'1_BD questio brut'!F366</f>
        <v>2</v>
      </c>
      <c r="I366" s="191" t="str">
        <f>'1_BD questio brut'!G366</f>
        <v>40 000 à 50 000 €</v>
      </c>
      <c r="J366" s="191" t="str">
        <f t="array" ref="J366">INDEX('Données 1_BD questio'!C:C,MATCH('1_BD questio brut'!$H$1&amp;'1_BD questio brut'!H366,'Données 1_BD questio'!A:A&amp;'Données 1_BD questio'!B:B,0))</f>
        <v>Maison avec jardin</v>
      </c>
      <c r="K366" s="191">
        <f>'1_BD questio brut'!I366</f>
        <v>80</v>
      </c>
      <c r="L366" s="191" t="str">
        <f>'1_BD questio brut'!J366</f>
        <v>1949-1975</v>
      </c>
      <c r="M366" s="191" t="str">
        <f>'1_BD questio brut'!K366</f>
        <v>4</v>
      </c>
      <c r="N366" s="191" t="str">
        <f>'1_BD questio brut'!L366</f>
        <v>Pas de réponse</v>
      </c>
      <c r="O366" s="191" t="str">
        <f>'1_BD questio brut'!M366</f>
        <v>Propriétaire occupant</v>
      </c>
      <c r="P366" s="191" t="str">
        <f>'1_BD questio brut'!N366</f>
        <v>Insert / foyer fermé</v>
      </c>
      <c r="Q366" s="191" t="str">
        <f>'1_BD questio brut'!O366</f>
        <v>Chauffage de base</v>
      </c>
      <c r="R366" s="191" t="str">
        <f>'1_BD questio brut'!P366</f>
        <v>Tous les jours</v>
      </c>
      <c r="S366" s="191" t="str">
        <f>'1_BD questio brut'!Q366</f>
        <v>4; 5</v>
      </c>
      <c r="T366" s="191" t="str">
        <f>'1_BD questio brut'!R366</f>
        <v>1990-1995</v>
      </c>
      <c r="U366" s="191" t="str">
        <f>'1_BD questio brut'!S366</f>
        <v>Bois bûche</v>
      </c>
      <c r="V366" s="191" t="str">
        <f>'1_BD questio brut'!T366</f>
        <v/>
      </c>
      <c r="W366" s="191" t="str">
        <f>'1_BD questio brut'!U366</f>
        <v>8</v>
      </c>
      <c r="X366" s="191" t="str">
        <f>'1_BD questio brut'!V366</f>
        <v/>
      </c>
      <c r="Y366" s="191" t="str">
        <f>'1_BD questio brut'!W366</f>
        <v>1</v>
      </c>
      <c r="Z366" s="191" t="str">
        <f>'1_BD questio brut'!X366</f>
        <v/>
      </c>
      <c r="AA366" s="191" t="str">
        <f t="array" ref="AA366">INDEX('Données 1_BD questio'!C:C,MATCH('1_BD questio brut'!$Y$1&amp;'1_BD questio brut'!Y366,'Données 1_BD questio'!A:A&amp;'Données 1_BD questio'!B:B,0))</f>
        <v>Rhône-Alpes hors RA2B</v>
      </c>
      <c r="AB366" s="191" t="str">
        <f>'1_BD questio brut'!Z366</f>
        <v>2</v>
      </c>
      <c r="AC366" s="191" t="str">
        <f>'1_BD questio brut'!AA366</f>
        <v>&gt; 2 ans</v>
      </c>
      <c r="AD366" s="191" t="str">
        <f>'1_BD questio brut'!AB366</f>
        <v>Feuillus</v>
      </c>
      <c r="AE366" s="191" t="str">
        <f t="array" ref="AE366">INDEX('Données 1_BD questio'!C:C,MATCH('1_BD questio brut'!$AC$1&amp;'1_BD questio brut'!AC366,'Données 1_BD questio'!A:A&amp;'Données 1_BD questio'!B:B,0))</f>
        <v>vous-même</v>
      </c>
      <c r="AF366" s="191" t="str">
        <f>'1_BD questio brut'!AD366</f>
        <v>2 fois par an</v>
      </c>
      <c r="AG366" s="191" t="str">
        <f>'1_BD questio brut'!AE366</f>
        <v/>
      </c>
      <c r="AH366" s="191" t="str">
        <f>'1_BD questio brut'!AF366</f>
        <v>Poêle</v>
      </c>
      <c r="AI366" s="191" t="str">
        <f>'1_BD questio brut'!AG366</f>
        <v>2</v>
      </c>
      <c r="AJ366" s="191" t="str">
        <f>'1_BD questio brut'!AH366</f>
        <v/>
      </c>
      <c r="AK366" s="191" t="str">
        <f>'1_BD questio brut'!AI366</f>
        <v>Chauffage de base</v>
      </c>
      <c r="AL366" s="191" t="str">
        <f>'1_BD questio brut'!AJ366</f>
        <v>Tous les jours</v>
      </c>
      <c r="AM366" s="191" t="str">
        <f>'1_BD questio brut'!AK366</f>
        <v>6</v>
      </c>
      <c r="AN366" s="191" t="str">
        <f>'1_BD questio brut'!AL366</f>
        <v>Moins de manutention</v>
      </c>
      <c r="AO366" s="191" t="str">
        <f>'1_BD questio brut'!AM366</f>
        <v>5</v>
      </c>
      <c r="AP366" s="191" t="str">
        <f>'1_BD questio brut'!AN366</f>
        <v/>
      </c>
      <c r="AQ366" s="191" t="str">
        <f>'1_BD questio brut'!AO366</f>
        <v/>
      </c>
    </row>
    <row r="367" spans="1:43" ht="43.5" hidden="1">
      <c r="A367" s="98">
        <f>INDEX('3_BD instruction total'!A:A,MATCH(C367,'3_BD instruction total'!F:F,0))</f>
        <v>2022</v>
      </c>
      <c r="B367" s="98" t="str">
        <f>INDEX('3_BD instruction total'!C:C,MATCH(C367,'3_BD instruction total'!F:F,0))</f>
        <v>non</v>
      </c>
      <c r="C367" s="191" t="str">
        <f>'1_BD questio brut'!A367</f>
        <v>VRB0395</v>
      </c>
      <c r="D367" s="191" t="str">
        <f t="array" ref="D367">INDEX('Données 1_BD questio'!C:C,MATCH('1_BD questio brut'!$B$1&amp;'1_BD questio brut'!B367,'Données 1_BD questio'!A:A&amp;'Données 1_BD questio'!B:B,0))</f>
        <v>CAPV</v>
      </c>
      <c r="E367" s="191" t="str">
        <f t="array" ref="E367">INDEX('Données 1_BD questio'!C:C,MATCH('1_BD questio brut'!$C$1&amp;'1_BD questio brut'!C367,'Données 1_BD questio'!A:A&amp;'Données 1_BD questio'!B:B,0))</f>
        <v>Employé</v>
      </c>
      <c r="F367" s="191" t="str">
        <f t="array" ref="F367">INDEX('Données 1_BD questio'!C:C,MATCH('1_BD questio brut'!$D$1&amp;'1_BD questio brut'!D367,'Données 1_BD questio'!A:A&amp;'Données 1_BD questio'!B:B,0))</f>
        <v>Employé</v>
      </c>
      <c r="G367" s="191" t="str">
        <f>'1_BD questio brut'!E367</f>
        <v>35 à 49 ans</v>
      </c>
      <c r="H367" s="191">
        <f>'1_BD questio brut'!F367</f>
        <v>2</v>
      </c>
      <c r="I367" s="191" t="str">
        <f>'1_BD questio brut'!G367</f>
        <v>50 000 à 60 000 €</v>
      </c>
      <c r="J367" s="191" t="str">
        <f t="array" ref="J367">INDEX('Données 1_BD questio'!C:C,MATCH('1_BD questio brut'!$H$1&amp;'1_BD questio brut'!H367,'Données 1_BD questio'!A:A&amp;'Données 1_BD questio'!B:B,0))</f>
        <v>Maison avec jardin</v>
      </c>
      <c r="K367" s="191">
        <f>'1_BD questio brut'!I367</f>
        <v>113</v>
      </c>
      <c r="L367" s="191" t="str">
        <f>'1_BD questio brut'!J367</f>
        <v>1975-1990</v>
      </c>
      <c r="M367" s="191" t="str">
        <f>'1_BD questio brut'!K367</f>
        <v>6</v>
      </c>
      <c r="N367" s="191" t="str">
        <f>'1_BD questio brut'!L367</f>
        <v>E</v>
      </c>
      <c r="O367" s="191" t="str">
        <f>'1_BD questio brut'!M367</f>
        <v>Propriétaire occupant</v>
      </c>
      <c r="P367" s="191" t="str">
        <f>'1_BD questio brut'!N367</f>
        <v>Insert / foyer fermé</v>
      </c>
      <c r="Q367" s="191" t="str">
        <f>'1_BD questio brut'!O367</f>
        <v>Chauffage de base</v>
      </c>
      <c r="R367" s="191" t="str">
        <f>'1_BD questio brut'!P367</f>
        <v>Tous les jours</v>
      </c>
      <c r="S367" s="191" t="str">
        <f>'1_BD questio brut'!Q367</f>
        <v>4</v>
      </c>
      <c r="T367" s="191" t="str">
        <f>'1_BD questio brut'!R367</f>
        <v>Avant 1990</v>
      </c>
      <c r="U367" s="191" t="str">
        <f>'1_BD questio brut'!S367</f>
        <v>Bois bûche</v>
      </c>
      <c r="V367" s="191" t="str">
        <f>'1_BD questio brut'!T367</f>
        <v/>
      </c>
      <c r="W367" s="191" t="str">
        <f>'1_BD questio brut'!U367</f>
        <v>10</v>
      </c>
      <c r="X367" s="191" t="str">
        <f>'1_BD questio brut'!V367</f>
        <v/>
      </c>
      <c r="Y367" s="191" t="str">
        <f>'1_BD questio brut'!W367</f>
        <v>2</v>
      </c>
      <c r="Z367" s="191" t="str">
        <f>'1_BD questio brut'!X367</f>
        <v/>
      </c>
      <c r="AA367" s="191" t="str">
        <f t="array" ref="AA367">INDEX('Données 1_BD questio'!C:C,MATCH('1_BD questio brut'!$Y$1&amp;'1_BD questio brut'!Y367,'Données 1_BD questio'!A:A&amp;'Données 1_BD questio'!B:B,0))</f>
        <v>France hors Rhône-Alpes</v>
      </c>
      <c r="AB367" s="191" t="str">
        <f>'1_BD questio brut'!Z367</f>
        <v>1</v>
      </c>
      <c r="AC367" s="191" t="str">
        <f>'1_BD questio brut'!AA367</f>
        <v>1 à 2 ans</v>
      </c>
      <c r="AD367" s="191" t="str">
        <f>'1_BD questio brut'!AB367</f>
        <v>Les deux</v>
      </c>
      <c r="AE367" s="191" t="str">
        <f t="array" ref="AE367">INDEX('Données 1_BD questio'!C:C,MATCH('1_BD questio brut'!$AC$1&amp;'1_BD questio brut'!AC367,'Données 1_BD questio'!A:A&amp;'Données 1_BD questio'!B:B,0))</f>
        <v>un professionnel</v>
      </c>
      <c r="AF367" s="191" t="str">
        <f>'1_BD questio brut'!AD367</f>
        <v>1 fois par an</v>
      </c>
      <c r="AG367" s="191" t="str">
        <f>'1_BD questio brut'!AE367</f>
        <v/>
      </c>
      <c r="AH367" s="191" t="str">
        <f>'1_BD questio brut'!AF367</f>
        <v>Poêle</v>
      </c>
      <c r="AI367" s="191" t="str">
        <f>'1_BD questio brut'!AG367</f>
        <v>2</v>
      </c>
      <c r="AJ367" s="191" t="str">
        <f>'1_BD questio brut'!AH367</f>
        <v/>
      </c>
      <c r="AK367" s="191" t="str">
        <f>'1_BD questio brut'!AI367</f>
        <v>Chauffage de base</v>
      </c>
      <c r="AL367" s="191" t="str">
        <f>'1_BD questio brut'!AJ367</f>
        <v>Tous les jours</v>
      </c>
      <c r="AM367" s="191" t="str">
        <f>'1_BD questio brut'!AK367</f>
        <v>2; 4</v>
      </c>
      <c r="AN367" s="191" t="str">
        <f>'1_BD questio brut'!AL367</f>
        <v/>
      </c>
      <c r="AO367" s="191" t="str">
        <f>'1_BD questio brut'!AM367</f>
        <v>7</v>
      </c>
      <c r="AP367" s="191" t="str">
        <f>'1_BD questio brut'!AN367</f>
        <v/>
      </c>
      <c r="AQ367" s="191" t="str">
        <f>'1_BD questio brut'!AO367</f>
        <v/>
      </c>
    </row>
    <row r="368" spans="1:43" ht="43.5" hidden="1">
      <c r="A368" s="98">
        <f>INDEX('3_BD instruction total'!A:A,MATCH(C368,'3_BD instruction total'!F:F,0))</f>
        <v>2022</v>
      </c>
      <c r="B368" s="98" t="str">
        <f>INDEX('3_BD instruction total'!C:C,MATCH(C368,'3_BD instruction total'!F:F,0))</f>
        <v>non</v>
      </c>
      <c r="C368" s="191" t="str">
        <f>'1_BD questio brut'!A368</f>
        <v>VRB0396</v>
      </c>
      <c r="D368" s="191" t="str">
        <f t="array" ref="D368">INDEX('Données 1_BD questio'!C:C,MATCH('1_BD questio brut'!$B$1&amp;'1_BD questio brut'!B368,'Données 1_BD questio'!A:A&amp;'Données 1_BD questio'!B:B,0))</f>
        <v>CAPV</v>
      </c>
      <c r="E368" s="191" t="str">
        <f t="array" ref="E368">INDEX('Données 1_BD questio'!C:C,MATCH('1_BD questio brut'!$C$1&amp;'1_BD questio brut'!C368,'Données 1_BD questio'!A:A&amp;'Données 1_BD questio'!B:B,0))</f>
        <v>Retraité</v>
      </c>
      <c r="F368" s="191" t="str">
        <f t="array" ref="F368">INDEX('Données 1_BD questio'!C:C,MATCH('1_BD questio brut'!$D$1&amp;'1_BD questio brut'!D368,'Données 1_BD questio'!A:A&amp;'Données 1_BD questio'!B:B,0))</f>
        <v>Retraité</v>
      </c>
      <c r="G368" s="191" t="str">
        <f>'1_BD questio brut'!E368</f>
        <v>65 ans et plus</v>
      </c>
      <c r="H368" s="191">
        <f>'1_BD questio brut'!F368</f>
        <v>3</v>
      </c>
      <c r="I368" s="191" t="str">
        <f>'1_BD questio brut'!G368</f>
        <v>50 000 à 60 000 €</v>
      </c>
      <c r="J368" s="191" t="str">
        <f t="array" ref="J368">INDEX('Données 1_BD questio'!C:C,MATCH('1_BD questio brut'!$H$1&amp;'1_BD questio brut'!H368,'Données 1_BD questio'!A:A&amp;'Données 1_BD questio'!B:B,0))</f>
        <v>Maison avec jardin</v>
      </c>
      <c r="K368" s="191">
        <f>'1_BD questio brut'!I368</f>
        <v>130</v>
      </c>
      <c r="L368" s="191" t="str">
        <f>'1_BD questio brut'!J368</f>
        <v>1990-2005</v>
      </c>
      <c r="M368" s="191" t="str">
        <f>'1_BD questio brut'!K368</f>
        <v>6</v>
      </c>
      <c r="N368" s="191" t="str">
        <f>'1_BD questio brut'!L368</f>
        <v>Pas de réponse</v>
      </c>
      <c r="O368" s="191" t="str">
        <f>'1_BD questio brut'!M368</f>
        <v>Propriétaire occupant</v>
      </c>
      <c r="P368" s="191" t="str">
        <f>'1_BD questio brut'!N368</f>
        <v>Foyer ouvert</v>
      </c>
      <c r="Q368" s="191" t="str">
        <f>'1_BD questio brut'!O368</f>
        <v>Chauffage d'apoint</v>
      </c>
      <c r="R368" s="191" t="str">
        <f>'1_BD questio brut'!P368</f>
        <v>Tous les jours</v>
      </c>
      <c r="S368" s="191" t="str">
        <f>'1_BD questio brut'!Q368</f>
        <v>2; 6</v>
      </c>
      <c r="T368" s="191" t="str">
        <f>'1_BD questio brut'!R368</f>
        <v>1996-2002</v>
      </c>
      <c r="U368" s="191" t="str">
        <f>'1_BD questio brut'!S368</f>
        <v>Bois bûche</v>
      </c>
      <c r="V368" s="191" t="str">
        <f>'1_BD questio brut'!T368</f>
        <v/>
      </c>
      <c r="W368" s="191" t="str">
        <f>'1_BD questio brut'!U368</f>
        <v>5</v>
      </c>
      <c r="X368" s="191" t="str">
        <f>'1_BD questio brut'!V368</f>
        <v>Stère</v>
      </c>
      <c r="Y368" s="191" t="str">
        <f>'1_BD questio brut'!W368</f>
        <v>2</v>
      </c>
      <c r="Z368" s="191" t="str">
        <f>'1_BD questio brut'!X368</f>
        <v/>
      </c>
      <c r="AA368" s="191" t="str">
        <f t="array" ref="AA368">INDEX('Données 1_BD questio'!C:C,MATCH('1_BD questio brut'!$Y$1&amp;'1_BD questio brut'!Y368,'Données 1_BD questio'!A:A&amp;'Données 1_BD questio'!B:B,0))</f>
        <v>Rhône-Alpes hors RA2B</v>
      </c>
      <c r="AB368" s="191" t="str">
        <f>'1_BD questio brut'!Z368</f>
        <v>2</v>
      </c>
      <c r="AC368" s="191" t="str">
        <f>'1_BD questio brut'!AA368</f>
        <v>1 à 2 ans</v>
      </c>
      <c r="AD368" s="191" t="str">
        <f>'1_BD questio brut'!AB368</f>
        <v>Feuillus</v>
      </c>
      <c r="AE368" s="191" t="str">
        <f t="array" ref="AE368">INDEX('Données 1_BD questio'!C:C,MATCH('1_BD questio brut'!$AC$1&amp;'1_BD questio brut'!AC368,'Données 1_BD questio'!A:A&amp;'Données 1_BD questio'!B:B,0))</f>
        <v>un professionnel</v>
      </c>
      <c r="AF368" s="191" t="str">
        <f>'1_BD questio brut'!AD368</f>
        <v>1 fois par an</v>
      </c>
      <c r="AG368" s="191" t="str">
        <f>'1_BD questio brut'!AE368</f>
        <v/>
      </c>
      <c r="AH368" s="191" t="str">
        <f>'1_BD questio brut'!AF368</f>
        <v>Poêle</v>
      </c>
      <c r="AI368" s="191" t="str">
        <f>'1_BD questio brut'!AG368</f>
        <v>1</v>
      </c>
      <c r="AJ368" s="191" t="str">
        <f>'1_BD questio brut'!AH368</f>
        <v/>
      </c>
      <c r="AK368" s="191" t="str">
        <f>'1_BD questio brut'!AI368</f>
        <v>Chauffage d'appoint</v>
      </c>
      <c r="AL368" s="191" t="str">
        <f>'1_BD questio brut'!AJ368</f>
        <v>Pas de réponse</v>
      </c>
      <c r="AM368" s="191" t="str">
        <f>'1_BD questio brut'!AK368</f>
        <v>1; 4; 5</v>
      </c>
      <c r="AN368" s="191" t="str">
        <f>'1_BD questio brut'!AL368</f>
        <v/>
      </c>
      <c r="AO368" s="191" t="str">
        <f>'1_BD questio brut'!AM368</f>
        <v>5; 7</v>
      </c>
      <c r="AP368" s="191" t="str">
        <f>'1_BD questio brut'!AN368</f>
        <v/>
      </c>
      <c r="AQ368" s="191" t="str">
        <f>'1_BD questio brut'!AO368</f>
        <v/>
      </c>
    </row>
    <row r="369" spans="1:43" ht="43.5" hidden="1">
      <c r="A369" s="98">
        <f>INDEX('3_BD instruction total'!A:A,MATCH(C369,'3_BD instruction total'!F:F,0))</f>
        <v>2022</v>
      </c>
      <c r="B369" s="98" t="str">
        <f>INDEX('3_BD instruction total'!C:C,MATCH(C369,'3_BD instruction total'!F:F,0))</f>
        <v>non</v>
      </c>
      <c r="C369" s="191" t="str">
        <f>'1_BD questio brut'!A369</f>
        <v>VRB0397</v>
      </c>
      <c r="D369" s="191" t="str">
        <f t="array" ref="D369">INDEX('Données 1_BD questio'!C:C,MATCH('1_BD questio brut'!$B$1&amp;'1_BD questio brut'!B369,'Données 1_BD questio'!A:A&amp;'Données 1_BD questio'!B:B,0))</f>
        <v>CAPV</v>
      </c>
      <c r="E369" s="191" t="str">
        <f t="array" ref="E369">INDEX('Données 1_BD questio'!C:C,MATCH('1_BD questio brut'!$C$1&amp;'1_BD questio brut'!C369,'Données 1_BD questio'!A:A&amp;'Données 1_BD questio'!B:B,0))</f>
        <v>Retraité</v>
      </c>
      <c r="F369" s="191" t="str">
        <f t="array" ref="F369">INDEX('Données 1_BD questio'!C:C,MATCH('1_BD questio brut'!$D$1&amp;'1_BD questio brut'!D369,'Données 1_BD questio'!A:A&amp;'Données 1_BD questio'!B:B,0))</f>
        <v>Retraité</v>
      </c>
      <c r="G369" s="191" t="str">
        <f>'1_BD questio brut'!E369</f>
        <v>65 ans et plus</v>
      </c>
      <c r="H369" s="191">
        <f>'1_BD questio brut'!F369</f>
        <v>2</v>
      </c>
      <c r="I369" s="191" t="str">
        <f>'1_BD questio brut'!G369</f>
        <v>Moins de 20 000 €</v>
      </c>
      <c r="J369" s="191" t="str">
        <f t="array" ref="J369">INDEX('Données 1_BD questio'!C:C,MATCH('1_BD questio brut'!$H$1&amp;'1_BD questio brut'!H369,'Données 1_BD questio'!A:A&amp;'Données 1_BD questio'!B:B,0))</f>
        <v>Maison avec jardin</v>
      </c>
      <c r="K369" s="191">
        <f>'1_BD questio brut'!I369</f>
        <v>73.760000000000005</v>
      </c>
      <c r="L369" s="191" t="str">
        <f>'1_BD questio brut'!J369</f>
        <v>1975-1990</v>
      </c>
      <c r="M369" s="191" t="str">
        <f>'1_BD questio brut'!K369</f>
        <v>6</v>
      </c>
      <c r="N369" s="191" t="str">
        <f>'1_BD questio brut'!L369</f>
        <v>Pas de réponse</v>
      </c>
      <c r="O369" s="191" t="str">
        <f>'1_BD questio brut'!M369</f>
        <v>Propriétaire occupant</v>
      </c>
      <c r="P369" s="191" t="str">
        <f>'1_BD questio brut'!N369</f>
        <v>Poêle</v>
      </c>
      <c r="Q369" s="191" t="str">
        <f>'1_BD questio brut'!O369</f>
        <v>Chauffage de base</v>
      </c>
      <c r="R369" s="191" t="str">
        <f>'1_BD questio brut'!P369</f>
        <v>Tous les jours</v>
      </c>
      <c r="S369" s="191" t="str">
        <f>'1_BD questio brut'!Q369</f>
        <v>3</v>
      </c>
      <c r="T369" s="191" t="str">
        <f>'1_BD questio brut'!R369</f>
        <v>1996-2002</v>
      </c>
      <c r="U369" s="191" t="str">
        <f>'1_BD questio brut'!S369</f>
        <v>Bois bûche</v>
      </c>
      <c r="V369" s="191" t="str">
        <f>'1_BD questio brut'!T369</f>
        <v/>
      </c>
      <c r="W369" s="191" t="str">
        <f>'1_BD questio brut'!U369</f>
        <v>0</v>
      </c>
      <c r="X369" s="191" t="str">
        <f>'1_BD questio brut'!V369</f>
        <v/>
      </c>
      <c r="Y369" s="191" t="str">
        <f>'1_BD questio brut'!W369</f>
        <v>2</v>
      </c>
      <c r="Z369" s="191" t="str">
        <f>'1_BD questio brut'!X369</f>
        <v/>
      </c>
      <c r="AA369" s="191" t="str">
        <f t="array" ref="AA369">INDEX('Données 1_BD questio'!C:C,MATCH('1_BD questio brut'!$Y$1&amp;'1_BD questio brut'!Y369,'Données 1_BD questio'!A:A&amp;'Données 1_BD questio'!B:B,0))</f>
        <v>Ne sait pas</v>
      </c>
      <c r="AB369" s="191" t="str">
        <f>'1_BD questio brut'!Z369</f>
        <v>2</v>
      </c>
      <c r="AC369" s="191" t="str">
        <f>'1_BD questio brut'!AA369</f>
        <v>&gt; 2 ans</v>
      </c>
      <c r="AD369" s="191" t="str">
        <f>'1_BD questio brut'!AB369</f>
        <v>Feuillus</v>
      </c>
      <c r="AE369" s="191" t="str">
        <f t="array" ref="AE369">INDEX('Données 1_BD questio'!C:C,MATCH('1_BD questio brut'!$AC$1&amp;'1_BD questio brut'!AC369,'Données 1_BD questio'!A:A&amp;'Données 1_BD questio'!B:B,0))</f>
        <v>un professionnel</v>
      </c>
      <c r="AF369" s="191" t="str">
        <f>'1_BD questio brut'!AD369</f>
        <v>1 fois par an</v>
      </c>
      <c r="AG369" s="191" t="str">
        <f>'1_BD questio brut'!AE369</f>
        <v/>
      </c>
      <c r="AH369" s="191" t="str">
        <f>'1_BD questio brut'!AF369</f>
        <v>Poêle</v>
      </c>
      <c r="AI369" s="191" t="str">
        <f>'1_BD questio brut'!AG369</f>
        <v>1</v>
      </c>
      <c r="AJ369" s="191" t="str">
        <f>'1_BD questio brut'!AH369</f>
        <v/>
      </c>
      <c r="AK369" s="191" t="str">
        <f>'1_BD questio brut'!AI369</f>
        <v>Chauffage de base</v>
      </c>
      <c r="AL369" s="191" t="str">
        <f>'1_BD questio brut'!AJ369</f>
        <v>Pas de réponse</v>
      </c>
      <c r="AM369" s="191" t="str">
        <f>'1_BD questio brut'!AK369</f>
        <v>1; 2; 4; 5</v>
      </c>
      <c r="AN369" s="191" t="str">
        <f>'1_BD questio brut'!AL369</f>
        <v/>
      </c>
      <c r="AO369" s="191" t="str">
        <f>'1_BD questio brut'!AM369</f>
        <v>7</v>
      </c>
      <c r="AP369" s="191" t="str">
        <f>'1_BD questio brut'!AN369</f>
        <v/>
      </c>
      <c r="AQ369" s="191" t="str">
        <f>'1_BD questio brut'!AO369</f>
        <v/>
      </c>
    </row>
    <row r="370" spans="1:43" ht="58" hidden="1">
      <c r="A370" s="98">
        <f>INDEX('3_BD instruction total'!A:A,MATCH(C370,'3_BD instruction total'!F:F,0))</f>
        <v>2022</v>
      </c>
      <c r="B370" s="98" t="str">
        <f>INDEX('3_BD instruction total'!C:C,MATCH(C370,'3_BD instruction total'!F:F,0))</f>
        <v>non</v>
      </c>
      <c r="C370" s="191" t="str">
        <f>'1_BD questio brut'!A370</f>
        <v>VRB0398</v>
      </c>
      <c r="D370" s="191" t="str">
        <f t="array" ref="D370">INDEX('Données 1_BD questio'!C:C,MATCH('1_BD questio brut'!$B$1&amp;'1_BD questio brut'!B370,'Données 1_BD questio'!A:A&amp;'Données 1_BD questio'!B:B,0))</f>
        <v>CAPV</v>
      </c>
      <c r="E370" s="191" t="str">
        <f t="array" ref="E370">INDEX('Données 1_BD questio'!C:C,MATCH('1_BD questio brut'!$C$1&amp;'1_BD questio brut'!C370,'Données 1_BD questio'!A:A&amp;'Données 1_BD questio'!B:B,0))</f>
        <v>Retraité</v>
      </c>
      <c r="F370" s="191" t="str">
        <f t="array" ref="F370">INDEX('Données 1_BD questio'!C:C,MATCH('1_BD questio brut'!$D$1&amp;'1_BD questio brut'!D370,'Données 1_BD questio'!A:A&amp;'Données 1_BD questio'!B:B,0))</f>
        <v>Employé</v>
      </c>
      <c r="G370" s="191" t="str">
        <f>'1_BD questio brut'!E370</f>
        <v>50 à 64 ans</v>
      </c>
      <c r="H370" s="191">
        <f>'1_BD questio brut'!F370</f>
        <v>2</v>
      </c>
      <c r="I370" s="191" t="str">
        <f>'1_BD questio brut'!G370</f>
        <v>20 000 à 30 000 €</v>
      </c>
      <c r="J370" s="191" t="str">
        <f t="array" ref="J370">INDEX('Données 1_BD questio'!C:C,MATCH('1_BD questio brut'!$H$1&amp;'1_BD questio brut'!H370,'Données 1_BD questio'!A:A&amp;'Données 1_BD questio'!B:B,0))</f>
        <v>Maison avec jardin</v>
      </c>
      <c r="K370" s="191">
        <f>'1_BD questio brut'!I370</f>
        <v>82</v>
      </c>
      <c r="L370" s="191" t="str">
        <f>'1_BD questio brut'!J370</f>
        <v>1949-1975</v>
      </c>
      <c r="M370" s="191" t="str">
        <f>'1_BD questio brut'!K370</f>
        <v>6</v>
      </c>
      <c r="N370" s="191" t="str">
        <f>'1_BD questio brut'!L370</f>
        <v>Pas de réponse</v>
      </c>
      <c r="O370" s="191" t="str">
        <f>'1_BD questio brut'!M370</f>
        <v>Propriétaire occupant</v>
      </c>
      <c r="P370" s="191" t="str">
        <f>'1_BD questio brut'!N370</f>
        <v>Poêle</v>
      </c>
      <c r="Q370" s="191" t="str">
        <f>'1_BD questio brut'!O370</f>
        <v>Chauffage de base</v>
      </c>
      <c r="R370" s="191" t="str">
        <f>'1_BD questio brut'!P370</f>
        <v>Tous les jours</v>
      </c>
      <c r="S370" s="191" t="str">
        <f>'1_BD questio brut'!Q370</f>
        <v>1; 2; 4</v>
      </c>
      <c r="T370" s="191" t="str">
        <f>'1_BD questio brut'!R370</f>
        <v>Avant 1990</v>
      </c>
      <c r="U370" s="191" t="str">
        <f>'1_BD questio brut'!S370</f>
        <v>Bois bûche</v>
      </c>
      <c r="V370" s="191" t="str">
        <f>'1_BD questio brut'!T370</f>
        <v>planches palettes pour le démarrage</v>
      </c>
      <c r="W370" s="191" t="str">
        <f>'1_BD questio brut'!U370</f>
        <v>15</v>
      </c>
      <c r="X370" s="191" t="str">
        <f>'1_BD questio brut'!V370</f>
        <v>stère</v>
      </c>
      <c r="Y370" s="191" t="str">
        <f>'1_BD questio brut'!W370</f>
        <v>2</v>
      </c>
      <c r="Z370" s="191" t="str">
        <f>'1_BD questio brut'!X370</f>
        <v/>
      </c>
      <c r="AA370" s="191" t="str">
        <f t="array" ref="AA370">INDEX('Données 1_BD questio'!C:C,MATCH('1_BD questio brut'!$Y$1&amp;'1_BD questio brut'!Y370,'Données 1_BD questio'!A:A&amp;'Données 1_BD questio'!B:B,0))</f>
        <v>Ne sait pas</v>
      </c>
      <c r="AB370" s="191" t="str">
        <f>'1_BD questio brut'!Z370</f>
        <v>2</v>
      </c>
      <c r="AC370" s="191" t="str">
        <f>'1_BD questio brut'!AA370</f>
        <v>1 à 2 ans</v>
      </c>
      <c r="AD370" s="191" t="str">
        <f>'1_BD questio brut'!AB370</f>
        <v>Feuillus</v>
      </c>
      <c r="AE370" s="191" t="str">
        <f t="array" ref="AE370">INDEX('Données 1_BD questio'!C:C,MATCH('1_BD questio brut'!$AC$1&amp;'1_BD questio brut'!AC370,'Données 1_BD questio'!A:A&amp;'Données 1_BD questio'!B:B,0))</f>
        <v>vous-même</v>
      </c>
      <c r="AF370" s="191" t="str">
        <f>'1_BD questio brut'!AD370</f>
        <v>1 fois par an</v>
      </c>
      <c r="AG370" s="191" t="str">
        <f>'1_BD questio brut'!AE370</f>
        <v/>
      </c>
      <c r="AH370" s="191" t="str">
        <f>'1_BD questio brut'!AF370</f>
        <v>Poêle</v>
      </c>
      <c r="AI370" s="191" t="str">
        <f>'1_BD questio brut'!AG370</f>
        <v>2</v>
      </c>
      <c r="AJ370" s="191" t="str">
        <f>'1_BD questio brut'!AH370</f>
        <v/>
      </c>
      <c r="AK370" s="191" t="str">
        <f>'1_BD questio brut'!AI370</f>
        <v>Chauffage de base</v>
      </c>
      <c r="AL370" s="191" t="str">
        <f>'1_BD questio brut'!AJ370</f>
        <v>Pas de réponse</v>
      </c>
      <c r="AM370" s="191" t="str">
        <f>'1_BD questio brut'!AK370</f>
        <v>1; 2; 4; 5</v>
      </c>
      <c r="AN370" s="191" t="str">
        <f>'1_BD questio brut'!AL370</f>
        <v/>
      </c>
      <c r="AO370" s="191" t="str">
        <f>'1_BD questio brut'!AM370</f>
        <v>8</v>
      </c>
      <c r="AP370" s="191" t="str">
        <f>'1_BD questio brut'!AN370</f>
        <v/>
      </c>
      <c r="AQ370" s="191" t="str">
        <f>'1_BD questio brut'!AO370</f>
        <v/>
      </c>
    </row>
    <row r="371" spans="1:43" ht="43.5" hidden="1">
      <c r="A371" s="98">
        <f>INDEX('3_BD instruction total'!A:A,MATCH(C371,'3_BD instruction total'!F:F,0))</f>
        <v>2022</v>
      </c>
      <c r="B371" s="98" t="str">
        <f>INDEX('3_BD instruction total'!C:C,MATCH(C371,'3_BD instruction total'!F:F,0))</f>
        <v>non</v>
      </c>
      <c r="C371" s="191" t="str">
        <f>'1_BD questio brut'!A371</f>
        <v>VRB0399</v>
      </c>
      <c r="D371" s="191" t="str">
        <f t="array" ref="D371">INDEX('Données 1_BD questio'!C:C,MATCH('1_BD questio brut'!$B$1&amp;'1_BD questio brut'!B371,'Données 1_BD questio'!A:A&amp;'Données 1_BD questio'!B:B,0))</f>
        <v>CAPV</v>
      </c>
      <c r="E371" s="191" t="str">
        <f t="array" ref="E371">INDEX('Données 1_BD questio'!C:C,MATCH('1_BD questio brut'!$C$1&amp;'1_BD questio brut'!C371,'Données 1_BD questio'!A:A&amp;'Données 1_BD questio'!B:B,0))</f>
        <v>Employé</v>
      </c>
      <c r="F371" s="191" t="str">
        <f t="array" ref="F371">INDEX('Données 1_BD questio'!C:C,MATCH('1_BD questio brut'!$D$1&amp;'1_BD questio brut'!D371,'Données 1_BD questio'!A:A&amp;'Données 1_BD questio'!B:B,0))</f>
        <v>Autre,sans activité</v>
      </c>
      <c r="G371" s="191" t="str">
        <f>'1_BD questio brut'!E371</f>
        <v>25 à 34 ans</v>
      </c>
      <c r="H371" s="191">
        <f>'1_BD questio brut'!F371</f>
        <v>5</v>
      </c>
      <c r="I371" s="191" t="str">
        <f>'1_BD questio brut'!G371</f>
        <v>20 000 à 30 000 €</v>
      </c>
      <c r="J371" s="191" t="str">
        <f t="array" ref="J371">INDEX('Données 1_BD questio'!C:C,MATCH('1_BD questio brut'!$H$1&amp;'1_BD questio brut'!H371,'Données 1_BD questio'!A:A&amp;'Données 1_BD questio'!B:B,0))</f>
        <v>Maison avec jardin</v>
      </c>
      <c r="K371" s="191">
        <f>'1_BD questio brut'!I371</f>
        <v>150</v>
      </c>
      <c r="L371" s="191" t="str">
        <f>'1_BD questio brut'!J371</f>
        <v>1949-1975</v>
      </c>
      <c r="M371" s="191" t="str">
        <f>'1_BD questio brut'!K371</f>
        <v>4</v>
      </c>
      <c r="N371" s="191" t="str">
        <f>'1_BD questio brut'!L371</f>
        <v>Pas de réponse</v>
      </c>
      <c r="O371" s="191" t="str">
        <f>'1_BD questio brut'!M371</f>
        <v>Propriétaire occupant</v>
      </c>
      <c r="P371" s="191" t="str">
        <f>'1_BD questio brut'!N371</f>
        <v>Poêle</v>
      </c>
      <c r="Q371" s="191" t="str">
        <f>'1_BD questio brut'!O371</f>
        <v>Chauffage d'apoint</v>
      </c>
      <c r="R371" s="191" t="str">
        <f>'1_BD questio brut'!P371</f>
        <v>3 à 4 jours/semaine</v>
      </c>
      <c r="S371" s="191" t="str">
        <f>'1_BD questio brut'!Q371</f>
        <v>2; 6</v>
      </c>
      <c r="T371" s="191" t="str">
        <f>'1_BD questio brut'!R371</f>
        <v>Avant 1990</v>
      </c>
      <c r="U371" s="191" t="str">
        <f>'1_BD questio brut'!S371</f>
        <v>Bois bûche</v>
      </c>
      <c r="V371" s="191" t="str">
        <f>'1_BD questio brut'!T371</f>
        <v/>
      </c>
      <c r="W371" s="191" t="str">
        <f>'1_BD questio brut'!U371</f>
        <v>1,6</v>
      </c>
      <c r="X371" s="191" t="str">
        <f>'1_BD questio brut'!V371</f>
        <v>M3</v>
      </c>
      <c r="Y371" s="191" t="str">
        <f>'1_BD questio brut'!W371</f>
        <v>2</v>
      </c>
      <c r="Z371" s="191" t="str">
        <f>'1_BD questio brut'!X371</f>
        <v/>
      </c>
      <c r="AA371" s="191" t="str">
        <f t="array" ref="AA371">INDEX('Données 1_BD questio'!C:C,MATCH('1_BD questio brut'!$Y$1&amp;'1_BD questio brut'!Y371,'Données 1_BD questio'!A:A&amp;'Données 1_BD questio'!B:B,0))</f>
        <v>Ne sait pas</v>
      </c>
      <c r="AB371" s="191" t="str">
        <f>'1_BD questio brut'!Z371</f>
        <v>2</v>
      </c>
      <c r="AC371" s="191" t="str">
        <f>'1_BD questio brut'!AA371</f>
        <v>1 à 2 ans</v>
      </c>
      <c r="AD371" s="191" t="str">
        <f>'1_BD questio brut'!AB371</f>
        <v>Les deux</v>
      </c>
      <c r="AE371" s="191" t="str">
        <f t="array" ref="AE371">INDEX('Données 1_BD questio'!C:C,MATCH('1_BD questio brut'!$AC$1&amp;'1_BD questio brut'!AC371,'Données 1_BD questio'!A:A&amp;'Données 1_BD questio'!B:B,0))</f>
        <v>un professionnel</v>
      </c>
      <c r="AF371" s="191" t="str">
        <f>'1_BD questio brut'!AD371</f>
        <v>1 fois par an</v>
      </c>
      <c r="AG371" s="191" t="str">
        <f>'1_BD questio brut'!AE371</f>
        <v/>
      </c>
      <c r="AH371" s="191" t="str">
        <f>'1_BD questio brut'!AF371</f>
        <v>Poêle</v>
      </c>
      <c r="AI371" s="191" t="str">
        <f>'1_BD questio brut'!AG371</f>
        <v>1</v>
      </c>
      <c r="AJ371" s="191" t="str">
        <f>'1_BD questio brut'!AH371</f>
        <v/>
      </c>
      <c r="AK371" s="191" t="str">
        <f>'1_BD questio brut'!AI371</f>
        <v>Chauffage d'appoint</v>
      </c>
      <c r="AL371" s="191" t="str">
        <f>'1_BD questio brut'!AJ371</f>
        <v>Pas de réponse</v>
      </c>
      <c r="AM371" s="191" t="str">
        <f>'1_BD questio brut'!AK371</f>
        <v>1; 4; 5</v>
      </c>
      <c r="AN371" s="191" t="str">
        <f>'1_BD questio brut'!AL371</f>
        <v/>
      </c>
      <c r="AO371" s="191" t="str">
        <f>'1_BD questio brut'!AM371</f>
        <v>5</v>
      </c>
      <c r="AP371" s="191" t="str">
        <f>'1_BD questio brut'!AN371</f>
        <v/>
      </c>
      <c r="AQ371" s="191" t="str">
        <f>'1_BD questio brut'!AO371</f>
        <v/>
      </c>
    </row>
    <row r="372" spans="1:43" ht="43.5" hidden="1">
      <c r="A372" s="98">
        <f>INDEX('3_BD instruction total'!A:A,MATCH(C372,'3_BD instruction total'!F:F,0))</f>
        <v>2022</v>
      </c>
      <c r="B372" s="98" t="str">
        <f>INDEX('3_BD instruction total'!C:C,MATCH(C372,'3_BD instruction total'!F:F,0))</f>
        <v>non</v>
      </c>
      <c r="C372" s="191" t="str">
        <f>'1_BD questio brut'!A372</f>
        <v>VRB0400</v>
      </c>
      <c r="D372" s="191" t="str">
        <f t="array" ref="D372">INDEX('Données 1_BD questio'!C:C,MATCH('1_BD questio brut'!$B$1&amp;'1_BD questio brut'!B372,'Données 1_BD questio'!A:A&amp;'Données 1_BD questio'!B:B,0))</f>
        <v>CAPV</v>
      </c>
      <c r="E372" s="191" t="str">
        <f t="array" ref="E372">INDEX('Données 1_BD questio'!C:C,MATCH('1_BD questio brut'!$C$1&amp;'1_BD questio brut'!C372,'Données 1_BD questio'!A:A&amp;'Données 1_BD questio'!B:B,0))</f>
        <v>Retraité</v>
      </c>
      <c r="F372" s="191" t="str">
        <f t="array" ref="F372">INDEX('Données 1_BD questio'!C:C,MATCH('1_BD questio brut'!$D$1&amp;'1_BD questio brut'!D372,'Données 1_BD questio'!A:A&amp;'Données 1_BD questio'!B:B,0))</f>
        <v>Employé</v>
      </c>
      <c r="G372" s="191" t="str">
        <f>'1_BD questio brut'!E372</f>
        <v>65 ans et plus</v>
      </c>
      <c r="H372" s="191">
        <f>'1_BD questio brut'!F372</f>
        <v>2</v>
      </c>
      <c r="I372" s="191" t="str">
        <f>'1_BD questio brut'!G372</f>
        <v>60 000 à 70 000 €</v>
      </c>
      <c r="J372" s="191" t="str">
        <f t="array" ref="J372">INDEX('Données 1_BD questio'!C:C,MATCH('1_BD questio brut'!$H$1&amp;'1_BD questio brut'!H372,'Données 1_BD questio'!A:A&amp;'Données 1_BD questio'!B:B,0))</f>
        <v>Maison avec jardin</v>
      </c>
      <c r="K372" s="191">
        <f>'1_BD questio brut'!I372</f>
        <v>130</v>
      </c>
      <c r="L372" s="191" t="str">
        <f>'1_BD questio brut'!J372</f>
        <v>Avant 1949</v>
      </c>
      <c r="M372" s="191" t="str">
        <f>'1_BD questio brut'!K372</f>
        <v>4</v>
      </c>
      <c r="N372" s="191" t="str">
        <f>'1_BD questio brut'!L372</f>
        <v>Pas de réponse</v>
      </c>
      <c r="O372" s="191" t="str">
        <f>'1_BD questio brut'!M372</f>
        <v>Propriétaire occupant</v>
      </c>
      <c r="P372" s="191" t="str">
        <f>'1_BD questio brut'!N372</f>
        <v>Insert / foyer fermé</v>
      </c>
      <c r="Q372" s="191" t="str">
        <f>'1_BD questio brut'!O372</f>
        <v>Chauffage d'apoint</v>
      </c>
      <c r="R372" s="191" t="str">
        <f>'1_BD questio brut'!P372</f>
        <v>Tous les jours</v>
      </c>
      <c r="S372" s="191" t="str">
        <f>'1_BD questio brut'!Q372</f>
        <v>2</v>
      </c>
      <c r="T372" s="191" t="str">
        <f>'1_BD questio brut'!R372</f>
        <v>Avant 1990</v>
      </c>
      <c r="U372" s="191" t="str">
        <f>'1_BD questio brut'!S372</f>
        <v>Bois bûche</v>
      </c>
      <c r="V372" s="191" t="str">
        <f>'1_BD questio brut'!T372</f>
        <v/>
      </c>
      <c r="W372" s="191" t="str">
        <f>'1_BD questio brut'!U372</f>
        <v>4</v>
      </c>
      <c r="X372" s="191" t="str">
        <f>'1_BD questio brut'!V372</f>
        <v>Stères</v>
      </c>
      <c r="Y372" s="191" t="str">
        <f>'1_BD questio brut'!W372</f>
        <v>2</v>
      </c>
      <c r="Z372" s="191" t="str">
        <f>'1_BD questio brut'!X372</f>
        <v/>
      </c>
      <c r="AA372" s="191" t="str">
        <f t="array" ref="AA372">INDEX('Données 1_BD questio'!C:C,MATCH('1_BD questio brut'!$Y$1&amp;'1_BD questio brut'!Y372,'Données 1_BD questio'!A:A&amp;'Données 1_BD questio'!B:B,0))</f>
        <v>Ne sait pas</v>
      </c>
      <c r="AB372" s="191" t="str">
        <f>'1_BD questio brut'!Z372</f>
        <v>2</v>
      </c>
      <c r="AC372" s="191" t="str">
        <f>'1_BD questio brut'!AA372</f>
        <v>&gt; 2 ans</v>
      </c>
      <c r="AD372" s="191" t="str">
        <f>'1_BD questio brut'!AB372</f>
        <v>Feuillus</v>
      </c>
      <c r="AE372" s="191" t="str">
        <f t="array" ref="AE372">INDEX('Données 1_BD questio'!C:C,MATCH('1_BD questio brut'!$AC$1&amp;'1_BD questio brut'!AC372,'Données 1_BD questio'!A:A&amp;'Données 1_BD questio'!B:B,0))</f>
        <v>un professionnel</v>
      </c>
      <c r="AF372" s="191" t="str">
        <f>'1_BD questio brut'!AD372</f>
        <v>1 fois par an</v>
      </c>
      <c r="AG372" s="191" t="str">
        <f>'1_BD questio brut'!AE372</f>
        <v/>
      </c>
      <c r="AH372" s="191" t="str">
        <f>'1_BD questio brut'!AF372</f>
        <v>Pas de réponse</v>
      </c>
      <c r="AI372" s="191" t="str">
        <f>'1_BD questio brut'!AG372</f>
        <v>2</v>
      </c>
      <c r="AJ372" s="191" t="str">
        <f>'1_BD questio brut'!AH372</f>
        <v/>
      </c>
      <c r="AK372" s="191" t="str">
        <f>'1_BD questio brut'!AI372</f>
        <v>Chauffage de base</v>
      </c>
      <c r="AL372" s="191" t="str">
        <f>'1_BD questio brut'!AJ372</f>
        <v>Pas de réponse</v>
      </c>
      <c r="AM372" s="191" t="str">
        <f>'1_BD questio brut'!AK372</f>
        <v>1; 2; 4; 5</v>
      </c>
      <c r="AN372" s="191" t="str">
        <f>'1_BD questio brut'!AL372</f>
        <v/>
      </c>
      <c r="AO372" s="191" t="str">
        <f>'1_BD questio brut'!AM372</f>
        <v>2; 5</v>
      </c>
      <c r="AP372" s="191" t="str">
        <f>'1_BD questio brut'!AN372</f>
        <v/>
      </c>
      <c r="AQ372" s="191" t="str">
        <f>'1_BD questio brut'!AO372</f>
        <v/>
      </c>
    </row>
    <row r="373" spans="1:43" ht="29" hidden="1">
      <c r="A373" s="98">
        <f>INDEX('3_BD instruction total'!A:A,MATCH(C373,'3_BD instruction total'!F:F,0))</f>
        <v>2022</v>
      </c>
      <c r="B373" s="98" t="str">
        <f>INDEX('3_BD instruction total'!C:C,MATCH(C373,'3_BD instruction total'!F:F,0))</f>
        <v>non</v>
      </c>
      <c r="C373" s="191" t="str">
        <f>'1_BD questio brut'!A373</f>
        <v>VRB0401</v>
      </c>
      <c r="D373" s="191" t="str">
        <f t="array" ref="D373">INDEX('Données 1_BD questio'!C:C,MATCH('1_BD questio brut'!$B$1&amp;'1_BD questio brut'!B373,'Données 1_BD questio'!A:A&amp;'Données 1_BD questio'!B:B,0))</f>
        <v>CAPV</v>
      </c>
      <c r="E373" s="191" t="str">
        <f t="array" ref="E373">INDEX('Données 1_BD questio'!C:C,MATCH('1_BD questio brut'!$C$1&amp;'1_BD questio brut'!C373,'Données 1_BD questio'!A:A&amp;'Données 1_BD questio'!B:B,0))</f>
        <v>Retraité</v>
      </c>
      <c r="F373" s="191" t="str">
        <f t="array" ref="F373">INDEX('Données 1_BD questio'!C:C,MATCH('1_BD questio brut'!$D$1&amp;'1_BD questio brut'!D373,'Données 1_BD questio'!A:A&amp;'Données 1_BD questio'!B:B,0))</f>
        <v>Retraité</v>
      </c>
      <c r="G373" s="191" t="str">
        <f>'1_BD questio brut'!E373</f>
        <v>65 ans et plus</v>
      </c>
      <c r="H373" s="191">
        <f>'1_BD questio brut'!F373</f>
        <v>2</v>
      </c>
      <c r="I373" s="191" t="str">
        <f>'1_BD questio brut'!G373</f>
        <v>20 000 à 30 000 €</v>
      </c>
      <c r="J373" s="191" t="str">
        <f t="array" ref="J373">INDEX('Données 1_BD questio'!C:C,MATCH('1_BD questio brut'!$H$1&amp;'1_BD questio brut'!H373,'Données 1_BD questio'!A:A&amp;'Données 1_BD questio'!B:B,0))</f>
        <v>Maison avec jardin</v>
      </c>
      <c r="K373" s="191">
        <f>'1_BD questio brut'!I373</f>
        <v>70</v>
      </c>
      <c r="L373" s="191" t="str">
        <f>'1_BD questio brut'!J373</f>
        <v>1975-1990</v>
      </c>
      <c r="M373" s="191" t="str">
        <f>'1_BD questio brut'!K373</f>
        <v>6</v>
      </c>
      <c r="N373" s="191" t="str">
        <f>'1_BD questio brut'!L373</f>
        <v>Pas de réponse</v>
      </c>
      <c r="O373" s="191" t="str">
        <f>'1_BD questio brut'!M373</f>
        <v>Propriétaire occupant</v>
      </c>
      <c r="P373" s="191" t="str">
        <f>'1_BD questio brut'!N373</f>
        <v>Foyer ouvert</v>
      </c>
      <c r="Q373" s="191" t="str">
        <f>'1_BD questio brut'!O373</f>
        <v>Plaisir/agrément</v>
      </c>
      <c r="R373" s="191" t="str">
        <f>'1_BD questio brut'!P373</f>
        <v>1 à 3 jours/mois</v>
      </c>
      <c r="S373" s="191" t="str">
        <f>'1_BD questio brut'!Q373</f>
        <v>2; 6</v>
      </c>
      <c r="T373" s="191" t="str">
        <f>'1_BD questio brut'!R373</f>
        <v>Avant 1990</v>
      </c>
      <c r="U373" s="191" t="str">
        <f>'1_BD questio brut'!S373</f>
        <v>Bois bûche</v>
      </c>
      <c r="V373" s="191" t="str">
        <f>'1_BD questio brut'!T373</f>
        <v/>
      </c>
      <c r="W373" s="191" t="str">
        <f>'1_BD questio brut'!U373</f>
        <v>1,40</v>
      </c>
      <c r="X373" s="191" t="str">
        <f>'1_BD questio brut'!V373</f>
        <v>M3</v>
      </c>
      <c r="Y373" s="191" t="str">
        <f>'1_BD questio brut'!W373</f>
        <v>2</v>
      </c>
      <c r="Z373" s="191" t="str">
        <f>'1_BD questio brut'!X373</f>
        <v/>
      </c>
      <c r="AA373" s="191" t="str">
        <f t="array" ref="AA373">INDEX('Données 1_BD questio'!C:C,MATCH('1_BD questio brut'!$Y$1&amp;'1_BD questio brut'!Y373,'Données 1_BD questio'!A:A&amp;'Données 1_BD questio'!B:B,0))</f>
        <v>RA2B</v>
      </c>
      <c r="AB373" s="191" t="str">
        <f>'1_BD questio brut'!Z373</f>
        <v>2</v>
      </c>
      <c r="AC373" s="191" t="str">
        <f>'1_BD questio brut'!AA373</f>
        <v>&lt; 1 an</v>
      </c>
      <c r="AD373" s="191" t="str">
        <f>'1_BD questio brut'!AB373</f>
        <v>Feuillus</v>
      </c>
      <c r="AE373" s="191" t="str">
        <f t="array" ref="AE373">INDEX('Données 1_BD questio'!C:C,MATCH('1_BD questio brut'!$AC$1&amp;'1_BD questio brut'!AC373,'Données 1_BD questio'!A:A&amp;'Données 1_BD questio'!B:B,0))</f>
        <v>vous-même</v>
      </c>
      <c r="AF373" s="191" t="str">
        <f>'1_BD questio brut'!AD373</f>
        <v>1 fois par an</v>
      </c>
      <c r="AG373" s="191" t="str">
        <f>'1_BD questio brut'!AE373</f>
        <v/>
      </c>
      <c r="AH373" s="191" t="str">
        <f>'1_BD questio brut'!AF373</f>
        <v>Poêle</v>
      </c>
      <c r="AI373" s="191" t="str">
        <f>'1_BD questio brut'!AG373</f>
        <v>2</v>
      </c>
      <c r="AJ373" s="191" t="str">
        <f>'1_BD questio brut'!AH373</f>
        <v/>
      </c>
      <c r="AK373" s="191" t="str">
        <f>'1_BD questio brut'!AI373</f>
        <v>Chauffage de base</v>
      </c>
      <c r="AL373" s="191" t="str">
        <f>'1_BD questio brut'!AJ373</f>
        <v>Pas de réponse</v>
      </c>
      <c r="AM373" s="191" t="str">
        <f>'1_BD questio brut'!AK373</f>
        <v>4</v>
      </c>
      <c r="AN373" s="191" t="str">
        <f>'1_BD questio brut'!AL373</f>
        <v/>
      </c>
      <c r="AO373" s="191" t="str">
        <f>'1_BD questio brut'!AM373</f>
        <v>5</v>
      </c>
      <c r="AP373" s="191" t="str">
        <f>'1_BD questio brut'!AN373</f>
        <v/>
      </c>
      <c r="AQ373" s="191" t="str">
        <f>'1_BD questio brut'!AO373</f>
        <v/>
      </c>
    </row>
    <row r="374" spans="1:43" ht="43.5" hidden="1">
      <c r="A374" s="98">
        <f>INDEX('3_BD instruction total'!A:A,MATCH(C374,'3_BD instruction total'!F:F,0))</f>
        <v>2022</v>
      </c>
      <c r="B374" s="98" t="str">
        <f>INDEX('3_BD instruction total'!C:C,MATCH(C374,'3_BD instruction total'!F:F,0))</f>
        <v>non</v>
      </c>
      <c r="C374" s="191" t="str">
        <f>'1_BD questio brut'!A374</f>
        <v>VRB0402</v>
      </c>
      <c r="D374" s="191" t="str">
        <f t="array" ref="D374">INDEX('Données 1_BD questio'!C:C,MATCH('1_BD questio brut'!$B$1&amp;'1_BD questio brut'!B374,'Données 1_BD questio'!A:A&amp;'Données 1_BD questio'!B:B,0))</f>
        <v>CAPV</v>
      </c>
      <c r="E374" s="191" t="str">
        <f t="array" ref="E374">INDEX('Données 1_BD questio'!C:C,MATCH('1_BD questio brut'!$C$1&amp;'1_BD questio brut'!C374,'Données 1_BD questio'!A:A&amp;'Données 1_BD questio'!B:B,0))</f>
        <v>Artisan,commerçant,chef d'entreprise</v>
      </c>
      <c r="F374" s="191" t="str">
        <f t="array" ref="F374">INDEX('Données 1_BD questio'!C:C,MATCH('1_BD questio brut'!$D$1&amp;'1_BD questio brut'!D374,'Données 1_BD questio'!A:A&amp;'Données 1_BD questio'!B:B,0))</f>
        <v>Pas de réponse</v>
      </c>
      <c r="G374" s="191" t="str">
        <f>'1_BD questio brut'!E374</f>
        <v>50 à 64 ans</v>
      </c>
      <c r="H374" s="191">
        <f>'1_BD questio brut'!F374</f>
        <v>1</v>
      </c>
      <c r="I374" s="191" t="str">
        <f>'1_BD questio brut'!G374</f>
        <v>Moins de 20 000 €</v>
      </c>
      <c r="J374" s="191" t="str">
        <f t="array" ref="J374">INDEX('Données 1_BD questio'!C:C,MATCH('1_BD questio brut'!$H$1&amp;'1_BD questio brut'!H374,'Données 1_BD questio'!A:A&amp;'Données 1_BD questio'!B:B,0))</f>
        <v>Maison sans jardin</v>
      </c>
      <c r="K374" s="191">
        <f>'1_BD questio brut'!I374</f>
        <v>80</v>
      </c>
      <c r="L374" s="191" t="str">
        <f>'1_BD questio brut'!J374</f>
        <v>Avant 1949</v>
      </c>
      <c r="M374" s="191" t="str">
        <f>'1_BD questio brut'!K374</f>
        <v>1; 4</v>
      </c>
      <c r="N374" s="191" t="str">
        <f>'1_BD questio brut'!L374</f>
        <v>Pas de réponse</v>
      </c>
      <c r="O374" s="191" t="str">
        <f>'1_BD questio brut'!M374</f>
        <v>Propriétaire occupant</v>
      </c>
      <c r="P374" s="191" t="str">
        <f>'1_BD questio brut'!N374</f>
        <v>Insert / foyer fermé</v>
      </c>
      <c r="Q374" s="191" t="str">
        <f>'1_BD questio brut'!O374</f>
        <v>Chauffage de base</v>
      </c>
      <c r="R374" s="191" t="str">
        <f>'1_BD questio brut'!P374</f>
        <v>Tous les jours</v>
      </c>
      <c r="S374" s="191" t="str">
        <f>'1_BD questio brut'!Q374</f>
        <v>2</v>
      </c>
      <c r="T374" s="191" t="str">
        <f>'1_BD questio brut'!R374</f>
        <v>1996-2002</v>
      </c>
      <c r="U374" s="191" t="str">
        <f>'1_BD questio brut'!S374</f>
        <v>Bois bûche</v>
      </c>
      <c r="V374" s="191" t="str">
        <f>'1_BD questio brut'!T374</f>
        <v/>
      </c>
      <c r="W374" s="191" t="str">
        <f>'1_BD questio brut'!U374</f>
        <v>4</v>
      </c>
      <c r="X374" s="191" t="str">
        <f>'1_BD questio brut'!V374</f>
        <v>Stères</v>
      </c>
      <c r="Y374" s="191" t="str">
        <f>'1_BD questio brut'!W374</f>
        <v>2</v>
      </c>
      <c r="Z374" s="191" t="str">
        <f>'1_BD questio brut'!X374</f>
        <v/>
      </c>
      <c r="AA374" s="191" t="str">
        <f t="array" ref="AA374">INDEX('Données 1_BD questio'!C:C,MATCH('1_BD questio brut'!$Y$1&amp;'1_BD questio brut'!Y374,'Données 1_BD questio'!A:A&amp;'Données 1_BD questio'!B:B,0))</f>
        <v>Rhône-Alpes hors RA2B</v>
      </c>
      <c r="AB374" s="191" t="str">
        <f>'1_BD questio brut'!Z374</f>
        <v>2</v>
      </c>
      <c r="AC374" s="191" t="str">
        <f>'1_BD questio brut'!AA374</f>
        <v>1 à 2 ans</v>
      </c>
      <c r="AD374" s="191" t="str">
        <f>'1_BD questio brut'!AB374</f>
        <v>Les deux</v>
      </c>
      <c r="AE374" s="191" t="str">
        <f t="array" ref="AE374">INDEX('Données 1_BD questio'!C:C,MATCH('1_BD questio brut'!$AC$1&amp;'1_BD questio brut'!AC374,'Données 1_BD questio'!A:A&amp;'Données 1_BD questio'!B:B,0))</f>
        <v>un professionnel</v>
      </c>
      <c r="AF374" s="191" t="str">
        <f>'1_BD questio brut'!AD374</f>
        <v>1 fois par an</v>
      </c>
      <c r="AG374" s="191" t="str">
        <f>'1_BD questio brut'!AE374</f>
        <v/>
      </c>
      <c r="AH374" s="191" t="str">
        <f>'1_BD questio brut'!AF374</f>
        <v>Poêle</v>
      </c>
      <c r="AI374" s="191" t="str">
        <f>'1_BD questio brut'!AG374</f>
        <v>2</v>
      </c>
      <c r="AJ374" s="191" t="str">
        <f>'1_BD questio brut'!AH374</f>
        <v/>
      </c>
      <c r="AK374" s="191" t="str">
        <f>'1_BD questio brut'!AI374</f>
        <v>Chauffage de base</v>
      </c>
      <c r="AL374" s="191" t="str">
        <f>'1_BD questio brut'!AJ374</f>
        <v>Pas de réponse</v>
      </c>
      <c r="AM374" s="191" t="str">
        <f>'1_BD questio brut'!AK374</f>
        <v>2</v>
      </c>
      <c r="AN374" s="191" t="str">
        <f>'1_BD questio brut'!AL374</f>
        <v/>
      </c>
      <c r="AO374" s="191" t="str">
        <f>'1_BD questio brut'!AM374</f>
        <v>1</v>
      </c>
      <c r="AP374" s="191" t="str">
        <f>'1_BD questio brut'!AN374</f>
        <v/>
      </c>
      <c r="AQ374" s="191" t="str">
        <f>'1_BD questio brut'!AO374</f>
        <v/>
      </c>
    </row>
    <row r="375" spans="1:43" ht="43.5" hidden="1">
      <c r="A375" s="98">
        <f>INDEX('3_BD instruction total'!A:A,MATCH(C375,'3_BD instruction total'!F:F,0))</f>
        <v>2022</v>
      </c>
      <c r="B375" s="98" t="str">
        <f>INDEX('3_BD instruction total'!C:C,MATCH(C375,'3_BD instruction total'!F:F,0))</f>
        <v>non</v>
      </c>
      <c r="C375" s="191" t="str">
        <f>'1_BD questio brut'!A375</f>
        <v>VRB0403</v>
      </c>
      <c r="D375" s="191" t="str">
        <f t="array" ref="D375">INDEX('Données 1_BD questio'!C:C,MATCH('1_BD questio brut'!$B$1&amp;'1_BD questio brut'!B375,'Données 1_BD questio'!A:A&amp;'Données 1_BD questio'!B:B,0))</f>
        <v>CAPV</v>
      </c>
      <c r="E375" s="191" t="str">
        <f t="array" ref="E375">INDEX('Données 1_BD questio'!C:C,MATCH('1_BD questio brut'!$C$1&amp;'1_BD questio brut'!C375,'Données 1_BD questio'!A:A&amp;'Données 1_BD questio'!B:B,0))</f>
        <v>Cadre</v>
      </c>
      <c r="F375" s="191" t="str">
        <f t="array" ref="F375">INDEX('Données 1_BD questio'!C:C,MATCH('1_BD questio brut'!$D$1&amp;'1_BD questio brut'!D375,'Données 1_BD questio'!A:A&amp;'Données 1_BD questio'!B:B,0))</f>
        <v>Cadre</v>
      </c>
      <c r="G375" s="191" t="str">
        <f>'1_BD questio brut'!E375</f>
        <v>35 à 49 ans</v>
      </c>
      <c r="H375" s="191">
        <f>'1_BD questio brut'!F375</f>
        <v>3</v>
      </c>
      <c r="I375" s="191" t="str">
        <f>'1_BD questio brut'!G375</f>
        <v>50 000 à 60 000 €</v>
      </c>
      <c r="J375" s="191" t="str">
        <f t="array" ref="J375">INDEX('Données 1_BD questio'!C:C,MATCH('1_BD questio brut'!$H$1&amp;'1_BD questio brut'!H375,'Données 1_BD questio'!A:A&amp;'Données 1_BD questio'!B:B,0))</f>
        <v>Maison avec jardin</v>
      </c>
      <c r="K375" s="191">
        <f>'1_BD questio brut'!I375</f>
        <v>130</v>
      </c>
      <c r="L375" s="191" t="str">
        <f>'1_BD questio brut'!J375</f>
        <v>Avant 1949</v>
      </c>
      <c r="M375" s="191" t="str">
        <f>'1_BD questio brut'!K375</f>
        <v>4</v>
      </c>
      <c r="N375" s="191" t="str">
        <f>'1_BD questio brut'!L375</f>
        <v>Pas de réponse</v>
      </c>
      <c r="O375" s="191" t="str">
        <f>'1_BD questio brut'!M375</f>
        <v>Propriétaire occupant</v>
      </c>
      <c r="P375" s="191" t="str">
        <f>'1_BD questio brut'!N375</f>
        <v>Insert / foyer fermé</v>
      </c>
      <c r="Q375" s="191" t="str">
        <f>'1_BD questio brut'!O375</f>
        <v>Plaisir/agrément</v>
      </c>
      <c r="R375" s="191" t="str">
        <f>'1_BD questio brut'!P375</f>
        <v>1 à 2 jours/semaine</v>
      </c>
      <c r="S375" s="191" t="str">
        <f>'1_BD questio brut'!Q375</f>
        <v>2; 6</v>
      </c>
      <c r="T375" s="191" t="str">
        <f>'1_BD questio brut'!R375</f>
        <v>Pas de réponse</v>
      </c>
      <c r="U375" s="191" t="str">
        <f>'1_BD questio brut'!S375</f>
        <v>Bois bûche</v>
      </c>
      <c r="V375" s="191" t="str">
        <f>'1_BD questio brut'!T375</f>
        <v/>
      </c>
      <c r="W375" s="191" t="str">
        <f>'1_BD questio brut'!U375</f>
        <v>4</v>
      </c>
      <c r="X375" s="191" t="str">
        <f>'1_BD questio brut'!V375</f>
        <v>Stères</v>
      </c>
      <c r="Y375" s="191" t="str">
        <f>'1_BD questio brut'!W375</f>
        <v>2</v>
      </c>
      <c r="Z375" s="191" t="str">
        <f>'1_BD questio brut'!X375</f>
        <v/>
      </c>
      <c r="AA375" s="191" t="str">
        <f t="array" ref="AA375">INDEX('Données 1_BD questio'!C:C,MATCH('1_BD questio brut'!$Y$1&amp;'1_BD questio brut'!Y375,'Données 1_BD questio'!A:A&amp;'Données 1_BD questio'!B:B,0))</f>
        <v>France hors Rhône-Alpes</v>
      </c>
      <c r="AB375" s="191" t="str">
        <f>'1_BD questio brut'!Z375</f>
        <v>2</v>
      </c>
      <c r="AC375" s="191" t="str">
        <f>'1_BD questio brut'!AA375</f>
        <v>1 à 2 ans</v>
      </c>
      <c r="AD375" s="191" t="str">
        <f>'1_BD questio brut'!AB375</f>
        <v>Les deux</v>
      </c>
      <c r="AE375" s="191" t="str">
        <f t="array" ref="AE375">INDEX('Données 1_BD questio'!C:C,MATCH('1_BD questio brut'!$AC$1&amp;'1_BD questio brut'!AC375,'Données 1_BD questio'!A:A&amp;'Données 1_BD questio'!B:B,0))</f>
        <v>un professionnel</v>
      </c>
      <c r="AF375" s="191" t="str">
        <f>'1_BD questio brut'!AD375</f>
        <v>1 fois par an</v>
      </c>
      <c r="AG375" s="191" t="str">
        <f>'1_BD questio brut'!AE375</f>
        <v/>
      </c>
      <c r="AH375" s="191" t="str">
        <f>'1_BD questio brut'!AF375</f>
        <v>Insert cheminée</v>
      </c>
      <c r="AI375" s="191" t="str">
        <f>'1_BD questio brut'!AG375</f>
        <v>1</v>
      </c>
      <c r="AJ375" s="191" t="str">
        <f>'1_BD questio brut'!AH375</f>
        <v/>
      </c>
      <c r="AK375" s="191" t="str">
        <f>'1_BD questio brut'!AI375</f>
        <v>Chauffage d'appoint</v>
      </c>
      <c r="AL375" s="191" t="str">
        <f>'1_BD questio brut'!AJ375</f>
        <v>Pas de réponse</v>
      </c>
      <c r="AM375" s="191" t="str">
        <f>'1_BD questio brut'!AK375</f>
        <v>4; 5</v>
      </c>
      <c r="AN375" s="191" t="str">
        <f>'1_BD questio brut'!AL375</f>
        <v/>
      </c>
      <c r="AO375" s="191" t="str">
        <f>'1_BD questio brut'!AM375</f>
        <v>5</v>
      </c>
      <c r="AP375" s="191" t="str">
        <f>'1_BD questio brut'!AN375</f>
        <v/>
      </c>
      <c r="AQ375" s="191" t="str">
        <f>'1_BD questio brut'!AO375</f>
        <v/>
      </c>
    </row>
    <row r="376" spans="1:43" ht="29" hidden="1">
      <c r="A376" s="98">
        <f>INDEX('3_BD instruction total'!A:A,MATCH(C376,'3_BD instruction total'!F:F,0))</f>
        <v>1900</v>
      </c>
      <c r="B376" s="98" t="str">
        <f>INDEX('3_BD instruction total'!C:C,MATCH(C376,'3_BD instruction total'!F:F,0))</f>
        <v>oui</v>
      </c>
      <c r="C376" s="191" t="str">
        <f>'1_BD questio brut'!A376</f>
        <v>VRB0405</v>
      </c>
      <c r="D376" s="191" t="str">
        <f t="array" ref="D376">INDEX('Données 1_BD questio'!C:C,MATCH('1_BD questio brut'!$B$1&amp;'1_BD questio brut'!B376,'Données 1_BD questio'!A:A&amp;'Données 1_BD questio'!B:B,0))</f>
        <v>CAPV</v>
      </c>
      <c r="E376" s="191" t="str">
        <f t="array" ref="E376">INDEX('Données 1_BD questio'!C:C,MATCH('1_BD questio brut'!$C$1&amp;'1_BD questio brut'!C376,'Données 1_BD questio'!A:A&amp;'Données 1_BD questio'!B:B,0))</f>
        <v>Autre,sans activité</v>
      </c>
      <c r="F376" s="191" t="str">
        <f t="array" ref="F376">INDEX('Données 1_BD questio'!C:C,MATCH('1_BD questio brut'!$D$1&amp;'1_BD questio brut'!D376,'Données 1_BD questio'!A:A&amp;'Données 1_BD questio'!B:B,0))</f>
        <v>Pas de réponse</v>
      </c>
      <c r="G376" s="191" t="str">
        <f>'1_BD questio brut'!E376</f>
        <v>35 à 49 ans</v>
      </c>
      <c r="H376" s="191">
        <f>'1_BD questio brut'!F376</f>
        <v>1</v>
      </c>
      <c r="I376" s="191" t="str">
        <f>'1_BD questio brut'!G376</f>
        <v>Moins de 20 000 €</v>
      </c>
      <c r="J376" s="191" t="str">
        <f t="array" ref="J376">INDEX('Données 1_BD questio'!C:C,MATCH('1_BD questio brut'!$H$1&amp;'1_BD questio brut'!H376,'Données 1_BD questio'!A:A&amp;'Données 1_BD questio'!B:B,0))</f>
        <v>Maison avec jardin</v>
      </c>
      <c r="K376" s="191">
        <f>'1_BD questio brut'!I376</f>
        <v>140</v>
      </c>
      <c r="L376" s="191" t="str">
        <f>'1_BD questio brut'!J376</f>
        <v>Avant 1949</v>
      </c>
      <c r="M376" s="191" t="str">
        <f>'1_BD questio brut'!K376</f>
        <v>1; 3</v>
      </c>
      <c r="N376" s="191" t="str">
        <f>'1_BD questio brut'!L376</f>
        <v>Pas de réponse</v>
      </c>
      <c r="O376" s="191" t="str">
        <f>'1_BD questio brut'!M376</f>
        <v>Propriétaire occupant</v>
      </c>
      <c r="P376" s="191" t="str">
        <f>'1_BD questio brut'!N376</f>
        <v>Poêle</v>
      </c>
      <c r="Q376" s="191" t="str">
        <f>'1_BD questio brut'!O376</f>
        <v>Chauffage de base</v>
      </c>
      <c r="R376" s="191" t="str">
        <f>'1_BD questio brut'!P376</f>
        <v>Tous les jours</v>
      </c>
      <c r="S376" s="191" t="str">
        <f>'1_BD questio brut'!Q376</f>
        <v>6</v>
      </c>
      <c r="T376" s="191" t="str">
        <f>'1_BD questio brut'!R376</f>
        <v>Avant 1990</v>
      </c>
      <c r="U376" s="191" t="str">
        <f>'1_BD questio brut'!S376</f>
        <v>Bois bûche</v>
      </c>
      <c r="V376" s="191" t="str">
        <f>'1_BD questio brut'!T376</f>
        <v/>
      </c>
      <c r="W376" s="191" t="str">
        <f>'1_BD questio brut'!U376</f>
        <v>4</v>
      </c>
      <c r="X376" s="191" t="str">
        <f>'1_BD questio brut'!V376</f>
        <v>Stères</v>
      </c>
      <c r="Y376" s="191" t="str">
        <f>'1_BD questio brut'!W376</f>
        <v>3</v>
      </c>
      <c r="Z376" s="191" t="str">
        <f>'1_BD questio brut'!X376</f>
        <v/>
      </c>
      <c r="AA376" s="191" t="str">
        <f t="array" ref="AA376">INDEX('Données 1_BD questio'!C:C,MATCH('1_BD questio brut'!$Y$1&amp;'1_BD questio brut'!Y376,'Données 1_BD questio'!A:A&amp;'Données 1_BD questio'!B:B,0))</f>
        <v>Ne sait pas</v>
      </c>
      <c r="AB376" s="191" t="str">
        <f>'1_BD questio brut'!Z376</f>
        <v>1; 3</v>
      </c>
      <c r="AC376" s="191" t="str">
        <f>'1_BD questio brut'!AA376</f>
        <v>&lt; 1 an</v>
      </c>
      <c r="AD376" s="191" t="str">
        <f>'1_BD questio brut'!AB376</f>
        <v>Les deux</v>
      </c>
      <c r="AE376" s="191" t="str">
        <f t="array" ref="AE376">INDEX('Données 1_BD questio'!C:C,MATCH('1_BD questio brut'!$AC$1&amp;'1_BD questio brut'!AC376,'Données 1_BD questio'!A:A&amp;'Données 1_BD questio'!B:B,0))</f>
        <v>vous-même</v>
      </c>
      <c r="AF376" s="191" t="str">
        <f>'1_BD questio brut'!AD376</f>
        <v>2 fois par an</v>
      </c>
      <c r="AG376" s="191" t="str">
        <f>'1_BD questio brut'!AE376</f>
        <v/>
      </c>
      <c r="AH376" s="191" t="str">
        <f>'1_BD questio brut'!AF376</f>
        <v>Poêle</v>
      </c>
      <c r="AI376" s="191" t="str">
        <f>'1_BD questio brut'!AG376</f>
        <v>2</v>
      </c>
      <c r="AJ376" s="191" t="str">
        <f>'1_BD questio brut'!AH376</f>
        <v/>
      </c>
      <c r="AK376" s="191" t="str">
        <f>'1_BD questio brut'!AI376</f>
        <v>Chauffage de base</v>
      </c>
      <c r="AL376" s="191" t="str">
        <f>'1_BD questio brut'!AJ376</f>
        <v>Pas de réponse</v>
      </c>
      <c r="AM376" s="191" t="str">
        <f>'1_BD questio brut'!AK376</f>
        <v>2; 4; 5</v>
      </c>
      <c r="AN376" s="191" t="str">
        <f>'1_BD questio brut'!AL376</f>
        <v/>
      </c>
      <c r="AO376" s="191" t="str">
        <f>'1_BD questio brut'!AM376</f>
        <v>5</v>
      </c>
      <c r="AP376" s="191" t="str">
        <f>'1_BD questio brut'!AN376</f>
        <v/>
      </c>
      <c r="AQ376" s="191" t="str">
        <f>'1_BD questio brut'!AO376</f>
        <v/>
      </c>
    </row>
    <row r="377" spans="1:43" ht="29" hidden="1">
      <c r="A377" s="98">
        <f>INDEX('3_BD instruction total'!A:A,MATCH(C377,'3_BD instruction total'!F:F,0))</f>
        <v>2022</v>
      </c>
      <c r="B377" s="98" t="str">
        <f>INDEX('3_BD instruction total'!C:C,MATCH(C377,'3_BD instruction total'!F:F,0))</f>
        <v>non</v>
      </c>
      <c r="C377" s="191" t="str">
        <f>'1_BD questio brut'!A377</f>
        <v>VRB0406</v>
      </c>
      <c r="D377" s="191" t="str">
        <f t="array" ref="D377">INDEX('Données 1_BD questio'!C:C,MATCH('1_BD questio brut'!$B$1&amp;'1_BD questio brut'!B377,'Données 1_BD questio'!A:A&amp;'Données 1_BD questio'!B:B,0))</f>
        <v>CAPV</v>
      </c>
      <c r="E377" s="191" t="str">
        <f t="array" ref="E377">INDEX('Données 1_BD questio'!C:C,MATCH('1_BD questio brut'!$C$1&amp;'1_BD questio brut'!C377,'Données 1_BD questio'!A:A&amp;'Données 1_BD questio'!B:B,0))</f>
        <v>Retraité</v>
      </c>
      <c r="F377" s="191" t="str">
        <f t="array" ref="F377">INDEX('Données 1_BD questio'!C:C,MATCH('1_BD questio brut'!$D$1&amp;'1_BD questio brut'!D377,'Données 1_BD questio'!A:A&amp;'Données 1_BD questio'!B:B,0))</f>
        <v>Retraité</v>
      </c>
      <c r="G377" s="191" t="str">
        <f>'1_BD questio brut'!E377</f>
        <v>65 ans et plus</v>
      </c>
      <c r="H377" s="191">
        <f>'1_BD questio brut'!F377</f>
        <v>2</v>
      </c>
      <c r="I377" s="191" t="str">
        <f>'1_BD questio brut'!G377</f>
        <v>Moins de 20 000 €</v>
      </c>
      <c r="J377" s="191" t="str">
        <f t="array" ref="J377">INDEX('Données 1_BD questio'!C:C,MATCH('1_BD questio brut'!$H$1&amp;'1_BD questio brut'!H377,'Données 1_BD questio'!A:A&amp;'Données 1_BD questio'!B:B,0))</f>
        <v>Maison avec jardin</v>
      </c>
      <c r="K377" s="191">
        <f>'1_BD questio brut'!I377</f>
        <v>45</v>
      </c>
      <c r="L377" s="191" t="str">
        <f>'1_BD questio brut'!J377</f>
        <v>Avant 1949</v>
      </c>
      <c r="M377" s="191" t="str">
        <f>'1_BD questio brut'!K377</f>
        <v>6</v>
      </c>
      <c r="N377" s="191" t="str">
        <f>'1_BD questio brut'!L377</f>
        <v>Pas de réponse</v>
      </c>
      <c r="O377" s="191" t="str">
        <f>'1_BD questio brut'!M377</f>
        <v>Propriétaire occupant</v>
      </c>
      <c r="P377" s="191" t="str">
        <f>'1_BD questio brut'!N377</f>
        <v>Insert / foyer fermé</v>
      </c>
      <c r="Q377" s="191" t="str">
        <f>'1_BD questio brut'!O377</f>
        <v>Chauffage de base</v>
      </c>
      <c r="R377" s="191" t="str">
        <f>'1_BD questio brut'!P377</f>
        <v>Tous les jours</v>
      </c>
      <c r="S377" s="191" t="str">
        <f>'1_BD questio brut'!Q377</f>
        <v>1; 2; 3; 4; 5; 6</v>
      </c>
      <c r="T377" s="191" t="str">
        <f>'1_BD questio brut'!R377</f>
        <v>1996-2002</v>
      </c>
      <c r="U377" s="191" t="str">
        <f>'1_BD questio brut'!S377</f>
        <v>Bois bûche</v>
      </c>
      <c r="V377" s="191" t="str">
        <f>'1_BD questio brut'!T377</f>
        <v/>
      </c>
      <c r="W377" s="191" t="str">
        <f>'1_BD questio brut'!U377</f>
        <v>6</v>
      </c>
      <c r="X377" s="191" t="str">
        <f>'1_BD questio brut'!V377</f>
        <v>Stères</v>
      </c>
      <c r="Y377" s="191" t="str">
        <f>'1_BD questio brut'!W377</f>
        <v>1</v>
      </c>
      <c r="Z377" s="191" t="str">
        <f>'1_BD questio brut'!X377</f>
        <v/>
      </c>
      <c r="AA377" s="191" t="str">
        <f t="array" ref="AA377">INDEX('Données 1_BD questio'!C:C,MATCH('1_BD questio brut'!$Y$1&amp;'1_BD questio brut'!Y377,'Données 1_BD questio'!A:A&amp;'Données 1_BD questio'!B:B,0))</f>
        <v>RA2B</v>
      </c>
      <c r="AB377" s="191" t="str">
        <f>'1_BD questio brut'!Z377</f>
        <v>2</v>
      </c>
      <c r="AC377" s="191" t="str">
        <f>'1_BD questio brut'!AA377</f>
        <v>1 à 2 ans</v>
      </c>
      <c r="AD377" s="191" t="str">
        <f>'1_BD questio brut'!AB377</f>
        <v>Les deux</v>
      </c>
      <c r="AE377" s="191" t="str">
        <f t="array" ref="AE377">INDEX('Données 1_BD questio'!C:C,MATCH('1_BD questio brut'!$AC$1&amp;'1_BD questio brut'!AC377,'Données 1_BD questio'!A:A&amp;'Données 1_BD questio'!B:B,0))</f>
        <v>vous-même</v>
      </c>
      <c r="AF377" s="191" t="str">
        <f>'1_BD questio brut'!AD377</f>
        <v>1 fois par an</v>
      </c>
      <c r="AG377" s="191" t="str">
        <f>'1_BD questio brut'!AE377</f>
        <v/>
      </c>
      <c r="AH377" s="191" t="str">
        <f>'1_BD questio brut'!AF377</f>
        <v>Poêle</v>
      </c>
      <c r="AI377" s="191" t="str">
        <f>'1_BD questio brut'!AG377</f>
        <v>1</v>
      </c>
      <c r="AJ377" s="191" t="str">
        <f>'1_BD questio brut'!AH377</f>
        <v/>
      </c>
      <c r="AK377" s="191" t="str">
        <f>'1_BD questio brut'!AI377</f>
        <v>Chauffage de base</v>
      </c>
      <c r="AL377" s="191" t="str">
        <f>'1_BD questio brut'!AJ377</f>
        <v>Pas de réponse</v>
      </c>
      <c r="AM377" s="191" t="str">
        <f>'1_BD questio brut'!AK377</f>
        <v>1; 2; 4; 5</v>
      </c>
      <c r="AN377" s="191" t="str">
        <f>'1_BD questio brut'!AL377</f>
        <v/>
      </c>
      <c r="AO377" s="191" t="str">
        <f>'1_BD questio brut'!AM377</f>
        <v>5</v>
      </c>
      <c r="AP377" s="191" t="str">
        <f>'1_BD questio brut'!AN377</f>
        <v/>
      </c>
      <c r="AQ377" s="191" t="str">
        <f>'1_BD questio brut'!AO377</f>
        <v/>
      </c>
    </row>
    <row r="378" spans="1:43" ht="29" hidden="1">
      <c r="A378" s="98">
        <f>INDEX('3_BD instruction total'!A:A,MATCH(C378,'3_BD instruction total'!F:F,0))</f>
        <v>2022</v>
      </c>
      <c r="B378" s="98" t="str">
        <f>INDEX('3_BD instruction total'!C:C,MATCH(C378,'3_BD instruction total'!F:F,0))</f>
        <v>non</v>
      </c>
      <c r="C378" s="191" t="str">
        <f>'1_BD questio brut'!A378</f>
        <v>VRB0407</v>
      </c>
      <c r="D378" s="191" t="str">
        <f t="array" ref="D378">INDEX('Données 1_BD questio'!C:C,MATCH('1_BD questio brut'!$B$1&amp;'1_BD questio brut'!B378,'Données 1_BD questio'!A:A&amp;'Données 1_BD questio'!B:B,0))</f>
        <v>CAPV</v>
      </c>
      <c r="E378" s="191" t="str">
        <f t="array" ref="E378">INDEX('Données 1_BD questio'!C:C,MATCH('1_BD questio brut'!$C$1&amp;'1_BD questio brut'!C378,'Données 1_BD questio'!A:A&amp;'Données 1_BD questio'!B:B,0))</f>
        <v>Retraité</v>
      </c>
      <c r="F378" s="191" t="str">
        <f t="array" ref="F378">INDEX('Données 1_BD questio'!C:C,MATCH('1_BD questio brut'!$D$1&amp;'1_BD questio brut'!D378,'Données 1_BD questio'!A:A&amp;'Données 1_BD questio'!B:B,0))</f>
        <v>Pas de réponse</v>
      </c>
      <c r="G378" s="191" t="str">
        <f>'1_BD questio brut'!E378</f>
        <v>65 ans et plus</v>
      </c>
      <c r="H378" s="191">
        <f>'1_BD questio brut'!F378</f>
        <v>1</v>
      </c>
      <c r="I378" s="191" t="str">
        <f>'1_BD questio brut'!G378</f>
        <v>Moins de 20 000 €</v>
      </c>
      <c r="J378" s="191" t="str">
        <f t="array" ref="J378">INDEX('Données 1_BD questio'!C:C,MATCH('1_BD questio brut'!$H$1&amp;'1_BD questio brut'!H378,'Données 1_BD questio'!A:A&amp;'Données 1_BD questio'!B:B,0))</f>
        <v>Maison avec jardin</v>
      </c>
      <c r="K378" s="191">
        <f>'1_BD questio brut'!I378</f>
        <v>150</v>
      </c>
      <c r="L378" s="191" t="str">
        <f>'1_BD questio brut'!J378</f>
        <v>1975-1990</v>
      </c>
      <c r="M378" s="191" t="str">
        <f>'1_BD questio brut'!K378</f>
        <v>4</v>
      </c>
      <c r="N378" s="191" t="str">
        <f>'1_BD questio brut'!L378</f>
        <v>Pas de réponse</v>
      </c>
      <c r="O378" s="191" t="str">
        <f>'1_BD questio brut'!M378</f>
        <v>Propriétaire occupant</v>
      </c>
      <c r="P378" s="191" t="str">
        <f>'1_BD questio brut'!N378</f>
        <v>Insert / foyer fermé</v>
      </c>
      <c r="Q378" s="191" t="str">
        <f>'1_BD questio brut'!O378</f>
        <v>Chauffage de base</v>
      </c>
      <c r="R378" s="191" t="str">
        <f>'1_BD questio brut'!P378</f>
        <v>Tous les jours</v>
      </c>
      <c r="S378" s="191" t="str">
        <f>'1_BD questio brut'!Q378</f>
        <v>1; 4; 5</v>
      </c>
      <c r="T378" s="191" t="str">
        <f>'1_BD questio brut'!R378</f>
        <v>Avant 1990</v>
      </c>
      <c r="U378" s="191" t="str">
        <f>'1_BD questio brut'!S378</f>
        <v>Bois bûche</v>
      </c>
      <c r="V378" s="191" t="str">
        <f>'1_BD questio brut'!T378</f>
        <v/>
      </c>
      <c r="W378" s="191" t="str">
        <f>'1_BD questio brut'!U378</f>
        <v>6</v>
      </c>
      <c r="X378" s="191" t="str">
        <f>'1_BD questio brut'!V378</f>
        <v>Stères</v>
      </c>
      <c r="Y378" s="191" t="str">
        <f>'1_BD questio brut'!W378</f>
        <v>2</v>
      </c>
      <c r="Z378" s="191" t="str">
        <f>'1_BD questio brut'!X378</f>
        <v/>
      </c>
      <c r="AA378" s="191" t="str">
        <f t="array" ref="AA378">INDEX('Données 1_BD questio'!C:C,MATCH('1_BD questio brut'!$Y$1&amp;'1_BD questio brut'!Y378,'Données 1_BD questio'!A:A&amp;'Données 1_BD questio'!B:B,0))</f>
        <v>Rhône-Alpes hors RA2B</v>
      </c>
      <c r="AB378" s="191" t="str">
        <f>'1_BD questio brut'!Z378</f>
        <v>2</v>
      </c>
      <c r="AC378" s="191" t="str">
        <f>'1_BD questio brut'!AA378</f>
        <v>&gt; 2 ans</v>
      </c>
      <c r="AD378" s="191" t="str">
        <f>'1_BD questio brut'!AB378</f>
        <v>Feuillus</v>
      </c>
      <c r="AE378" s="191" t="str">
        <f t="array" ref="AE378">INDEX('Données 1_BD questio'!C:C,MATCH('1_BD questio brut'!$AC$1&amp;'1_BD questio brut'!AC378,'Données 1_BD questio'!A:A&amp;'Données 1_BD questio'!B:B,0))</f>
        <v>vous-même</v>
      </c>
      <c r="AF378" s="191" t="str">
        <f>'1_BD questio brut'!AD378</f>
        <v>2 fois par an</v>
      </c>
      <c r="AG378" s="191" t="str">
        <f>'1_BD questio brut'!AE378</f>
        <v/>
      </c>
      <c r="AH378" s="191" t="str">
        <f>'1_BD questio brut'!AF378</f>
        <v>Poêle</v>
      </c>
      <c r="AI378" s="191" t="str">
        <f>'1_BD questio brut'!AG378</f>
        <v>2</v>
      </c>
      <c r="AJ378" s="191" t="str">
        <f>'1_BD questio brut'!AH378</f>
        <v/>
      </c>
      <c r="AK378" s="191" t="str">
        <f>'1_BD questio brut'!AI378</f>
        <v>Chauffage de base</v>
      </c>
      <c r="AL378" s="191" t="str">
        <f>'1_BD questio brut'!AJ378</f>
        <v>Pas de réponse</v>
      </c>
      <c r="AM378" s="191" t="str">
        <f>'1_BD questio brut'!AK378</f>
        <v>5</v>
      </c>
      <c r="AN378" s="191" t="str">
        <f>'1_BD questio brut'!AL378</f>
        <v/>
      </c>
      <c r="AO378" s="191" t="str">
        <f>'1_BD questio brut'!AM378</f>
        <v>5</v>
      </c>
      <c r="AP378" s="191" t="str">
        <f>'1_BD questio brut'!AN378</f>
        <v/>
      </c>
      <c r="AQ378" s="191" t="str">
        <f>'1_BD questio brut'!AO378</f>
        <v/>
      </c>
    </row>
    <row r="379" spans="1:43" ht="29" hidden="1">
      <c r="A379" s="98">
        <f>INDEX('3_BD instruction total'!A:A,MATCH(C379,'3_BD instruction total'!F:F,0))</f>
        <v>2022</v>
      </c>
      <c r="B379" s="98" t="str">
        <f>INDEX('3_BD instruction total'!C:C,MATCH(C379,'3_BD instruction total'!F:F,0))</f>
        <v>non</v>
      </c>
      <c r="C379" s="191" t="str">
        <f>'1_BD questio brut'!A379</f>
        <v>VRB0408</v>
      </c>
      <c r="D379" s="191" t="str">
        <f t="array" ref="D379">INDEX('Données 1_BD questio'!C:C,MATCH('1_BD questio brut'!$B$1&amp;'1_BD questio brut'!B379,'Données 1_BD questio'!A:A&amp;'Données 1_BD questio'!B:B,0))</f>
        <v>CAPV</v>
      </c>
      <c r="E379" s="191" t="str">
        <f t="array" ref="E379">INDEX('Données 1_BD questio'!C:C,MATCH('1_BD questio brut'!$C$1&amp;'1_BD questio brut'!C379,'Données 1_BD questio'!A:A&amp;'Données 1_BD questio'!B:B,0))</f>
        <v>Cadre</v>
      </c>
      <c r="F379" s="191" t="str">
        <f t="array" ref="F379">INDEX('Données 1_BD questio'!C:C,MATCH('1_BD questio brut'!$D$1&amp;'1_BD questio brut'!D379,'Données 1_BD questio'!A:A&amp;'Données 1_BD questio'!B:B,0))</f>
        <v>Employé</v>
      </c>
      <c r="G379" s="191" t="str">
        <f>'1_BD questio brut'!E379</f>
        <v>35 à 49 ans</v>
      </c>
      <c r="H379" s="191">
        <f>'1_BD questio brut'!F379</f>
        <v>5</v>
      </c>
      <c r="I379" s="191" t="str">
        <f>'1_BD questio brut'!G379</f>
        <v>60 000 à 70 000 €</v>
      </c>
      <c r="J379" s="191" t="str">
        <f t="array" ref="J379">INDEX('Données 1_BD questio'!C:C,MATCH('1_BD questio brut'!$H$1&amp;'1_BD questio brut'!H379,'Données 1_BD questio'!A:A&amp;'Données 1_BD questio'!B:B,0))</f>
        <v>Maison avec jardin</v>
      </c>
      <c r="K379" s="191">
        <f>'1_BD questio brut'!I379</f>
        <v>128</v>
      </c>
      <c r="L379" s="191" t="str">
        <f>'1_BD questio brut'!J379</f>
        <v>1975-1990</v>
      </c>
      <c r="M379" s="191" t="str">
        <f>'1_BD questio brut'!K379</f>
        <v>4</v>
      </c>
      <c r="N379" s="191" t="str">
        <f>'1_BD questio brut'!L379</f>
        <v>Pas de réponse</v>
      </c>
      <c r="O379" s="191" t="str">
        <f>'1_BD questio brut'!M379</f>
        <v>Propriétaire occupant</v>
      </c>
      <c r="P379" s="191" t="str">
        <f>'1_BD questio brut'!N379</f>
        <v>Insert / foyer fermé</v>
      </c>
      <c r="Q379" s="191" t="str">
        <f>'1_BD questio brut'!O379</f>
        <v>Chauffage de base</v>
      </c>
      <c r="R379" s="191" t="str">
        <f>'1_BD questio brut'!P379</f>
        <v>Tous les jours</v>
      </c>
      <c r="S379" s="191" t="str">
        <f>'1_BD questio brut'!Q379</f>
        <v>4</v>
      </c>
      <c r="T379" s="191" t="str">
        <f>'1_BD questio brut'!R379</f>
        <v>1996-2002</v>
      </c>
      <c r="U379" s="191" t="str">
        <f>'1_BD questio brut'!S379</f>
        <v>Bois bûche</v>
      </c>
      <c r="V379" s="191" t="str">
        <f>'1_BD questio brut'!T379</f>
        <v/>
      </c>
      <c r="W379" s="191" t="str">
        <f>'1_BD questio brut'!U379</f>
        <v>4,8</v>
      </c>
      <c r="X379" s="191" t="str">
        <f>'1_BD questio brut'!V379</f>
        <v>M3</v>
      </c>
      <c r="Y379" s="191" t="str">
        <f>'1_BD questio brut'!W379</f>
        <v>2</v>
      </c>
      <c r="Z379" s="191" t="str">
        <f>'1_BD questio brut'!X379</f>
        <v/>
      </c>
      <c r="AA379" s="191" t="str">
        <f t="array" ref="AA379">INDEX('Données 1_BD questio'!C:C,MATCH('1_BD questio brut'!$Y$1&amp;'1_BD questio brut'!Y379,'Données 1_BD questio'!A:A&amp;'Données 1_BD questio'!B:B,0))</f>
        <v>RA2B</v>
      </c>
      <c r="AB379" s="191" t="str">
        <f>'1_BD questio brut'!Z379</f>
        <v>2</v>
      </c>
      <c r="AC379" s="191" t="str">
        <f>'1_BD questio brut'!AA379</f>
        <v>1 à 2 ans</v>
      </c>
      <c r="AD379" s="191" t="str">
        <f>'1_BD questio brut'!AB379</f>
        <v>Pas de réponse</v>
      </c>
      <c r="AE379" s="191" t="str">
        <f t="array" ref="AE379">INDEX('Données 1_BD questio'!C:C,MATCH('1_BD questio brut'!$AC$1&amp;'1_BD questio brut'!AC379,'Données 1_BD questio'!A:A&amp;'Données 1_BD questio'!B:B,0))</f>
        <v>vous-même</v>
      </c>
      <c r="AF379" s="191" t="str">
        <f>'1_BD questio brut'!AD379</f>
        <v>1 fois par an</v>
      </c>
      <c r="AG379" s="191" t="str">
        <f>'1_BD questio brut'!AE379</f>
        <v/>
      </c>
      <c r="AH379" s="191" t="str">
        <f>'1_BD questio brut'!AF379</f>
        <v>Poêle</v>
      </c>
      <c r="AI379" s="191" t="str">
        <f>'1_BD questio brut'!AG379</f>
        <v>2</v>
      </c>
      <c r="AJ379" s="191" t="str">
        <f>'1_BD questio brut'!AH379</f>
        <v/>
      </c>
      <c r="AK379" s="191" t="str">
        <f>'1_BD questio brut'!AI379</f>
        <v>Chauffage de base</v>
      </c>
      <c r="AL379" s="191" t="str">
        <f>'1_BD questio brut'!AJ379</f>
        <v>Pas de réponse</v>
      </c>
      <c r="AM379" s="191" t="str">
        <f>'1_BD questio brut'!AK379</f>
        <v>2; 4; 5</v>
      </c>
      <c r="AN379" s="191" t="str">
        <f>'1_BD questio brut'!AL379</f>
        <v/>
      </c>
      <c r="AO379" s="191" t="str">
        <f>'1_BD questio brut'!AM379</f>
        <v>2; 5; 7</v>
      </c>
      <c r="AP379" s="191" t="str">
        <f>'1_BD questio brut'!AN379</f>
        <v/>
      </c>
      <c r="AQ379" s="191" t="str">
        <f>'1_BD questio brut'!AO379</f>
        <v/>
      </c>
    </row>
    <row r="380" spans="1:43" ht="43.5" hidden="1">
      <c r="A380" s="98">
        <f>INDEX('3_BD instruction total'!A:A,MATCH(C380,'3_BD instruction total'!F:F,0))</f>
        <v>2022</v>
      </c>
      <c r="B380" s="98" t="str">
        <f>INDEX('3_BD instruction total'!C:C,MATCH(C380,'3_BD instruction total'!F:F,0))</f>
        <v>non</v>
      </c>
      <c r="C380" s="191" t="str">
        <f>'1_BD questio brut'!A380</f>
        <v>VRB0409</v>
      </c>
      <c r="D380" s="191" t="str">
        <f t="array" ref="D380">INDEX('Données 1_BD questio'!C:C,MATCH('1_BD questio brut'!$B$1&amp;'1_BD questio brut'!B380,'Données 1_BD questio'!A:A&amp;'Données 1_BD questio'!B:B,0))</f>
        <v>CAPV</v>
      </c>
      <c r="E380" s="191" t="str">
        <f t="array" ref="E380">INDEX('Données 1_BD questio'!C:C,MATCH('1_BD questio brut'!$C$1&amp;'1_BD questio brut'!C380,'Données 1_BD questio'!A:A&amp;'Données 1_BD questio'!B:B,0))</f>
        <v>Retraité</v>
      </c>
      <c r="F380" s="191" t="str">
        <f t="array" ref="F380">INDEX('Données 1_BD questio'!C:C,MATCH('1_BD questio brut'!$D$1&amp;'1_BD questio brut'!D380,'Données 1_BD questio'!A:A&amp;'Données 1_BD questio'!B:B,0))</f>
        <v>Retraité</v>
      </c>
      <c r="G380" s="191" t="str">
        <f>'1_BD questio brut'!E380</f>
        <v>65 ans et plus</v>
      </c>
      <c r="H380" s="191">
        <f>'1_BD questio brut'!F380</f>
        <v>2</v>
      </c>
      <c r="I380" s="191" t="str">
        <f>'1_BD questio brut'!G380</f>
        <v>30 000 à 40 000 €</v>
      </c>
      <c r="J380" s="191" t="str">
        <f t="array" ref="J380">INDEX('Données 1_BD questio'!C:C,MATCH('1_BD questio brut'!$H$1&amp;'1_BD questio brut'!H380,'Données 1_BD questio'!A:A&amp;'Données 1_BD questio'!B:B,0))</f>
        <v>Maison avec jardin</v>
      </c>
      <c r="K380" s="191">
        <f>'1_BD questio brut'!I380</f>
        <v>357</v>
      </c>
      <c r="L380" s="191" t="str">
        <f>'1_BD questio brut'!J380</f>
        <v>1975-1990</v>
      </c>
      <c r="M380" s="191" t="str">
        <f>'1_BD questio brut'!K380</f>
        <v>6</v>
      </c>
      <c r="N380" s="191" t="str">
        <f>'1_BD questio brut'!L380</f>
        <v>Pas de réponse</v>
      </c>
      <c r="O380" s="191" t="str">
        <f>'1_BD questio brut'!M380</f>
        <v>Propriétaire occupant</v>
      </c>
      <c r="P380" s="191" t="str">
        <f>'1_BD questio brut'!N380</f>
        <v>Foyer ouvert</v>
      </c>
      <c r="Q380" s="191" t="str">
        <f>'1_BD questio brut'!O380</f>
        <v>Chauffage de base</v>
      </c>
      <c r="R380" s="191" t="str">
        <f>'1_BD questio brut'!P380</f>
        <v>Tous les jours</v>
      </c>
      <c r="S380" s="191" t="str">
        <f>'1_BD questio brut'!Q380</f>
        <v>1; 2; 3; 4; 5; 6</v>
      </c>
      <c r="T380" s="191" t="str">
        <f>'1_BD questio brut'!R380</f>
        <v>Avant 1990</v>
      </c>
      <c r="U380" s="191" t="str">
        <f>'1_BD questio brut'!S380</f>
        <v>Bois bûche</v>
      </c>
      <c r="V380" s="191" t="str">
        <f>'1_BD questio brut'!T380</f>
        <v/>
      </c>
      <c r="W380" s="191" t="str">
        <f>'1_BD questio brut'!U380</f>
        <v>15</v>
      </c>
      <c r="X380" s="191" t="str">
        <f>'1_BD questio brut'!V380</f>
        <v>stère</v>
      </c>
      <c r="Y380" s="191" t="str">
        <f>'1_BD questio brut'!W380</f>
        <v>1</v>
      </c>
      <c r="Z380" s="191" t="str">
        <f>'1_BD questio brut'!X380</f>
        <v/>
      </c>
      <c r="AA380" s="191" t="str">
        <f t="array" ref="AA380">INDEX('Données 1_BD questio'!C:C,MATCH('1_BD questio brut'!$Y$1&amp;'1_BD questio brut'!Y380,'Données 1_BD questio'!A:A&amp;'Données 1_BD questio'!B:B,0))</f>
        <v>Pas de réponse</v>
      </c>
      <c r="AB380" s="191" t="str">
        <f>'1_BD questio brut'!Z380</f>
        <v>2</v>
      </c>
      <c r="AC380" s="191" t="str">
        <f>'1_BD questio brut'!AA380</f>
        <v>1 à 2 ans</v>
      </c>
      <c r="AD380" s="191" t="str">
        <f>'1_BD questio brut'!AB380</f>
        <v>Feuillus</v>
      </c>
      <c r="AE380" s="191" t="str">
        <f t="array" ref="AE380">INDEX('Données 1_BD questio'!C:C,MATCH('1_BD questio brut'!$AC$1&amp;'1_BD questio brut'!AC380,'Données 1_BD questio'!A:A&amp;'Données 1_BD questio'!B:B,0))</f>
        <v>un professionnel</v>
      </c>
      <c r="AF380" s="191" t="str">
        <f>'1_BD questio brut'!AD380</f>
        <v>1 fois par an</v>
      </c>
      <c r="AG380" s="191" t="str">
        <f>'1_BD questio brut'!AE380</f>
        <v/>
      </c>
      <c r="AH380" s="191" t="str">
        <f>'1_BD questio brut'!AF380</f>
        <v>Insert cheminée</v>
      </c>
      <c r="AI380" s="191" t="str">
        <f>'1_BD questio brut'!AG380</f>
        <v>1</v>
      </c>
      <c r="AJ380" s="191" t="str">
        <f>'1_BD questio brut'!AH380</f>
        <v/>
      </c>
      <c r="AK380" s="191" t="str">
        <f>'1_BD questio brut'!AI380</f>
        <v>Chauffage de base</v>
      </c>
      <c r="AL380" s="191" t="str">
        <f>'1_BD questio brut'!AJ380</f>
        <v>Pas de réponse</v>
      </c>
      <c r="AM380" s="191" t="str">
        <f>'1_BD questio brut'!AK380</f>
        <v>1; 2; 4; 5</v>
      </c>
      <c r="AN380" s="191" t="str">
        <f>'1_BD questio brut'!AL380</f>
        <v/>
      </c>
      <c r="AO380" s="191" t="str">
        <f>'1_BD questio brut'!AM380</f>
        <v>5</v>
      </c>
      <c r="AP380" s="191" t="str">
        <f>'1_BD questio brut'!AN380</f>
        <v/>
      </c>
      <c r="AQ380" s="191" t="str">
        <f>'1_BD questio brut'!AO380</f>
        <v/>
      </c>
    </row>
    <row r="381" spans="1:43" ht="29" hidden="1">
      <c r="A381" s="98">
        <f>INDEX('3_BD instruction total'!A:A,MATCH(C381,'3_BD instruction total'!F:F,0))</f>
        <v>2022</v>
      </c>
      <c r="B381" s="98" t="str">
        <f>INDEX('3_BD instruction total'!C:C,MATCH(C381,'3_BD instruction total'!F:F,0))</f>
        <v>non</v>
      </c>
      <c r="C381" s="191" t="str">
        <f>'1_BD questio brut'!A381</f>
        <v>VRB0410</v>
      </c>
      <c r="D381" s="191" t="str">
        <f t="array" ref="D381">INDEX('Données 1_BD questio'!C:C,MATCH('1_BD questio brut'!$B$1&amp;'1_BD questio brut'!B381,'Données 1_BD questio'!A:A&amp;'Données 1_BD questio'!B:B,0))</f>
        <v>CAPV</v>
      </c>
      <c r="E381" s="191" t="str">
        <f t="array" ref="E381">INDEX('Données 1_BD questio'!C:C,MATCH('1_BD questio brut'!$C$1&amp;'1_BD questio brut'!C381,'Données 1_BD questio'!A:A&amp;'Données 1_BD questio'!B:B,0))</f>
        <v>Artisan,commerçant,chef d'entreprise</v>
      </c>
      <c r="F381" s="191" t="str">
        <f t="array" ref="F381">INDEX('Données 1_BD questio'!C:C,MATCH('1_BD questio brut'!$D$1&amp;'1_BD questio brut'!D381,'Données 1_BD questio'!A:A&amp;'Données 1_BD questio'!B:B,0))</f>
        <v>Pas de réponse</v>
      </c>
      <c r="G381" s="191" t="str">
        <f>'1_BD questio brut'!E381</f>
        <v>50 à 64 ans</v>
      </c>
      <c r="H381" s="191">
        <f>'1_BD questio brut'!F381</f>
        <v>1</v>
      </c>
      <c r="I381" s="191" t="str">
        <f>'1_BD questio brut'!G381</f>
        <v>30 000 à 40 000 €</v>
      </c>
      <c r="J381" s="191" t="str">
        <f t="array" ref="J381">INDEX('Données 1_BD questio'!C:C,MATCH('1_BD questio brut'!$H$1&amp;'1_BD questio brut'!H381,'Données 1_BD questio'!A:A&amp;'Données 1_BD questio'!B:B,0))</f>
        <v>Maison avec jardin</v>
      </c>
      <c r="K381" s="191">
        <f>'1_BD questio brut'!I381</f>
        <v>140</v>
      </c>
      <c r="L381" s="191" t="str">
        <f>'1_BD questio brut'!J381</f>
        <v>1949-1975</v>
      </c>
      <c r="M381" s="191" t="str">
        <f>'1_BD questio brut'!K381</f>
        <v>1</v>
      </c>
      <c r="N381" s="191" t="str">
        <f>'1_BD questio brut'!L381</f>
        <v>Pas de réponse</v>
      </c>
      <c r="O381" s="191" t="str">
        <f>'1_BD questio brut'!M381</f>
        <v>Propriétaire occupant</v>
      </c>
      <c r="P381" s="191" t="str">
        <f>'1_BD questio brut'!N381</f>
        <v>Insert / foyer fermé</v>
      </c>
      <c r="Q381" s="191" t="str">
        <f>'1_BD questio brut'!O381</f>
        <v>Chauffage de base</v>
      </c>
      <c r="R381" s="191" t="str">
        <f>'1_BD questio brut'!P381</f>
        <v>Tous les jours</v>
      </c>
      <c r="S381" s="191" t="str">
        <f>'1_BD questio brut'!Q381</f>
        <v>4; 5</v>
      </c>
      <c r="T381" s="191" t="str">
        <f>'1_BD questio brut'!R381</f>
        <v>1996-2002</v>
      </c>
      <c r="U381" s="191" t="str">
        <f>'1_BD questio brut'!S381</f>
        <v>Bois bûche</v>
      </c>
      <c r="V381" s="191" t="str">
        <f>'1_BD questio brut'!T381</f>
        <v/>
      </c>
      <c r="W381" s="191" t="str">
        <f>'1_BD questio brut'!U381</f>
        <v>8</v>
      </c>
      <c r="X381" s="191" t="str">
        <f>'1_BD questio brut'!V381</f>
        <v>Stères</v>
      </c>
      <c r="Y381" s="191" t="str">
        <f>'1_BD questio brut'!W381</f>
        <v>1</v>
      </c>
      <c r="Z381" s="191" t="str">
        <f>'1_BD questio brut'!X381</f>
        <v/>
      </c>
      <c r="AA381" s="191" t="str">
        <f t="array" ref="AA381">INDEX('Données 1_BD questio'!C:C,MATCH('1_BD questio brut'!$Y$1&amp;'1_BD questio brut'!Y381,'Données 1_BD questio'!A:A&amp;'Données 1_BD questio'!B:B,0))</f>
        <v>Ne sait pas</v>
      </c>
      <c r="AB381" s="191" t="str">
        <f>'1_BD questio brut'!Z381</f>
        <v>2</v>
      </c>
      <c r="AC381" s="191" t="str">
        <f>'1_BD questio brut'!AA381</f>
        <v>&gt; 2 ans</v>
      </c>
      <c r="AD381" s="191" t="str">
        <f>'1_BD questio brut'!AB381</f>
        <v>Les deux</v>
      </c>
      <c r="AE381" s="191" t="str">
        <f t="array" ref="AE381">INDEX('Données 1_BD questio'!C:C,MATCH('1_BD questio brut'!$AC$1&amp;'1_BD questio brut'!AC381,'Données 1_BD questio'!A:A&amp;'Données 1_BD questio'!B:B,0))</f>
        <v>vous-même</v>
      </c>
      <c r="AF381" s="191" t="str">
        <f>'1_BD questio brut'!AD381</f>
        <v>2 fois par an</v>
      </c>
      <c r="AG381" s="191" t="str">
        <f>'1_BD questio brut'!AE381</f>
        <v/>
      </c>
      <c r="AH381" s="191" t="str">
        <f>'1_BD questio brut'!AF381</f>
        <v>Insert cheminée</v>
      </c>
      <c r="AI381" s="191" t="str">
        <f>'1_BD questio brut'!AG381</f>
        <v>1</v>
      </c>
      <c r="AJ381" s="191" t="str">
        <f>'1_BD questio brut'!AH381</f>
        <v/>
      </c>
      <c r="AK381" s="191" t="str">
        <f>'1_BD questio brut'!AI381</f>
        <v>Chauffage de base</v>
      </c>
      <c r="AL381" s="191" t="str">
        <f>'1_BD questio brut'!AJ381</f>
        <v>Pas de réponse</v>
      </c>
      <c r="AM381" s="191" t="str">
        <f>'1_BD questio brut'!AK381</f>
        <v>1; 2; 4; 5</v>
      </c>
      <c r="AN381" s="191" t="str">
        <f>'1_BD questio brut'!AL381</f>
        <v/>
      </c>
      <c r="AO381" s="191" t="str">
        <f>'1_BD questio brut'!AM381</f>
        <v>5</v>
      </c>
      <c r="AP381" s="191" t="str">
        <f>'1_BD questio brut'!AN381</f>
        <v/>
      </c>
      <c r="AQ381" s="191" t="str">
        <f>'1_BD questio brut'!AO381</f>
        <v/>
      </c>
    </row>
    <row r="382" spans="1:43" ht="29" hidden="1">
      <c r="A382" s="98">
        <f>INDEX('3_BD instruction total'!A:A,MATCH(C382,'3_BD instruction total'!F:F,0))</f>
        <v>2022</v>
      </c>
      <c r="B382" s="98" t="str">
        <f>INDEX('3_BD instruction total'!C:C,MATCH(C382,'3_BD instruction total'!F:F,0))</f>
        <v>non</v>
      </c>
      <c r="C382" s="191" t="str">
        <f>'1_BD questio brut'!A382</f>
        <v>VRB0411</v>
      </c>
      <c r="D382" s="191" t="str">
        <f t="array" ref="D382">INDEX('Données 1_BD questio'!C:C,MATCH('1_BD questio brut'!$B$1&amp;'1_BD questio brut'!B382,'Données 1_BD questio'!A:A&amp;'Données 1_BD questio'!B:B,0))</f>
        <v>CAPV</v>
      </c>
      <c r="E382" s="191" t="str">
        <f t="array" ref="E382">INDEX('Données 1_BD questio'!C:C,MATCH('1_BD questio brut'!$C$1&amp;'1_BD questio brut'!C382,'Données 1_BD questio'!A:A&amp;'Données 1_BD questio'!B:B,0))</f>
        <v>Cadre</v>
      </c>
      <c r="F382" s="191" t="str">
        <f t="array" ref="F382">INDEX('Données 1_BD questio'!C:C,MATCH('1_BD questio brut'!$D$1&amp;'1_BD questio brut'!D382,'Données 1_BD questio'!A:A&amp;'Données 1_BD questio'!B:B,0))</f>
        <v>Autre,sans activité</v>
      </c>
      <c r="G382" s="191" t="str">
        <f>'1_BD questio brut'!E382</f>
        <v>50 à 64 ans</v>
      </c>
      <c r="H382" s="191">
        <f>'1_BD questio brut'!F382</f>
        <v>2</v>
      </c>
      <c r="I382" s="191" t="str">
        <f>'1_BD questio brut'!G382</f>
        <v>50 000 à 60 000 €</v>
      </c>
      <c r="J382" s="191" t="str">
        <f t="array" ref="J382">INDEX('Données 1_BD questio'!C:C,MATCH('1_BD questio brut'!$H$1&amp;'1_BD questio brut'!H382,'Données 1_BD questio'!A:A&amp;'Données 1_BD questio'!B:B,0))</f>
        <v>Maison avec jardin</v>
      </c>
      <c r="K382" s="191">
        <f>'1_BD questio brut'!I382</f>
        <v>140</v>
      </c>
      <c r="L382" s="191" t="str">
        <f>'1_BD questio brut'!J382</f>
        <v>1990-2005</v>
      </c>
      <c r="M382" s="191" t="str">
        <f>'1_BD questio brut'!K382</f>
        <v>6</v>
      </c>
      <c r="N382" s="191" t="str">
        <f>'1_BD questio brut'!L382</f>
        <v>Pas de réponse</v>
      </c>
      <c r="O382" s="191" t="str">
        <f>'1_BD questio brut'!M382</f>
        <v>Propriétaire occupant</v>
      </c>
      <c r="P382" s="191" t="str">
        <f>'1_BD questio brut'!N382</f>
        <v>Poêle</v>
      </c>
      <c r="Q382" s="191" t="str">
        <f>'1_BD questio brut'!O382</f>
        <v>Chauffage de base</v>
      </c>
      <c r="R382" s="191" t="str">
        <f>'1_BD questio brut'!P382</f>
        <v>Tous les jours</v>
      </c>
      <c r="S382" s="191" t="str">
        <f>'1_BD questio brut'!Q382</f>
        <v>1; 2; 3; 4; 5; 6</v>
      </c>
      <c r="T382" s="191" t="str">
        <f>'1_BD questio brut'!R382</f>
        <v>1996-2002</v>
      </c>
      <c r="U382" s="191" t="str">
        <f>'1_BD questio brut'!S382</f>
        <v>Bois bûche</v>
      </c>
      <c r="V382" s="191" t="str">
        <f>'1_BD questio brut'!T382</f>
        <v/>
      </c>
      <c r="W382" s="191" t="str">
        <f>'1_BD questio brut'!U382</f>
        <v>8</v>
      </c>
      <c r="X382" s="191" t="str">
        <f>'1_BD questio brut'!V382</f>
        <v>Stère</v>
      </c>
      <c r="Y382" s="191" t="str">
        <f>'1_BD questio brut'!W382</f>
        <v>2</v>
      </c>
      <c r="Z382" s="191" t="str">
        <f>'1_BD questio brut'!X382</f>
        <v/>
      </c>
      <c r="AA382" s="191" t="str">
        <f t="array" ref="AA382">INDEX('Données 1_BD questio'!C:C,MATCH('1_BD questio brut'!$Y$1&amp;'1_BD questio brut'!Y382,'Données 1_BD questio'!A:A&amp;'Données 1_BD questio'!B:B,0))</f>
        <v>RA2B</v>
      </c>
      <c r="AB382" s="191" t="str">
        <f>'1_BD questio brut'!Z382</f>
        <v>2</v>
      </c>
      <c r="AC382" s="191" t="str">
        <f>'1_BD questio brut'!AA382</f>
        <v>1 à 2 ans</v>
      </c>
      <c r="AD382" s="191" t="str">
        <f>'1_BD questio brut'!AB382</f>
        <v>Feuillus</v>
      </c>
      <c r="AE382" s="191" t="str">
        <f t="array" ref="AE382">INDEX('Données 1_BD questio'!C:C,MATCH('1_BD questio brut'!$AC$1&amp;'1_BD questio brut'!AC382,'Données 1_BD questio'!A:A&amp;'Données 1_BD questio'!B:B,0))</f>
        <v>vous-même</v>
      </c>
      <c r="AF382" s="191" t="str">
        <f>'1_BD questio brut'!AD382</f>
        <v>2 fois par an</v>
      </c>
      <c r="AG382" s="191" t="str">
        <f>'1_BD questio brut'!AE382</f>
        <v/>
      </c>
      <c r="AH382" s="191" t="str">
        <f>'1_BD questio brut'!AF382</f>
        <v>Poêle</v>
      </c>
      <c r="AI382" s="191" t="str">
        <f>'1_BD questio brut'!AG382</f>
        <v>2</v>
      </c>
      <c r="AJ382" s="191" t="str">
        <f>'1_BD questio brut'!AH382</f>
        <v/>
      </c>
      <c r="AK382" s="191" t="str">
        <f>'1_BD questio brut'!AI382</f>
        <v>Chauffage de base</v>
      </c>
      <c r="AL382" s="191" t="str">
        <f>'1_BD questio brut'!AJ382</f>
        <v>Pas de réponse</v>
      </c>
      <c r="AM382" s="191" t="str">
        <f>'1_BD questio brut'!AK382</f>
        <v>1; 2; 4; 5</v>
      </c>
      <c r="AN382" s="191" t="str">
        <f>'1_BD questio brut'!AL382</f>
        <v/>
      </c>
      <c r="AO382" s="191" t="str">
        <f>'1_BD questio brut'!AM382</f>
        <v>5</v>
      </c>
      <c r="AP382" s="191" t="str">
        <f>'1_BD questio brut'!AN382</f>
        <v/>
      </c>
      <c r="AQ382" s="191" t="str">
        <f>'1_BD questio brut'!AO382</f>
        <v/>
      </c>
    </row>
    <row r="383" spans="1:43" ht="43.5" hidden="1">
      <c r="A383" s="98">
        <f>INDEX('3_BD instruction total'!A:A,MATCH(C383,'3_BD instruction total'!F:F,0))</f>
        <v>2022</v>
      </c>
      <c r="B383" s="98" t="str">
        <f>INDEX('3_BD instruction total'!C:C,MATCH(C383,'3_BD instruction total'!F:F,0))</f>
        <v>non</v>
      </c>
      <c r="C383" s="191" t="str">
        <f>'1_BD questio brut'!A383</f>
        <v>VRB0412</v>
      </c>
      <c r="D383" s="191" t="str">
        <f t="array" ref="D383">INDEX('Données 1_BD questio'!C:C,MATCH('1_BD questio brut'!$B$1&amp;'1_BD questio brut'!B383,'Données 1_BD questio'!A:A&amp;'Données 1_BD questio'!B:B,0))</f>
        <v>CAPV</v>
      </c>
      <c r="E383" s="191" t="str">
        <f t="array" ref="E383">INDEX('Données 1_BD questio'!C:C,MATCH('1_BD questio brut'!$C$1&amp;'1_BD questio brut'!C383,'Données 1_BD questio'!A:A&amp;'Données 1_BD questio'!B:B,0))</f>
        <v>Cadre</v>
      </c>
      <c r="F383" s="191" t="str">
        <f t="array" ref="F383">INDEX('Données 1_BD questio'!C:C,MATCH('1_BD questio brut'!$D$1&amp;'1_BD questio brut'!D383,'Données 1_BD questio'!A:A&amp;'Données 1_BD questio'!B:B,0))</f>
        <v>Autre,sans activité</v>
      </c>
      <c r="G383" s="191" t="str">
        <f>'1_BD questio brut'!E383</f>
        <v>50 à 64 ans</v>
      </c>
      <c r="H383" s="191">
        <f>'1_BD questio brut'!F383</f>
        <v>2</v>
      </c>
      <c r="I383" s="191" t="str">
        <f>'1_BD questio brut'!G383</f>
        <v>70 000 à 80 000 €</v>
      </c>
      <c r="J383" s="191" t="str">
        <f t="array" ref="J383">INDEX('Données 1_BD questio'!C:C,MATCH('1_BD questio brut'!$H$1&amp;'1_BD questio brut'!H383,'Données 1_BD questio'!A:A&amp;'Données 1_BD questio'!B:B,0))</f>
        <v>Maison avec jardin</v>
      </c>
      <c r="K383" s="191">
        <f>'1_BD questio brut'!I383</f>
        <v>90</v>
      </c>
      <c r="L383" s="191" t="str">
        <f>'1_BD questio brut'!J383</f>
        <v>1990-2005</v>
      </c>
      <c r="M383" s="191" t="str">
        <f>'1_BD questio brut'!K383</f>
        <v>6</v>
      </c>
      <c r="N383" s="191" t="str">
        <f>'1_BD questio brut'!L383</f>
        <v>Pas de réponse</v>
      </c>
      <c r="O383" s="191" t="str">
        <f>'1_BD questio brut'!M383</f>
        <v>Propriétaire occupant</v>
      </c>
      <c r="P383" s="191" t="str">
        <f>'1_BD questio brut'!N383</f>
        <v>Foyer ouvert</v>
      </c>
      <c r="Q383" s="191" t="str">
        <f>'1_BD questio brut'!O383</f>
        <v>Chauffage d'apoint</v>
      </c>
      <c r="R383" s="191" t="str">
        <f>'1_BD questio brut'!P383</f>
        <v>Tous les jours</v>
      </c>
      <c r="S383" s="191" t="str">
        <f>'1_BD questio brut'!Q383</f>
        <v>2; 3; 6</v>
      </c>
      <c r="T383" s="191" t="str">
        <f>'1_BD questio brut'!R383</f>
        <v>Avant 1990</v>
      </c>
      <c r="U383" s="191" t="str">
        <f>'1_BD questio brut'!S383</f>
        <v>Bois bûche</v>
      </c>
      <c r="V383" s="191" t="str">
        <f>'1_BD questio brut'!T383</f>
        <v/>
      </c>
      <c r="W383" s="191" t="str">
        <f>'1_BD questio brut'!U383</f>
        <v>4</v>
      </c>
      <c r="X383" s="191" t="str">
        <f>'1_BD questio brut'!V383</f>
        <v>Stère</v>
      </c>
      <c r="Y383" s="191" t="str">
        <f>'1_BD questio brut'!W383</f>
        <v>2</v>
      </c>
      <c r="Z383" s="191" t="str">
        <f>'1_BD questio brut'!X383</f>
        <v/>
      </c>
      <c r="AA383" s="191" t="str">
        <f t="array" ref="AA383">INDEX('Données 1_BD questio'!C:C,MATCH('1_BD questio brut'!$Y$1&amp;'1_BD questio brut'!Y383,'Données 1_BD questio'!A:A&amp;'Données 1_BD questio'!B:B,0))</f>
        <v>Rhône-Alpes hors RA2B</v>
      </c>
      <c r="AB383" s="191" t="str">
        <f>'1_BD questio brut'!Z383</f>
        <v>3</v>
      </c>
      <c r="AC383" s="191" t="str">
        <f>'1_BD questio brut'!AA383</f>
        <v>1 à 2 ans</v>
      </c>
      <c r="AD383" s="191" t="str">
        <f>'1_BD questio brut'!AB383</f>
        <v>Feuillus</v>
      </c>
      <c r="AE383" s="191" t="str">
        <f t="array" ref="AE383">INDEX('Données 1_BD questio'!C:C,MATCH('1_BD questio brut'!$AC$1&amp;'1_BD questio brut'!AC383,'Données 1_BD questio'!A:A&amp;'Données 1_BD questio'!B:B,0))</f>
        <v>un professionnel</v>
      </c>
      <c r="AF383" s="191" t="str">
        <f>'1_BD questio brut'!AD383</f>
        <v>1 fois par an</v>
      </c>
      <c r="AG383" s="191" t="str">
        <f>'1_BD questio brut'!AE383</f>
        <v/>
      </c>
      <c r="AH383" s="191" t="str">
        <f>'1_BD questio brut'!AF383</f>
        <v>Poêle</v>
      </c>
      <c r="AI383" s="191" t="str">
        <f>'1_BD questio brut'!AG383</f>
        <v>2</v>
      </c>
      <c r="AJ383" s="191" t="str">
        <f>'1_BD questio brut'!AH383</f>
        <v/>
      </c>
      <c r="AK383" s="191" t="str">
        <f>'1_BD questio brut'!AI383</f>
        <v>Chauffage de base</v>
      </c>
      <c r="AL383" s="191" t="str">
        <f>'1_BD questio brut'!AJ383</f>
        <v>Pas de réponse</v>
      </c>
      <c r="AM383" s="191" t="str">
        <f>'1_BD questio brut'!AK383</f>
        <v>2; 4</v>
      </c>
      <c r="AN383" s="191" t="str">
        <f>'1_BD questio brut'!AL383</f>
        <v/>
      </c>
      <c r="AO383" s="191" t="str">
        <f>'1_BD questio brut'!AM383</f>
        <v>7</v>
      </c>
      <c r="AP383" s="191" t="str">
        <f>'1_BD questio brut'!AN383</f>
        <v/>
      </c>
      <c r="AQ383" s="191" t="str">
        <f>'1_BD questio brut'!AO383</f>
        <v/>
      </c>
    </row>
    <row r="384" spans="1:43" ht="43.5" hidden="1">
      <c r="A384" s="98">
        <f>INDEX('3_BD instruction total'!A:A,MATCH(C384,'3_BD instruction total'!F:F,0))</f>
        <v>2022</v>
      </c>
      <c r="B384" s="98" t="str">
        <f>INDEX('3_BD instruction total'!C:C,MATCH(C384,'3_BD instruction total'!F:F,0))</f>
        <v>non</v>
      </c>
      <c r="C384" s="191" t="str">
        <f>'1_BD questio brut'!A384</f>
        <v>VRB0413</v>
      </c>
      <c r="D384" s="191" t="str">
        <f t="array" ref="D384">INDEX('Données 1_BD questio'!C:C,MATCH('1_BD questio brut'!$B$1&amp;'1_BD questio brut'!B384,'Données 1_BD questio'!A:A&amp;'Données 1_BD questio'!B:B,0))</f>
        <v>CAPV</v>
      </c>
      <c r="E384" s="191" t="str">
        <f t="array" ref="E384">INDEX('Données 1_BD questio'!C:C,MATCH('1_BD questio brut'!$C$1&amp;'1_BD questio brut'!C384,'Données 1_BD questio'!A:A&amp;'Données 1_BD questio'!B:B,0))</f>
        <v>Employé</v>
      </c>
      <c r="F384" s="191" t="str">
        <f t="array" ref="F384">INDEX('Données 1_BD questio'!C:C,MATCH('1_BD questio brut'!$D$1&amp;'1_BD questio brut'!D384,'Données 1_BD questio'!A:A&amp;'Données 1_BD questio'!B:B,0))</f>
        <v>Pas de réponse</v>
      </c>
      <c r="G384" s="191" t="str">
        <f>'1_BD questio brut'!E384</f>
        <v>50 à 64 ans</v>
      </c>
      <c r="H384" s="191">
        <f>'1_BD questio brut'!F384</f>
        <v>1</v>
      </c>
      <c r="I384" s="191" t="str">
        <f>'1_BD questio brut'!G384</f>
        <v>20 000 à 30 000 €</v>
      </c>
      <c r="J384" s="191" t="str">
        <f t="array" ref="J384">INDEX('Données 1_BD questio'!C:C,MATCH('1_BD questio brut'!$H$1&amp;'1_BD questio brut'!H384,'Données 1_BD questio'!A:A&amp;'Données 1_BD questio'!B:B,0))</f>
        <v>Maison avec jardin</v>
      </c>
      <c r="K384" s="191">
        <f>'1_BD questio brut'!I384</f>
        <v>90</v>
      </c>
      <c r="L384" s="191" t="str">
        <f>'1_BD questio brut'!J384</f>
        <v>1975-1990</v>
      </c>
      <c r="M384" s="191" t="str">
        <f>'1_BD questio brut'!K384</f>
        <v>4</v>
      </c>
      <c r="N384" s="191" t="str">
        <f>'1_BD questio brut'!L384</f>
        <v>Pas de réponse</v>
      </c>
      <c r="O384" s="191" t="str">
        <f>'1_BD questio brut'!M384</f>
        <v>Propriétaire occupant</v>
      </c>
      <c r="P384" s="191" t="str">
        <f>'1_BD questio brut'!N384</f>
        <v>Foyer ouvert</v>
      </c>
      <c r="Q384" s="191" t="str">
        <f>'1_BD questio brut'!O384</f>
        <v>Chauffage d'apoint</v>
      </c>
      <c r="R384" s="191" t="str">
        <f>'1_BD questio brut'!P384</f>
        <v>1 à 3 jours/mois</v>
      </c>
      <c r="S384" s="191" t="str">
        <f>'1_BD questio brut'!Q384</f>
        <v>2</v>
      </c>
      <c r="T384" s="191" t="str">
        <f>'1_BD questio brut'!R384</f>
        <v>Avant 1990</v>
      </c>
      <c r="U384" s="191" t="str">
        <f>'1_BD questio brut'!S384</f>
        <v>Bois bûche</v>
      </c>
      <c r="V384" s="191" t="str">
        <f>'1_BD questio brut'!T384</f>
        <v/>
      </c>
      <c r="W384" s="191" t="str">
        <f>'1_BD questio brut'!U384</f>
        <v>1/3</v>
      </c>
      <c r="X384" s="191" t="str">
        <f>'1_BD questio brut'!V384</f>
        <v>stère</v>
      </c>
      <c r="Y384" s="191" t="str">
        <f>'1_BD questio brut'!W384</f>
        <v>2</v>
      </c>
      <c r="Z384" s="191" t="str">
        <f>'1_BD questio brut'!X384</f>
        <v/>
      </c>
      <c r="AA384" s="191" t="str">
        <f t="array" ref="AA384">INDEX('Données 1_BD questio'!C:C,MATCH('1_BD questio brut'!$Y$1&amp;'1_BD questio brut'!Y384,'Données 1_BD questio'!A:A&amp;'Données 1_BD questio'!B:B,0))</f>
        <v>Ne sait pas</v>
      </c>
      <c r="AB384" s="191" t="str">
        <f>'1_BD questio brut'!Z384</f>
        <v>2</v>
      </c>
      <c r="AC384" s="191" t="str">
        <f>'1_BD questio brut'!AA384</f>
        <v>1 à 2 ans</v>
      </c>
      <c r="AD384" s="191" t="str">
        <f>'1_BD questio brut'!AB384</f>
        <v>Les deux</v>
      </c>
      <c r="AE384" s="191" t="str">
        <f t="array" ref="AE384">INDEX('Données 1_BD questio'!C:C,MATCH('1_BD questio brut'!$AC$1&amp;'1_BD questio brut'!AC384,'Données 1_BD questio'!A:A&amp;'Données 1_BD questio'!B:B,0))</f>
        <v>un professionnel</v>
      </c>
      <c r="AF384" s="191" t="str">
        <f>'1_BD questio brut'!AD384</f>
        <v>1 fois tous les 2 ans</v>
      </c>
      <c r="AG384" s="191" t="str">
        <f>'1_BD questio brut'!AE384</f>
        <v/>
      </c>
      <c r="AH384" s="191" t="str">
        <f>'1_BD questio brut'!AF384</f>
        <v>Poêle</v>
      </c>
      <c r="AI384" s="191" t="str">
        <f>'1_BD questio brut'!AG384</f>
        <v>1</v>
      </c>
      <c r="AJ384" s="191" t="str">
        <f>'1_BD questio brut'!AH384</f>
        <v/>
      </c>
      <c r="AK384" s="191" t="str">
        <f>'1_BD questio brut'!AI384</f>
        <v>Chauffage d'appoint</v>
      </c>
      <c r="AL384" s="191" t="str">
        <f>'1_BD questio brut'!AJ384</f>
        <v>Pas de réponse</v>
      </c>
      <c r="AM384" s="191" t="str">
        <f>'1_BD questio brut'!AK384</f>
        <v>2; 4</v>
      </c>
      <c r="AN384" s="191" t="str">
        <f>'1_BD questio brut'!AL384</f>
        <v/>
      </c>
      <c r="AO384" s="191" t="str">
        <f>'1_BD questio brut'!AM384</f>
        <v>11</v>
      </c>
      <c r="AP384" s="191" t="str">
        <f>'1_BD questio brut'!AN384</f>
        <v/>
      </c>
      <c r="AQ384" s="191" t="str">
        <f>'1_BD questio brut'!AO384</f>
        <v/>
      </c>
    </row>
    <row r="385" spans="1:43" ht="43.5" hidden="1">
      <c r="A385" s="98">
        <f>INDEX('3_BD instruction total'!A:A,MATCH(C385,'3_BD instruction total'!F:F,0))</f>
        <v>2022</v>
      </c>
      <c r="B385" s="98" t="str">
        <f>INDEX('3_BD instruction total'!C:C,MATCH(C385,'3_BD instruction total'!F:F,0))</f>
        <v>non</v>
      </c>
      <c r="C385" s="191" t="str">
        <f>'1_BD questio brut'!A385</f>
        <v>VRB0414</v>
      </c>
      <c r="D385" s="191" t="str">
        <f t="array" ref="D385">INDEX('Données 1_BD questio'!C:C,MATCH('1_BD questio brut'!$B$1&amp;'1_BD questio brut'!B385,'Données 1_BD questio'!A:A&amp;'Données 1_BD questio'!B:B,0))</f>
        <v>CAPV</v>
      </c>
      <c r="E385" s="191" t="str">
        <f t="array" ref="E385">INDEX('Données 1_BD questio'!C:C,MATCH('1_BD questio brut'!$C$1&amp;'1_BD questio brut'!C385,'Données 1_BD questio'!A:A&amp;'Données 1_BD questio'!B:B,0))</f>
        <v>Retraité</v>
      </c>
      <c r="F385" s="191" t="str">
        <f t="array" ref="F385">INDEX('Données 1_BD questio'!C:C,MATCH('1_BD questio brut'!$D$1&amp;'1_BD questio brut'!D385,'Données 1_BD questio'!A:A&amp;'Données 1_BD questio'!B:B,0))</f>
        <v>Retraité</v>
      </c>
      <c r="G385" s="191" t="str">
        <f>'1_BD questio brut'!E385</f>
        <v>65 ans et plus</v>
      </c>
      <c r="H385" s="191">
        <f>'1_BD questio brut'!F385</f>
        <v>2</v>
      </c>
      <c r="I385" s="191" t="str">
        <f>'1_BD questio brut'!G385</f>
        <v>40 000 à 50 000 €</v>
      </c>
      <c r="J385" s="191" t="str">
        <f t="array" ref="J385">INDEX('Données 1_BD questio'!C:C,MATCH('1_BD questio brut'!$H$1&amp;'1_BD questio brut'!H385,'Données 1_BD questio'!A:A&amp;'Données 1_BD questio'!B:B,0))</f>
        <v>Maison avec jardin</v>
      </c>
      <c r="K385" s="191">
        <f>'1_BD questio brut'!I385</f>
        <v>100</v>
      </c>
      <c r="L385" s="191" t="str">
        <f>'1_BD questio brut'!J385</f>
        <v>1975-1990</v>
      </c>
      <c r="M385" s="191" t="str">
        <f>'1_BD questio brut'!K385</f>
        <v>6</v>
      </c>
      <c r="N385" s="191" t="str">
        <f>'1_BD questio brut'!L385</f>
        <v>Pas de réponse</v>
      </c>
      <c r="O385" s="191" t="str">
        <f>'1_BD questio brut'!M385</f>
        <v>Propriétaire occupant</v>
      </c>
      <c r="P385" s="191" t="str">
        <f>'1_BD questio brut'!N385</f>
        <v>Insert / foyer fermé</v>
      </c>
      <c r="Q385" s="191" t="str">
        <f>'1_BD questio brut'!O385</f>
        <v>Chauffage de base</v>
      </c>
      <c r="R385" s="191" t="str">
        <f>'1_BD questio brut'!P385</f>
        <v>Tous les jours</v>
      </c>
      <c r="S385" s="191" t="str">
        <f>'1_BD questio brut'!Q385</f>
        <v>1; 2; 3</v>
      </c>
      <c r="T385" s="191" t="str">
        <f>'1_BD questio brut'!R385</f>
        <v>1996-2002</v>
      </c>
      <c r="U385" s="191" t="str">
        <f>'1_BD questio brut'!S385</f>
        <v>Bois bûche</v>
      </c>
      <c r="V385" s="191" t="str">
        <f>'1_BD questio brut'!T385</f>
        <v/>
      </c>
      <c r="W385" s="191" t="str">
        <f>'1_BD questio brut'!U385</f>
        <v>6</v>
      </c>
      <c r="X385" s="191" t="str">
        <f>'1_BD questio brut'!V385</f>
        <v>Stères</v>
      </c>
      <c r="Y385" s="191" t="str">
        <f>'1_BD questio brut'!W385</f>
        <v>2</v>
      </c>
      <c r="Z385" s="191" t="str">
        <f>'1_BD questio brut'!X385</f>
        <v/>
      </c>
      <c r="AA385" s="191" t="str">
        <f t="array" ref="AA385">INDEX('Données 1_BD questio'!C:C,MATCH('1_BD questio brut'!$Y$1&amp;'1_BD questio brut'!Y385,'Données 1_BD questio'!A:A&amp;'Données 1_BD questio'!B:B,0))</f>
        <v>RA2B</v>
      </c>
      <c r="AB385" s="191" t="str">
        <f>'1_BD questio brut'!Z385</f>
        <v>2</v>
      </c>
      <c r="AC385" s="191" t="str">
        <f>'1_BD questio brut'!AA385</f>
        <v>1 à 2 ans</v>
      </c>
      <c r="AD385" s="191" t="str">
        <f>'1_BD questio brut'!AB385</f>
        <v>Feuillus</v>
      </c>
      <c r="AE385" s="191" t="str">
        <f t="array" ref="AE385">INDEX('Données 1_BD questio'!C:C,MATCH('1_BD questio brut'!$AC$1&amp;'1_BD questio brut'!AC385,'Données 1_BD questio'!A:A&amp;'Données 1_BD questio'!B:B,0))</f>
        <v>un professionnel</v>
      </c>
      <c r="AF385" s="191" t="str">
        <f>'1_BD questio brut'!AD385</f>
        <v>1 fois par an</v>
      </c>
      <c r="AG385" s="191" t="str">
        <f>'1_BD questio brut'!AE385</f>
        <v/>
      </c>
      <c r="AH385" s="191" t="str">
        <f>'1_BD questio brut'!AF385</f>
        <v>Poêle</v>
      </c>
      <c r="AI385" s="191" t="str">
        <f>'1_BD questio brut'!AG385</f>
        <v>2</v>
      </c>
      <c r="AJ385" s="191" t="str">
        <f>'1_BD questio brut'!AH385</f>
        <v/>
      </c>
      <c r="AK385" s="191" t="str">
        <f>'1_BD questio brut'!AI385</f>
        <v>Chauffage de base</v>
      </c>
      <c r="AL385" s="191" t="str">
        <f>'1_BD questio brut'!AJ385</f>
        <v>Pas de réponse</v>
      </c>
      <c r="AM385" s="191" t="str">
        <f>'1_BD questio brut'!AK385</f>
        <v>1; 2; 4; 5</v>
      </c>
      <c r="AN385" s="191" t="str">
        <f>'1_BD questio brut'!AL385</f>
        <v/>
      </c>
      <c r="AO385" s="191" t="str">
        <f>'1_BD questio brut'!AM385</f>
        <v>5</v>
      </c>
      <c r="AP385" s="191" t="str">
        <f>'1_BD questio brut'!AN385</f>
        <v/>
      </c>
      <c r="AQ385" s="191" t="str">
        <f>'1_BD questio brut'!AO385</f>
        <v/>
      </c>
    </row>
    <row r="386" spans="1:43" ht="43.5" hidden="1">
      <c r="A386" s="98">
        <f>INDEX('3_BD instruction total'!A:A,MATCH(C386,'3_BD instruction total'!F:F,0))</f>
        <v>2022</v>
      </c>
      <c r="B386" s="98" t="str">
        <f>INDEX('3_BD instruction total'!C:C,MATCH(C386,'3_BD instruction total'!F:F,0))</f>
        <v>non</v>
      </c>
      <c r="C386" s="191" t="str">
        <f>'1_BD questio brut'!A386</f>
        <v>VRB0415</v>
      </c>
      <c r="D386" s="191" t="str">
        <f t="array" ref="D386">INDEX('Données 1_BD questio'!C:C,MATCH('1_BD questio brut'!$B$1&amp;'1_BD questio brut'!B386,'Données 1_BD questio'!A:A&amp;'Données 1_BD questio'!B:B,0))</f>
        <v>CAPV</v>
      </c>
      <c r="E386" s="191" t="str">
        <f t="array" ref="E386">INDEX('Données 1_BD questio'!C:C,MATCH('1_BD questio brut'!$C$1&amp;'1_BD questio brut'!C386,'Données 1_BD questio'!A:A&amp;'Données 1_BD questio'!B:B,0))</f>
        <v>Employé</v>
      </c>
      <c r="F386" s="191" t="str">
        <f t="array" ref="F386">INDEX('Données 1_BD questio'!C:C,MATCH('1_BD questio brut'!$D$1&amp;'1_BD questio brut'!D386,'Données 1_BD questio'!A:A&amp;'Données 1_BD questio'!B:B,0))</f>
        <v>Ouvrier</v>
      </c>
      <c r="G386" s="191" t="str">
        <f>'1_BD questio brut'!E386</f>
        <v>25 à 34 ans</v>
      </c>
      <c r="H386" s="191">
        <f>'1_BD questio brut'!F386</f>
        <v>2</v>
      </c>
      <c r="I386" s="191" t="str">
        <f>'1_BD questio brut'!G386</f>
        <v>20 000 à 30 000 €</v>
      </c>
      <c r="J386" s="191" t="str">
        <f t="array" ref="J386">INDEX('Données 1_BD questio'!C:C,MATCH('1_BD questio brut'!$H$1&amp;'1_BD questio brut'!H386,'Données 1_BD questio'!A:A&amp;'Données 1_BD questio'!B:B,0))</f>
        <v>Maison avec jardin</v>
      </c>
      <c r="K386" s="191">
        <f>'1_BD questio brut'!I386</f>
        <v>80</v>
      </c>
      <c r="L386" s="191" t="str">
        <f>'1_BD questio brut'!J386</f>
        <v>1949-1975</v>
      </c>
      <c r="M386" s="191" t="str">
        <f>'1_BD questio brut'!K386</f>
        <v>4</v>
      </c>
      <c r="N386" s="191" t="str">
        <f>'1_BD questio brut'!L386</f>
        <v>G</v>
      </c>
      <c r="O386" s="191" t="str">
        <f>'1_BD questio brut'!M386</f>
        <v>Propriétaire occupant</v>
      </c>
      <c r="P386" s="191" t="str">
        <f>'1_BD questio brut'!N386</f>
        <v>Insert / foyer fermé</v>
      </c>
      <c r="Q386" s="191" t="str">
        <f>'1_BD questio brut'!O386</f>
        <v>Pas de réponse</v>
      </c>
      <c r="R386" s="191" t="str">
        <f>'1_BD questio brut'!P386</f>
        <v>Pas de réponse</v>
      </c>
      <c r="S386" s="191" t="str">
        <f>'1_BD questio brut'!Q386</f>
        <v>7</v>
      </c>
      <c r="T386" s="191" t="str">
        <f>'1_BD questio brut'!R386</f>
        <v>Avant 1990</v>
      </c>
      <c r="U386" s="191" t="str">
        <f>'1_BD questio brut'!S386</f>
        <v>Bois bûche</v>
      </c>
      <c r="V386" s="191" t="str">
        <f>'1_BD questio brut'!T386</f>
        <v/>
      </c>
      <c r="W386" s="191" t="str">
        <f>'1_BD questio brut'!U386</f>
        <v/>
      </c>
      <c r="X386" s="191" t="str">
        <f>'1_BD questio brut'!V386</f>
        <v/>
      </c>
      <c r="Y386" s="191" t="str">
        <f>'1_BD questio brut'!W386</f>
        <v>5</v>
      </c>
      <c r="Z386" s="191" t="str">
        <f>'1_BD questio brut'!X386</f>
        <v/>
      </c>
      <c r="AA386" s="191" t="str">
        <f t="array" ref="AA386">INDEX('Données 1_BD questio'!C:C,MATCH('1_BD questio brut'!$Y$1&amp;'1_BD questio brut'!Y386,'Données 1_BD questio'!A:A&amp;'Données 1_BD questio'!B:B,0))</f>
        <v>Ne sait pas</v>
      </c>
      <c r="AB386" s="191" t="str">
        <f>'1_BD questio brut'!Z386</f>
        <v>2</v>
      </c>
      <c r="AC386" s="191" t="str">
        <f>'1_BD questio brut'!AA386</f>
        <v>Pas de réponse</v>
      </c>
      <c r="AD386" s="191" t="str">
        <f>'1_BD questio brut'!AB386</f>
        <v>Pas de réponse</v>
      </c>
      <c r="AE386" s="191" t="str">
        <f t="array" ref="AE386">INDEX('Données 1_BD questio'!C:C,MATCH('1_BD questio brut'!$AC$1&amp;'1_BD questio brut'!AC386,'Données 1_BD questio'!A:A&amp;'Données 1_BD questio'!B:B,0))</f>
        <v>un professionnel</v>
      </c>
      <c r="AF386" s="191" t="str">
        <f>'1_BD questio brut'!AD386</f>
        <v>Pas de réponse</v>
      </c>
      <c r="AG386" s="191" t="str">
        <f>'1_BD questio brut'!AE386</f>
        <v/>
      </c>
      <c r="AH386" s="191" t="str">
        <f>'1_BD questio brut'!AF386</f>
        <v>Poêle</v>
      </c>
      <c r="AI386" s="191" t="str">
        <f>'1_BD questio brut'!AG386</f>
        <v>2</v>
      </c>
      <c r="AJ386" s="191" t="str">
        <f>'1_BD questio brut'!AH386</f>
        <v/>
      </c>
      <c r="AK386" s="191" t="str">
        <f>'1_BD questio brut'!AI386</f>
        <v>Chauffage de base</v>
      </c>
      <c r="AL386" s="191" t="str">
        <f>'1_BD questio brut'!AJ386</f>
        <v>Pas de réponse</v>
      </c>
      <c r="AM386" s="191" t="str">
        <f>'1_BD questio brut'!AK386</f>
        <v>1; 2; 4; 5</v>
      </c>
      <c r="AN386" s="191" t="str">
        <f>'1_BD questio brut'!AL386</f>
        <v/>
      </c>
      <c r="AO386" s="191" t="str">
        <f>'1_BD questio brut'!AM386</f>
        <v>7</v>
      </c>
      <c r="AP386" s="191" t="str">
        <f>'1_BD questio brut'!AN386</f>
        <v/>
      </c>
      <c r="AQ386" s="191" t="str">
        <f>'1_BD questio brut'!AO386</f>
        <v>ANAH</v>
      </c>
    </row>
    <row r="387" spans="1:43" ht="43.5" hidden="1">
      <c r="A387" s="98">
        <f>INDEX('3_BD instruction total'!A:A,MATCH(C387,'3_BD instruction total'!F:F,0))</f>
        <v>2022</v>
      </c>
      <c r="B387" s="98" t="str">
        <f>INDEX('3_BD instruction total'!C:C,MATCH(C387,'3_BD instruction total'!F:F,0))</f>
        <v>non</v>
      </c>
      <c r="C387" s="191" t="str">
        <f>'1_BD questio brut'!A387</f>
        <v>VRB0417</v>
      </c>
      <c r="D387" s="191" t="str">
        <f t="array" ref="D387">INDEX('Données 1_BD questio'!C:C,MATCH('1_BD questio brut'!$B$1&amp;'1_BD questio brut'!B387,'Données 1_BD questio'!A:A&amp;'Données 1_BD questio'!B:B,0))</f>
        <v>CAPV</v>
      </c>
      <c r="E387" s="191" t="str">
        <f t="array" ref="E387">INDEX('Données 1_BD questio'!C:C,MATCH('1_BD questio brut'!$C$1&amp;'1_BD questio brut'!C387,'Données 1_BD questio'!A:A&amp;'Données 1_BD questio'!B:B,0))</f>
        <v>Cadre</v>
      </c>
      <c r="F387" s="191" t="str">
        <f t="array" ref="F387">INDEX('Données 1_BD questio'!C:C,MATCH('1_BD questio brut'!$D$1&amp;'1_BD questio brut'!D387,'Données 1_BD questio'!A:A&amp;'Données 1_BD questio'!B:B,0))</f>
        <v>Employé</v>
      </c>
      <c r="G387" s="191" t="str">
        <f>'1_BD questio brut'!E387</f>
        <v>35 à 49 ans</v>
      </c>
      <c r="H387" s="191">
        <f>'1_BD questio brut'!F387</f>
        <v>3</v>
      </c>
      <c r="I387" s="191" t="str">
        <f>'1_BD questio brut'!G387</f>
        <v>60 000 à 70 000 €</v>
      </c>
      <c r="J387" s="191" t="str">
        <f t="array" ref="J387">INDEX('Données 1_BD questio'!C:C,MATCH('1_BD questio brut'!$H$1&amp;'1_BD questio brut'!H387,'Données 1_BD questio'!A:A&amp;'Données 1_BD questio'!B:B,0))</f>
        <v>Maison avec jardin</v>
      </c>
      <c r="K387" s="191">
        <f>'1_BD questio brut'!I387</f>
        <v>130</v>
      </c>
      <c r="L387" s="191" t="str">
        <f>'1_BD questio brut'!J387</f>
        <v>1990-2005</v>
      </c>
      <c r="M387" s="191" t="str">
        <f>'1_BD questio brut'!K387</f>
        <v>6</v>
      </c>
      <c r="N387" s="191" t="str">
        <f>'1_BD questio brut'!L387</f>
        <v>D</v>
      </c>
      <c r="O387" s="191" t="str">
        <f>'1_BD questio brut'!M387</f>
        <v>Propriétaire occupant</v>
      </c>
      <c r="P387" s="191" t="str">
        <f>'1_BD questio brut'!N387</f>
        <v>Insert / foyer fermé</v>
      </c>
      <c r="Q387" s="191" t="str">
        <f>'1_BD questio brut'!O387</f>
        <v>Chauffage d'apoint</v>
      </c>
      <c r="R387" s="191" t="str">
        <f>'1_BD questio brut'!P387</f>
        <v>Tous les jours</v>
      </c>
      <c r="S387" s="191" t="str">
        <f>'1_BD questio brut'!Q387</f>
        <v>2; 3; 4; 6</v>
      </c>
      <c r="T387" s="191" t="str">
        <f>'1_BD questio brut'!R387</f>
        <v>1996-2002</v>
      </c>
      <c r="U387" s="191" t="str">
        <f>'1_BD questio brut'!S387</f>
        <v>Bois bûche</v>
      </c>
      <c r="V387" s="191" t="str">
        <f>'1_BD questio brut'!T387</f>
        <v/>
      </c>
      <c r="W387" s="191" t="str">
        <f>'1_BD questio brut'!U387</f>
        <v>8</v>
      </c>
      <c r="X387" s="191" t="str">
        <f>'1_BD questio brut'!V387</f>
        <v>Stères</v>
      </c>
      <c r="Y387" s="191" t="str">
        <f>'1_BD questio brut'!W387</f>
        <v>3; 4</v>
      </c>
      <c r="Z387" s="191" t="str">
        <f>'1_BD questio brut'!X387</f>
        <v>entreprise spécialisée</v>
      </c>
      <c r="AA387" s="191" t="str">
        <f t="array" ref="AA387">INDEX('Données 1_BD questio'!C:C,MATCH('1_BD questio brut'!$Y$1&amp;'1_BD questio brut'!Y387,'Données 1_BD questio'!A:A&amp;'Données 1_BD questio'!B:B,0))</f>
        <v>Ne sait pas</v>
      </c>
      <c r="AB387" s="191" t="str">
        <f>'1_BD questio brut'!Z387</f>
        <v>2</v>
      </c>
      <c r="AC387" s="191" t="str">
        <f>'1_BD questio brut'!AA387</f>
        <v>&gt; 2 ans</v>
      </c>
      <c r="AD387" s="191" t="str">
        <f>'1_BD questio brut'!AB387</f>
        <v>Feuillus</v>
      </c>
      <c r="AE387" s="191" t="str">
        <f t="array" ref="AE387">INDEX('Données 1_BD questio'!C:C,MATCH('1_BD questio brut'!$AC$1&amp;'1_BD questio brut'!AC387,'Données 1_BD questio'!A:A&amp;'Données 1_BD questio'!B:B,0))</f>
        <v>un professionnel</v>
      </c>
      <c r="AF387" s="191" t="str">
        <f>'1_BD questio brut'!AD387</f>
        <v>1 fois par an</v>
      </c>
      <c r="AG387" s="191" t="str">
        <f>'1_BD questio brut'!AE387</f>
        <v/>
      </c>
      <c r="AH387" s="191" t="str">
        <f>'1_BD questio brut'!AF387</f>
        <v>Poêle</v>
      </c>
      <c r="AI387" s="191" t="str">
        <f>'1_BD questio brut'!AG387</f>
        <v>1</v>
      </c>
      <c r="AJ387" s="191" t="str">
        <f>'1_BD questio brut'!AH387</f>
        <v/>
      </c>
      <c r="AK387" s="191" t="str">
        <f>'1_BD questio brut'!AI387</f>
        <v>Chauffage de base</v>
      </c>
      <c r="AL387" s="191" t="str">
        <f>'1_BD questio brut'!AJ387</f>
        <v>Pas de réponse</v>
      </c>
      <c r="AM387" s="191" t="str">
        <f>'1_BD questio brut'!AK387</f>
        <v>1; 2; 4; 5</v>
      </c>
      <c r="AN387" s="191" t="str">
        <f>'1_BD questio brut'!AL387</f>
        <v/>
      </c>
      <c r="AO387" s="191" t="str">
        <f>'1_BD questio brut'!AM387</f>
        <v>1</v>
      </c>
      <c r="AP387" s="191" t="str">
        <f>'1_BD questio brut'!AN387</f>
        <v/>
      </c>
      <c r="AQ387" s="191" t="str">
        <f>'1_BD questio brut'!AO387</f>
        <v/>
      </c>
    </row>
    <row r="388" spans="1:43" ht="43.5" hidden="1">
      <c r="A388" s="98">
        <f>INDEX('3_BD instruction total'!A:A,MATCH(C388,'3_BD instruction total'!F:F,0))</f>
        <v>2022</v>
      </c>
      <c r="B388" s="98" t="str">
        <f>INDEX('3_BD instruction total'!C:C,MATCH(C388,'3_BD instruction total'!F:F,0))</f>
        <v>non</v>
      </c>
      <c r="C388" s="191" t="str">
        <f>'1_BD questio brut'!A388</f>
        <v>VRB0418</v>
      </c>
      <c r="D388" s="191" t="str">
        <f t="array" ref="D388">INDEX('Données 1_BD questio'!C:C,MATCH('1_BD questio brut'!$B$1&amp;'1_BD questio brut'!B388,'Données 1_BD questio'!A:A&amp;'Données 1_BD questio'!B:B,0))</f>
        <v>CAPV</v>
      </c>
      <c r="E388" s="191" t="str">
        <f t="array" ref="E388">INDEX('Données 1_BD questio'!C:C,MATCH('1_BD questio brut'!$C$1&amp;'1_BD questio brut'!C388,'Données 1_BD questio'!A:A&amp;'Données 1_BD questio'!B:B,0))</f>
        <v>Retraité</v>
      </c>
      <c r="F388" s="191" t="str">
        <f t="array" ref="F388">INDEX('Données 1_BD questio'!C:C,MATCH('1_BD questio brut'!$D$1&amp;'1_BD questio brut'!D388,'Données 1_BD questio'!A:A&amp;'Données 1_BD questio'!B:B,0))</f>
        <v>Retraité</v>
      </c>
      <c r="G388" s="191" t="str">
        <f>'1_BD questio brut'!E388</f>
        <v>65 ans et plus</v>
      </c>
      <c r="H388" s="191">
        <f>'1_BD questio brut'!F388</f>
        <v>2</v>
      </c>
      <c r="I388" s="191" t="str">
        <f>'1_BD questio brut'!G388</f>
        <v>70 000 à 80 000 €</v>
      </c>
      <c r="J388" s="191" t="str">
        <f t="array" ref="J388">INDEX('Données 1_BD questio'!C:C,MATCH('1_BD questio brut'!$H$1&amp;'1_BD questio brut'!H388,'Données 1_BD questio'!A:A&amp;'Données 1_BD questio'!B:B,0))</f>
        <v>Maison avec jardin</v>
      </c>
      <c r="K388" s="191">
        <f>'1_BD questio brut'!I388</f>
        <v>100</v>
      </c>
      <c r="L388" s="191" t="str">
        <f>'1_BD questio brut'!J388</f>
        <v>1975-1990</v>
      </c>
      <c r="M388" s="191" t="str">
        <f>'1_BD questio brut'!K388</f>
        <v>6</v>
      </c>
      <c r="N388" s="191" t="str">
        <f>'1_BD questio brut'!L388</f>
        <v>Pas de réponse</v>
      </c>
      <c r="O388" s="191" t="str">
        <f>'1_BD questio brut'!M388</f>
        <v>Propriétaire occupant</v>
      </c>
      <c r="P388" s="191" t="str">
        <f>'1_BD questio brut'!N388</f>
        <v>Insert / foyer fermé</v>
      </c>
      <c r="Q388" s="191" t="str">
        <f>'1_BD questio brut'!O388</f>
        <v>Chauffage d'apoint</v>
      </c>
      <c r="R388" s="191" t="str">
        <f>'1_BD questio brut'!P388</f>
        <v>Tous les jours</v>
      </c>
      <c r="S388" s="191" t="str">
        <f>'1_BD questio brut'!Q388</f>
        <v>4</v>
      </c>
      <c r="T388" s="191" t="str">
        <f>'1_BD questio brut'!R388</f>
        <v>1990-1995</v>
      </c>
      <c r="U388" s="191" t="str">
        <f>'1_BD questio brut'!S388</f>
        <v>Bois bûche</v>
      </c>
      <c r="V388" s="191" t="str">
        <f>'1_BD questio brut'!T388</f>
        <v/>
      </c>
      <c r="W388" s="191" t="str">
        <f>'1_BD questio brut'!U388</f>
        <v>2</v>
      </c>
      <c r="X388" s="191" t="str">
        <f>'1_BD questio brut'!V388</f>
        <v>Stères</v>
      </c>
      <c r="Y388" s="191" t="str">
        <f>'1_BD questio brut'!W388</f>
        <v>1</v>
      </c>
      <c r="Z388" s="191" t="str">
        <f>'1_BD questio brut'!X388</f>
        <v/>
      </c>
      <c r="AA388" s="191" t="str">
        <f t="array" ref="AA388">INDEX('Données 1_BD questio'!C:C,MATCH('1_BD questio brut'!$Y$1&amp;'1_BD questio brut'!Y388,'Données 1_BD questio'!A:A&amp;'Données 1_BD questio'!B:B,0))</f>
        <v>Rhône-Alpes hors RA2B</v>
      </c>
      <c r="AB388" s="191" t="str">
        <f>'1_BD questio brut'!Z388</f>
        <v>2; 3</v>
      </c>
      <c r="AC388" s="191" t="str">
        <f>'1_BD questio brut'!AA388</f>
        <v>&gt; 2 ans</v>
      </c>
      <c r="AD388" s="191" t="str">
        <f>'1_BD questio brut'!AB388</f>
        <v>Feuillus</v>
      </c>
      <c r="AE388" s="191" t="str">
        <f t="array" ref="AE388">INDEX('Données 1_BD questio'!C:C,MATCH('1_BD questio brut'!$AC$1&amp;'1_BD questio brut'!AC388,'Données 1_BD questio'!A:A&amp;'Données 1_BD questio'!B:B,0))</f>
        <v>un professionnel</v>
      </c>
      <c r="AF388" s="191" t="str">
        <f>'1_BD questio brut'!AD388</f>
        <v>1 fois par an</v>
      </c>
      <c r="AG388" s="191" t="str">
        <f>'1_BD questio brut'!AE388</f>
        <v/>
      </c>
      <c r="AH388" s="191" t="str">
        <f>'1_BD questio brut'!AF388</f>
        <v>Poêle</v>
      </c>
      <c r="AI388" s="191" t="str">
        <f>'1_BD questio brut'!AG388</f>
        <v>2</v>
      </c>
      <c r="AJ388" s="191" t="str">
        <f>'1_BD questio brut'!AH388</f>
        <v/>
      </c>
      <c r="AK388" s="191" t="str">
        <f>'1_BD questio brut'!AI388</f>
        <v>Chauffage de base</v>
      </c>
      <c r="AL388" s="191" t="str">
        <f>'1_BD questio brut'!AJ388</f>
        <v>Pas de réponse</v>
      </c>
      <c r="AM388" s="191" t="str">
        <f>'1_BD questio brut'!AK388</f>
        <v>2; 4; 5</v>
      </c>
      <c r="AN388" s="191" t="str">
        <f>'1_BD questio brut'!AL388</f>
        <v/>
      </c>
      <c r="AO388" s="191" t="str">
        <f>'1_BD questio brut'!AM388</f>
        <v>2; 7; 8</v>
      </c>
      <c r="AP388" s="191" t="str">
        <f>'1_BD questio brut'!AN388</f>
        <v/>
      </c>
      <c r="AQ388" s="191" t="str">
        <f>'1_BD questio brut'!AO388</f>
        <v/>
      </c>
    </row>
    <row r="389" spans="1:43" ht="43.5" hidden="1">
      <c r="A389" s="98">
        <f>INDEX('3_BD instruction total'!A:A,MATCH(C389,'3_BD instruction total'!F:F,0))</f>
        <v>2022</v>
      </c>
      <c r="B389" s="98" t="str">
        <f>INDEX('3_BD instruction total'!C:C,MATCH(C389,'3_BD instruction total'!F:F,0))</f>
        <v>non</v>
      </c>
      <c r="C389" s="191" t="str">
        <f>'1_BD questio brut'!A389</f>
        <v>VRB0419</v>
      </c>
      <c r="D389" s="191" t="str">
        <f t="array" ref="D389">INDEX('Données 1_BD questio'!C:C,MATCH('1_BD questio brut'!$B$1&amp;'1_BD questio brut'!B389,'Données 1_BD questio'!A:A&amp;'Données 1_BD questio'!B:B,0))</f>
        <v>CAPV</v>
      </c>
      <c r="E389" s="191" t="str">
        <f t="array" ref="E389">INDEX('Données 1_BD questio'!C:C,MATCH('1_BD questio brut'!$C$1&amp;'1_BD questio brut'!C389,'Données 1_BD questio'!A:A&amp;'Données 1_BD questio'!B:B,0))</f>
        <v>Employé</v>
      </c>
      <c r="F389" s="191" t="str">
        <f t="array" ref="F389">INDEX('Données 1_BD questio'!C:C,MATCH('1_BD questio brut'!$D$1&amp;'1_BD questio brut'!D389,'Données 1_BD questio'!A:A&amp;'Données 1_BD questio'!B:B,0))</f>
        <v>Artisan,commerçant,chef d'entreprise</v>
      </c>
      <c r="G389" s="191" t="str">
        <f>'1_BD questio brut'!E389</f>
        <v>25 à 34 ans</v>
      </c>
      <c r="H389" s="191">
        <f>'1_BD questio brut'!F389</f>
        <v>2</v>
      </c>
      <c r="I389" s="191" t="str">
        <f>'1_BD questio brut'!G389</f>
        <v>20 000 à 30 000 €</v>
      </c>
      <c r="J389" s="191" t="str">
        <f t="array" ref="J389">INDEX('Données 1_BD questio'!C:C,MATCH('1_BD questio brut'!$H$1&amp;'1_BD questio brut'!H389,'Données 1_BD questio'!A:A&amp;'Données 1_BD questio'!B:B,0))</f>
        <v>Maison avec jardin</v>
      </c>
      <c r="K389" s="191">
        <f>'1_BD questio brut'!I389</f>
        <v>90</v>
      </c>
      <c r="L389" s="191" t="str">
        <f>'1_BD questio brut'!J389</f>
        <v>1975-1990</v>
      </c>
      <c r="M389" s="191" t="str">
        <f>'1_BD questio brut'!K389</f>
        <v>3</v>
      </c>
      <c r="N389" s="191" t="str">
        <f>'1_BD questio brut'!L389</f>
        <v>Pas de réponse</v>
      </c>
      <c r="O389" s="191" t="str">
        <f>'1_BD questio brut'!M389</f>
        <v>Propriétaire occupant</v>
      </c>
      <c r="P389" s="191" t="str">
        <f>'1_BD questio brut'!N389</f>
        <v>Insert / foyer fermé</v>
      </c>
      <c r="Q389" s="191" t="str">
        <f>'1_BD questio brut'!O389</f>
        <v>Chauffage de base</v>
      </c>
      <c r="R389" s="191" t="str">
        <f>'1_BD questio brut'!P389</f>
        <v>Tous les jours</v>
      </c>
      <c r="S389" s="191" t="str">
        <f>'1_BD questio brut'!Q389</f>
        <v>2; 4</v>
      </c>
      <c r="T389" s="191" t="str">
        <f>'1_BD questio brut'!R389</f>
        <v>Avant 1990</v>
      </c>
      <c r="U389" s="191" t="str">
        <f>'1_BD questio brut'!S389</f>
        <v>Bois bûche</v>
      </c>
      <c r="V389" s="191" t="str">
        <f>'1_BD questio brut'!T389</f>
        <v/>
      </c>
      <c r="W389" s="191" t="str">
        <f>'1_BD questio brut'!U389</f>
        <v>2,4</v>
      </c>
      <c r="X389" s="191" t="str">
        <f>'1_BD questio brut'!V389</f>
        <v>m3</v>
      </c>
      <c r="Y389" s="191" t="str">
        <f>'1_BD questio brut'!W389</f>
        <v>1</v>
      </c>
      <c r="Z389" s="191" t="str">
        <f>'1_BD questio brut'!X389</f>
        <v/>
      </c>
      <c r="AA389" s="191" t="str">
        <f t="array" ref="AA389">INDEX('Données 1_BD questio'!C:C,MATCH('1_BD questio brut'!$Y$1&amp;'1_BD questio brut'!Y389,'Données 1_BD questio'!A:A&amp;'Données 1_BD questio'!B:B,0))</f>
        <v>Ne sait pas</v>
      </c>
      <c r="AB389" s="191" t="str">
        <f>'1_BD questio brut'!Z389</f>
        <v>2</v>
      </c>
      <c r="AC389" s="191" t="str">
        <f>'1_BD questio brut'!AA389</f>
        <v>&gt; 2 ans</v>
      </c>
      <c r="AD389" s="191" t="str">
        <f>'1_BD questio brut'!AB389</f>
        <v>Feuillus</v>
      </c>
      <c r="AE389" s="191" t="str">
        <f t="array" ref="AE389">INDEX('Données 1_BD questio'!C:C,MATCH('1_BD questio brut'!$AC$1&amp;'1_BD questio brut'!AC389,'Données 1_BD questio'!A:A&amp;'Données 1_BD questio'!B:B,0))</f>
        <v>un professionnel</v>
      </c>
      <c r="AF389" s="191" t="str">
        <f>'1_BD questio brut'!AD389</f>
        <v>1 fois par an</v>
      </c>
      <c r="AG389" s="191" t="str">
        <f>'1_BD questio brut'!AE389</f>
        <v/>
      </c>
      <c r="AH389" s="191" t="str">
        <f>'1_BD questio brut'!AF389</f>
        <v>Poêle</v>
      </c>
      <c r="AI389" s="191" t="str">
        <f>'1_BD questio brut'!AG389</f>
        <v>1</v>
      </c>
      <c r="AJ389" s="191" t="str">
        <f>'1_BD questio brut'!AH389</f>
        <v/>
      </c>
      <c r="AK389" s="191" t="str">
        <f>'1_BD questio brut'!AI389</f>
        <v>Chauffage de base</v>
      </c>
      <c r="AL389" s="191" t="str">
        <f>'1_BD questio brut'!AJ389</f>
        <v>Pas de réponse</v>
      </c>
      <c r="AM389" s="191" t="str">
        <f>'1_BD questio brut'!AK389</f>
        <v>2; 4; 5</v>
      </c>
      <c r="AN389" s="191" t="str">
        <f>'1_BD questio brut'!AL389</f>
        <v/>
      </c>
      <c r="AO389" s="191" t="str">
        <f>'1_BD questio brut'!AM389</f>
        <v>7</v>
      </c>
      <c r="AP389" s="191" t="str">
        <f>'1_BD questio brut'!AN389</f>
        <v/>
      </c>
      <c r="AQ389" s="191" t="str">
        <f>'1_BD questio brut'!AO389</f>
        <v/>
      </c>
    </row>
    <row r="390" spans="1:43" ht="43.5" hidden="1">
      <c r="A390" s="98">
        <f>INDEX('3_BD instruction total'!A:A,MATCH(C390,'3_BD instruction total'!F:F,0))</f>
        <v>2022</v>
      </c>
      <c r="B390" s="98" t="str">
        <f>INDEX('3_BD instruction total'!C:C,MATCH(C390,'3_BD instruction total'!F:F,0))</f>
        <v>non</v>
      </c>
      <c r="C390" s="191" t="str">
        <f>'1_BD questio brut'!A390</f>
        <v>VRB0420</v>
      </c>
      <c r="D390" s="191" t="str">
        <f t="array" ref="D390">INDEX('Données 1_BD questio'!C:C,MATCH('1_BD questio brut'!$B$1&amp;'1_BD questio brut'!B390,'Données 1_BD questio'!A:A&amp;'Données 1_BD questio'!B:B,0))</f>
        <v>CAPV</v>
      </c>
      <c r="E390" s="191" t="str">
        <f t="array" ref="E390">INDEX('Données 1_BD questio'!C:C,MATCH('1_BD questio brut'!$C$1&amp;'1_BD questio brut'!C390,'Données 1_BD questio'!A:A&amp;'Données 1_BD questio'!B:B,0))</f>
        <v>Retraité</v>
      </c>
      <c r="F390" s="191" t="str">
        <f t="array" ref="F390">INDEX('Données 1_BD questio'!C:C,MATCH('1_BD questio brut'!$D$1&amp;'1_BD questio brut'!D390,'Données 1_BD questio'!A:A&amp;'Données 1_BD questio'!B:B,0))</f>
        <v>Autre,sans activité</v>
      </c>
      <c r="G390" s="191" t="str">
        <f>'1_BD questio brut'!E390</f>
        <v>65 ans et plus</v>
      </c>
      <c r="H390" s="191">
        <f>'1_BD questio brut'!F390</f>
        <v>2</v>
      </c>
      <c r="I390" s="191" t="str">
        <f>'1_BD questio brut'!G390</f>
        <v>30 000 à 40 000 €</v>
      </c>
      <c r="J390" s="191" t="str">
        <f t="array" ref="J390">INDEX('Données 1_BD questio'!C:C,MATCH('1_BD questio brut'!$H$1&amp;'1_BD questio brut'!H390,'Données 1_BD questio'!A:A&amp;'Données 1_BD questio'!B:B,0))</f>
        <v>Maison avec jardin</v>
      </c>
      <c r="K390" s="191">
        <f>'1_BD questio brut'!I390</f>
        <v>160</v>
      </c>
      <c r="L390" s="191" t="str">
        <f>'1_BD questio brut'!J390</f>
        <v>1949-1975</v>
      </c>
      <c r="M390" s="191" t="str">
        <f>'1_BD questio brut'!K390</f>
        <v>4</v>
      </c>
      <c r="N390" s="191" t="str">
        <f>'1_BD questio brut'!L390</f>
        <v>Pas de réponse</v>
      </c>
      <c r="O390" s="191" t="str">
        <f>'1_BD questio brut'!M390</f>
        <v>Propriétaire occupant</v>
      </c>
      <c r="P390" s="191" t="str">
        <f>'1_BD questio brut'!N390</f>
        <v>Insert / foyer fermé</v>
      </c>
      <c r="Q390" s="191" t="str">
        <f>'1_BD questio brut'!O390</f>
        <v>Chauffage de base</v>
      </c>
      <c r="R390" s="191" t="str">
        <f>'1_BD questio brut'!P390</f>
        <v>Tous les jours</v>
      </c>
      <c r="S390" s="191" t="str">
        <f>'1_BD questio brut'!Q390</f>
        <v>4</v>
      </c>
      <c r="T390" s="191" t="str">
        <f>'1_BD questio brut'!R390</f>
        <v>1996-2002</v>
      </c>
      <c r="U390" s="191" t="str">
        <f>'1_BD questio brut'!S390</f>
        <v>Bois bûche</v>
      </c>
      <c r="V390" s="191" t="str">
        <f>'1_BD questio brut'!T390</f>
        <v/>
      </c>
      <c r="W390" s="191" t="str">
        <f>'1_BD questio brut'!U390</f>
        <v>5</v>
      </c>
      <c r="X390" s="191" t="str">
        <f>'1_BD questio brut'!V390</f>
        <v>Stères</v>
      </c>
      <c r="Y390" s="191" t="str">
        <f>'1_BD questio brut'!W390</f>
        <v>2</v>
      </c>
      <c r="Z390" s="191" t="str">
        <f>'1_BD questio brut'!X390</f>
        <v/>
      </c>
      <c r="AA390" s="191" t="str">
        <f t="array" ref="AA390">INDEX('Données 1_BD questio'!C:C,MATCH('1_BD questio brut'!$Y$1&amp;'1_BD questio brut'!Y390,'Données 1_BD questio'!A:A&amp;'Données 1_BD questio'!B:B,0))</f>
        <v>RA2B</v>
      </c>
      <c r="AB390" s="191" t="str">
        <f>'1_BD questio brut'!Z390</f>
        <v>2</v>
      </c>
      <c r="AC390" s="191" t="str">
        <f>'1_BD questio brut'!AA390</f>
        <v>&gt; 2 ans</v>
      </c>
      <c r="AD390" s="191" t="str">
        <f>'1_BD questio brut'!AB390</f>
        <v>Feuillus</v>
      </c>
      <c r="AE390" s="191" t="str">
        <f t="array" ref="AE390">INDEX('Données 1_BD questio'!C:C,MATCH('1_BD questio brut'!$AC$1&amp;'1_BD questio brut'!AC390,'Données 1_BD questio'!A:A&amp;'Données 1_BD questio'!B:B,0))</f>
        <v>un professionnel</v>
      </c>
      <c r="AF390" s="191" t="str">
        <f>'1_BD questio brut'!AD390</f>
        <v>1 fois par an</v>
      </c>
      <c r="AG390" s="191" t="str">
        <f>'1_BD questio brut'!AE390</f>
        <v/>
      </c>
      <c r="AH390" s="191" t="str">
        <f>'1_BD questio brut'!AF390</f>
        <v>Insert cheminée</v>
      </c>
      <c r="AI390" s="191" t="str">
        <f>'1_BD questio brut'!AG390</f>
        <v>1</v>
      </c>
      <c r="AJ390" s="191" t="str">
        <f>'1_BD questio brut'!AH390</f>
        <v/>
      </c>
      <c r="AK390" s="191" t="str">
        <f>'1_BD questio brut'!AI390</f>
        <v>Plaisir/agrément</v>
      </c>
      <c r="AL390" s="191" t="str">
        <f>'1_BD questio brut'!AJ390</f>
        <v>Pas de réponse</v>
      </c>
      <c r="AM390" s="191" t="str">
        <f>'1_BD questio brut'!AK390</f>
        <v>1; 2; 4; 5</v>
      </c>
      <c r="AN390" s="191" t="str">
        <f>'1_BD questio brut'!AL390</f>
        <v/>
      </c>
      <c r="AO390" s="191" t="str">
        <f>'1_BD questio brut'!AM390</f>
        <v>5</v>
      </c>
      <c r="AP390" s="191" t="str">
        <f>'1_BD questio brut'!AN390</f>
        <v/>
      </c>
      <c r="AQ390" s="191" t="str">
        <f>'1_BD questio brut'!AO390</f>
        <v/>
      </c>
    </row>
    <row r="391" spans="1:43" ht="43.5" hidden="1">
      <c r="A391" s="98">
        <f>INDEX('3_BD instruction total'!A:A,MATCH(C391,'3_BD instruction total'!F:F,0))</f>
        <v>2022</v>
      </c>
      <c r="B391" s="98" t="str">
        <f>INDEX('3_BD instruction total'!C:C,MATCH(C391,'3_BD instruction total'!F:F,0))</f>
        <v>non</v>
      </c>
      <c r="C391" s="191" t="str">
        <f>'1_BD questio brut'!A391</f>
        <v>VRB0422</v>
      </c>
      <c r="D391" s="191" t="str">
        <f t="array" ref="D391">INDEX('Données 1_BD questio'!C:C,MATCH('1_BD questio brut'!$B$1&amp;'1_BD questio brut'!B391,'Données 1_BD questio'!A:A&amp;'Données 1_BD questio'!B:B,0))</f>
        <v>CAPV</v>
      </c>
      <c r="E391" s="191" t="str">
        <f t="array" ref="E391">INDEX('Données 1_BD questio'!C:C,MATCH('1_BD questio brut'!$C$1&amp;'1_BD questio brut'!C391,'Données 1_BD questio'!A:A&amp;'Données 1_BD questio'!B:B,0))</f>
        <v>Employé</v>
      </c>
      <c r="F391" s="191" t="str">
        <f t="array" ref="F391">INDEX('Données 1_BD questio'!C:C,MATCH('1_BD questio brut'!$D$1&amp;'1_BD questio brut'!D391,'Données 1_BD questio'!A:A&amp;'Données 1_BD questio'!B:B,0))</f>
        <v>Employé</v>
      </c>
      <c r="G391" s="191" t="str">
        <f>'1_BD questio brut'!E391</f>
        <v>35 à 49 ans</v>
      </c>
      <c r="H391" s="191">
        <f>'1_BD questio brut'!F391</f>
        <v>4</v>
      </c>
      <c r="I391" s="191" t="str">
        <f>'1_BD questio brut'!G391</f>
        <v>Moins de 20 000 €</v>
      </c>
      <c r="J391" s="191" t="str">
        <f t="array" ref="J391">INDEX('Données 1_BD questio'!C:C,MATCH('1_BD questio brut'!$H$1&amp;'1_BD questio brut'!H391,'Données 1_BD questio'!A:A&amp;'Données 1_BD questio'!B:B,0))</f>
        <v>Maison avec jardin</v>
      </c>
      <c r="K391" s="191">
        <f>'1_BD questio brut'!I391</f>
        <v>90</v>
      </c>
      <c r="L391" s="191" t="str">
        <f>'1_BD questio brut'!J391</f>
        <v>1975-1990</v>
      </c>
      <c r="M391" s="191" t="str">
        <f>'1_BD questio brut'!K391</f>
        <v>4</v>
      </c>
      <c r="N391" s="191" t="str">
        <f>'1_BD questio brut'!L391</f>
        <v>Pas de réponse</v>
      </c>
      <c r="O391" s="191" t="str">
        <f>'1_BD questio brut'!M391</f>
        <v>Propriétaire occupant</v>
      </c>
      <c r="P391" s="191" t="str">
        <f>'1_BD questio brut'!N391</f>
        <v>Foyer ouvert</v>
      </c>
      <c r="Q391" s="191" t="str">
        <f>'1_BD questio brut'!O391</f>
        <v>Chauffage de base</v>
      </c>
      <c r="R391" s="191" t="str">
        <f>'1_BD questio brut'!P391</f>
        <v>Tous les jours</v>
      </c>
      <c r="S391" s="191" t="str">
        <f>'1_BD questio brut'!Q391</f>
        <v>1; 2; 4; 5</v>
      </c>
      <c r="T391" s="191" t="str">
        <f>'1_BD questio brut'!R391</f>
        <v>Avant 1990</v>
      </c>
      <c r="U391" s="191" t="str">
        <f>'1_BD questio brut'!S391</f>
        <v>Bois bûche</v>
      </c>
      <c r="V391" s="191" t="str">
        <f>'1_BD questio brut'!T391</f>
        <v/>
      </c>
      <c r="W391" s="191" t="str">
        <f>'1_BD questio brut'!U391</f>
        <v/>
      </c>
      <c r="X391" s="191" t="str">
        <f>'1_BD questio brut'!V391</f>
        <v/>
      </c>
      <c r="Y391" s="191" t="str">
        <f>'1_BD questio brut'!W391</f>
        <v>1; 2</v>
      </c>
      <c r="Z391" s="191" t="str">
        <f>'1_BD questio brut'!X391</f>
        <v/>
      </c>
      <c r="AA391" s="191" t="str">
        <f t="array" ref="AA391">INDEX('Données 1_BD questio'!C:C,MATCH('1_BD questio brut'!$Y$1&amp;'1_BD questio brut'!Y391,'Données 1_BD questio'!A:A&amp;'Données 1_BD questio'!B:B,0))</f>
        <v>Rhône-Alpes hors RA2B</v>
      </c>
      <c r="AB391" s="191" t="str">
        <f>'1_BD questio brut'!Z391</f>
        <v>2</v>
      </c>
      <c r="AC391" s="191" t="str">
        <f>'1_BD questio brut'!AA391</f>
        <v>&gt; 2 ans</v>
      </c>
      <c r="AD391" s="191" t="str">
        <f>'1_BD questio brut'!AB391</f>
        <v>Feuillus</v>
      </c>
      <c r="AE391" s="191" t="str">
        <f t="array" ref="AE391">INDEX('Données 1_BD questio'!C:C,MATCH('1_BD questio brut'!$AC$1&amp;'1_BD questio brut'!AC391,'Données 1_BD questio'!A:A&amp;'Données 1_BD questio'!B:B,0))</f>
        <v>un professionnel</v>
      </c>
      <c r="AF391" s="191" t="str">
        <f>'1_BD questio brut'!AD391</f>
        <v>2 fois par an</v>
      </c>
      <c r="AG391" s="191" t="str">
        <f>'1_BD questio brut'!AE391</f>
        <v/>
      </c>
      <c r="AH391" s="191" t="str">
        <f>'1_BD questio brut'!AF391</f>
        <v>Insert cheminée</v>
      </c>
      <c r="AI391" s="191" t="str">
        <f>'1_BD questio brut'!AG391</f>
        <v>1</v>
      </c>
      <c r="AJ391" s="191" t="str">
        <f>'1_BD questio brut'!AH391</f>
        <v/>
      </c>
      <c r="AK391" s="191" t="str">
        <f>'1_BD questio brut'!AI391</f>
        <v>Chauffage de base</v>
      </c>
      <c r="AL391" s="191" t="str">
        <f>'1_BD questio brut'!AJ391</f>
        <v>Pas de réponse</v>
      </c>
      <c r="AM391" s="191" t="str">
        <f>'1_BD questio brut'!AK391</f>
        <v>1; 2; 4; 6</v>
      </c>
      <c r="AN391" s="191" t="str">
        <f>'1_BD questio brut'!AL391</f>
        <v>Avoir un appareil securisé</v>
      </c>
      <c r="AO391" s="191" t="str">
        <f>'1_BD questio brut'!AM391</f>
        <v>7</v>
      </c>
      <c r="AP391" s="191" t="str">
        <f>'1_BD questio brut'!AN391</f>
        <v/>
      </c>
      <c r="AQ391" s="191" t="str">
        <f>'1_BD questio brut'!AO391</f>
        <v/>
      </c>
    </row>
    <row r="392" spans="1:43" ht="29" hidden="1">
      <c r="A392" s="98">
        <f>INDEX('3_BD instruction total'!A:A,MATCH(C392,'3_BD instruction total'!F:F,0))</f>
        <v>2022</v>
      </c>
      <c r="B392" s="98" t="str">
        <f>INDEX('3_BD instruction total'!C:C,MATCH(C392,'3_BD instruction total'!F:F,0))</f>
        <v>non</v>
      </c>
      <c r="C392" s="191" t="str">
        <f>'1_BD questio brut'!A392</f>
        <v>VRB0423</v>
      </c>
      <c r="D392" s="191" t="str">
        <f t="array" ref="D392">INDEX('Données 1_BD questio'!C:C,MATCH('1_BD questio brut'!$B$1&amp;'1_BD questio brut'!B392,'Données 1_BD questio'!A:A&amp;'Données 1_BD questio'!B:B,0))</f>
        <v>CAPV</v>
      </c>
      <c r="E392" s="191" t="str">
        <f t="array" ref="E392">INDEX('Données 1_BD questio'!C:C,MATCH('1_BD questio brut'!$C$1&amp;'1_BD questio brut'!C392,'Données 1_BD questio'!A:A&amp;'Données 1_BD questio'!B:B,0))</f>
        <v>Ouvrier</v>
      </c>
      <c r="F392" s="191" t="str">
        <f t="array" ref="F392">INDEX('Données 1_BD questio'!C:C,MATCH('1_BD questio brut'!$D$1&amp;'1_BD questio brut'!D392,'Données 1_BD questio'!A:A&amp;'Données 1_BD questio'!B:B,0))</f>
        <v>Autre,sans activité</v>
      </c>
      <c r="G392" s="191" t="str">
        <f>'1_BD questio brut'!E392</f>
        <v>50 à 64 ans</v>
      </c>
      <c r="H392" s="191">
        <f>'1_BD questio brut'!F392</f>
        <v>2</v>
      </c>
      <c r="I392" s="191" t="str">
        <f>'1_BD questio brut'!G392</f>
        <v>40 000 à 50 000 €</v>
      </c>
      <c r="J392" s="191" t="str">
        <f t="array" ref="J392">INDEX('Données 1_BD questio'!C:C,MATCH('1_BD questio brut'!$H$1&amp;'1_BD questio brut'!H392,'Données 1_BD questio'!A:A&amp;'Données 1_BD questio'!B:B,0))</f>
        <v>Maison avec jardin</v>
      </c>
      <c r="K392" s="191">
        <f>'1_BD questio brut'!I392</f>
        <v>110</v>
      </c>
      <c r="L392" s="191" t="str">
        <f>'1_BD questio brut'!J392</f>
        <v>1975-1990</v>
      </c>
      <c r="M392" s="191" t="str">
        <f>'1_BD questio brut'!K392</f>
        <v>4</v>
      </c>
      <c r="N392" s="191" t="str">
        <f>'1_BD questio brut'!L392</f>
        <v>Pas de réponse</v>
      </c>
      <c r="O392" s="191" t="str">
        <f>'1_BD questio brut'!M392</f>
        <v>Propriétaire occupant</v>
      </c>
      <c r="P392" s="191" t="str">
        <f>'1_BD questio brut'!N392</f>
        <v>Foyer ouvert</v>
      </c>
      <c r="Q392" s="191" t="str">
        <f>'1_BD questio brut'!O392</f>
        <v>Chauffage d'apoint</v>
      </c>
      <c r="R392" s="191" t="str">
        <f>'1_BD questio brut'!P392</f>
        <v>Jamais</v>
      </c>
      <c r="S392" s="191" t="str">
        <f>'1_BD questio brut'!Q392</f>
        <v>7</v>
      </c>
      <c r="T392" s="191" t="str">
        <f>'1_BD questio brut'!R392</f>
        <v>Avant 1990</v>
      </c>
      <c r="U392" s="191" t="str">
        <f>'1_BD questio brut'!S392</f>
        <v>Bois bûche</v>
      </c>
      <c r="V392" s="191" t="str">
        <f>'1_BD questio brut'!T392</f>
        <v/>
      </c>
      <c r="W392" s="191" t="str">
        <f>'1_BD questio brut'!U392</f>
        <v/>
      </c>
      <c r="X392" s="191" t="str">
        <f>'1_BD questio brut'!V392</f>
        <v/>
      </c>
      <c r="Y392" s="191" t="str">
        <f>'1_BD questio brut'!W392</f>
        <v>5</v>
      </c>
      <c r="Z392" s="191" t="str">
        <f>'1_BD questio brut'!X392</f>
        <v/>
      </c>
      <c r="AA392" s="191" t="str">
        <f t="array" ref="AA392">INDEX('Données 1_BD questio'!C:C,MATCH('1_BD questio brut'!$Y$1&amp;'1_BD questio brut'!Y392,'Données 1_BD questio'!A:A&amp;'Données 1_BD questio'!B:B,0))</f>
        <v>Pas de réponse</v>
      </c>
      <c r="AB392" s="191" t="str">
        <f>'1_BD questio brut'!Z392</f>
        <v>4</v>
      </c>
      <c r="AC392" s="191" t="str">
        <f>'1_BD questio brut'!AA392</f>
        <v>Pas de réponse</v>
      </c>
      <c r="AD392" s="191" t="str">
        <f>'1_BD questio brut'!AB392</f>
        <v>Pas de réponse</v>
      </c>
      <c r="AE392" s="191" t="str">
        <f t="array" ref="AE392">INDEX('Données 1_BD questio'!C:C,MATCH('1_BD questio brut'!$AC$1&amp;'1_BD questio brut'!AC392,'Données 1_BD questio'!A:A&amp;'Données 1_BD questio'!B:B,0))</f>
        <v>Pas de réponse</v>
      </c>
      <c r="AF392" s="191" t="str">
        <f>'1_BD questio brut'!AD392</f>
        <v>Pas de réponse</v>
      </c>
      <c r="AG392" s="191" t="str">
        <f>'1_BD questio brut'!AE392</f>
        <v/>
      </c>
      <c r="AH392" s="191" t="str">
        <f>'1_BD questio brut'!AF392</f>
        <v>Poêle</v>
      </c>
      <c r="AI392" s="191" t="str">
        <f>'1_BD questio brut'!AG392</f>
        <v>1</v>
      </c>
      <c r="AJ392" s="191" t="str">
        <f>'1_BD questio brut'!AH392</f>
        <v/>
      </c>
      <c r="AK392" s="191" t="str">
        <f>'1_BD questio brut'!AI392</f>
        <v>Chauffage d'appoint</v>
      </c>
      <c r="AL392" s="191" t="str">
        <f>'1_BD questio brut'!AJ392</f>
        <v>Pas de réponse</v>
      </c>
      <c r="AM392" s="191" t="str">
        <f>'1_BD questio brut'!AK392</f>
        <v>2</v>
      </c>
      <c r="AN392" s="191" t="str">
        <f>'1_BD questio brut'!AL392</f>
        <v/>
      </c>
      <c r="AO392" s="191" t="str">
        <f>'1_BD questio brut'!AM392</f>
        <v>7</v>
      </c>
      <c r="AP392" s="191" t="str">
        <f>'1_BD questio brut'!AN392</f>
        <v/>
      </c>
      <c r="AQ392" s="191" t="str">
        <f>'1_BD questio brut'!AO392</f>
        <v/>
      </c>
    </row>
    <row r="393" spans="1:43" ht="29" hidden="1">
      <c r="A393" s="98">
        <f>INDEX('3_BD instruction total'!A:A,MATCH(C393,'3_BD instruction total'!F:F,0))</f>
        <v>2022</v>
      </c>
      <c r="B393" s="98" t="str">
        <f>INDEX('3_BD instruction total'!C:C,MATCH(C393,'3_BD instruction total'!F:F,0))</f>
        <v>non</v>
      </c>
      <c r="C393" s="191" t="str">
        <f>'1_BD questio brut'!A393</f>
        <v>VRB0424</v>
      </c>
      <c r="D393" s="191" t="str">
        <f t="array" ref="D393">INDEX('Données 1_BD questio'!C:C,MATCH('1_BD questio brut'!$B$1&amp;'1_BD questio brut'!B393,'Données 1_BD questio'!A:A&amp;'Données 1_BD questio'!B:B,0))</f>
        <v>CAPV</v>
      </c>
      <c r="E393" s="191" t="str">
        <f t="array" ref="E393">INDEX('Données 1_BD questio'!C:C,MATCH('1_BD questio brut'!$C$1&amp;'1_BD questio brut'!C393,'Données 1_BD questio'!A:A&amp;'Données 1_BD questio'!B:B,0))</f>
        <v>Cadre</v>
      </c>
      <c r="F393" s="191" t="str">
        <f t="array" ref="F393">INDEX('Données 1_BD questio'!C:C,MATCH('1_BD questio brut'!$D$1&amp;'1_BD questio brut'!D393,'Données 1_BD questio'!A:A&amp;'Données 1_BD questio'!B:B,0))</f>
        <v>Retraité</v>
      </c>
      <c r="G393" s="191" t="str">
        <f>'1_BD questio brut'!E393</f>
        <v>50 à 64 ans</v>
      </c>
      <c r="H393" s="191">
        <f>'1_BD questio brut'!F393</f>
        <v>3</v>
      </c>
      <c r="I393" s="191" t="str">
        <f>'1_BD questio brut'!G393</f>
        <v>40 000 à 50 000 €</v>
      </c>
      <c r="J393" s="191" t="str">
        <f t="array" ref="J393">INDEX('Données 1_BD questio'!C:C,MATCH('1_BD questio brut'!$H$1&amp;'1_BD questio brut'!H393,'Données 1_BD questio'!A:A&amp;'Données 1_BD questio'!B:B,0))</f>
        <v>Maison avec jardin</v>
      </c>
      <c r="K393" s="191">
        <f>'1_BD questio brut'!I393</f>
        <v>100</v>
      </c>
      <c r="L393" s="191" t="str">
        <f>'1_BD questio brut'!J393</f>
        <v>1975-1990</v>
      </c>
      <c r="M393" s="191" t="str">
        <f>'1_BD questio brut'!K393</f>
        <v>1; 2</v>
      </c>
      <c r="N393" s="191" t="str">
        <f>'1_BD questio brut'!L393</f>
        <v>Pas de réponse</v>
      </c>
      <c r="O393" s="191" t="str">
        <f>'1_BD questio brut'!M393</f>
        <v>Propriétaire occupant</v>
      </c>
      <c r="P393" s="191" t="str">
        <f>'1_BD questio brut'!N393</f>
        <v>Insert / foyer fermé</v>
      </c>
      <c r="Q393" s="191" t="str">
        <f>'1_BD questio brut'!O393</f>
        <v>Chauffage d'apoint</v>
      </c>
      <c r="R393" s="191" t="str">
        <f>'1_BD questio brut'!P393</f>
        <v>Tous les jours</v>
      </c>
      <c r="S393" s="191" t="str">
        <f>'1_BD questio brut'!Q393</f>
        <v>2</v>
      </c>
      <c r="T393" s="191" t="str">
        <f>'1_BD questio brut'!R393</f>
        <v>1996-2002</v>
      </c>
      <c r="U393" s="191" t="str">
        <f>'1_BD questio brut'!S393</f>
        <v>Bois bûche</v>
      </c>
      <c r="V393" s="191" t="str">
        <f>'1_BD questio brut'!T393</f>
        <v/>
      </c>
      <c r="W393" s="191" t="str">
        <f>'1_BD questio brut'!U393</f>
        <v>6</v>
      </c>
      <c r="X393" s="191" t="str">
        <f>'1_BD questio brut'!V393</f>
        <v>Stères</v>
      </c>
      <c r="Y393" s="191" t="str">
        <f>'1_BD questio brut'!W393</f>
        <v>2</v>
      </c>
      <c r="Z393" s="191" t="str">
        <f>'1_BD questio brut'!X393</f>
        <v/>
      </c>
      <c r="AA393" s="191" t="str">
        <f t="array" ref="AA393">INDEX('Données 1_BD questio'!C:C,MATCH('1_BD questio brut'!$Y$1&amp;'1_BD questio brut'!Y393,'Données 1_BD questio'!A:A&amp;'Données 1_BD questio'!B:B,0))</f>
        <v>RA2B</v>
      </c>
      <c r="AB393" s="191" t="str">
        <f>'1_BD questio brut'!Z393</f>
        <v>2</v>
      </c>
      <c r="AC393" s="191" t="str">
        <f>'1_BD questio brut'!AA393</f>
        <v>1 à 2 ans</v>
      </c>
      <c r="AD393" s="191" t="str">
        <f>'1_BD questio brut'!AB393</f>
        <v>Feuillus</v>
      </c>
      <c r="AE393" s="191" t="str">
        <f t="array" ref="AE393">INDEX('Données 1_BD questio'!C:C,MATCH('1_BD questio brut'!$AC$1&amp;'1_BD questio brut'!AC393,'Données 1_BD questio'!A:A&amp;'Données 1_BD questio'!B:B,0))</f>
        <v>vous-même</v>
      </c>
      <c r="AF393" s="191" t="str">
        <f>'1_BD questio brut'!AD393</f>
        <v>2 fois par an</v>
      </c>
      <c r="AG393" s="191" t="str">
        <f>'1_BD questio brut'!AE393</f>
        <v/>
      </c>
      <c r="AH393" s="191" t="str">
        <f>'1_BD questio brut'!AF393</f>
        <v>Poêle</v>
      </c>
      <c r="AI393" s="191" t="str">
        <f>'1_BD questio brut'!AG393</f>
        <v>1</v>
      </c>
      <c r="AJ393" s="191" t="str">
        <f>'1_BD questio brut'!AH393</f>
        <v/>
      </c>
      <c r="AK393" s="191" t="str">
        <f>'1_BD questio brut'!AI393</f>
        <v>Chauffage d'appoint</v>
      </c>
      <c r="AL393" s="191" t="str">
        <f>'1_BD questio brut'!AJ393</f>
        <v>Pas de réponse</v>
      </c>
      <c r="AM393" s="191" t="str">
        <f>'1_BD questio brut'!AK393</f>
        <v>2; 4; 5</v>
      </c>
      <c r="AN393" s="191" t="str">
        <f>'1_BD questio brut'!AL393</f>
        <v/>
      </c>
      <c r="AO393" s="191" t="str">
        <f>'1_BD questio brut'!AM393</f>
        <v>7</v>
      </c>
      <c r="AP393" s="191" t="str">
        <f>'1_BD questio brut'!AN393</f>
        <v/>
      </c>
      <c r="AQ393" s="191" t="str">
        <f>'1_BD questio brut'!AO393</f>
        <v/>
      </c>
    </row>
    <row r="394" spans="1:43" ht="43.5" hidden="1">
      <c r="A394" s="98">
        <f>INDEX('3_BD instruction total'!A:A,MATCH(C394,'3_BD instruction total'!F:F,0))</f>
        <v>2022</v>
      </c>
      <c r="B394" s="98" t="str">
        <f>INDEX('3_BD instruction total'!C:C,MATCH(C394,'3_BD instruction total'!F:F,0))</f>
        <v>non</v>
      </c>
      <c r="C394" s="191" t="str">
        <f>'1_BD questio brut'!A394</f>
        <v>VRB0425</v>
      </c>
      <c r="D394" s="191" t="str">
        <f t="array" ref="D394">INDEX('Données 1_BD questio'!C:C,MATCH('1_BD questio brut'!$B$1&amp;'1_BD questio brut'!B394,'Données 1_BD questio'!A:A&amp;'Données 1_BD questio'!B:B,0))</f>
        <v>CAPV</v>
      </c>
      <c r="E394" s="191" t="str">
        <f t="array" ref="E394">INDEX('Données 1_BD questio'!C:C,MATCH('1_BD questio brut'!$C$1&amp;'1_BD questio brut'!C394,'Données 1_BD questio'!A:A&amp;'Données 1_BD questio'!B:B,0))</f>
        <v>Ouvrier</v>
      </c>
      <c r="F394" s="191" t="str">
        <f t="array" ref="F394">INDEX('Données 1_BD questio'!C:C,MATCH('1_BD questio brut'!$D$1&amp;'1_BD questio brut'!D394,'Données 1_BD questio'!A:A&amp;'Données 1_BD questio'!B:B,0))</f>
        <v>Employé</v>
      </c>
      <c r="G394" s="191" t="str">
        <f>'1_BD questio brut'!E394</f>
        <v>50 à 64 ans</v>
      </c>
      <c r="H394" s="191">
        <f>'1_BD questio brut'!F394</f>
        <v>2</v>
      </c>
      <c r="I394" s="191" t="str">
        <f>'1_BD questio brut'!G394</f>
        <v>30 000 à 40 000 €</v>
      </c>
      <c r="J394" s="191" t="str">
        <f t="array" ref="J394">INDEX('Données 1_BD questio'!C:C,MATCH('1_BD questio brut'!$H$1&amp;'1_BD questio brut'!H394,'Données 1_BD questio'!A:A&amp;'Données 1_BD questio'!B:B,0))</f>
        <v>Maison avec jardin</v>
      </c>
      <c r="K394" s="191">
        <f>'1_BD questio brut'!I394</f>
        <v>100</v>
      </c>
      <c r="L394" s="191" t="str">
        <f>'1_BD questio brut'!J394</f>
        <v>Avant 1949</v>
      </c>
      <c r="M394" s="191" t="str">
        <f>'1_BD questio brut'!K394</f>
        <v>4</v>
      </c>
      <c r="N394" s="191" t="str">
        <f>'1_BD questio brut'!L394</f>
        <v>Pas de réponse</v>
      </c>
      <c r="O394" s="191" t="str">
        <f>'1_BD questio brut'!M394</f>
        <v>Propriétaire occupant</v>
      </c>
      <c r="P394" s="191" t="str">
        <f>'1_BD questio brut'!N394</f>
        <v>Insert / foyer fermé</v>
      </c>
      <c r="Q394" s="191" t="str">
        <f>'1_BD questio brut'!O394</f>
        <v>Chauffage de base</v>
      </c>
      <c r="R394" s="191" t="str">
        <f>'1_BD questio brut'!P394</f>
        <v>Tous les jours</v>
      </c>
      <c r="S394" s="191" t="str">
        <f>'1_BD questio brut'!Q394</f>
        <v>1; 2</v>
      </c>
      <c r="T394" s="191" t="str">
        <f>'1_BD questio brut'!R394</f>
        <v>1990-1995</v>
      </c>
      <c r="U394" s="191" t="str">
        <f>'1_BD questio brut'!S394</f>
        <v>Bois bûche</v>
      </c>
      <c r="V394" s="191" t="str">
        <f>'1_BD questio brut'!T394</f>
        <v/>
      </c>
      <c r="W394" s="191" t="str">
        <f>'1_BD questio brut'!U394</f>
        <v>16</v>
      </c>
      <c r="X394" s="191" t="str">
        <f>'1_BD questio brut'!V394</f>
        <v>M3</v>
      </c>
      <c r="Y394" s="191" t="str">
        <f>'1_BD questio brut'!W394</f>
        <v>5</v>
      </c>
      <c r="Z394" s="191" t="str">
        <f>'1_BD questio brut'!X394</f>
        <v/>
      </c>
      <c r="AA394" s="191" t="str">
        <f t="array" ref="AA394">INDEX('Données 1_BD questio'!C:C,MATCH('1_BD questio brut'!$Y$1&amp;'1_BD questio brut'!Y394,'Données 1_BD questio'!A:A&amp;'Données 1_BD questio'!B:B,0))</f>
        <v>Pas de réponse</v>
      </c>
      <c r="AB394" s="191" t="str">
        <f>'1_BD questio brut'!Z394</f>
        <v>2</v>
      </c>
      <c r="AC394" s="191" t="str">
        <f>'1_BD questio brut'!AA394</f>
        <v>1 à 2 ans</v>
      </c>
      <c r="AD394" s="191" t="str">
        <f>'1_BD questio brut'!AB394</f>
        <v>Les deux</v>
      </c>
      <c r="AE394" s="191" t="str">
        <f t="array" ref="AE394">INDEX('Données 1_BD questio'!C:C,MATCH('1_BD questio brut'!$AC$1&amp;'1_BD questio brut'!AC394,'Données 1_BD questio'!A:A&amp;'Données 1_BD questio'!B:B,0))</f>
        <v>un professionnel</v>
      </c>
      <c r="AF394" s="191" t="str">
        <f>'1_BD questio brut'!AD394</f>
        <v>1 fois par an</v>
      </c>
      <c r="AG394" s="191" t="str">
        <f>'1_BD questio brut'!AE394</f>
        <v/>
      </c>
      <c r="AH394" s="191" t="str">
        <f>'1_BD questio brut'!AF394</f>
        <v>Poêle</v>
      </c>
      <c r="AI394" s="191" t="str">
        <f>'1_BD questio brut'!AG394</f>
        <v>2</v>
      </c>
      <c r="AJ394" s="191" t="str">
        <f>'1_BD questio brut'!AH394</f>
        <v/>
      </c>
      <c r="AK394" s="191" t="str">
        <f>'1_BD questio brut'!AI394</f>
        <v>Chauffage de base</v>
      </c>
      <c r="AL394" s="191" t="str">
        <f>'1_BD questio brut'!AJ394</f>
        <v>Pas de réponse</v>
      </c>
      <c r="AM394" s="191" t="str">
        <f>'1_BD questio brut'!AK394</f>
        <v>1; 4</v>
      </c>
      <c r="AN394" s="191" t="str">
        <f>'1_BD questio brut'!AL394</f>
        <v/>
      </c>
      <c r="AO394" s="191" t="str">
        <f>'1_BD questio brut'!AM394</f>
        <v>1; 5</v>
      </c>
      <c r="AP394" s="191" t="str">
        <f>'1_BD questio brut'!AN394</f>
        <v/>
      </c>
      <c r="AQ394" s="191" t="str">
        <f>'1_BD questio brut'!AO394</f>
        <v/>
      </c>
    </row>
    <row r="395" spans="1:43" ht="43.5" hidden="1">
      <c r="A395" s="98">
        <f>INDEX('3_BD instruction total'!A:A,MATCH(C395,'3_BD instruction total'!F:F,0))</f>
        <v>2022</v>
      </c>
      <c r="B395" s="98" t="str">
        <f>INDEX('3_BD instruction total'!C:C,MATCH(C395,'3_BD instruction total'!F:F,0))</f>
        <v>non</v>
      </c>
      <c r="C395" s="191" t="str">
        <f>'1_BD questio brut'!A395</f>
        <v>VRB0426</v>
      </c>
      <c r="D395" s="191" t="str">
        <f t="array" ref="D395">INDEX('Données 1_BD questio'!C:C,MATCH('1_BD questio brut'!$B$1&amp;'1_BD questio brut'!B395,'Données 1_BD questio'!A:A&amp;'Données 1_BD questio'!B:B,0))</f>
        <v>CAPV</v>
      </c>
      <c r="E395" s="191" t="str">
        <f t="array" ref="E395">INDEX('Données 1_BD questio'!C:C,MATCH('1_BD questio brut'!$C$1&amp;'1_BD questio brut'!C395,'Données 1_BD questio'!A:A&amp;'Données 1_BD questio'!B:B,0))</f>
        <v>Artisan,commerçant,chef d'entreprise</v>
      </c>
      <c r="F395" s="191" t="str">
        <f t="array" ref="F395">INDEX('Données 1_BD questio'!C:C,MATCH('1_BD questio brut'!$D$1&amp;'1_BD questio brut'!D395,'Données 1_BD questio'!A:A&amp;'Données 1_BD questio'!B:B,0))</f>
        <v>Cadre</v>
      </c>
      <c r="G395" s="191" t="str">
        <f>'1_BD questio brut'!E395</f>
        <v>50 à 64 ans</v>
      </c>
      <c r="H395" s="191">
        <f>'1_BD questio brut'!F395</f>
        <v>4</v>
      </c>
      <c r="I395" s="191" t="str">
        <f>'1_BD questio brut'!G395</f>
        <v>70 000 à 80 000 €</v>
      </c>
      <c r="J395" s="191" t="str">
        <f t="array" ref="J395">INDEX('Données 1_BD questio'!C:C,MATCH('1_BD questio brut'!$H$1&amp;'1_BD questio brut'!H395,'Données 1_BD questio'!A:A&amp;'Données 1_BD questio'!B:B,0))</f>
        <v>Maison avec jardin</v>
      </c>
      <c r="K395" s="191">
        <f>'1_BD questio brut'!I395</f>
        <v>140</v>
      </c>
      <c r="L395" s="191" t="str">
        <f>'1_BD questio brut'!J395</f>
        <v>1990-2005</v>
      </c>
      <c r="M395" s="191" t="str">
        <f>'1_BD questio brut'!K395</f>
        <v>6</v>
      </c>
      <c r="N395" s="191" t="str">
        <f>'1_BD questio brut'!L395</f>
        <v>C</v>
      </c>
      <c r="O395" s="191" t="str">
        <f>'1_BD questio brut'!M395</f>
        <v>Propriétaire occupant</v>
      </c>
      <c r="P395" s="191" t="str">
        <f>'1_BD questio brut'!N395</f>
        <v>Poêle</v>
      </c>
      <c r="Q395" s="191" t="str">
        <f>'1_BD questio brut'!O395</f>
        <v>Chauffage d'apoint</v>
      </c>
      <c r="R395" s="191" t="str">
        <f>'1_BD questio brut'!P395</f>
        <v>3 à 4 jours/semaine</v>
      </c>
      <c r="S395" s="191" t="str">
        <f>'1_BD questio brut'!Q395</f>
        <v>2; 3; 6</v>
      </c>
      <c r="T395" s="191" t="str">
        <f>'1_BD questio brut'!R395</f>
        <v>1996-2002</v>
      </c>
      <c r="U395" s="191" t="str">
        <f>'1_BD questio brut'!S395</f>
        <v>Bois bûche</v>
      </c>
      <c r="V395" s="191" t="str">
        <f>'1_BD questio brut'!T395</f>
        <v>Coupe d'arbres</v>
      </c>
      <c r="W395" s="191" t="str">
        <f>'1_BD questio brut'!U395</f>
        <v>2 à 3</v>
      </c>
      <c r="X395" s="191" t="str">
        <f>'1_BD questio brut'!V395</f>
        <v>Stères</v>
      </c>
      <c r="Y395" s="191" t="str">
        <f>'1_BD questio brut'!W395</f>
        <v>2</v>
      </c>
      <c r="Z395" s="191" t="str">
        <f>'1_BD questio brut'!X395</f>
        <v/>
      </c>
      <c r="AA395" s="191" t="str">
        <f t="array" ref="AA395">INDEX('Données 1_BD questio'!C:C,MATCH('1_BD questio brut'!$Y$1&amp;'1_BD questio brut'!Y395,'Données 1_BD questio'!A:A&amp;'Données 1_BD questio'!B:B,0))</f>
        <v>Ne sait pas</v>
      </c>
      <c r="AB395" s="191" t="str">
        <f>'1_BD questio brut'!Z395</f>
        <v>2</v>
      </c>
      <c r="AC395" s="191" t="str">
        <f>'1_BD questio brut'!AA395</f>
        <v>&gt; 2 ans</v>
      </c>
      <c r="AD395" s="191" t="str">
        <f>'1_BD questio brut'!AB395</f>
        <v>Feuillus</v>
      </c>
      <c r="AE395" s="191" t="str">
        <f t="array" ref="AE395">INDEX('Données 1_BD questio'!C:C,MATCH('1_BD questio brut'!$AC$1&amp;'1_BD questio brut'!AC395,'Données 1_BD questio'!A:A&amp;'Données 1_BD questio'!B:B,0))</f>
        <v>un professionnel</v>
      </c>
      <c r="AF395" s="191" t="str">
        <f>'1_BD questio brut'!AD395</f>
        <v>1 fois par an</v>
      </c>
      <c r="AG395" s="191" t="str">
        <f>'1_BD questio brut'!AE395</f>
        <v/>
      </c>
      <c r="AH395" s="191" t="str">
        <f>'1_BD questio brut'!AF395</f>
        <v>Insert cheminée</v>
      </c>
      <c r="AI395" s="191" t="str">
        <f>'1_BD questio brut'!AG395</f>
        <v>1</v>
      </c>
      <c r="AJ395" s="191" t="str">
        <f>'1_BD questio brut'!AH395</f>
        <v/>
      </c>
      <c r="AK395" s="191" t="str">
        <f>'1_BD questio brut'!AI395</f>
        <v>Chauffage d'appoint</v>
      </c>
      <c r="AL395" s="191" t="str">
        <f>'1_BD questio brut'!AJ395</f>
        <v>Pas de réponse</v>
      </c>
      <c r="AM395" s="191" t="str">
        <f>'1_BD questio brut'!AK395</f>
        <v>4</v>
      </c>
      <c r="AN395" s="191" t="str">
        <f>'1_BD questio brut'!AL395</f>
        <v/>
      </c>
      <c r="AO395" s="191" t="str">
        <f>'1_BD questio brut'!AM395</f>
        <v>5</v>
      </c>
      <c r="AP395" s="191" t="str">
        <f>'1_BD questio brut'!AN395</f>
        <v/>
      </c>
      <c r="AQ395" s="191" t="str">
        <f>'1_BD questio brut'!AO395</f>
        <v/>
      </c>
    </row>
    <row r="396" spans="1:43" ht="29" hidden="1">
      <c r="A396" s="98">
        <f>INDEX('3_BD instruction total'!A:A,MATCH(C396,'3_BD instruction total'!F:F,0))</f>
        <v>1900</v>
      </c>
      <c r="B396" s="98" t="str">
        <f>INDEX('3_BD instruction total'!C:C,MATCH(C396,'3_BD instruction total'!F:F,0))</f>
        <v>non</v>
      </c>
      <c r="C396" s="191" t="str">
        <f>'1_BD questio brut'!A396</f>
        <v>VRB0427</v>
      </c>
      <c r="D396" s="191" t="str">
        <f t="array" ref="D396">INDEX('Données 1_BD questio'!C:C,MATCH('1_BD questio brut'!$B$1&amp;'1_BD questio brut'!B396,'Données 1_BD questio'!A:A&amp;'Données 1_BD questio'!B:B,0))</f>
        <v>CAPV</v>
      </c>
      <c r="E396" s="191" t="str">
        <f t="array" ref="E396">INDEX('Données 1_BD questio'!C:C,MATCH('1_BD questio brut'!$C$1&amp;'1_BD questio brut'!C396,'Données 1_BD questio'!A:A&amp;'Données 1_BD questio'!B:B,0))</f>
        <v>Profession intermédiaire</v>
      </c>
      <c r="F396" s="191" t="str">
        <f t="array" ref="F396">INDEX('Données 1_BD questio'!C:C,MATCH('1_BD questio brut'!$D$1&amp;'1_BD questio brut'!D396,'Données 1_BD questio'!A:A&amp;'Données 1_BD questio'!B:B,0))</f>
        <v>Autre,sans activité</v>
      </c>
      <c r="G396" s="191" t="str">
        <f>'1_BD questio brut'!E396</f>
        <v>35 à 49 ans</v>
      </c>
      <c r="H396" s="191">
        <f>'1_BD questio brut'!F396</f>
        <v>3</v>
      </c>
      <c r="I396" s="191" t="str">
        <f>'1_BD questio brut'!G396</f>
        <v>Moins de 20 000 €</v>
      </c>
      <c r="J396" s="191" t="str">
        <f t="array" ref="J396">INDEX('Données 1_BD questio'!C:C,MATCH('1_BD questio brut'!$H$1&amp;'1_BD questio brut'!H396,'Données 1_BD questio'!A:A&amp;'Données 1_BD questio'!B:B,0))</f>
        <v>Maison avec jardin</v>
      </c>
      <c r="K396" s="191">
        <f>'1_BD questio brut'!I396</f>
        <v>60</v>
      </c>
      <c r="L396" s="191" t="str">
        <f>'1_BD questio brut'!J396</f>
        <v>1975-1990</v>
      </c>
      <c r="M396" s="191" t="str">
        <f>'1_BD questio brut'!K396</f>
        <v>6</v>
      </c>
      <c r="N396" s="191" t="str">
        <f>'1_BD questio brut'!L396</f>
        <v>Pas de réponse</v>
      </c>
      <c r="O396" s="191" t="str">
        <f>'1_BD questio brut'!M396</f>
        <v>Propriétaire occupant</v>
      </c>
      <c r="P396" s="191" t="str">
        <f>'1_BD questio brut'!N396</f>
        <v>Foyer ouvert</v>
      </c>
      <c r="Q396" s="191" t="str">
        <f>'1_BD questio brut'!O396</f>
        <v>Chauffage d'apoint</v>
      </c>
      <c r="R396" s="191" t="str">
        <f>'1_BD questio brut'!P396</f>
        <v>Moins de 15 fois par an</v>
      </c>
      <c r="S396" s="191" t="str">
        <f>'1_BD questio brut'!Q396</f>
        <v>2</v>
      </c>
      <c r="T396" s="191" t="str">
        <f>'1_BD questio brut'!R396</f>
        <v>Avant 1990</v>
      </c>
      <c r="U396" s="191" t="str">
        <f>'1_BD questio brut'!S396</f>
        <v>Bois bûche</v>
      </c>
      <c r="V396" s="191" t="str">
        <f>'1_BD questio brut'!T396</f>
        <v/>
      </c>
      <c r="W396" s="191" t="str">
        <f>'1_BD questio brut'!U396</f>
        <v/>
      </c>
      <c r="X396" s="191" t="str">
        <f>'1_BD questio brut'!V396</f>
        <v/>
      </c>
      <c r="Y396" s="191" t="str">
        <f>'1_BD questio brut'!W396</f>
        <v>1</v>
      </c>
      <c r="Z396" s="191" t="str">
        <f>'1_BD questio brut'!X396</f>
        <v/>
      </c>
      <c r="AA396" s="191" t="str">
        <f t="array" ref="AA396">INDEX('Données 1_BD questio'!C:C,MATCH('1_BD questio brut'!$Y$1&amp;'1_BD questio brut'!Y396,'Données 1_BD questio'!A:A&amp;'Données 1_BD questio'!B:B,0))</f>
        <v>Ne sait pas</v>
      </c>
      <c r="AB396" s="191" t="str">
        <f>'1_BD questio brut'!Z396</f>
        <v>2</v>
      </c>
      <c r="AC396" s="191" t="str">
        <f>'1_BD questio brut'!AA396</f>
        <v>1 à 2 ans</v>
      </c>
      <c r="AD396" s="191" t="str">
        <f>'1_BD questio brut'!AB396</f>
        <v>Feuillus</v>
      </c>
      <c r="AE396" s="191" t="str">
        <f t="array" ref="AE396">INDEX('Données 1_BD questio'!C:C,MATCH('1_BD questio brut'!$AC$1&amp;'1_BD questio brut'!AC396,'Données 1_BD questio'!A:A&amp;'Données 1_BD questio'!B:B,0))</f>
        <v>vous-même</v>
      </c>
      <c r="AF396" s="191" t="str">
        <f>'1_BD questio brut'!AD396</f>
        <v>1 fois par an</v>
      </c>
      <c r="AG396" s="191" t="str">
        <f>'1_BD questio brut'!AE396</f>
        <v/>
      </c>
      <c r="AH396" s="191" t="str">
        <f>'1_BD questio brut'!AF396</f>
        <v>Poêle</v>
      </c>
      <c r="AI396" s="191" t="str">
        <f>'1_BD questio brut'!AG396</f>
        <v>1</v>
      </c>
      <c r="AJ396" s="191" t="str">
        <f>'1_BD questio brut'!AH396</f>
        <v/>
      </c>
      <c r="AK396" s="191" t="str">
        <f>'1_BD questio brut'!AI396</f>
        <v>Chauffage d'appoint</v>
      </c>
      <c r="AL396" s="191" t="str">
        <f>'1_BD questio brut'!AJ396</f>
        <v>Pas de réponse</v>
      </c>
      <c r="AM396" s="191" t="str">
        <f>'1_BD questio brut'!AK396</f>
        <v>2; 4</v>
      </c>
      <c r="AN396" s="191" t="str">
        <f>'1_BD questio brut'!AL396</f>
        <v/>
      </c>
      <c r="AO396" s="191" t="str">
        <f>'1_BD questio brut'!AM396</f>
        <v>5</v>
      </c>
      <c r="AP396" s="191" t="str">
        <f>'1_BD questio brut'!AN396</f>
        <v/>
      </c>
      <c r="AQ396" s="191" t="str">
        <f>'1_BD questio brut'!AO396</f>
        <v/>
      </c>
    </row>
    <row r="397" spans="1:43" ht="43.5" hidden="1">
      <c r="A397" s="98">
        <f>INDEX('3_BD instruction total'!A:A,MATCH(C397,'3_BD instruction total'!F:F,0))</f>
        <v>2022</v>
      </c>
      <c r="B397" s="98" t="str">
        <f>INDEX('3_BD instruction total'!C:C,MATCH(C397,'3_BD instruction total'!F:F,0))</f>
        <v>non</v>
      </c>
      <c r="C397" s="191" t="str">
        <f>'1_BD questio brut'!A397</f>
        <v>VRB0428</v>
      </c>
      <c r="D397" s="191" t="str">
        <f t="array" ref="D397">INDEX('Données 1_BD questio'!C:C,MATCH('1_BD questio brut'!$B$1&amp;'1_BD questio brut'!B397,'Données 1_BD questio'!A:A&amp;'Données 1_BD questio'!B:B,0))</f>
        <v>CAPV</v>
      </c>
      <c r="E397" s="191" t="str">
        <f t="array" ref="E397">INDEX('Données 1_BD questio'!C:C,MATCH('1_BD questio brut'!$C$1&amp;'1_BD questio brut'!C397,'Données 1_BD questio'!A:A&amp;'Données 1_BD questio'!B:B,0))</f>
        <v>Cadre</v>
      </c>
      <c r="F397" s="191" t="str">
        <f t="array" ref="F397">INDEX('Données 1_BD questio'!C:C,MATCH('1_BD questio brut'!$D$1&amp;'1_BD questio brut'!D397,'Données 1_BD questio'!A:A&amp;'Données 1_BD questio'!B:B,0))</f>
        <v>Cadre</v>
      </c>
      <c r="G397" s="191" t="str">
        <f>'1_BD questio brut'!E397</f>
        <v>35 à 49 ans</v>
      </c>
      <c r="H397" s="191">
        <f>'1_BD questio brut'!F397</f>
        <v>4</v>
      </c>
      <c r="I397" s="191" t="str">
        <f>'1_BD questio brut'!G397</f>
        <v>50 000 à 60 000 €</v>
      </c>
      <c r="J397" s="191" t="str">
        <f t="array" ref="J397">INDEX('Données 1_BD questio'!C:C,MATCH('1_BD questio brut'!$H$1&amp;'1_BD questio brut'!H397,'Données 1_BD questio'!A:A&amp;'Données 1_BD questio'!B:B,0))</f>
        <v>Maison avec jardin</v>
      </c>
      <c r="K397" s="191">
        <f>'1_BD questio brut'!I397</f>
        <v>100</v>
      </c>
      <c r="L397" s="191" t="str">
        <f>'1_BD questio brut'!J397</f>
        <v>1949-1975</v>
      </c>
      <c r="M397" s="191" t="str">
        <f>'1_BD questio brut'!K397</f>
        <v>4</v>
      </c>
      <c r="N397" s="191" t="str">
        <f>'1_BD questio brut'!L397</f>
        <v>Pas de réponse</v>
      </c>
      <c r="O397" s="191" t="str">
        <f>'1_BD questio brut'!M397</f>
        <v>Propriétaire occupant</v>
      </c>
      <c r="P397" s="191" t="str">
        <f>'1_BD questio brut'!N397</f>
        <v>Insert / foyer fermé</v>
      </c>
      <c r="Q397" s="191" t="str">
        <f>'1_BD questio brut'!O397</f>
        <v>Chauffage d'apoint</v>
      </c>
      <c r="R397" s="191" t="str">
        <f>'1_BD questio brut'!P397</f>
        <v>3 à 4 jours/semaine</v>
      </c>
      <c r="S397" s="191" t="str">
        <f>'1_BD questio brut'!Q397</f>
        <v>2; 4; 5; 6</v>
      </c>
      <c r="T397" s="191" t="str">
        <f>'1_BD questio brut'!R397</f>
        <v>Avant 1990</v>
      </c>
      <c r="U397" s="191" t="str">
        <f>'1_BD questio brut'!S397</f>
        <v>Bois bûche</v>
      </c>
      <c r="V397" s="191" t="str">
        <f>'1_BD questio brut'!T397</f>
        <v/>
      </c>
      <c r="W397" s="191" t="str">
        <f>'1_BD questio brut'!U397</f>
        <v>4</v>
      </c>
      <c r="X397" s="191" t="str">
        <f>'1_BD questio brut'!V397</f>
        <v>M3</v>
      </c>
      <c r="Y397" s="191" t="str">
        <f>'1_BD questio brut'!W397</f>
        <v>2</v>
      </c>
      <c r="Z397" s="191" t="str">
        <f>'1_BD questio brut'!X397</f>
        <v/>
      </c>
      <c r="AA397" s="191" t="str">
        <f t="array" ref="AA397">INDEX('Données 1_BD questio'!C:C,MATCH('1_BD questio brut'!$Y$1&amp;'1_BD questio brut'!Y397,'Données 1_BD questio'!A:A&amp;'Données 1_BD questio'!B:B,0))</f>
        <v>Ne sait pas</v>
      </c>
      <c r="AB397" s="191" t="str">
        <f>'1_BD questio brut'!Z397</f>
        <v>2</v>
      </c>
      <c r="AC397" s="191" t="str">
        <f>'1_BD questio brut'!AA397</f>
        <v>&lt; 1 an</v>
      </c>
      <c r="AD397" s="191" t="str">
        <f>'1_BD questio brut'!AB397</f>
        <v>Feuillus</v>
      </c>
      <c r="AE397" s="191" t="str">
        <f t="array" ref="AE397">INDEX('Données 1_BD questio'!C:C,MATCH('1_BD questio brut'!$AC$1&amp;'1_BD questio brut'!AC397,'Données 1_BD questio'!A:A&amp;'Données 1_BD questio'!B:B,0))</f>
        <v>un professionnel</v>
      </c>
      <c r="AF397" s="191" t="str">
        <f>'1_BD questio brut'!AD397</f>
        <v>1 fois tous les 2 ans</v>
      </c>
      <c r="AG397" s="191" t="str">
        <f>'1_BD questio brut'!AE397</f>
        <v/>
      </c>
      <c r="AH397" s="191" t="str">
        <f>'1_BD questio brut'!AF397</f>
        <v>Poêle</v>
      </c>
      <c r="AI397" s="191" t="str">
        <f>'1_BD questio brut'!AG397</f>
        <v>2</v>
      </c>
      <c r="AJ397" s="191" t="str">
        <f>'1_BD questio brut'!AH397</f>
        <v/>
      </c>
      <c r="AK397" s="191" t="str">
        <f>'1_BD questio brut'!AI397</f>
        <v>Chauffage d'appoint</v>
      </c>
      <c r="AL397" s="191" t="str">
        <f>'1_BD questio brut'!AJ397</f>
        <v>Pas de réponse</v>
      </c>
      <c r="AM397" s="191" t="str">
        <f>'1_BD questio brut'!AK397</f>
        <v>1; 2; 4; 5</v>
      </c>
      <c r="AN397" s="191" t="str">
        <f>'1_BD questio brut'!AL397</f>
        <v/>
      </c>
      <c r="AO397" s="191" t="str">
        <f>'1_BD questio brut'!AM397</f>
        <v>2; 5</v>
      </c>
      <c r="AP397" s="191" t="str">
        <f>'1_BD questio brut'!AN397</f>
        <v/>
      </c>
      <c r="AQ397" s="191" t="str">
        <f>'1_BD questio brut'!AO397</f>
        <v/>
      </c>
    </row>
    <row r="398" spans="1:43" ht="43.5" hidden="1">
      <c r="A398" s="98">
        <f>INDEX('3_BD instruction total'!A:A,MATCH(C398,'3_BD instruction total'!F:F,0))</f>
        <v>2022</v>
      </c>
      <c r="B398" s="98" t="str">
        <f>INDEX('3_BD instruction total'!C:C,MATCH(C398,'3_BD instruction total'!F:F,0))</f>
        <v>non</v>
      </c>
      <c r="C398" s="191" t="str">
        <f>'1_BD questio brut'!A398</f>
        <v>VRB0429</v>
      </c>
      <c r="D398" s="191" t="str">
        <f t="array" ref="D398">INDEX('Données 1_BD questio'!C:C,MATCH('1_BD questio brut'!$B$1&amp;'1_BD questio brut'!B398,'Données 1_BD questio'!A:A&amp;'Données 1_BD questio'!B:B,0))</f>
        <v>CAPV</v>
      </c>
      <c r="E398" s="191" t="str">
        <f t="array" ref="E398">INDEX('Données 1_BD questio'!C:C,MATCH('1_BD questio brut'!$C$1&amp;'1_BD questio brut'!C398,'Données 1_BD questio'!A:A&amp;'Données 1_BD questio'!B:B,0))</f>
        <v>Retraité</v>
      </c>
      <c r="F398" s="191" t="str">
        <f t="array" ref="F398">INDEX('Données 1_BD questio'!C:C,MATCH('1_BD questio brut'!$D$1&amp;'1_BD questio brut'!D398,'Données 1_BD questio'!A:A&amp;'Données 1_BD questio'!B:B,0))</f>
        <v>Pas de réponse</v>
      </c>
      <c r="G398" s="191" t="str">
        <f>'1_BD questio brut'!E398</f>
        <v>65 ans et plus</v>
      </c>
      <c r="H398" s="191">
        <f>'1_BD questio brut'!F398</f>
        <v>1</v>
      </c>
      <c r="I398" s="191" t="str">
        <f>'1_BD questio brut'!G398</f>
        <v>Moins de 20 000 €</v>
      </c>
      <c r="J398" s="191" t="str">
        <f t="array" ref="J398">INDEX('Données 1_BD questio'!C:C,MATCH('1_BD questio brut'!$H$1&amp;'1_BD questio brut'!H398,'Données 1_BD questio'!A:A&amp;'Données 1_BD questio'!B:B,0))</f>
        <v>Maison avec jardin</v>
      </c>
      <c r="K398" s="191">
        <f>'1_BD questio brut'!I398</f>
        <v>60</v>
      </c>
      <c r="L398" s="191" t="str">
        <f>'1_BD questio brut'!J398</f>
        <v>Avant 1949</v>
      </c>
      <c r="M398" s="191" t="str">
        <f>'1_BD questio brut'!K398</f>
        <v>6</v>
      </c>
      <c r="N398" s="191" t="str">
        <f>'1_BD questio brut'!L398</f>
        <v>Pas de réponse</v>
      </c>
      <c r="O398" s="191" t="str">
        <f>'1_BD questio brut'!M398</f>
        <v>Propriétaire occupant</v>
      </c>
      <c r="P398" s="191" t="str">
        <f>'1_BD questio brut'!N398</f>
        <v>Cuisinière</v>
      </c>
      <c r="Q398" s="191" t="str">
        <f>'1_BD questio brut'!O398</f>
        <v>Chauffage d'apoint</v>
      </c>
      <c r="R398" s="191" t="str">
        <f>'1_BD questio brut'!P398</f>
        <v>Tous les jours</v>
      </c>
      <c r="S398" s="191" t="str">
        <f>'1_BD questio brut'!Q398</f>
        <v>4</v>
      </c>
      <c r="T398" s="191" t="str">
        <f>'1_BD questio brut'!R398</f>
        <v>Avant 1990</v>
      </c>
      <c r="U398" s="191" t="str">
        <f>'1_BD questio brut'!S398</f>
        <v>Bois bûche</v>
      </c>
      <c r="V398" s="191" t="str">
        <f>'1_BD questio brut'!T398</f>
        <v/>
      </c>
      <c r="W398" s="191" t="str">
        <f>'1_BD questio brut'!U398</f>
        <v>8</v>
      </c>
      <c r="X398" s="191" t="str">
        <f>'1_BD questio brut'!V398</f>
        <v>Stères</v>
      </c>
      <c r="Y398" s="191" t="str">
        <f>'1_BD questio brut'!W398</f>
        <v>2</v>
      </c>
      <c r="Z398" s="191" t="str">
        <f>'1_BD questio brut'!X398</f>
        <v/>
      </c>
      <c r="AA398" s="191" t="str">
        <f t="array" ref="AA398">INDEX('Données 1_BD questio'!C:C,MATCH('1_BD questio brut'!$Y$1&amp;'1_BD questio brut'!Y398,'Données 1_BD questio'!A:A&amp;'Données 1_BD questio'!B:B,0))</f>
        <v>Ne sait pas</v>
      </c>
      <c r="AB398" s="191" t="str">
        <f>'1_BD questio brut'!Z398</f>
        <v>2</v>
      </c>
      <c r="AC398" s="191" t="str">
        <f>'1_BD questio brut'!AA398</f>
        <v>1 à 2 ans</v>
      </c>
      <c r="AD398" s="191" t="str">
        <f>'1_BD questio brut'!AB398</f>
        <v>Les deux</v>
      </c>
      <c r="AE398" s="191" t="str">
        <f t="array" ref="AE398">INDEX('Données 1_BD questio'!C:C,MATCH('1_BD questio brut'!$AC$1&amp;'1_BD questio brut'!AC398,'Données 1_BD questio'!A:A&amp;'Données 1_BD questio'!B:B,0))</f>
        <v>un professionnel</v>
      </c>
      <c r="AF398" s="191" t="str">
        <f>'1_BD questio brut'!AD398</f>
        <v>2 fois par an</v>
      </c>
      <c r="AG398" s="191" t="str">
        <f>'1_BD questio brut'!AE398</f>
        <v/>
      </c>
      <c r="AH398" s="191" t="str">
        <f>'1_BD questio brut'!AF398</f>
        <v>Poêle</v>
      </c>
      <c r="AI398" s="191" t="str">
        <f>'1_BD questio brut'!AG398</f>
        <v>2</v>
      </c>
      <c r="AJ398" s="191" t="str">
        <f>'1_BD questio brut'!AH398</f>
        <v/>
      </c>
      <c r="AK398" s="191" t="str">
        <f>'1_BD questio brut'!AI398</f>
        <v>Chauffage d'appoint</v>
      </c>
      <c r="AL398" s="191" t="str">
        <f>'1_BD questio brut'!AJ398</f>
        <v>Pas de réponse</v>
      </c>
      <c r="AM398" s="191" t="str">
        <f>'1_BD questio brut'!AK398</f>
        <v>1; 2; 4; 5</v>
      </c>
      <c r="AN398" s="191" t="str">
        <f>'1_BD questio brut'!AL398</f>
        <v/>
      </c>
      <c r="AO398" s="191" t="str">
        <f>'1_BD questio brut'!AM398</f>
        <v>5</v>
      </c>
      <c r="AP398" s="191" t="str">
        <f>'1_BD questio brut'!AN398</f>
        <v/>
      </c>
      <c r="AQ398" s="191" t="str">
        <f>'1_BD questio brut'!AO398</f>
        <v/>
      </c>
    </row>
    <row r="399" spans="1:43" ht="29" hidden="1">
      <c r="A399" s="98">
        <f>INDEX('3_BD instruction total'!A:A,MATCH(C399,'3_BD instruction total'!F:F,0))</f>
        <v>2022</v>
      </c>
      <c r="B399" s="98" t="str">
        <f>INDEX('3_BD instruction total'!C:C,MATCH(C399,'3_BD instruction total'!F:F,0))</f>
        <v>non</v>
      </c>
      <c r="C399" s="191" t="str">
        <f>'1_BD questio brut'!A399</f>
        <v>VRB0430</v>
      </c>
      <c r="D399" s="191" t="str">
        <f t="array" ref="D399">INDEX('Données 1_BD questio'!C:C,MATCH('1_BD questio brut'!$B$1&amp;'1_BD questio brut'!B399,'Données 1_BD questio'!A:A&amp;'Données 1_BD questio'!B:B,0))</f>
        <v>CAPV</v>
      </c>
      <c r="E399" s="191" t="str">
        <f t="array" ref="E399">INDEX('Données 1_BD questio'!C:C,MATCH('1_BD questio brut'!$C$1&amp;'1_BD questio brut'!C399,'Données 1_BD questio'!A:A&amp;'Données 1_BD questio'!B:B,0))</f>
        <v>Retraité</v>
      </c>
      <c r="F399" s="191" t="str">
        <f t="array" ref="F399">INDEX('Données 1_BD questio'!C:C,MATCH('1_BD questio brut'!$D$1&amp;'1_BD questio brut'!D399,'Données 1_BD questio'!A:A&amp;'Données 1_BD questio'!B:B,0))</f>
        <v>Profession intermédiaire</v>
      </c>
      <c r="G399" s="191" t="str">
        <f>'1_BD questio brut'!E399</f>
        <v>50 à 64 ans</v>
      </c>
      <c r="H399" s="191">
        <f>'1_BD questio brut'!F399</f>
        <v>2</v>
      </c>
      <c r="I399" s="191" t="str">
        <f>'1_BD questio brut'!G399</f>
        <v>60 000 à 70 000 €</v>
      </c>
      <c r="J399" s="191" t="str">
        <f t="array" ref="J399">INDEX('Données 1_BD questio'!C:C,MATCH('1_BD questio brut'!$H$1&amp;'1_BD questio brut'!H399,'Données 1_BD questio'!A:A&amp;'Données 1_BD questio'!B:B,0))</f>
        <v>Appartement</v>
      </c>
      <c r="K399" s="191">
        <f>'1_BD questio brut'!I399</f>
        <v>100</v>
      </c>
      <c r="L399" s="191" t="str">
        <f>'1_BD questio brut'!J399</f>
        <v>Avant 1949</v>
      </c>
      <c r="M399" s="191" t="str">
        <f>'1_BD questio brut'!K399</f>
        <v>1</v>
      </c>
      <c r="N399" s="191" t="str">
        <f>'1_BD questio brut'!L399</f>
        <v>Ne sait pas</v>
      </c>
      <c r="O399" s="191" t="str">
        <f>'1_BD questio brut'!M399</f>
        <v>Propriétaire occupant</v>
      </c>
      <c r="P399" s="191" t="str">
        <f>'1_BD questio brut'!N399</f>
        <v>Insert / foyer fermé</v>
      </c>
      <c r="Q399" s="191" t="str">
        <f>'1_BD questio brut'!O399</f>
        <v>Chauffage de base</v>
      </c>
      <c r="R399" s="191" t="str">
        <f>'1_BD questio brut'!P399</f>
        <v>Tous les jours</v>
      </c>
      <c r="S399" s="191" t="str">
        <f>'1_BD questio brut'!Q399</f>
        <v>1; 2; 5</v>
      </c>
      <c r="T399" s="191" t="str">
        <f>'1_BD questio brut'!R399</f>
        <v>1996-2002</v>
      </c>
      <c r="U399" s="191" t="str">
        <f>'1_BD questio brut'!S399</f>
        <v>Bois bûche</v>
      </c>
      <c r="V399" s="191" t="str">
        <f>'1_BD questio brut'!T399</f>
        <v/>
      </c>
      <c r="W399" s="191" t="str">
        <f>'1_BD questio brut'!U399</f>
        <v>9 à 11</v>
      </c>
      <c r="X399" s="191" t="str">
        <f>'1_BD questio brut'!V399</f>
        <v>stère</v>
      </c>
      <c r="Y399" s="191" t="str">
        <f>'1_BD questio brut'!W399</f>
        <v>2</v>
      </c>
      <c r="Z399" s="191" t="str">
        <f>'1_BD questio brut'!X399</f>
        <v/>
      </c>
      <c r="AA399" s="191" t="str">
        <f t="array" ref="AA399">INDEX('Données 1_BD questio'!C:C,MATCH('1_BD questio brut'!$Y$1&amp;'1_BD questio brut'!Y399,'Données 1_BD questio'!A:A&amp;'Données 1_BD questio'!B:B,0))</f>
        <v>RA2B</v>
      </c>
      <c r="AB399" s="191" t="str">
        <f>'1_BD questio brut'!Z399</f>
        <v>2</v>
      </c>
      <c r="AC399" s="191" t="str">
        <f>'1_BD questio brut'!AA399</f>
        <v>&gt; 2 ans</v>
      </c>
      <c r="AD399" s="191" t="str">
        <f>'1_BD questio brut'!AB399</f>
        <v>Feuillus</v>
      </c>
      <c r="AE399" s="191" t="str">
        <f t="array" ref="AE399">INDEX('Données 1_BD questio'!C:C,MATCH('1_BD questio brut'!$AC$1&amp;'1_BD questio brut'!AC399,'Données 1_BD questio'!A:A&amp;'Données 1_BD questio'!B:B,0))</f>
        <v>vous-même</v>
      </c>
      <c r="AF399" s="191" t="str">
        <f>'1_BD questio brut'!AD399</f>
        <v>2 fois par an</v>
      </c>
      <c r="AG399" s="191" t="str">
        <f>'1_BD questio brut'!AE399</f>
        <v/>
      </c>
      <c r="AH399" s="191" t="str">
        <f>'1_BD questio brut'!AF399</f>
        <v>Poêle</v>
      </c>
      <c r="AI399" s="191" t="str">
        <f>'1_BD questio brut'!AG399</f>
        <v>2</v>
      </c>
      <c r="AJ399" s="191" t="str">
        <f>'1_BD questio brut'!AH399</f>
        <v/>
      </c>
      <c r="AK399" s="191" t="str">
        <f>'1_BD questio brut'!AI399</f>
        <v>Chauffage de base</v>
      </c>
      <c r="AL399" s="191" t="str">
        <f>'1_BD questio brut'!AJ399</f>
        <v>Pas de réponse</v>
      </c>
      <c r="AM399" s="191" t="str">
        <f>'1_BD questio brut'!AK399</f>
        <v>1; 2</v>
      </c>
      <c r="AN399" s="191" t="str">
        <f>'1_BD questio brut'!AL399</f>
        <v/>
      </c>
      <c r="AO399" s="191" t="str">
        <f>'1_BD questio brut'!AM399</f>
        <v>7</v>
      </c>
      <c r="AP399" s="191" t="str">
        <f>'1_BD questio brut'!AN399</f>
        <v/>
      </c>
      <c r="AQ399" s="191" t="str">
        <f>'1_BD questio brut'!AO399</f>
        <v/>
      </c>
    </row>
    <row r="400" spans="1:43" ht="43.5" hidden="1">
      <c r="A400" s="98">
        <f>INDEX('3_BD instruction total'!A:A,MATCH(C400,'3_BD instruction total'!F:F,0))</f>
        <v>2022</v>
      </c>
      <c r="B400" s="98" t="str">
        <f>INDEX('3_BD instruction total'!C:C,MATCH(C400,'3_BD instruction total'!F:F,0))</f>
        <v>non</v>
      </c>
      <c r="C400" s="191" t="str">
        <f>'1_BD questio brut'!A400</f>
        <v>VRB0431</v>
      </c>
      <c r="D400" s="191" t="str">
        <f t="array" ref="D400">INDEX('Données 1_BD questio'!C:C,MATCH('1_BD questio brut'!$B$1&amp;'1_BD questio brut'!B400,'Données 1_BD questio'!A:A&amp;'Données 1_BD questio'!B:B,0))</f>
        <v>CAPV</v>
      </c>
      <c r="E400" s="191" t="str">
        <f t="array" ref="E400">INDEX('Données 1_BD questio'!C:C,MATCH('1_BD questio brut'!$C$1&amp;'1_BD questio brut'!C400,'Données 1_BD questio'!A:A&amp;'Données 1_BD questio'!B:B,0))</f>
        <v>Employé</v>
      </c>
      <c r="F400" s="191" t="str">
        <f t="array" ref="F400">INDEX('Données 1_BD questio'!C:C,MATCH('1_BD questio brut'!$D$1&amp;'1_BD questio brut'!D400,'Données 1_BD questio'!A:A&amp;'Données 1_BD questio'!B:B,0))</f>
        <v>Employé</v>
      </c>
      <c r="G400" s="191" t="str">
        <f>'1_BD questio brut'!E400</f>
        <v>25 à 34 ans</v>
      </c>
      <c r="H400" s="191">
        <f>'1_BD questio brut'!F400</f>
        <v>2</v>
      </c>
      <c r="I400" s="191" t="str">
        <f>'1_BD questio brut'!G400</f>
        <v>Moins de 20 000 €</v>
      </c>
      <c r="J400" s="191" t="str">
        <f t="array" ref="J400">INDEX('Données 1_BD questio'!C:C,MATCH('1_BD questio brut'!$H$1&amp;'1_BD questio brut'!H400,'Données 1_BD questio'!A:A&amp;'Données 1_BD questio'!B:B,0))</f>
        <v>Maison avec jardin</v>
      </c>
      <c r="K400" s="191">
        <f>'1_BD questio brut'!I400</f>
        <v>130</v>
      </c>
      <c r="L400" s="191" t="str">
        <f>'1_BD questio brut'!J400</f>
        <v>Avant 1949</v>
      </c>
      <c r="M400" s="191" t="str">
        <f>'1_BD questio brut'!K400</f>
        <v>6</v>
      </c>
      <c r="N400" s="191" t="str">
        <f>'1_BD questio brut'!L400</f>
        <v>Pas de réponse</v>
      </c>
      <c r="O400" s="191" t="str">
        <f>'1_BD questio brut'!M400</f>
        <v>Propriétaire occupant</v>
      </c>
      <c r="P400" s="191" t="str">
        <f>'1_BD questio brut'!N400</f>
        <v>Cuisinière</v>
      </c>
      <c r="Q400" s="191" t="str">
        <f>'1_BD questio brut'!O400</f>
        <v>Chauffage de base</v>
      </c>
      <c r="R400" s="191" t="str">
        <f>'1_BD questio brut'!P400</f>
        <v>Tous les jours</v>
      </c>
      <c r="S400" s="191" t="str">
        <f>'1_BD questio brut'!Q400</f>
        <v>4; 5; 6</v>
      </c>
      <c r="T400" s="191" t="str">
        <f>'1_BD questio brut'!R400</f>
        <v>Avant 1990</v>
      </c>
      <c r="U400" s="191" t="str">
        <f>'1_BD questio brut'!S400</f>
        <v>Bois bûche</v>
      </c>
      <c r="V400" s="191" t="str">
        <f>'1_BD questio brut'!T400</f>
        <v/>
      </c>
      <c r="W400" s="191" t="str">
        <f>'1_BD questio brut'!U400</f>
        <v>10</v>
      </c>
      <c r="X400" s="191" t="str">
        <f>'1_BD questio brut'!V400</f>
        <v>Stères</v>
      </c>
      <c r="Y400" s="191" t="str">
        <f>'1_BD questio brut'!W400</f>
        <v>1</v>
      </c>
      <c r="Z400" s="191" t="str">
        <f>'1_BD questio brut'!X400</f>
        <v/>
      </c>
      <c r="AA400" s="191" t="str">
        <f t="array" ref="AA400">INDEX('Données 1_BD questio'!C:C,MATCH('1_BD questio brut'!$Y$1&amp;'1_BD questio brut'!Y400,'Données 1_BD questio'!A:A&amp;'Données 1_BD questio'!B:B,0))</f>
        <v>France hors Rhône-Alpes</v>
      </c>
      <c r="AB400" s="191" t="str">
        <f>'1_BD questio brut'!Z400</f>
        <v>2</v>
      </c>
      <c r="AC400" s="191" t="str">
        <f>'1_BD questio brut'!AA400</f>
        <v>1 à 2 ans</v>
      </c>
      <c r="AD400" s="191" t="str">
        <f>'1_BD questio brut'!AB400</f>
        <v>Les deux</v>
      </c>
      <c r="AE400" s="191" t="str">
        <f t="array" ref="AE400">INDEX('Données 1_BD questio'!C:C,MATCH('1_BD questio brut'!$AC$1&amp;'1_BD questio brut'!AC400,'Données 1_BD questio'!A:A&amp;'Données 1_BD questio'!B:B,0))</f>
        <v>un professionnel</v>
      </c>
      <c r="AF400" s="191" t="str">
        <f>'1_BD questio brut'!AD400</f>
        <v>1 fois par an</v>
      </c>
      <c r="AG400" s="191" t="str">
        <f>'1_BD questio brut'!AE400</f>
        <v/>
      </c>
      <c r="AH400" s="191" t="str">
        <f>'1_BD questio brut'!AF400</f>
        <v>Poêle</v>
      </c>
      <c r="AI400" s="191" t="str">
        <f>'1_BD questio brut'!AG400</f>
        <v>1</v>
      </c>
      <c r="AJ400" s="191" t="str">
        <f>'1_BD questio brut'!AH400</f>
        <v/>
      </c>
      <c r="AK400" s="191" t="str">
        <f>'1_BD questio brut'!AI400</f>
        <v>Chauffage de base</v>
      </c>
      <c r="AL400" s="191" t="str">
        <f>'1_BD questio brut'!AJ400</f>
        <v>Pas de réponse</v>
      </c>
      <c r="AM400" s="191" t="str">
        <f>'1_BD questio brut'!AK400</f>
        <v>2; 4</v>
      </c>
      <c r="AN400" s="191" t="str">
        <f>'1_BD questio brut'!AL400</f>
        <v/>
      </c>
      <c r="AO400" s="191" t="str">
        <f>'1_BD questio brut'!AM400</f>
        <v>5</v>
      </c>
      <c r="AP400" s="191" t="str">
        <f>'1_BD questio brut'!AN400</f>
        <v/>
      </c>
      <c r="AQ400" s="191" t="str">
        <f>'1_BD questio brut'!AO400</f>
        <v/>
      </c>
    </row>
    <row r="401" spans="1:43" ht="43.5" hidden="1">
      <c r="A401" s="98">
        <f>INDEX('3_BD instruction total'!A:A,MATCH(C401,'3_BD instruction total'!F:F,0))</f>
        <v>2022</v>
      </c>
      <c r="B401" s="98" t="str">
        <f>INDEX('3_BD instruction total'!C:C,MATCH(C401,'3_BD instruction total'!F:F,0))</f>
        <v>non</v>
      </c>
      <c r="C401" s="191" t="str">
        <f>'1_BD questio brut'!A401</f>
        <v>VRB0432</v>
      </c>
      <c r="D401" s="191" t="str">
        <f t="array" ref="D401">INDEX('Données 1_BD questio'!C:C,MATCH('1_BD questio brut'!$B$1&amp;'1_BD questio brut'!B401,'Données 1_BD questio'!A:A&amp;'Données 1_BD questio'!B:B,0))</f>
        <v>CAPV</v>
      </c>
      <c r="E401" s="191" t="str">
        <f t="array" ref="E401">INDEX('Données 1_BD questio'!C:C,MATCH('1_BD questio brut'!$C$1&amp;'1_BD questio brut'!C401,'Données 1_BD questio'!A:A&amp;'Données 1_BD questio'!B:B,0))</f>
        <v>Employé</v>
      </c>
      <c r="F401" s="191" t="str">
        <f t="array" ref="F401">INDEX('Données 1_BD questio'!C:C,MATCH('1_BD questio brut'!$D$1&amp;'1_BD questio brut'!D401,'Données 1_BD questio'!A:A&amp;'Données 1_BD questio'!B:B,0))</f>
        <v>Pas de réponse</v>
      </c>
      <c r="G401" s="191" t="str">
        <f>'1_BD questio brut'!E401</f>
        <v>35 à 49 ans</v>
      </c>
      <c r="H401" s="191">
        <f>'1_BD questio brut'!F401</f>
        <v>1</v>
      </c>
      <c r="I401" s="191" t="str">
        <f>'1_BD questio brut'!G401</f>
        <v>Moins de 20 000 €</v>
      </c>
      <c r="J401" s="191" t="str">
        <f t="array" ref="J401">INDEX('Données 1_BD questio'!C:C,MATCH('1_BD questio brut'!$H$1&amp;'1_BD questio brut'!H401,'Données 1_BD questio'!A:A&amp;'Données 1_BD questio'!B:B,0))</f>
        <v>Maison avec jardin</v>
      </c>
      <c r="K401" s="191">
        <f>'1_BD questio brut'!I401</f>
        <v>100</v>
      </c>
      <c r="L401" s="191" t="str">
        <f>'1_BD questio brut'!J401</f>
        <v>1990-2005</v>
      </c>
      <c r="M401" s="191" t="str">
        <f>'1_BD questio brut'!K401</f>
        <v>4</v>
      </c>
      <c r="N401" s="191" t="str">
        <f>'1_BD questio brut'!L401</f>
        <v>Pas de réponse</v>
      </c>
      <c r="O401" s="191" t="str">
        <f>'1_BD questio brut'!M401</f>
        <v>Propriétaire occupant</v>
      </c>
      <c r="P401" s="191" t="str">
        <f>'1_BD questio brut'!N401</f>
        <v>Insert / foyer fermé</v>
      </c>
      <c r="Q401" s="191" t="str">
        <f>'1_BD questio brut'!O401</f>
        <v>Chauffage d'apoint</v>
      </c>
      <c r="R401" s="191" t="str">
        <f>'1_BD questio brut'!P401</f>
        <v>1 à 2 jours/semaine</v>
      </c>
      <c r="S401" s="191" t="str">
        <f>'1_BD questio brut'!Q401</f>
        <v>3; 4</v>
      </c>
      <c r="T401" s="191" t="str">
        <f>'1_BD questio brut'!R401</f>
        <v>1996-2002</v>
      </c>
      <c r="U401" s="191" t="str">
        <f>'1_BD questio brut'!S401</f>
        <v>Bois bûche</v>
      </c>
      <c r="V401" s="191" t="str">
        <f>'1_BD questio brut'!T401</f>
        <v/>
      </c>
      <c r="W401" s="191" t="str">
        <f>'1_BD questio brut'!U401</f>
        <v>0,7</v>
      </c>
      <c r="X401" s="191" t="str">
        <f>'1_BD questio brut'!V401</f>
        <v>M3</v>
      </c>
      <c r="Y401" s="191" t="str">
        <f>'1_BD questio brut'!W401</f>
        <v>1</v>
      </c>
      <c r="Z401" s="191" t="str">
        <f>'1_BD questio brut'!X401</f>
        <v/>
      </c>
      <c r="AA401" s="191" t="str">
        <f t="array" ref="AA401">INDEX('Données 1_BD questio'!C:C,MATCH('1_BD questio brut'!$Y$1&amp;'1_BD questio brut'!Y401,'Données 1_BD questio'!A:A&amp;'Données 1_BD questio'!B:B,0))</f>
        <v>Ne sait pas</v>
      </c>
      <c r="AB401" s="191" t="str">
        <f>'1_BD questio brut'!Z401</f>
        <v>2</v>
      </c>
      <c r="AC401" s="191" t="str">
        <f>'1_BD questio brut'!AA401</f>
        <v>&gt; 2 ans</v>
      </c>
      <c r="AD401" s="191" t="str">
        <f>'1_BD questio brut'!AB401</f>
        <v>Feuillus</v>
      </c>
      <c r="AE401" s="191" t="str">
        <f t="array" ref="AE401">INDEX('Données 1_BD questio'!C:C,MATCH('1_BD questio brut'!$AC$1&amp;'1_BD questio brut'!AC401,'Données 1_BD questio'!A:A&amp;'Données 1_BD questio'!B:B,0))</f>
        <v>un professionnel</v>
      </c>
      <c r="AF401" s="191" t="str">
        <f>'1_BD questio brut'!AD401</f>
        <v>1 fois par an</v>
      </c>
      <c r="AG401" s="191" t="str">
        <f>'1_BD questio brut'!AE401</f>
        <v/>
      </c>
      <c r="AH401" s="191" t="str">
        <f>'1_BD questio brut'!AF401</f>
        <v>Poêle</v>
      </c>
      <c r="AI401" s="191" t="str">
        <f>'1_BD questio brut'!AG401</f>
        <v>1</v>
      </c>
      <c r="AJ401" s="191" t="str">
        <f>'1_BD questio brut'!AH401</f>
        <v/>
      </c>
      <c r="AK401" s="191" t="str">
        <f>'1_BD questio brut'!AI401</f>
        <v>Chauffage d'appoint</v>
      </c>
      <c r="AL401" s="191" t="str">
        <f>'1_BD questio brut'!AJ401</f>
        <v>Pas de réponse</v>
      </c>
      <c r="AM401" s="191" t="str">
        <f>'1_BD questio brut'!AK401</f>
        <v>2</v>
      </c>
      <c r="AN401" s="191" t="str">
        <f>'1_BD questio brut'!AL401</f>
        <v/>
      </c>
      <c r="AO401" s="191" t="str">
        <f>'1_BD questio brut'!AM401</f>
        <v>5</v>
      </c>
      <c r="AP401" s="191" t="str">
        <f>'1_BD questio brut'!AN401</f>
        <v/>
      </c>
      <c r="AQ401" s="191" t="str">
        <f>'1_BD questio brut'!AO401</f>
        <v/>
      </c>
    </row>
    <row r="402" spans="1:43" ht="43.5" hidden="1">
      <c r="A402" s="98">
        <f>INDEX('3_BD instruction total'!A:A,MATCH(C402,'3_BD instruction total'!F:F,0))</f>
        <v>2022</v>
      </c>
      <c r="B402" s="98" t="str">
        <f>INDEX('3_BD instruction total'!C:C,MATCH(C402,'3_BD instruction total'!F:F,0))</f>
        <v>non</v>
      </c>
      <c r="C402" s="191" t="str">
        <f>'1_BD questio brut'!A402</f>
        <v>VRB0434</v>
      </c>
      <c r="D402" s="191" t="str">
        <f t="array" ref="D402">INDEX('Données 1_BD questio'!C:C,MATCH('1_BD questio brut'!$B$1&amp;'1_BD questio brut'!B402,'Données 1_BD questio'!A:A&amp;'Données 1_BD questio'!B:B,0))</f>
        <v>CAPV</v>
      </c>
      <c r="E402" s="191" t="str">
        <f t="array" ref="E402">INDEX('Données 1_BD questio'!C:C,MATCH('1_BD questio brut'!$C$1&amp;'1_BD questio brut'!C402,'Données 1_BD questio'!A:A&amp;'Données 1_BD questio'!B:B,0))</f>
        <v>Retraité</v>
      </c>
      <c r="F402" s="191" t="str">
        <f t="array" ref="F402">INDEX('Données 1_BD questio'!C:C,MATCH('1_BD questio brut'!$D$1&amp;'1_BD questio brut'!D402,'Données 1_BD questio'!A:A&amp;'Données 1_BD questio'!B:B,0))</f>
        <v>Retraité</v>
      </c>
      <c r="G402" s="191" t="str">
        <f>'1_BD questio brut'!E402</f>
        <v>65 ans et plus</v>
      </c>
      <c r="H402" s="191">
        <f>'1_BD questio brut'!F402</f>
        <v>2</v>
      </c>
      <c r="I402" s="191" t="str">
        <f>'1_BD questio brut'!G402</f>
        <v>20 000 à 30 000 €</v>
      </c>
      <c r="J402" s="191" t="str">
        <f t="array" ref="J402">INDEX('Données 1_BD questio'!C:C,MATCH('1_BD questio brut'!$H$1&amp;'1_BD questio brut'!H402,'Données 1_BD questio'!A:A&amp;'Données 1_BD questio'!B:B,0))</f>
        <v>Maison avec jardin</v>
      </c>
      <c r="K402" s="191">
        <f>'1_BD questio brut'!I402</f>
        <v>64</v>
      </c>
      <c r="L402" s="191" t="str">
        <f>'1_BD questio brut'!J402</f>
        <v>1975-1990</v>
      </c>
      <c r="M402" s="191" t="str">
        <f>'1_BD questio brut'!K402</f>
        <v>6</v>
      </c>
      <c r="N402" s="191" t="str">
        <f>'1_BD questio brut'!L402</f>
        <v>Pas de réponse</v>
      </c>
      <c r="O402" s="191" t="str">
        <f>'1_BD questio brut'!M402</f>
        <v>Propriétaire occupant</v>
      </c>
      <c r="P402" s="191" t="str">
        <f>'1_BD questio brut'!N402</f>
        <v>Insert / foyer fermé</v>
      </c>
      <c r="Q402" s="191" t="str">
        <f>'1_BD questio brut'!O402</f>
        <v>Chauffage de base</v>
      </c>
      <c r="R402" s="191" t="str">
        <f>'1_BD questio brut'!P402</f>
        <v>Tous les jours</v>
      </c>
      <c r="S402" s="191" t="str">
        <f>'1_BD questio brut'!Q402</f>
        <v>4</v>
      </c>
      <c r="T402" s="191" t="str">
        <f>'1_BD questio brut'!R402</f>
        <v>Avant 1990</v>
      </c>
      <c r="U402" s="191" t="str">
        <f>'1_BD questio brut'!S402</f>
        <v>Bois bûche</v>
      </c>
      <c r="V402" s="191" t="str">
        <f>'1_BD questio brut'!T402</f>
        <v/>
      </c>
      <c r="W402" s="191" t="str">
        <f>'1_BD questio brut'!U402</f>
        <v>5</v>
      </c>
      <c r="X402" s="191" t="str">
        <f>'1_BD questio brut'!V402</f>
        <v>stère</v>
      </c>
      <c r="Y402" s="191" t="str">
        <f>'1_BD questio brut'!W402</f>
        <v>2</v>
      </c>
      <c r="Z402" s="191" t="str">
        <f>'1_BD questio brut'!X402</f>
        <v/>
      </c>
      <c r="AA402" s="191" t="str">
        <f t="array" ref="AA402">INDEX('Données 1_BD questio'!C:C,MATCH('1_BD questio brut'!$Y$1&amp;'1_BD questio brut'!Y402,'Données 1_BD questio'!A:A&amp;'Données 1_BD questio'!B:B,0))</f>
        <v>RA2B</v>
      </c>
      <c r="AB402" s="191" t="str">
        <f>'1_BD questio brut'!Z402</f>
        <v>2</v>
      </c>
      <c r="AC402" s="191" t="str">
        <f>'1_BD questio brut'!AA402</f>
        <v>&lt; 1 an</v>
      </c>
      <c r="AD402" s="191" t="str">
        <f>'1_BD questio brut'!AB402</f>
        <v>Les deux</v>
      </c>
      <c r="AE402" s="191" t="str">
        <f t="array" ref="AE402">INDEX('Données 1_BD questio'!C:C,MATCH('1_BD questio brut'!$AC$1&amp;'1_BD questio brut'!AC402,'Données 1_BD questio'!A:A&amp;'Données 1_BD questio'!B:B,0))</f>
        <v>un professionnel</v>
      </c>
      <c r="AF402" s="191" t="str">
        <f>'1_BD questio brut'!AD402</f>
        <v>1 fois par an</v>
      </c>
      <c r="AG402" s="191" t="str">
        <f>'1_BD questio brut'!AE402</f>
        <v/>
      </c>
      <c r="AH402" s="191" t="str">
        <f>'1_BD questio brut'!AF402</f>
        <v>Poêle</v>
      </c>
      <c r="AI402" s="191" t="str">
        <f>'1_BD questio brut'!AG402</f>
        <v>1</v>
      </c>
      <c r="AJ402" s="191" t="str">
        <f>'1_BD questio brut'!AH402</f>
        <v/>
      </c>
      <c r="AK402" s="191" t="str">
        <f>'1_BD questio brut'!AI402</f>
        <v>Chauffage de base</v>
      </c>
      <c r="AL402" s="191" t="str">
        <f>'1_BD questio brut'!AJ402</f>
        <v>Pas de réponse</v>
      </c>
      <c r="AM402" s="191" t="str">
        <f>'1_BD questio brut'!AK402</f>
        <v>6</v>
      </c>
      <c r="AN402" s="191" t="str">
        <f>'1_BD questio brut'!AL402</f>
        <v/>
      </c>
      <c r="AO402" s="191" t="str">
        <f>'1_BD questio brut'!AM402</f>
        <v>5</v>
      </c>
      <c r="AP402" s="191" t="str">
        <f>'1_BD questio brut'!AN402</f>
        <v/>
      </c>
      <c r="AQ402" s="191" t="str">
        <f>'1_BD questio brut'!AO402</f>
        <v/>
      </c>
    </row>
    <row r="403" spans="1:43" ht="29" hidden="1">
      <c r="A403" s="98">
        <f>INDEX('3_BD instruction total'!A:A,MATCH(C403,'3_BD instruction total'!F:F,0))</f>
        <v>2022</v>
      </c>
      <c r="B403" s="98" t="str">
        <f>INDEX('3_BD instruction total'!C:C,MATCH(C403,'3_BD instruction total'!F:F,0))</f>
        <v>non</v>
      </c>
      <c r="C403" s="191" t="str">
        <f>'1_BD questio brut'!A403</f>
        <v>VRB0436</v>
      </c>
      <c r="D403" s="191" t="str">
        <f t="array" ref="D403">INDEX('Données 1_BD questio'!C:C,MATCH('1_BD questio brut'!$B$1&amp;'1_BD questio brut'!B403,'Données 1_BD questio'!A:A&amp;'Données 1_BD questio'!B:B,0))</f>
        <v>CAPV</v>
      </c>
      <c r="E403" s="191" t="str">
        <f t="array" ref="E403">INDEX('Données 1_BD questio'!C:C,MATCH('1_BD questio brut'!$C$1&amp;'1_BD questio brut'!C403,'Données 1_BD questio'!A:A&amp;'Données 1_BD questio'!B:B,0))</f>
        <v>Retraité</v>
      </c>
      <c r="F403" s="191" t="str">
        <f t="array" ref="F403">INDEX('Données 1_BD questio'!C:C,MATCH('1_BD questio brut'!$D$1&amp;'1_BD questio brut'!D403,'Données 1_BD questio'!A:A&amp;'Données 1_BD questio'!B:B,0))</f>
        <v>Pas de réponse</v>
      </c>
      <c r="G403" s="191" t="str">
        <f>'1_BD questio brut'!E403</f>
        <v>65 ans et plus</v>
      </c>
      <c r="H403" s="191">
        <f>'1_BD questio brut'!F403</f>
        <v>1</v>
      </c>
      <c r="I403" s="191" t="str">
        <f>'1_BD questio brut'!G403</f>
        <v>20 000 à 30 000 €</v>
      </c>
      <c r="J403" s="191" t="str">
        <f t="array" ref="J403">INDEX('Données 1_BD questio'!C:C,MATCH('1_BD questio brut'!$H$1&amp;'1_BD questio brut'!H403,'Données 1_BD questio'!A:A&amp;'Données 1_BD questio'!B:B,0))</f>
        <v>Maison avec jardin</v>
      </c>
      <c r="K403" s="191">
        <f>'1_BD questio brut'!I403</f>
        <v>113</v>
      </c>
      <c r="L403" s="191" t="str">
        <f>'1_BD questio brut'!J403</f>
        <v>1975-1990</v>
      </c>
      <c r="M403" s="191" t="str">
        <f>'1_BD questio brut'!K403</f>
        <v>6</v>
      </c>
      <c r="N403" s="191" t="str">
        <f>'1_BD questio brut'!L403</f>
        <v>D</v>
      </c>
      <c r="O403" s="191" t="str">
        <f>'1_BD questio brut'!M403</f>
        <v>Propriétaire occupant</v>
      </c>
      <c r="P403" s="191" t="str">
        <f>'1_BD questio brut'!N403</f>
        <v>Insert / foyer fermé</v>
      </c>
      <c r="Q403" s="191" t="str">
        <f>'1_BD questio brut'!O403</f>
        <v>Chauffage d'apoint</v>
      </c>
      <c r="R403" s="191" t="str">
        <f>'1_BD questio brut'!P403</f>
        <v>Jamais</v>
      </c>
      <c r="S403" s="191" t="str">
        <f>'1_BD questio brut'!Q403</f>
        <v>7</v>
      </c>
      <c r="T403" s="191" t="str">
        <f>'1_BD questio brut'!R403</f>
        <v>Avant 1990</v>
      </c>
      <c r="U403" s="191" t="str">
        <f>'1_BD questio brut'!S403</f>
        <v>Bois bûche</v>
      </c>
      <c r="V403" s="191" t="str">
        <f>'1_BD questio brut'!T403</f>
        <v/>
      </c>
      <c r="W403" s="191" t="str">
        <f>'1_BD questio brut'!U403</f>
        <v>0</v>
      </c>
      <c r="X403" s="191" t="str">
        <f>'1_BD questio brut'!V403</f>
        <v/>
      </c>
      <c r="Y403" s="191" t="str">
        <f>'1_BD questio brut'!W403</f>
        <v>5</v>
      </c>
      <c r="Z403" s="191" t="str">
        <f>'1_BD questio brut'!X403</f>
        <v/>
      </c>
      <c r="AA403" s="191" t="str">
        <f t="array" ref="AA403">INDEX('Données 1_BD questio'!C:C,MATCH('1_BD questio brut'!$Y$1&amp;'1_BD questio brut'!Y403,'Données 1_BD questio'!A:A&amp;'Données 1_BD questio'!B:B,0))</f>
        <v>Pas de réponse</v>
      </c>
      <c r="AB403" s="191" t="str">
        <f>'1_BD questio brut'!Z403</f>
        <v>4</v>
      </c>
      <c r="AC403" s="191" t="str">
        <f>'1_BD questio brut'!AA403</f>
        <v>Pas de réponse</v>
      </c>
      <c r="AD403" s="191" t="str">
        <f>'1_BD questio brut'!AB403</f>
        <v>Pas de réponse</v>
      </c>
      <c r="AE403" s="191" t="str">
        <f t="array" ref="AE403">INDEX('Données 1_BD questio'!C:C,MATCH('1_BD questio brut'!$AC$1&amp;'1_BD questio brut'!AC403,'Données 1_BD questio'!A:A&amp;'Données 1_BD questio'!B:B,0))</f>
        <v>Pas de réponse</v>
      </c>
      <c r="AF403" s="191" t="str">
        <f>'1_BD questio brut'!AD403</f>
        <v>Pas de réponse</v>
      </c>
      <c r="AG403" s="191" t="str">
        <f>'1_BD questio brut'!AE403</f>
        <v>Non utilisé actuellement car trop compliqué</v>
      </c>
      <c r="AH403" s="191" t="str">
        <f>'1_BD questio brut'!AF403</f>
        <v>Poêle</v>
      </c>
      <c r="AI403" s="191" t="str">
        <f>'1_BD questio brut'!AG403</f>
        <v>2</v>
      </c>
      <c r="AJ403" s="191" t="str">
        <f>'1_BD questio brut'!AH403</f>
        <v/>
      </c>
      <c r="AK403" s="191" t="str">
        <f>'1_BD questio brut'!AI403</f>
        <v>Chauffage d'appoint</v>
      </c>
      <c r="AL403" s="191" t="str">
        <f>'1_BD questio brut'!AJ403</f>
        <v>Pas de réponse</v>
      </c>
      <c r="AM403" s="191" t="str">
        <f>'1_BD questio brut'!AK403</f>
        <v>6</v>
      </c>
      <c r="AN403" s="191" t="str">
        <f>'1_BD questio brut'!AL403</f>
        <v>facilité d'utilisation</v>
      </c>
      <c r="AO403" s="191" t="str">
        <f>'1_BD questio brut'!AM403</f>
        <v>5</v>
      </c>
      <c r="AP403" s="191" t="str">
        <f>'1_BD questio brut'!AN403</f>
        <v/>
      </c>
      <c r="AQ403" s="191" t="str">
        <f>'1_BD questio brut'!AO403</f>
        <v/>
      </c>
    </row>
    <row r="404" spans="1:43" ht="43.5" hidden="1">
      <c r="A404" s="98">
        <f>INDEX('3_BD instruction total'!A:A,MATCH(C404,'3_BD instruction total'!F:F,0))</f>
        <v>2022</v>
      </c>
      <c r="B404" s="98" t="str">
        <f>INDEX('3_BD instruction total'!C:C,MATCH(C404,'3_BD instruction total'!F:F,0))</f>
        <v>non</v>
      </c>
      <c r="C404" s="191" t="str">
        <f>'1_BD questio brut'!A404</f>
        <v>VRB0437</v>
      </c>
      <c r="D404" s="191" t="str">
        <f t="array" ref="D404">INDEX('Données 1_BD questio'!C:C,MATCH('1_BD questio brut'!$B$1&amp;'1_BD questio brut'!B404,'Données 1_BD questio'!A:A&amp;'Données 1_BD questio'!B:B,0))</f>
        <v>CAPV</v>
      </c>
      <c r="E404" s="191" t="str">
        <f t="array" ref="E404">INDEX('Données 1_BD questio'!C:C,MATCH('1_BD questio brut'!$C$1&amp;'1_BD questio brut'!C404,'Données 1_BD questio'!A:A&amp;'Données 1_BD questio'!B:B,0))</f>
        <v>Employé</v>
      </c>
      <c r="F404" s="191" t="str">
        <f t="array" ref="F404">INDEX('Données 1_BD questio'!C:C,MATCH('1_BD questio brut'!$D$1&amp;'1_BD questio brut'!D404,'Données 1_BD questio'!A:A&amp;'Données 1_BD questio'!B:B,0))</f>
        <v>Employé</v>
      </c>
      <c r="G404" s="191" t="str">
        <f>'1_BD questio brut'!E404</f>
        <v>25 à 34 ans</v>
      </c>
      <c r="H404" s="191">
        <f>'1_BD questio brut'!F404</f>
        <v>3</v>
      </c>
      <c r="I404" s="191" t="str">
        <f>'1_BD questio brut'!G404</f>
        <v>40 000 à 50 000 €</v>
      </c>
      <c r="J404" s="191" t="str">
        <f t="array" ref="J404">INDEX('Données 1_BD questio'!C:C,MATCH('1_BD questio brut'!$H$1&amp;'1_BD questio brut'!H404,'Données 1_BD questio'!A:A&amp;'Données 1_BD questio'!B:B,0))</f>
        <v>Maison avec jardin</v>
      </c>
      <c r="K404" s="191">
        <f>'1_BD questio brut'!I404</f>
        <v>120</v>
      </c>
      <c r="L404" s="191" t="str">
        <f>'1_BD questio brut'!J404</f>
        <v>1990-2005</v>
      </c>
      <c r="M404" s="191" t="str">
        <f>'1_BD questio brut'!K404</f>
        <v>1</v>
      </c>
      <c r="N404" s="191" t="str">
        <f>'1_BD questio brut'!L404</f>
        <v>D</v>
      </c>
      <c r="O404" s="191" t="str">
        <f>'1_BD questio brut'!M404</f>
        <v>Propriétaire occupant</v>
      </c>
      <c r="P404" s="191" t="str">
        <f>'1_BD questio brut'!N404</f>
        <v>Insert / foyer fermé</v>
      </c>
      <c r="Q404" s="191" t="str">
        <f>'1_BD questio brut'!O404</f>
        <v>Chauffage de base</v>
      </c>
      <c r="R404" s="191" t="str">
        <f>'1_BD questio brut'!P404</f>
        <v>Tous les jours</v>
      </c>
      <c r="S404" s="191" t="str">
        <f>'1_BD questio brut'!Q404</f>
        <v>2</v>
      </c>
      <c r="T404" s="191" t="str">
        <f>'1_BD questio brut'!R404</f>
        <v>1996-2002</v>
      </c>
      <c r="U404" s="191" t="str">
        <f>'1_BD questio brut'!S404</f>
        <v>Bois bûche</v>
      </c>
      <c r="V404" s="191" t="str">
        <f>'1_BD questio brut'!T404</f>
        <v/>
      </c>
      <c r="W404" s="191" t="str">
        <f>'1_BD questio brut'!U404</f>
        <v>10</v>
      </c>
      <c r="X404" s="191" t="str">
        <f>'1_BD questio brut'!V404</f>
        <v>stère</v>
      </c>
      <c r="Y404" s="191" t="str">
        <f>'1_BD questio brut'!W404</f>
        <v>2</v>
      </c>
      <c r="Z404" s="191" t="str">
        <f>'1_BD questio brut'!X404</f>
        <v/>
      </c>
      <c r="AA404" s="191" t="str">
        <f t="array" ref="AA404">INDEX('Données 1_BD questio'!C:C,MATCH('1_BD questio brut'!$Y$1&amp;'1_BD questio brut'!Y404,'Données 1_BD questio'!A:A&amp;'Données 1_BD questio'!B:B,0))</f>
        <v>Rhône-Alpes hors RA2B</v>
      </c>
      <c r="AB404" s="191" t="str">
        <f>'1_BD questio brut'!Z404</f>
        <v>2</v>
      </c>
      <c r="AC404" s="191" t="str">
        <f>'1_BD questio brut'!AA404</f>
        <v>&gt; 2 ans</v>
      </c>
      <c r="AD404" s="191" t="str">
        <f>'1_BD questio brut'!AB404</f>
        <v>Feuillus</v>
      </c>
      <c r="AE404" s="191" t="str">
        <f t="array" ref="AE404">INDEX('Données 1_BD questio'!C:C,MATCH('1_BD questio brut'!$AC$1&amp;'1_BD questio brut'!AC404,'Données 1_BD questio'!A:A&amp;'Données 1_BD questio'!B:B,0))</f>
        <v>un professionnel</v>
      </c>
      <c r="AF404" s="191" t="str">
        <f>'1_BD questio brut'!AD404</f>
        <v>2 fois par an</v>
      </c>
      <c r="AG404" s="191" t="str">
        <f>'1_BD questio brut'!AE404</f>
        <v/>
      </c>
      <c r="AH404" s="191" t="str">
        <f>'1_BD questio brut'!AF404</f>
        <v>Poêle</v>
      </c>
      <c r="AI404" s="191" t="str">
        <f>'1_BD questio brut'!AG404</f>
        <v>1</v>
      </c>
      <c r="AJ404" s="191" t="str">
        <f>'1_BD questio brut'!AH404</f>
        <v/>
      </c>
      <c r="AK404" s="191" t="str">
        <f>'1_BD questio brut'!AI404</f>
        <v>Chauffage de base</v>
      </c>
      <c r="AL404" s="191" t="str">
        <f>'1_BD questio brut'!AJ404</f>
        <v>Pas de réponse</v>
      </c>
      <c r="AM404" s="191" t="str">
        <f>'1_BD questio brut'!AK404</f>
        <v>1; 2; 4; 5</v>
      </c>
      <c r="AN404" s="191" t="str">
        <f>'1_BD questio brut'!AL404</f>
        <v/>
      </c>
      <c r="AO404" s="191" t="str">
        <f>'1_BD questio brut'!AM404</f>
        <v>1</v>
      </c>
      <c r="AP404" s="191" t="str">
        <f>'1_BD questio brut'!AN404</f>
        <v/>
      </c>
      <c r="AQ404" s="191" t="str">
        <f>'1_BD questio brut'!AO404</f>
        <v/>
      </c>
    </row>
    <row r="405" spans="1:43" ht="29" hidden="1">
      <c r="A405" s="98">
        <f>INDEX('3_BD instruction total'!A:A,MATCH(C405,'3_BD instruction total'!F:F,0))</f>
        <v>2022</v>
      </c>
      <c r="B405" s="98" t="str">
        <f>INDEX('3_BD instruction total'!C:C,MATCH(C405,'3_BD instruction total'!F:F,0))</f>
        <v>non</v>
      </c>
      <c r="C405" s="191" t="str">
        <f>'1_BD questio brut'!A405</f>
        <v>VRB0438</v>
      </c>
      <c r="D405" s="191" t="str">
        <f t="array" ref="D405">INDEX('Données 1_BD questio'!C:C,MATCH('1_BD questio brut'!$B$1&amp;'1_BD questio brut'!B405,'Données 1_BD questio'!A:A&amp;'Données 1_BD questio'!B:B,0))</f>
        <v>CAPV</v>
      </c>
      <c r="E405" s="191" t="str">
        <f t="array" ref="E405">INDEX('Données 1_BD questio'!C:C,MATCH('1_BD questio brut'!$C$1&amp;'1_BD questio brut'!C405,'Données 1_BD questio'!A:A&amp;'Données 1_BD questio'!B:B,0))</f>
        <v>Retraité</v>
      </c>
      <c r="F405" s="191" t="str">
        <f t="array" ref="F405">INDEX('Données 1_BD questio'!C:C,MATCH('1_BD questio brut'!$D$1&amp;'1_BD questio brut'!D405,'Données 1_BD questio'!A:A&amp;'Données 1_BD questio'!B:B,0))</f>
        <v>Retraité</v>
      </c>
      <c r="G405" s="191" t="str">
        <f>'1_BD questio brut'!E405</f>
        <v>65 ans et plus</v>
      </c>
      <c r="H405" s="191">
        <f>'1_BD questio brut'!F405</f>
        <v>3</v>
      </c>
      <c r="I405" s="191" t="str">
        <f>'1_BD questio brut'!G405</f>
        <v>40 000 à 50 000 €</v>
      </c>
      <c r="J405" s="191" t="str">
        <f t="array" ref="J405">INDEX('Données 1_BD questio'!C:C,MATCH('1_BD questio brut'!$H$1&amp;'1_BD questio brut'!H405,'Données 1_BD questio'!A:A&amp;'Données 1_BD questio'!B:B,0))</f>
        <v>Maison avec jardin</v>
      </c>
      <c r="K405" s="191">
        <f>'1_BD questio brut'!I405</f>
        <v>140</v>
      </c>
      <c r="L405" s="191" t="str">
        <f>'1_BD questio brut'!J405</f>
        <v>Avant 1949</v>
      </c>
      <c r="M405" s="191" t="str">
        <f>'1_BD questio brut'!K405</f>
        <v>2; 4</v>
      </c>
      <c r="N405" s="191" t="str">
        <f>'1_BD questio brut'!L405</f>
        <v>Ne sait pas</v>
      </c>
      <c r="O405" s="191" t="str">
        <f>'1_BD questio brut'!M405</f>
        <v>Propriétaire occupant</v>
      </c>
      <c r="P405" s="191" t="str">
        <f>'1_BD questio brut'!N405</f>
        <v>Chaudière</v>
      </c>
      <c r="Q405" s="191" t="str">
        <f>'1_BD questio brut'!O405</f>
        <v>Chauffage de base</v>
      </c>
      <c r="R405" s="191" t="str">
        <f>'1_BD questio brut'!P405</f>
        <v>Tous les jours</v>
      </c>
      <c r="S405" s="191" t="str">
        <f>'1_BD questio brut'!Q405</f>
        <v>4</v>
      </c>
      <c r="T405" s="191" t="str">
        <f>'1_BD questio brut'!R405</f>
        <v>1990-1995</v>
      </c>
      <c r="U405" s="191" t="str">
        <f>'1_BD questio brut'!S405</f>
        <v>Bois bûche</v>
      </c>
      <c r="V405" s="191" t="str">
        <f>'1_BD questio brut'!T405</f>
        <v/>
      </c>
      <c r="W405" s="191" t="str">
        <f>'1_BD questio brut'!U405</f>
        <v>20 à 25</v>
      </c>
      <c r="X405" s="191" t="str">
        <f>'1_BD questio brut'!V405</f>
        <v>stère</v>
      </c>
      <c r="Y405" s="191" t="str">
        <f>'1_BD questio brut'!W405</f>
        <v>1</v>
      </c>
      <c r="Z405" s="191" t="str">
        <f>'1_BD questio brut'!X405</f>
        <v/>
      </c>
      <c r="AA405" s="191" t="str">
        <f t="array" ref="AA405">INDEX('Données 1_BD questio'!C:C,MATCH('1_BD questio brut'!$Y$1&amp;'1_BD questio brut'!Y405,'Données 1_BD questio'!A:A&amp;'Données 1_BD questio'!B:B,0))</f>
        <v>Rhône-Alpes hors RA2B</v>
      </c>
      <c r="AB405" s="191" t="str">
        <f>'1_BD questio brut'!Z405</f>
        <v>1</v>
      </c>
      <c r="AC405" s="191" t="str">
        <f>'1_BD questio brut'!AA405</f>
        <v>&gt; 2 ans</v>
      </c>
      <c r="AD405" s="191" t="str">
        <f>'1_BD questio brut'!AB405</f>
        <v>Feuillus</v>
      </c>
      <c r="AE405" s="191" t="str">
        <f t="array" ref="AE405">INDEX('Données 1_BD questio'!C:C,MATCH('1_BD questio brut'!$AC$1&amp;'1_BD questio brut'!AC405,'Données 1_BD questio'!A:A&amp;'Données 1_BD questio'!B:B,0))</f>
        <v>vous-même</v>
      </c>
      <c r="AF405" s="191" t="str">
        <f>'1_BD questio brut'!AD405</f>
        <v>1 fois par an</v>
      </c>
      <c r="AG405" s="191" t="str">
        <f>'1_BD questio brut'!AE405</f>
        <v/>
      </c>
      <c r="AH405" s="191" t="str">
        <f>'1_BD questio brut'!AF405</f>
        <v>Chaudière</v>
      </c>
      <c r="AI405" s="191" t="str">
        <f>'1_BD questio brut'!AG405</f>
        <v>2</v>
      </c>
      <c r="AJ405" s="191" t="str">
        <f>'1_BD questio brut'!AH405</f>
        <v/>
      </c>
      <c r="AK405" s="191" t="str">
        <f>'1_BD questio brut'!AI405</f>
        <v>Chauffage de base</v>
      </c>
      <c r="AL405" s="191" t="str">
        <f>'1_BD questio brut'!AJ405</f>
        <v>Pas de réponse</v>
      </c>
      <c r="AM405" s="191" t="str">
        <f>'1_BD questio brut'!AK405</f>
        <v>1; 2; 4; 5</v>
      </c>
      <c r="AN405" s="191" t="str">
        <f>'1_BD questio brut'!AL405</f>
        <v/>
      </c>
      <c r="AO405" s="191" t="str">
        <f>'1_BD questio brut'!AM405</f>
        <v>5</v>
      </c>
      <c r="AP405" s="191" t="str">
        <f>'1_BD questio brut'!AN405</f>
        <v/>
      </c>
      <c r="AQ405" s="191" t="str">
        <f>'1_BD questio brut'!AO405</f>
        <v/>
      </c>
    </row>
    <row r="406" spans="1:43" ht="43.5" hidden="1">
      <c r="A406" s="98">
        <f>INDEX('3_BD instruction total'!A:A,MATCH(C406,'3_BD instruction total'!F:F,0))</f>
        <v>2022</v>
      </c>
      <c r="B406" s="98" t="str">
        <f>INDEX('3_BD instruction total'!C:C,MATCH(C406,'3_BD instruction total'!F:F,0))</f>
        <v>non</v>
      </c>
      <c r="C406" s="191" t="str">
        <f>'1_BD questio brut'!A406</f>
        <v>VRB0439</v>
      </c>
      <c r="D406" s="191" t="str">
        <f t="array" ref="D406">INDEX('Données 1_BD questio'!C:C,MATCH('1_BD questio brut'!$B$1&amp;'1_BD questio brut'!B406,'Données 1_BD questio'!A:A&amp;'Données 1_BD questio'!B:B,0))</f>
        <v>CAPV</v>
      </c>
      <c r="E406" s="191" t="str">
        <f t="array" ref="E406">INDEX('Données 1_BD questio'!C:C,MATCH('1_BD questio brut'!$C$1&amp;'1_BD questio brut'!C406,'Données 1_BD questio'!A:A&amp;'Données 1_BD questio'!B:B,0))</f>
        <v>Employé</v>
      </c>
      <c r="F406" s="191" t="str">
        <f t="array" ref="F406">INDEX('Données 1_BD questio'!C:C,MATCH('1_BD questio brut'!$D$1&amp;'1_BD questio brut'!D406,'Données 1_BD questio'!A:A&amp;'Données 1_BD questio'!B:B,0))</f>
        <v>Employé</v>
      </c>
      <c r="G406" s="191" t="str">
        <f>'1_BD questio brut'!E406</f>
        <v>35 à 49 ans</v>
      </c>
      <c r="H406" s="191">
        <f>'1_BD questio brut'!F406</f>
        <v>4</v>
      </c>
      <c r="I406" s="191" t="str">
        <f>'1_BD questio brut'!G406</f>
        <v>50 000 à 60 000 €</v>
      </c>
      <c r="J406" s="191" t="str">
        <f t="array" ref="J406">INDEX('Données 1_BD questio'!C:C,MATCH('1_BD questio brut'!$H$1&amp;'1_BD questio brut'!H406,'Données 1_BD questio'!A:A&amp;'Données 1_BD questio'!B:B,0))</f>
        <v>Maison avec jardin</v>
      </c>
      <c r="K406" s="191">
        <f>'1_BD questio brut'!I406</f>
        <v>150</v>
      </c>
      <c r="L406" s="191" t="str">
        <f>'1_BD questio brut'!J406</f>
        <v>1975-1990</v>
      </c>
      <c r="M406" s="191" t="str">
        <f>'1_BD questio brut'!K406</f>
        <v>6</v>
      </c>
      <c r="N406" s="191" t="str">
        <f>'1_BD questio brut'!L406</f>
        <v>F</v>
      </c>
      <c r="O406" s="191" t="str">
        <f>'1_BD questio brut'!M406</f>
        <v>Propriétaire occupant</v>
      </c>
      <c r="P406" s="191" t="str">
        <f>'1_BD questio brut'!N406</f>
        <v>Insert / foyer fermé</v>
      </c>
      <c r="Q406" s="191" t="str">
        <f>'1_BD questio brut'!O406</f>
        <v>Chauffage d'apoint</v>
      </c>
      <c r="R406" s="191" t="str">
        <f>'1_BD questio brut'!P406</f>
        <v>3 à 4 jours/semaine</v>
      </c>
      <c r="S406" s="191" t="str">
        <f>'1_BD questio brut'!Q406</f>
        <v>2; 4; 6</v>
      </c>
      <c r="T406" s="191" t="str">
        <f>'1_BD questio brut'!R406</f>
        <v>Avant 1990</v>
      </c>
      <c r="U406" s="191" t="str">
        <f>'1_BD questio brut'!S406</f>
        <v>Bois bûche</v>
      </c>
      <c r="V406" s="191" t="str">
        <f>'1_BD questio brut'!T406</f>
        <v/>
      </c>
      <c r="W406" s="191" t="str">
        <f>'1_BD questio brut'!U406</f>
        <v>6</v>
      </c>
      <c r="X406" s="191" t="str">
        <f>'1_BD questio brut'!V406</f>
        <v>stère</v>
      </c>
      <c r="Y406" s="191" t="str">
        <f>'1_BD questio brut'!W406</f>
        <v>2</v>
      </c>
      <c r="Z406" s="191" t="str">
        <f>'1_BD questio brut'!X406</f>
        <v/>
      </c>
      <c r="AA406" s="191" t="str">
        <f t="array" ref="AA406">INDEX('Données 1_BD questio'!C:C,MATCH('1_BD questio brut'!$Y$1&amp;'1_BD questio brut'!Y406,'Données 1_BD questio'!A:A&amp;'Données 1_BD questio'!B:B,0))</f>
        <v>Ne sait pas</v>
      </c>
      <c r="AB406" s="191" t="str">
        <f>'1_BD questio brut'!Z406</f>
        <v>2</v>
      </c>
      <c r="AC406" s="191" t="str">
        <f>'1_BD questio brut'!AA406</f>
        <v>&lt; 1 an</v>
      </c>
      <c r="AD406" s="191" t="str">
        <f>'1_BD questio brut'!AB406</f>
        <v>Résineux</v>
      </c>
      <c r="AE406" s="191" t="str">
        <f t="array" ref="AE406">INDEX('Données 1_BD questio'!C:C,MATCH('1_BD questio brut'!$AC$1&amp;'1_BD questio brut'!AC406,'Données 1_BD questio'!A:A&amp;'Données 1_BD questio'!B:B,0))</f>
        <v>un professionnel</v>
      </c>
      <c r="AF406" s="191" t="str">
        <f>'1_BD questio brut'!AD406</f>
        <v>2 fois par an</v>
      </c>
      <c r="AG406" s="191" t="str">
        <f>'1_BD questio brut'!AE406</f>
        <v/>
      </c>
      <c r="AH406" s="191" t="str">
        <f>'1_BD questio brut'!AF406</f>
        <v>Poêle</v>
      </c>
      <c r="AI406" s="191" t="str">
        <f>'1_BD questio brut'!AG406</f>
        <v>2</v>
      </c>
      <c r="AJ406" s="191" t="str">
        <f>'1_BD questio brut'!AH406</f>
        <v/>
      </c>
      <c r="AK406" s="191" t="str">
        <f>'1_BD questio brut'!AI406</f>
        <v>Chauffage de base</v>
      </c>
      <c r="AL406" s="191" t="str">
        <f>'1_BD questio brut'!AJ406</f>
        <v>Pas de réponse</v>
      </c>
      <c r="AM406" s="191" t="str">
        <f>'1_BD questio brut'!AK406</f>
        <v>5</v>
      </c>
      <c r="AN406" s="191" t="str">
        <f>'1_BD questio brut'!AL406</f>
        <v/>
      </c>
      <c r="AO406" s="191" t="str">
        <f>'1_BD questio brut'!AM406</f>
        <v>5</v>
      </c>
      <c r="AP406" s="191" t="str">
        <f>'1_BD questio brut'!AN406</f>
        <v/>
      </c>
      <c r="AQ406" s="191" t="str">
        <f>'1_BD questio brut'!AO406</f>
        <v/>
      </c>
    </row>
    <row r="407" spans="1:43" ht="43.5" hidden="1">
      <c r="A407" s="98">
        <f>INDEX('3_BD instruction total'!A:A,MATCH(C407,'3_BD instruction total'!F:F,0))</f>
        <v>2022</v>
      </c>
      <c r="B407" s="98" t="str">
        <f>INDEX('3_BD instruction total'!C:C,MATCH(C407,'3_BD instruction total'!F:F,0))</f>
        <v>non</v>
      </c>
      <c r="C407" s="191" t="str">
        <f>'1_BD questio brut'!A407</f>
        <v>VRB0440</v>
      </c>
      <c r="D407" s="191" t="str">
        <f t="array" ref="D407">INDEX('Données 1_BD questio'!C:C,MATCH('1_BD questio brut'!$B$1&amp;'1_BD questio brut'!B407,'Données 1_BD questio'!A:A&amp;'Données 1_BD questio'!B:B,0))</f>
        <v>CAPV</v>
      </c>
      <c r="E407" s="191" t="str">
        <f t="array" ref="E407">INDEX('Données 1_BD questio'!C:C,MATCH('1_BD questio brut'!$C$1&amp;'1_BD questio brut'!C407,'Données 1_BD questio'!A:A&amp;'Données 1_BD questio'!B:B,0))</f>
        <v>Employé</v>
      </c>
      <c r="F407" s="191" t="str">
        <f t="array" ref="F407">INDEX('Données 1_BD questio'!C:C,MATCH('1_BD questio brut'!$D$1&amp;'1_BD questio brut'!D407,'Données 1_BD questio'!A:A&amp;'Données 1_BD questio'!B:B,0))</f>
        <v>Employé</v>
      </c>
      <c r="G407" s="191" t="str">
        <f>'1_BD questio brut'!E407</f>
        <v>50 à 64 ans</v>
      </c>
      <c r="H407" s="191">
        <f>'1_BD questio brut'!F407</f>
        <v>4</v>
      </c>
      <c r="I407" s="191" t="str">
        <f>'1_BD questio brut'!G407</f>
        <v>30 000 à 40 000 €</v>
      </c>
      <c r="J407" s="191" t="str">
        <f t="array" ref="J407">INDEX('Données 1_BD questio'!C:C,MATCH('1_BD questio brut'!$H$1&amp;'1_BD questio brut'!H407,'Données 1_BD questio'!A:A&amp;'Données 1_BD questio'!B:B,0))</f>
        <v>Maison avec jardin</v>
      </c>
      <c r="K407" s="191">
        <f>'1_BD questio brut'!I407</f>
        <v>140</v>
      </c>
      <c r="L407" s="191" t="str">
        <f>'1_BD questio brut'!J407</f>
        <v>Avant 1949</v>
      </c>
      <c r="M407" s="191" t="str">
        <f>'1_BD questio brut'!K407</f>
        <v>4</v>
      </c>
      <c r="N407" s="191" t="str">
        <f>'1_BD questio brut'!L407</f>
        <v>Pas de réponse</v>
      </c>
      <c r="O407" s="191" t="str">
        <f>'1_BD questio brut'!M407</f>
        <v>Propriétaire occupant</v>
      </c>
      <c r="P407" s="191" t="str">
        <f>'1_BD questio brut'!N407</f>
        <v>Poêle</v>
      </c>
      <c r="Q407" s="191" t="str">
        <f>'1_BD questio brut'!O407</f>
        <v>Chauffage d'apoint</v>
      </c>
      <c r="R407" s="191" t="str">
        <f>'1_BD questio brut'!P407</f>
        <v>1 à 2 jours/semaine</v>
      </c>
      <c r="S407" s="191" t="str">
        <f>'1_BD questio brut'!Q407</f>
        <v>3; 6</v>
      </c>
      <c r="T407" s="191" t="str">
        <f>'1_BD questio brut'!R407</f>
        <v>Pas de réponse</v>
      </c>
      <c r="U407" s="191" t="str">
        <f>'1_BD questio brut'!S407</f>
        <v>Bois bûche</v>
      </c>
      <c r="V407" s="191" t="str">
        <f>'1_BD questio brut'!T407</f>
        <v/>
      </c>
      <c r="W407" s="191" t="str">
        <f>'1_BD questio brut'!U407</f>
        <v>4</v>
      </c>
      <c r="X407" s="191" t="str">
        <f>'1_BD questio brut'!V407</f>
        <v>stère</v>
      </c>
      <c r="Y407" s="191" t="str">
        <f>'1_BD questio brut'!W407</f>
        <v>2</v>
      </c>
      <c r="Z407" s="191" t="str">
        <f>'1_BD questio brut'!X407</f>
        <v/>
      </c>
      <c r="AA407" s="191" t="str">
        <f t="array" ref="AA407">INDEX('Données 1_BD questio'!C:C,MATCH('1_BD questio brut'!$Y$1&amp;'1_BD questio brut'!Y407,'Données 1_BD questio'!A:A&amp;'Données 1_BD questio'!B:B,0))</f>
        <v>Ne sait pas</v>
      </c>
      <c r="AB407" s="191" t="str">
        <f>'1_BD questio brut'!Z407</f>
        <v>2</v>
      </c>
      <c r="AC407" s="191" t="str">
        <f>'1_BD questio brut'!AA407</f>
        <v>&gt; 2 ans</v>
      </c>
      <c r="AD407" s="191" t="str">
        <f>'1_BD questio brut'!AB407</f>
        <v>Les deux</v>
      </c>
      <c r="AE407" s="191" t="str">
        <f t="array" ref="AE407">INDEX('Données 1_BD questio'!C:C,MATCH('1_BD questio brut'!$AC$1&amp;'1_BD questio brut'!AC407,'Données 1_BD questio'!A:A&amp;'Données 1_BD questio'!B:B,0))</f>
        <v>vous-même</v>
      </c>
      <c r="AF407" s="191" t="str">
        <f>'1_BD questio brut'!AD407</f>
        <v>1 fois par an</v>
      </c>
      <c r="AG407" s="191" t="str">
        <f>'1_BD questio brut'!AE407</f>
        <v/>
      </c>
      <c r="AH407" s="191" t="str">
        <f>'1_BD questio brut'!AF407</f>
        <v>Poêle</v>
      </c>
      <c r="AI407" s="191" t="str">
        <f>'1_BD questio brut'!AG407</f>
        <v>2</v>
      </c>
      <c r="AJ407" s="191" t="str">
        <f>'1_BD questio brut'!AH407</f>
        <v/>
      </c>
      <c r="AK407" s="191" t="str">
        <f>'1_BD questio brut'!AI407</f>
        <v>Chauffage d'appoint</v>
      </c>
      <c r="AL407" s="191" t="str">
        <f>'1_BD questio brut'!AJ407</f>
        <v>Pas de réponse</v>
      </c>
      <c r="AM407" s="191" t="str">
        <f>'1_BD questio brut'!AK407</f>
        <v>2; 4; 5</v>
      </c>
      <c r="AN407" s="191" t="str">
        <f>'1_BD questio brut'!AL407</f>
        <v/>
      </c>
      <c r="AO407" s="191" t="str">
        <f>'1_BD questio brut'!AM407</f>
        <v>2; 7</v>
      </c>
      <c r="AP407" s="191" t="str">
        <f>'1_BD questio brut'!AN407</f>
        <v/>
      </c>
      <c r="AQ407" s="191" t="str">
        <f>'1_BD questio brut'!AO407</f>
        <v/>
      </c>
    </row>
    <row r="408" spans="1:43" ht="43.5" hidden="1">
      <c r="A408" s="98">
        <f>INDEX('3_BD instruction total'!A:A,MATCH(C408,'3_BD instruction total'!F:F,0))</f>
        <v>2022</v>
      </c>
      <c r="B408" s="98" t="str">
        <f>INDEX('3_BD instruction total'!C:C,MATCH(C408,'3_BD instruction total'!F:F,0))</f>
        <v>non</v>
      </c>
      <c r="C408" s="191" t="str">
        <f>'1_BD questio brut'!A408</f>
        <v>VRB0441</v>
      </c>
      <c r="D408" s="191" t="str">
        <f t="array" ref="D408">INDEX('Données 1_BD questio'!C:C,MATCH('1_BD questio brut'!$B$1&amp;'1_BD questio brut'!B408,'Données 1_BD questio'!A:A&amp;'Données 1_BD questio'!B:B,0))</f>
        <v>CAPV</v>
      </c>
      <c r="E408" s="191" t="str">
        <f t="array" ref="E408">INDEX('Données 1_BD questio'!C:C,MATCH('1_BD questio brut'!$C$1&amp;'1_BD questio brut'!C408,'Données 1_BD questio'!A:A&amp;'Données 1_BD questio'!B:B,0))</f>
        <v>Retraité</v>
      </c>
      <c r="F408" s="191" t="str">
        <f t="array" ref="F408">INDEX('Données 1_BD questio'!C:C,MATCH('1_BD questio brut'!$D$1&amp;'1_BD questio brut'!D408,'Données 1_BD questio'!A:A&amp;'Données 1_BD questio'!B:B,0))</f>
        <v>Pas de réponse</v>
      </c>
      <c r="G408" s="191" t="str">
        <f>'1_BD questio brut'!E408</f>
        <v>65 ans et plus</v>
      </c>
      <c r="H408" s="191">
        <f>'1_BD questio brut'!F408</f>
        <v>1</v>
      </c>
      <c r="I408" s="191" t="str">
        <f>'1_BD questio brut'!G408</f>
        <v>20 000 à 30 000 €</v>
      </c>
      <c r="J408" s="191" t="str">
        <f t="array" ref="J408">INDEX('Données 1_BD questio'!C:C,MATCH('1_BD questio brut'!$H$1&amp;'1_BD questio brut'!H408,'Données 1_BD questio'!A:A&amp;'Données 1_BD questio'!B:B,0))</f>
        <v>Maison avec jardin</v>
      </c>
      <c r="K408" s="191">
        <f>'1_BD questio brut'!I408</f>
        <v>84</v>
      </c>
      <c r="L408" s="191" t="str">
        <f>'1_BD questio brut'!J408</f>
        <v>1975-1990</v>
      </c>
      <c r="M408" s="191" t="str">
        <f>'1_BD questio brut'!K408</f>
        <v>6</v>
      </c>
      <c r="N408" s="191" t="str">
        <f>'1_BD questio brut'!L408</f>
        <v>Pas de réponse</v>
      </c>
      <c r="O408" s="191" t="str">
        <f>'1_BD questio brut'!M408</f>
        <v>Propriétaire occupant</v>
      </c>
      <c r="P408" s="191" t="str">
        <f>'1_BD questio brut'!N408</f>
        <v>Insert / foyer fermé</v>
      </c>
      <c r="Q408" s="191" t="str">
        <f>'1_BD questio brut'!O408</f>
        <v>Chauffage de base</v>
      </c>
      <c r="R408" s="191" t="str">
        <f>'1_BD questio brut'!P408</f>
        <v>Tous les jours</v>
      </c>
      <c r="S408" s="191" t="str">
        <f>'1_BD questio brut'!Q408</f>
        <v>1; 2; 4; 5</v>
      </c>
      <c r="T408" s="191" t="str">
        <f>'1_BD questio brut'!R408</f>
        <v>Avant 1990</v>
      </c>
      <c r="U408" s="191" t="str">
        <f>'1_BD questio brut'!S408</f>
        <v>Bois bûche</v>
      </c>
      <c r="V408" s="191" t="str">
        <f>'1_BD questio brut'!T408</f>
        <v/>
      </c>
      <c r="W408" s="191" t="str">
        <f>'1_BD questio brut'!U408</f>
        <v>5 - 7</v>
      </c>
      <c r="X408" s="191" t="str">
        <f>'1_BD questio brut'!V408</f>
        <v>stère</v>
      </c>
      <c r="Y408" s="191" t="str">
        <f>'1_BD questio brut'!W408</f>
        <v>2</v>
      </c>
      <c r="Z408" s="191" t="str">
        <f>'1_BD questio brut'!X408</f>
        <v/>
      </c>
      <c r="AA408" s="191" t="str">
        <f t="array" ref="AA408">INDEX('Données 1_BD questio'!C:C,MATCH('1_BD questio brut'!$Y$1&amp;'1_BD questio brut'!Y408,'Données 1_BD questio'!A:A&amp;'Données 1_BD questio'!B:B,0))</f>
        <v>France hors Rhône-Alpes</v>
      </c>
      <c r="AB408" s="191" t="str">
        <f>'1_BD questio brut'!Z408</f>
        <v>2</v>
      </c>
      <c r="AC408" s="191" t="str">
        <f>'1_BD questio brut'!AA408</f>
        <v>&gt; 2 ans</v>
      </c>
      <c r="AD408" s="191" t="str">
        <f>'1_BD questio brut'!AB408</f>
        <v>Feuillus</v>
      </c>
      <c r="AE408" s="191" t="str">
        <f t="array" ref="AE408">INDEX('Données 1_BD questio'!C:C,MATCH('1_BD questio brut'!$AC$1&amp;'1_BD questio brut'!AC408,'Données 1_BD questio'!A:A&amp;'Données 1_BD questio'!B:B,0))</f>
        <v>un professionnel</v>
      </c>
      <c r="AF408" s="191" t="str">
        <f>'1_BD questio brut'!AD408</f>
        <v>1 fois par an</v>
      </c>
      <c r="AG408" s="191" t="str">
        <f>'1_BD questio brut'!AE408</f>
        <v/>
      </c>
      <c r="AH408" s="191" t="str">
        <f>'1_BD questio brut'!AF408</f>
        <v>Poêle</v>
      </c>
      <c r="AI408" s="191" t="str">
        <f>'1_BD questio brut'!AG408</f>
        <v>1</v>
      </c>
      <c r="AJ408" s="191" t="str">
        <f>'1_BD questio brut'!AH408</f>
        <v/>
      </c>
      <c r="AK408" s="191" t="str">
        <f>'1_BD questio brut'!AI408</f>
        <v>Chauffage de base</v>
      </c>
      <c r="AL408" s="191" t="str">
        <f>'1_BD questio brut'!AJ408</f>
        <v>Pas de réponse</v>
      </c>
      <c r="AM408" s="191" t="str">
        <f>'1_BD questio brut'!AK408</f>
        <v>2; 4</v>
      </c>
      <c r="AN408" s="191" t="str">
        <f>'1_BD questio brut'!AL408</f>
        <v/>
      </c>
      <c r="AO408" s="191" t="str">
        <f>'1_BD questio brut'!AM408</f>
        <v>7</v>
      </c>
      <c r="AP408" s="191" t="str">
        <f>'1_BD questio brut'!AN408</f>
        <v/>
      </c>
      <c r="AQ408" s="191" t="str">
        <f>'1_BD questio brut'!AO408</f>
        <v/>
      </c>
    </row>
    <row r="409" spans="1:43" ht="43.5" hidden="1">
      <c r="A409" s="98">
        <f>INDEX('3_BD instruction total'!A:A,MATCH(C409,'3_BD instruction total'!F:F,0))</f>
        <v>2022</v>
      </c>
      <c r="B409" s="98" t="str">
        <f>INDEX('3_BD instruction total'!C:C,MATCH(C409,'3_BD instruction total'!F:F,0))</f>
        <v>non</v>
      </c>
      <c r="C409" s="191" t="str">
        <f>'1_BD questio brut'!A409</f>
        <v>VRB0442</v>
      </c>
      <c r="D409" s="191" t="str">
        <f t="array" ref="D409">INDEX('Données 1_BD questio'!C:C,MATCH('1_BD questio brut'!$B$1&amp;'1_BD questio brut'!B409,'Données 1_BD questio'!A:A&amp;'Données 1_BD questio'!B:B,0))</f>
        <v>CAPV</v>
      </c>
      <c r="E409" s="191" t="str">
        <f t="array" ref="E409">INDEX('Données 1_BD questio'!C:C,MATCH('1_BD questio brut'!$C$1&amp;'1_BD questio brut'!C409,'Données 1_BD questio'!A:A&amp;'Données 1_BD questio'!B:B,0))</f>
        <v>Employé</v>
      </c>
      <c r="F409" s="191" t="str">
        <f t="array" ref="F409">INDEX('Données 1_BD questio'!C:C,MATCH('1_BD questio brut'!$D$1&amp;'1_BD questio brut'!D409,'Données 1_BD questio'!A:A&amp;'Données 1_BD questio'!B:B,0))</f>
        <v>Employé</v>
      </c>
      <c r="G409" s="191" t="str">
        <f>'1_BD questio brut'!E409</f>
        <v>35 à 49 ans</v>
      </c>
      <c r="H409" s="191">
        <f>'1_BD questio brut'!F409</f>
        <v>4</v>
      </c>
      <c r="I409" s="191" t="str">
        <f>'1_BD questio brut'!G409</f>
        <v>40 000 à 50 000 €</v>
      </c>
      <c r="J409" s="191" t="str">
        <f t="array" ref="J409">INDEX('Données 1_BD questio'!C:C,MATCH('1_BD questio brut'!$H$1&amp;'1_BD questio brut'!H409,'Données 1_BD questio'!A:A&amp;'Données 1_BD questio'!B:B,0))</f>
        <v>Maison sans jardin</v>
      </c>
      <c r="K409" s="191">
        <f>'1_BD questio brut'!I409</f>
        <v>120</v>
      </c>
      <c r="L409" s="191" t="str">
        <f>'1_BD questio brut'!J409</f>
        <v>Avant 1949</v>
      </c>
      <c r="M409" s="191" t="str">
        <f>'1_BD questio brut'!K409</f>
        <v>2</v>
      </c>
      <c r="N409" s="191" t="str">
        <f>'1_BD questio brut'!L409</f>
        <v>F</v>
      </c>
      <c r="O409" s="191" t="str">
        <f>'1_BD questio brut'!M409</f>
        <v>Propriétaire occupant</v>
      </c>
      <c r="P409" s="191" t="str">
        <f>'1_BD questio brut'!N409</f>
        <v>Poêle</v>
      </c>
      <c r="Q409" s="191" t="str">
        <f>'1_BD questio brut'!O409</f>
        <v>Chauffage de base</v>
      </c>
      <c r="R409" s="191" t="str">
        <f>'1_BD questio brut'!P409</f>
        <v>Moins de 15 fois par an</v>
      </c>
      <c r="S409" s="191" t="str">
        <f>'1_BD questio brut'!Q409</f>
        <v>1; 2</v>
      </c>
      <c r="T409" s="191" t="str">
        <f>'1_BD questio brut'!R409</f>
        <v>1996-2002</v>
      </c>
      <c r="U409" s="191" t="str">
        <f>'1_BD questio brut'!S409</f>
        <v>Bois bûche</v>
      </c>
      <c r="V409" s="191" t="str">
        <f>'1_BD questio brut'!T409</f>
        <v/>
      </c>
      <c r="W409" s="191" t="str">
        <f>'1_BD questio brut'!U409</f>
        <v/>
      </c>
      <c r="X409" s="191" t="str">
        <f>'1_BD questio brut'!V409</f>
        <v/>
      </c>
      <c r="Y409" s="191" t="str">
        <f>'1_BD questio brut'!W409</f>
        <v>2</v>
      </c>
      <c r="Z409" s="191" t="str">
        <f>'1_BD questio brut'!X409</f>
        <v/>
      </c>
      <c r="AA409" s="191" t="str">
        <f t="array" ref="AA409">INDEX('Données 1_BD questio'!C:C,MATCH('1_BD questio brut'!$Y$1&amp;'1_BD questio brut'!Y409,'Données 1_BD questio'!A:A&amp;'Données 1_BD questio'!B:B,0))</f>
        <v>Ne sait pas</v>
      </c>
      <c r="AB409" s="191" t="str">
        <f>'1_BD questio brut'!Z409</f>
        <v>1</v>
      </c>
      <c r="AC409" s="191" t="str">
        <f>'1_BD questio brut'!AA409</f>
        <v>&lt; 1 an</v>
      </c>
      <c r="AD409" s="191" t="str">
        <f>'1_BD questio brut'!AB409</f>
        <v>Les deux</v>
      </c>
      <c r="AE409" s="191" t="str">
        <f t="array" ref="AE409">INDEX('Données 1_BD questio'!C:C,MATCH('1_BD questio brut'!$AC$1&amp;'1_BD questio brut'!AC409,'Données 1_BD questio'!A:A&amp;'Données 1_BD questio'!B:B,0))</f>
        <v>un professionnel</v>
      </c>
      <c r="AF409" s="191" t="str">
        <f>'1_BD questio brut'!AD409</f>
        <v>2 fois par an</v>
      </c>
      <c r="AG409" s="191" t="str">
        <f>'1_BD questio brut'!AE409</f>
        <v/>
      </c>
      <c r="AH409" s="191" t="str">
        <f>'1_BD questio brut'!AF409</f>
        <v>Poêle</v>
      </c>
      <c r="AI409" s="191" t="str">
        <f>'1_BD questio brut'!AG409</f>
        <v>1</v>
      </c>
      <c r="AJ409" s="191" t="str">
        <f>'1_BD questio brut'!AH409</f>
        <v/>
      </c>
      <c r="AK409" s="191" t="str">
        <f>'1_BD questio brut'!AI409</f>
        <v>Chauffage de base</v>
      </c>
      <c r="AL409" s="191" t="str">
        <f>'1_BD questio brut'!AJ409</f>
        <v>Pas de réponse</v>
      </c>
      <c r="AM409" s="191" t="str">
        <f>'1_BD questio brut'!AK409</f>
        <v>2; 4</v>
      </c>
      <c r="AN409" s="191" t="str">
        <f>'1_BD questio brut'!AL409</f>
        <v/>
      </c>
      <c r="AO409" s="191" t="str">
        <f>'1_BD questio brut'!AM409</f>
        <v>7</v>
      </c>
      <c r="AP409" s="191" t="str">
        <f>'1_BD questio brut'!AN409</f>
        <v/>
      </c>
      <c r="AQ409" s="191" t="str">
        <f>'1_BD questio brut'!AO409</f>
        <v/>
      </c>
    </row>
    <row r="410" spans="1:43" ht="43.5" hidden="1">
      <c r="A410" s="98">
        <f>INDEX('3_BD instruction total'!A:A,MATCH(C410,'3_BD instruction total'!F:F,0))</f>
        <v>2022</v>
      </c>
      <c r="B410" s="98" t="str">
        <f>INDEX('3_BD instruction total'!C:C,MATCH(C410,'3_BD instruction total'!F:F,0))</f>
        <v>non</v>
      </c>
      <c r="C410" s="191" t="str">
        <f>'1_BD questio brut'!A410</f>
        <v>VRB0443</v>
      </c>
      <c r="D410" s="191" t="str">
        <f t="array" ref="D410">INDEX('Données 1_BD questio'!C:C,MATCH('1_BD questio brut'!$B$1&amp;'1_BD questio brut'!B410,'Données 1_BD questio'!A:A&amp;'Données 1_BD questio'!B:B,0))</f>
        <v>CAPV</v>
      </c>
      <c r="E410" s="191" t="str">
        <f t="array" ref="E410">INDEX('Données 1_BD questio'!C:C,MATCH('1_BD questio brut'!$C$1&amp;'1_BD questio brut'!C410,'Données 1_BD questio'!A:A&amp;'Données 1_BD questio'!B:B,0))</f>
        <v>Retraité</v>
      </c>
      <c r="F410" s="191" t="str">
        <f t="array" ref="F410">INDEX('Données 1_BD questio'!C:C,MATCH('1_BD questio brut'!$D$1&amp;'1_BD questio brut'!D410,'Données 1_BD questio'!A:A&amp;'Données 1_BD questio'!B:B,0))</f>
        <v>Pas de réponse</v>
      </c>
      <c r="G410" s="191" t="str">
        <f>'1_BD questio brut'!E410</f>
        <v>65 ans et plus</v>
      </c>
      <c r="H410" s="191">
        <f>'1_BD questio brut'!F410</f>
        <v>1</v>
      </c>
      <c r="I410" s="191" t="str">
        <f>'1_BD questio brut'!G410</f>
        <v>Moins de 20 000 €</v>
      </c>
      <c r="J410" s="191" t="str">
        <f t="array" ref="J410">INDEX('Données 1_BD questio'!C:C,MATCH('1_BD questio brut'!$H$1&amp;'1_BD questio brut'!H410,'Données 1_BD questio'!A:A&amp;'Données 1_BD questio'!B:B,0))</f>
        <v>Maison avec jardin</v>
      </c>
      <c r="K410" s="191">
        <f>'1_BD questio brut'!I410</f>
        <v>100</v>
      </c>
      <c r="L410" s="191" t="str">
        <f>'1_BD questio brut'!J410</f>
        <v>Avant 1949</v>
      </c>
      <c r="M410" s="191" t="str">
        <f>'1_BD questio brut'!K410</f>
        <v>6</v>
      </c>
      <c r="N410" s="191" t="str">
        <f>'1_BD questio brut'!L410</f>
        <v>Pas de réponse</v>
      </c>
      <c r="O410" s="191" t="str">
        <f>'1_BD questio brut'!M410</f>
        <v>Propriétaire occupant</v>
      </c>
      <c r="P410" s="191" t="str">
        <f>'1_BD questio brut'!N410</f>
        <v>Poêle</v>
      </c>
      <c r="Q410" s="191" t="str">
        <f>'1_BD questio brut'!O410</f>
        <v>Chauffage de base</v>
      </c>
      <c r="R410" s="191" t="str">
        <f>'1_BD questio brut'!P410</f>
        <v>Tous les jours</v>
      </c>
      <c r="S410" s="191" t="str">
        <f>'1_BD questio brut'!Q410</f>
        <v>4</v>
      </c>
      <c r="T410" s="191" t="str">
        <f>'1_BD questio brut'!R410</f>
        <v>Avant 1990</v>
      </c>
      <c r="U410" s="191" t="str">
        <f>'1_BD questio brut'!S410</f>
        <v>Bois bûche</v>
      </c>
      <c r="V410" s="191" t="str">
        <f>'1_BD questio brut'!T410</f>
        <v/>
      </c>
      <c r="W410" s="191" t="str">
        <f>'1_BD questio brut'!U410</f>
        <v>3</v>
      </c>
      <c r="X410" s="191" t="str">
        <f>'1_BD questio brut'!V410</f>
        <v>stères</v>
      </c>
      <c r="Y410" s="191" t="str">
        <f>'1_BD questio brut'!W410</f>
        <v>3</v>
      </c>
      <c r="Z410" s="191" t="str">
        <f>'1_BD questio brut'!X410</f>
        <v/>
      </c>
      <c r="AA410" s="191" t="str">
        <f t="array" ref="AA410">INDEX('Données 1_BD questio'!C:C,MATCH('1_BD questio brut'!$Y$1&amp;'1_BD questio brut'!Y410,'Données 1_BD questio'!A:A&amp;'Données 1_BD questio'!B:B,0))</f>
        <v>Ne sait pas</v>
      </c>
      <c r="AB410" s="191" t="str">
        <f>'1_BD questio brut'!Z410</f>
        <v>2</v>
      </c>
      <c r="AC410" s="191" t="str">
        <f>'1_BD questio brut'!AA410</f>
        <v>&lt; 1 an</v>
      </c>
      <c r="AD410" s="191" t="str">
        <f>'1_BD questio brut'!AB410</f>
        <v>Feuillus</v>
      </c>
      <c r="AE410" s="191" t="str">
        <f t="array" ref="AE410">INDEX('Données 1_BD questio'!C:C,MATCH('1_BD questio brut'!$AC$1&amp;'1_BD questio brut'!AC410,'Données 1_BD questio'!A:A&amp;'Données 1_BD questio'!B:B,0))</f>
        <v>un professionnel</v>
      </c>
      <c r="AF410" s="191" t="str">
        <f>'1_BD questio brut'!AD410</f>
        <v>1 fois par an</v>
      </c>
      <c r="AG410" s="191" t="str">
        <f>'1_BD questio brut'!AE410</f>
        <v/>
      </c>
      <c r="AH410" s="191" t="str">
        <f>'1_BD questio brut'!AF410</f>
        <v>Poêle</v>
      </c>
      <c r="AI410" s="191" t="str">
        <f>'1_BD questio brut'!AG410</f>
        <v>2</v>
      </c>
      <c r="AJ410" s="191" t="str">
        <f>'1_BD questio brut'!AH410</f>
        <v/>
      </c>
      <c r="AK410" s="191" t="str">
        <f>'1_BD questio brut'!AI410</f>
        <v>Chauffage de base</v>
      </c>
      <c r="AL410" s="191" t="str">
        <f>'1_BD questio brut'!AJ410</f>
        <v>Pas de réponse</v>
      </c>
      <c r="AM410" s="191" t="str">
        <f>'1_BD questio brut'!AK410</f>
        <v>1; 2; 4; 5</v>
      </c>
      <c r="AN410" s="191" t="str">
        <f>'1_BD questio brut'!AL410</f>
        <v/>
      </c>
      <c r="AO410" s="191" t="str">
        <f>'1_BD questio brut'!AM410</f>
        <v>5; 7</v>
      </c>
      <c r="AP410" s="191" t="str">
        <f>'1_BD questio brut'!AN410</f>
        <v/>
      </c>
      <c r="AQ410" s="191" t="str">
        <f>'1_BD questio brut'!AO410</f>
        <v/>
      </c>
    </row>
    <row r="411" spans="1:43" ht="43.5" hidden="1">
      <c r="A411" s="98">
        <f>INDEX('3_BD instruction total'!A:A,MATCH(C411,'3_BD instruction total'!F:F,0))</f>
        <v>2022</v>
      </c>
      <c r="B411" s="98" t="str">
        <f>INDEX('3_BD instruction total'!C:C,MATCH(C411,'3_BD instruction total'!F:F,0))</f>
        <v>non</v>
      </c>
      <c r="C411" s="191" t="str">
        <f>'1_BD questio brut'!A411</f>
        <v>VRB0444</v>
      </c>
      <c r="D411" s="191" t="str">
        <f t="array" ref="D411">INDEX('Données 1_BD questio'!C:C,MATCH('1_BD questio brut'!$B$1&amp;'1_BD questio brut'!B411,'Données 1_BD questio'!A:A&amp;'Données 1_BD questio'!B:B,0))</f>
        <v>CAPV</v>
      </c>
      <c r="E411" s="191" t="str">
        <f t="array" ref="E411">INDEX('Données 1_BD questio'!C:C,MATCH('1_BD questio brut'!$C$1&amp;'1_BD questio brut'!C411,'Données 1_BD questio'!A:A&amp;'Données 1_BD questio'!B:B,0))</f>
        <v>Profession intermédiaire</v>
      </c>
      <c r="F411" s="191" t="str">
        <f t="array" ref="F411">INDEX('Données 1_BD questio'!C:C,MATCH('1_BD questio brut'!$D$1&amp;'1_BD questio brut'!D411,'Données 1_BD questio'!A:A&amp;'Données 1_BD questio'!B:B,0))</f>
        <v>Pas de réponse</v>
      </c>
      <c r="G411" s="191" t="str">
        <f>'1_BD questio brut'!E411</f>
        <v>50 à 64 ans</v>
      </c>
      <c r="H411" s="191">
        <f>'1_BD questio brut'!F411</f>
        <v>2</v>
      </c>
      <c r="I411" s="191" t="str">
        <f>'1_BD questio brut'!G411</f>
        <v>30 000 à 40 000 €</v>
      </c>
      <c r="J411" s="191" t="str">
        <f t="array" ref="J411">INDEX('Données 1_BD questio'!C:C,MATCH('1_BD questio brut'!$H$1&amp;'1_BD questio brut'!H411,'Données 1_BD questio'!A:A&amp;'Données 1_BD questio'!B:B,0))</f>
        <v>Maison avec jardin</v>
      </c>
      <c r="K411" s="191">
        <f>'1_BD questio brut'!I411</f>
        <v>100</v>
      </c>
      <c r="L411" s="191" t="str">
        <f>'1_BD questio brut'!J411</f>
        <v>1990-2005</v>
      </c>
      <c r="M411" s="191" t="str">
        <f>'1_BD questio brut'!K411</f>
        <v>4</v>
      </c>
      <c r="N411" s="191" t="str">
        <f>'1_BD questio brut'!L411</f>
        <v>Pas de réponse</v>
      </c>
      <c r="O411" s="191" t="str">
        <f>'1_BD questio brut'!M411</f>
        <v>Propriétaire occupant</v>
      </c>
      <c r="P411" s="191" t="str">
        <f>'1_BD questio brut'!N411</f>
        <v>Insert / foyer fermé</v>
      </c>
      <c r="Q411" s="191" t="str">
        <f>'1_BD questio brut'!O411</f>
        <v>Chauffage de base</v>
      </c>
      <c r="R411" s="191" t="str">
        <f>'1_BD questio brut'!P411</f>
        <v>Tous les jours</v>
      </c>
      <c r="S411" s="191" t="str">
        <f>'1_BD questio brut'!Q411</f>
        <v>4</v>
      </c>
      <c r="T411" s="191" t="str">
        <f>'1_BD questio brut'!R411</f>
        <v>1990-1995</v>
      </c>
      <c r="U411" s="191" t="str">
        <f>'1_BD questio brut'!S411</f>
        <v>Bois bûche</v>
      </c>
      <c r="V411" s="191" t="str">
        <f>'1_BD questio brut'!T411</f>
        <v/>
      </c>
      <c r="W411" s="191" t="str">
        <f>'1_BD questio brut'!U411</f>
        <v>10</v>
      </c>
      <c r="X411" s="191" t="str">
        <f>'1_BD questio brut'!V411</f>
        <v>stère</v>
      </c>
      <c r="Y411" s="191" t="str">
        <f>'1_BD questio brut'!W411</f>
        <v>2</v>
      </c>
      <c r="Z411" s="191" t="str">
        <f>'1_BD questio brut'!X411</f>
        <v/>
      </c>
      <c r="AA411" s="191" t="e">
        <f t="array" ref="AA411">INDEX('Données 1_BD questio'!C:C,MATCH('1_BD questio brut'!$Y$1&amp;'1_BD questio brut'!Y411,'Données 1_BD questio'!A:A&amp;'Données 1_BD questio'!B:B,0))</f>
        <v>#N/A</v>
      </c>
      <c r="AB411" s="191" t="str">
        <f>'1_BD questio brut'!Z411</f>
        <v>2</v>
      </c>
      <c r="AC411" s="191" t="str">
        <f>'1_BD questio brut'!AA411</f>
        <v>&gt; 2 ans</v>
      </c>
      <c r="AD411" s="191" t="str">
        <f>'1_BD questio brut'!AB411</f>
        <v>Feuillus</v>
      </c>
      <c r="AE411" s="191" t="str">
        <f t="array" ref="AE411">INDEX('Données 1_BD questio'!C:C,MATCH('1_BD questio brut'!$AC$1&amp;'1_BD questio brut'!AC411,'Données 1_BD questio'!A:A&amp;'Données 1_BD questio'!B:B,0))</f>
        <v>un professionnel</v>
      </c>
      <c r="AF411" s="191" t="str">
        <f>'1_BD questio brut'!AD411</f>
        <v>Pas de réponse</v>
      </c>
      <c r="AG411" s="191" t="str">
        <f>'1_BD questio brut'!AE411</f>
        <v/>
      </c>
      <c r="AH411" s="191" t="str">
        <f>'1_BD questio brut'!AF411</f>
        <v>Poêle</v>
      </c>
      <c r="AI411" s="191" t="str">
        <f>'1_BD questio brut'!AG411</f>
        <v>1</v>
      </c>
      <c r="AJ411" s="191" t="str">
        <f>'1_BD questio brut'!AH411</f>
        <v/>
      </c>
      <c r="AK411" s="191" t="str">
        <f>'1_BD questio brut'!AI411</f>
        <v>Chauffage d'appoint</v>
      </c>
      <c r="AL411" s="191" t="str">
        <f>'1_BD questio brut'!AJ411</f>
        <v>Pas de réponse</v>
      </c>
      <c r="AM411" s="191" t="str">
        <f>'1_BD questio brut'!AK411</f>
        <v>5; 6</v>
      </c>
      <c r="AN411" s="191" t="str">
        <f>'1_BD questio brut'!AL411</f>
        <v>Diminuer ma facture d'electricité</v>
      </c>
      <c r="AO411" s="191" t="str">
        <f>'1_BD questio brut'!AM411</f>
        <v>11</v>
      </c>
      <c r="AP411" s="191" t="str">
        <f>'1_BD questio brut'!AN411</f>
        <v/>
      </c>
      <c r="AQ411" s="191" t="str">
        <f>'1_BD questio brut'!AO411</f>
        <v/>
      </c>
    </row>
    <row r="412" spans="1:43" ht="29" hidden="1">
      <c r="A412" s="98">
        <f>INDEX('3_BD instruction total'!A:A,MATCH(C412,'3_BD instruction total'!F:F,0))</f>
        <v>2022</v>
      </c>
      <c r="B412" s="98" t="str">
        <f>INDEX('3_BD instruction total'!C:C,MATCH(C412,'3_BD instruction total'!F:F,0))</f>
        <v>non</v>
      </c>
      <c r="C412" s="191" t="str">
        <f>'1_BD questio brut'!A412</f>
        <v>VRB0445</v>
      </c>
      <c r="D412" s="191" t="str">
        <f t="array" ref="D412">INDEX('Données 1_BD questio'!C:C,MATCH('1_BD questio brut'!$B$1&amp;'1_BD questio brut'!B412,'Données 1_BD questio'!A:A&amp;'Données 1_BD questio'!B:B,0))</f>
        <v>CAPV</v>
      </c>
      <c r="E412" s="191" t="str">
        <f t="array" ref="E412">INDEX('Données 1_BD questio'!C:C,MATCH('1_BD questio brut'!$C$1&amp;'1_BD questio brut'!C412,'Données 1_BD questio'!A:A&amp;'Données 1_BD questio'!B:B,0))</f>
        <v>Cadre</v>
      </c>
      <c r="F412" s="191" t="str">
        <f t="array" ref="F412">INDEX('Données 1_BD questio'!C:C,MATCH('1_BD questio brut'!$D$1&amp;'1_BD questio brut'!D412,'Données 1_BD questio'!A:A&amp;'Données 1_BD questio'!B:B,0))</f>
        <v>Pas de réponse</v>
      </c>
      <c r="G412" s="191" t="str">
        <f>'1_BD questio brut'!E412</f>
        <v>50 à 64 ans</v>
      </c>
      <c r="H412" s="191">
        <f>'1_BD questio brut'!F412</f>
        <v>2</v>
      </c>
      <c r="I412" s="191" t="str">
        <f>'1_BD questio brut'!G412</f>
        <v>60 000 à 70 000 €</v>
      </c>
      <c r="J412" s="191" t="str">
        <f t="array" ref="J412">INDEX('Données 1_BD questio'!C:C,MATCH('1_BD questio brut'!$H$1&amp;'1_BD questio brut'!H412,'Données 1_BD questio'!A:A&amp;'Données 1_BD questio'!B:B,0))</f>
        <v>Maison avec jardin</v>
      </c>
      <c r="K412" s="191">
        <f>'1_BD questio brut'!I412</f>
        <v>160</v>
      </c>
      <c r="L412" s="191" t="str">
        <f>'1_BD questio brut'!J412</f>
        <v>1975-1990</v>
      </c>
      <c r="M412" s="191" t="str">
        <f>'1_BD questio brut'!K412</f>
        <v>6</v>
      </c>
      <c r="N412" s="191" t="str">
        <f>'1_BD questio brut'!L412</f>
        <v>Pas de réponse</v>
      </c>
      <c r="O412" s="191" t="str">
        <f>'1_BD questio brut'!M412</f>
        <v>Propriétaire occupant</v>
      </c>
      <c r="P412" s="191" t="str">
        <f>'1_BD questio brut'!N412</f>
        <v>Insert / foyer fermé</v>
      </c>
      <c r="Q412" s="191" t="str">
        <f>'1_BD questio brut'!O412</f>
        <v>Chauffage d'apoint</v>
      </c>
      <c r="R412" s="191" t="str">
        <f>'1_BD questio brut'!P412</f>
        <v>Tous les jours</v>
      </c>
      <c r="S412" s="191" t="str">
        <f>'1_BD questio brut'!Q412</f>
        <v>2; 5</v>
      </c>
      <c r="T412" s="191" t="str">
        <f>'1_BD questio brut'!R412</f>
        <v>1996-2002</v>
      </c>
      <c r="U412" s="191" t="str">
        <f>'1_BD questio brut'!S412</f>
        <v>Bois bûche</v>
      </c>
      <c r="V412" s="191" t="str">
        <f>'1_BD questio brut'!T412</f>
        <v/>
      </c>
      <c r="W412" s="191" t="str">
        <f>'1_BD questio brut'!U412</f>
        <v>6</v>
      </c>
      <c r="X412" s="191" t="str">
        <f>'1_BD questio brut'!V412</f>
        <v>stères</v>
      </c>
      <c r="Y412" s="191" t="str">
        <f>'1_BD questio brut'!W412</f>
        <v>2</v>
      </c>
      <c r="Z412" s="191" t="str">
        <f>'1_BD questio brut'!X412</f>
        <v/>
      </c>
      <c r="AA412" s="191" t="str">
        <f t="array" ref="AA412">INDEX('Données 1_BD questio'!C:C,MATCH('1_BD questio brut'!$Y$1&amp;'1_BD questio brut'!Y412,'Données 1_BD questio'!A:A&amp;'Données 1_BD questio'!B:B,0))</f>
        <v>Rhône-Alpes hors RA2B</v>
      </c>
      <c r="AB412" s="191" t="str">
        <f>'1_BD questio brut'!Z412</f>
        <v>2</v>
      </c>
      <c r="AC412" s="191" t="str">
        <f>'1_BD questio brut'!AA412</f>
        <v>&gt; 2 ans</v>
      </c>
      <c r="AD412" s="191" t="str">
        <f>'1_BD questio brut'!AB412</f>
        <v>Feuillus</v>
      </c>
      <c r="AE412" s="191" t="str">
        <f t="array" ref="AE412">INDEX('Données 1_BD questio'!C:C,MATCH('1_BD questio brut'!$AC$1&amp;'1_BD questio brut'!AC412,'Données 1_BD questio'!A:A&amp;'Données 1_BD questio'!B:B,0))</f>
        <v>vous-même</v>
      </c>
      <c r="AF412" s="191" t="str">
        <f>'1_BD questio brut'!AD412</f>
        <v>2 fois par an</v>
      </c>
      <c r="AG412" s="191" t="str">
        <f>'1_BD questio brut'!AE412</f>
        <v>+ buches ramonage</v>
      </c>
      <c r="AH412" s="191" t="str">
        <f>'1_BD questio brut'!AF412</f>
        <v>Insert cheminée</v>
      </c>
      <c r="AI412" s="191" t="str">
        <f>'1_BD questio brut'!AG412</f>
        <v>1</v>
      </c>
      <c r="AJ412" s="191" t="str">
        <f>'1_BD questio brut'!AH412</f>
        <v/>
      </c>
      <c r="AK412" s="191" t="str">
        <f>'1_BD questio brut'!AI412</f>
        <v>Chauffage d'appoint</v>
      </c>
      <c r="AL412" s="191" t="str">
        <f>'1_BD questio brut'!AJ412</f>
        <v>Pas de réponse</v>
      </c>
      <c r="AM412" s="191" t="str">
        <f>'1_BD questio brut'!AK412</f>
        <v>1; 2; 4</v>
      </c>
      <c r="AN412" s="191" t="str">
        <f>'1_BD questio brut'!AL412</f>
        <v/>
      </c>
      <c r="AO412" s="191" t="str">
        <f>'1_BD questio brut'!AM412</f>
        <v>5</v>
      </c>
      <c r="AP412" s="191" t="str">
        <f>'1_BD questio brut'!AN412</f>
        <v/>
      </c>
      <c r="AQ412" s="191" t="str">
        <f>'1_BD questio brut'!AO412</f>
        <v/>
      </c>
    </row>
    <row r="413" spans="1:43" ht="29" hidden="1">
      <c r="A413" s="98">
        <f>INDEX('3_BD instruction total'!A:A,MATCH(C413,'3_BD instruction total'!F:F,0))</f>
        <v>2022</v>
      </c>
      <c r="B413" s="98" t="str">
        <f>INDEX('3_BD instruction total'!C:C,MATCH(C413,'3_BD instruction total'!F:F,0))</f>
        <v>non</v>
      </c>
      <c r="C413" s="191" t="str">
        <f>'1_BD questio brut'!A413</f>
        <v>VRB0446</v>
      </c>
      <c r="D413" s="191" t="str">
        <f t="array" ref="D413">INDEX('Données 1_BD questio'!C:C,MATCH('1_BD questio brut'!$B$1&amp;'1_BD questio brut'!B413,'Données 1_BD questio'!A:A&amp;'Données 1_BD questio'!B:B,0))</f>
        <v>CAPV</v>
      </c>
      <c r="E413" s="191" t="str">
        <f t="array" ref="E413">INDEX('Données 1_BD questio'!C:C,MATCH('1_BD questio brut'!$C$1&amp;'1_BD questio brut'!C413,'Données 1_BD questio'!A:A&amp;'Données 1_BD questio'!B:B,0))</f>
        <v>Retraité</v>
      </c>
      <c r="F413" s="191" t="str">
        <f t="array" ref="F413">INDEX('Données 1_BD questio'!C:C,MATCH('1_BD questio brut'!$D$1&amp;'1_BD questio brut'!D413,'Données 1_BD questio'!A:A&amp;'Données 1_BD questio'!B:B,0))</f>
        <v>Retraité</v>
      </c>
      <c r="G413" s="191" t="str">
        <f>'1_BD questio brut'!E413</f>
        <v>65 ans et plus</v>
      </c>
      <c r="H413" s="191">
        <f>'1_BD questio brut'!F413</f>
        <v>2</v>
      </c>
      <c r="I413" s="191" t="str">
        <f>'1_BD questio brut'!G413</f>
        <v>60 000 à 70 000 €</v>
      </c>
      <c r="J413" s="191" t="str">
        <f t="array" ref="J413">INDEX('Données 1_BD questio'!C:C,MATCH('1_BD questio brut'!$H$1&amp;'1_BD questio brut'!H413,'Données 1_BD questio'!A:A&amp;'Données 1_BD questio'!B:B,0))</f>
        <v>Maison avec jardin</v>
      </c>
      <c r="K413" s="191">
        <f>'1_BD questio brut'!I413</f>
        <v>140</v>
      </c>
      <c r="L413" s="191" t="str">
        <f>'1_BD questio brut'!J413</f>
        <v>1975-1990</v>
      </c>
      <c r="M413" s="191" t="str">
        <f>'1_BD questio brut'!K413</f>
        <v>2; 4</v>
      </c>
      <c r="N413" s="191" t="str">
        <f>'1_BD questio brut'!L413</f>
        <v>Pas de réponse</v>
      </c>
      <c r="O413" s="191" t="str">
        <f>'1_BD questio brut'!M413</f>
        <v>Propriétaire occupant</v>
      </c>
      <c r="P413" s="191" t="str">
        <f>'1_BD questio brut'!N413</f>
        <v>Foyer ouvert</v>
      </c>
      <c r="Q413" s="191" t="str">
        <f>'1_BD questio brut'!O413</f>
        <v>Chauffage d'apoint</v>
      </c>
      <c r="R413" s="191" t="str">
        <f>'1_BD questio brut'!P413</f>
        <v>Pas de réponse</v>
      </c>
      <c r="S413" s="191" t="str">
        <f>'1_BD questio brut'!Q413</f>
        <v>2; 3</v>
      </c>
      <c r="T413" s="191" t="str">
        <f>'1_BD questio brut'!R413</f>
        <v>Avant 1990</v>
      </c>
      <c r="U413" s="191" t="str">
        <f>'1_BD questio brut'!S413</f>
        <v>Bois bûche</v>
      </c>
      <c r="V413" s="191" t="str">
        <f>'1_BD questio brut'!T413</f>
        <v/>
      </c>
      <c r="W413" s="191" t="str">
        <f>'1_BD questio brut'!U413</f>
        <v>2</v>
      </c>
      <c r="X413" s="191" t="str">
        <f>'1_BD questio brut'!V413</f>
        <v>Stères</v>
      </c>
      <c r="Y413" s="191" t="str">
        <f>'1_BD questio brut'!W413</f>
        <v>2</v>
      </c>
      <c r="Z413" s="191" t="str">
        <f>'1_BD questio brut'!X413</f>
        <v/>
      </c>
      <c r="AA413" s="191" t="str">
        <f t="array" ref="AA413">INDEX('Données 1_BD questio'!C:C,MATCH('1_BD questio brut'!$Y$1&amp;'1_BD questio brut'!Y413,'Données 1_BD questio'!A:A&amp;'Données 1_BD questio'!B:B,0))</f>
        <v>Ne sait pas</v>
      </c>
      <c r="AB413" s="191" t="str">
        <f>'1_BD questio brut'!Z413</f>
        <v>2</v>
      </c>
      <c r="AC413" s="191" t="str">
        <f>'1_BD questio brut'!AA413</f>
        <v>&gt; 2 ans</v>
      </c>
      <c r="AD413" s="191" t="str">
        <f>'1_BD questio brut'!AB413</f>
        <v>Feuillus</v>
      </c>
      <c r="AE413" s="191" t="str">
        <f t="array" ref="AE413">INDEX('Données 1_BD questio'!C:C,MATCH('1_BD questio brut'!$AC$1&amp;'1_BD questio brut'!AC413,'Données 1_BD questio'!A:A&amp;'Données 1_BD questio'!B:B,0))</f>
        <v>vous-même</v>
      </c>
      <c r="AF413" s="191" t="str">
        <f>'1_BD questio brut'!AD413</f>
        <v>1 fois par an</v>
      </c>
      <c r="AG413" s="191" t="str">
        <f>'1_BD questio brut'!AE413</f>
        <v/>
      </c>
      <c r="AH413" s="191" t="str">
        <f>'1_BD questio brut'!AF413</f>
        <v>Poêle</v>
      </c>
      <c r="AI413" s="191" t="str">
        <f>'1_BD questio brut'!AG413</f>
        <v>1</v>
      </c>
      <c r="AJ413" s="191" t="str">
        <f>'1_BD questio brut'!AH413</f>
        <v/>
      </c>
      <c r="AK413" s="191" t="str">
        <f>'1_BD questio brut'!AI413</f>
        <v>Chauffage d'appoint</v>
      </c>
      <c r="AL413" s="191" t="str">
        <f>'1_BD questio brut'!AJ413</f>
        <v>Pas de réponse</v>
      </c>
      <c r="AM413" s="191" t="str">
        <f>'1_BD questio brut'!AK413</f>
        <v>2; 4; 5</v>
      </c>
      <c r="AN413" s="191" t="str">
        <f>'1_BD questio brut'!AL413</f>
        <v/>
      </c>
      <c r="AO413" s="191" t="str">
        <f>'1_BD questio brut'!AM413</f>
        <v>5</v>
      </c>
      <c r="AP413" s="191" t="str">
        <f>'1_BD questio brut'!AN413</f>
        <v/>
      </c>
      <c r="AQ413" s="191" t="str">
        <f>'1_BD questio brut'!AO413</f>
        <v/>
      </c>
    </row>
    <row r="414" spans="1:43" ht="43.5" hidden="1">
      <c r="A414" s="98">
        <f>INDEX('3_BD instruction total'!A:A,MATCH(C414,'3_BD instruction total'!F:F,0))</f>
        <v>2022</v>
      </c>
      <c r="B414" s="98" t="str">
        <f>INDEX('3_BD instruction total'!C:C,MATCH(C414,'3_BD instruction total'!F:F,0))</f>
        <v>non</v>
      </c>
      <c r="C414" s="191" t="str">
        <f>'1_BD questio brut'!A414</f>
        <v>VRB0447</v>
      </c>
      <c r="D414" s="191" t="str">
        <f t="array" ref="D414">INDEX('Données 1_BD questio'!C:C,MATCH('1_BD questio brut'!$B$1&amp;'1_BD questio brut'!B414,'Données 1_BD questio'!A:A&amp;'Données 1_BD questio'!B:B,0))</f>
        <v>CAPV</v>
      </c>
      <c r="E414" s="191" t="str">
        <f t="array" ref="E414">INDEX('Données 1_BD questio'!C:C,MATCH('1_BD questio brut'!$C$1&amp;'1_BD questio brut'!C414,'Données 1_BD questio'!A:A&amp;'Données 1_BD questio'!B:B,0))</f>
        <v>Retraité</v>
      </c>
      <c r="F414" s="191" t="str">
        <f t="array" ref="F414">INDEX('Données 1_BD questio'!C:C,MATCH('1_BD questio brut'!$D$1&amp;'1_BD questio brut'!D414,'Données 1_BD questio'!A:A&amp;'Données 1_BD questio'!B:B,0))</f>
        <v>Pas de réponse</v>
      </c>
      <c r="G414" s="191" t="str">
        <f>'1_BD questio brut'!E414</f>
        <v>65 ans et plus</v>
      </c>
      <c r="H414" s="191">
        <f>'1_BD questio brut'!F414</f>
        <v>1</v>
      </c>
      <c r="I414" s="191" t="str">
        <f>'1_BD questio brut'!G414</f>
        <v>20 000 à 30 000 €</v>
      </c>
      <c r="J414" s="191" t="str">
        <f t="array" ref="J414">INDEX('Données 1_BD questio'!C:C,MATCH('1_BD questio brut'!$H$1&amp;'1_BD questio brut'!H414,'Données 1_BD questio'!A:A&amp;'Données 1_BD questio'!B:B,0))</f>
        <v>Maison avec jardin</v>
      </c>
      <c r="K414" s="191">
        <f>'1_BD questio brut'!I414</f>
        <v>100</v>
      </c>
      <c r="L414" s="191" t="str">
        <f>'1_BD questio brut'!J414</f>
        <v>1975-1990</v>
      </c>
      <c r="M414" s="191" t="str">
        <f>'1_BD questio brut'!K414</f>
        <v>1</v>
      </c>
      <c r="N414" s="191" t="str">
        <f>'1_BD questio brut'!L414</f>
        <v>Pas de réponse</v>
      </c>
      <c r="O414" s="191" t="str">
        <f>'1_BD questio brut'!M414</f>
        <v>Propriétaire bailleur</v>
      </c>
      <c r="P414" s="191" t="str">
        <f>'1_BD questio brut'!N414</f>
        <v>Insert / foyer fermé</v>
      </c>
      <c r="Q414" s="191" t="str">
        <f>'1_BD questio brut'!O414</f>
        <v>Chauffage de base</v>
      </c>
      <c r="R414" s="191" t="str">
        <f>'1_BD questio brut'!P414</f>
        <v>Tous les jours</v>
      </c>
      <c r="S414" s="191" t="str">
        <f>'1_BD questio brut'!Q414</f>
        <v>1; 2; 4</v>
      </c>
      <c r="T414" s="191" t="str">
        <f>'1_BD questio brut'!R414</f>
        <v>1990-1995</v>
      </c>
      <c r="U414" s="191" t="str">
        <f>'1_BD questio brut'!S414</f>
        <v>Bois bûche</v>
      </c>
      <c r="V414" s="191" t="str">
        <f>'1_BD questio brut'!T414</f>
        <v/>
      </c>
      <c r="W414" s="191" t="str">
        <f>'1_BD questio brut'!U414</f>
        <v>7</v>
      </c>
      <c r="X414" s="191" t="str">
        <f>'1_BD questio brut'!V414</f>
        <v>stères</v>
      </c>
      <c r="Y414" s="191" t="str">
        <f>'1_BD questio brut'!W414</f>
        <v>1</v>
      </c>
      <c r="Z414" s="191" t="str">
        <f>'1_BD questio brut'!X414</f>
        <v/>
      </c>
      <c r="AA414" s="191" t="str">
        <f t="array" ref="AA414">INDEX('Données 1_BD questio'!C:C,MATCH('1_BD questio brut'!$Y$1&amp;'1_BD questio brut'!Y414,'Données 1_BD questio'!A:A&amp;'Données 1_BD questio'!B:B,0))</f>
        <v>RA2B</v>
      </c>
      <c r="AB414" s="191" t="str">
        <f>'1_BD questio brut'!Z414</f>
        <v>1; 2</v>
      </c>
      <c r="AC414" s="191" t="str">
        <f>'1_BD questio brut'!AA414</f>
        <v>1 à 2 ans</v>
      </c>
      <c r="AD414" s="191" t="str">
        <f>'1_BD questio brut'!AB414</f>
        <v>Les deux</v>
      </c>
      <c r="AE414" s="191" t="str">
        <f t="array" ref="AE414">INDEX('Données 1_BD questio'!C:C,MATCH('1_BD questio brut'!$AC$1&amp;'1_BD questio brut'!AC414,'Données 1_BD questio'!A:A&amp;'Données 1_BD questio'!B:B,0))</f>
        <v>un professionnel</v>
      </c>
      <c r="AF414" s="191" t="str">
        <f>'1_BD questio brut'!AD414</f>
        <v>1 fois par an</v>
      </c>
      <c r="AG414" s="191" t="str">
        <f>'1_BD questio brut'!AE414</f>
        <v/>
      </c>
      <c r="AH414" s="191" t="str">
        <f>'1_BD questio brut'!AF414</f>
        <v>Poêle</v>
      </c>
      <c r="AI414" s="191" t="str">
        <f>'1_BD questio brut'!AG414</f>
        <v>2</v>
      </c>
      <c r="AJ414" s="191" t="str">
        <f>'1_BD questio brut'!AH414</f>
        <v/>
      </c>
      <c r="AK414" s="191" t="str">
        <f>'1_BD questio brut'!AI414</f>
        <v>Chauffage de base</v>
      </c>
      <c r="AL414" s="191" t="str">
        <f>'1_BD questio brut'!AJ414</f>
        <v>Pas de réponse</v>
      </c>
      <c r="AM414" s="191" t="str">
        <f>'1_BD questio brut'!AK414</f>
        <v>4; 5</v>
      </c>
      <c r="AN414" s="191" t="str">
        <f>'1_BD questio brut'!AL414</f>
        <v/>
      </c>
      <c r="AO414" s="191" t="str">
        <f>'1_BD questio brut'!AM414</f>
        <v>7</v>
      </c>
      <c r="AP414" s="191" t="str">
        <f>'1_BD questio brut'!AN414</f>
        <v/>
      </c>
      <c r="AQ414" s="191" t="str">
        <f>'1_BD questio brut'!AO414</f>
        <v/>
      </c>
    </row>
    <row r="415" spans="1:43" ht="29" hidden="1">
      <c r="A415" s="98">
        <f>INDEX('3_BD instruction total'!A:A,MATCH(C415,'3_BD instruction total'!F:F,0))</f>
        <v>2022</v>
      </c>
      <c r="B415" s="98" t="str">
        <f>INDEX('3_BD instruction total'!C:C,MATCH(C415,'3_BD instruction total'!F:F,0))</f>
        <v>non</v>
      </c>
      <c r="C415" s="191" t="str">
        <f>'1_BD questio brut'!A415</f>
        <v>VRB0449</v>
      </c>
      <c r="D415" s="191" t="str">
        <f t="array" ref="D415">INDEX('Données 1_BD questio'!C:C,MATCH('1_BD questio brut'!$B$1&amp;'1_BD questio brut'!B415,'Données 1_BD questio'!A:A&amp;'Données 1_BD questio'!B:B,0))</f>
        <v>CAPV</v>
      </c>
      <c r="E415" s="191" t="str">
        <f t="array" ref="E415">INDEX('Données 1_BD questio'!C:C,MATCH('1_BD questio brut'!$C$1&amp;'1_BD questio brut'!C415,'Données 1_BD questio'!A:A&amp;'Données 1_BD questio'!B:B,0))</f>
        <v>Retraité</v>
      </c>
      <c r="F415" s="191" t="str">
        <f t="array" ref="F415">INDEX('Données 1_BD questio'!C:C,MATCH('1_BD questio brut'!$D$1&amp;'1_BD questio brut'!D415,'Données 1_BD questio'!A:A&amp;'Données 1_BD questio'!B:B,0))</f>
        <v>Pas de réponse</v>
      </c>
      <c r="G415" s="191" t="str">
        <f>'1_BD questio brut'!E415</f>
        <v>65 ans et plus</v>
      </c>
      <c r="H415" s="191">
        <f>'1_BD questio brut'!F415</f>
        <v>1</v>
      </c>
      <c r="I415" s="191" t="str">
        <f>'1_BD questio brut'!G415</f>
        <v>Moins de 20 000 €</v>
      </c>
      <c r="J415" s="191" t="str">
        <f t="array" ref="J415">INDEX('Données 1_BD questio'!C:C,MATCH('1_BD questio brut'!$H$1&amp;'1_BD questio brut'!H415,'Données 1_BD questio'!A:A&amp;'Données 1_BD questio'!B:B,0))</f>
        <v>Maison avec jardin</v>
      </c>
      <c r="K415" s="191">
        <f>'1_BD questio brut'!I415</f>
        <v>112</v>
      </c>
      <c r="L415" s="191" t="str">
        <f>'1_BD questio brut'!J415</f>
        <v>1949-1975</v>
      </c>
      <c r="M415" s="191" t="str">
        <f>'1_BD questio brut'!K415</f>
        <v>1; 2; 4</v>
      </c>
      <c r="N415" s="191" t="str">
        <f>'1_BD questio brut'!L415</f>
        <v>Pas de réponse</v>
      </c>
      <c r="O415" s="191" t="str">
        <f>'1_BD questio brut'!M415</f>
        <v>Propriétaire occupant</v>
      </c>
      <c r="P415" s="191" t="str">
        <f>'1_BD questio brut'!N415</f>
        <v>Insert / foyer fermé</v>
      </c>
      <c r="Q415" s="191" t="str">
        <f>'1_BD questio brut'!O415</f>
        <v>Chauffage d'apoint</v>
      </c>
      <c r="R415" s="191" t="str">
        <f>'1_BD questio brut'!P415</f>
        <v>1 à 3 jours/mois</v>
      </c>
      <c r="S415" s="191" t="str">
        <f>'1_BD questio brut'!Q415</f>
        <v>3; 6</v>
      </c>
      <c r="T415" s="191" t="str">
        <f>'1_BD questio brut'!R415</f>
        <v>Avant 1990</v>
      </c>
      <c r="U415" s="191" t="str">
        <f>'1_BD questio brut'!S415</f>
        <v>Bois bûche</v>
      </c>
      <c r="V415" s="191" t="str">
        <f>'1_BD questio brut'!T415</f>
        <v/>
      </c>
      <c r="W415" s="191" t="str">
        <f>'1_BD questio brut'!U415</f>
        <v>1</v>
      </c>
      <c r="X415" s="191" t="str">
        <f>'1_BD questio brut'!V415</f>
        <v>M3</v>
      </c>
      <c r="Y415" s="191" t="str">
        <f>'1_BD questio brut'!W415</f>
        <v>1</v>
      </c>
      <c r="Z415" s="191" t="str">
        <f>'1_BD questio brut'!X415</f>
        <v/>
      </c>
      <c r="AA415" s="191" t="str">
        <f t="array" ref="AA415">INDEX('Données 1_BD questio'!C:C,MATCH('1_BD questio brut'!$Y$1&amp;'1_BD questio brut'!Y415,'Données 1_BD questio'!A:A&amp;'Données 1_BD questio'!B:B,0))</f>
        <v>Pas de réponse</v>
      </c>
      <c r="AB415" s="191" t="str">
        <f>'1_BD questio brut'!Z415</f>
        <v>2</v>
      </c>
      <c r="AC415" s="191" t="str">
        <f>'1_BD questio brut'!AA415</f>
        <v>&gt; 2 ans</v>
      </c>
      <c r="AD415" s="191" t="str">
        <f>'1_BD questio brut'!AB415</f>
        <v>Feuillus</v>
      </c>
      <c r="AE415" s="191" t="str">
        <f t="array" ref="AE415">INDEX('Données 1_BD questio'!C:C,MATCH('1_BD questio brut'!$AC$1&amp;'1_BD questio brut'!AC415,'Données 1_BD questio'!A:A&amp;'Données 1_BD questio'!B:B,0))</f>
        <v>vous-même</v>
      </c>
      <c r="AF415" s="191" t="str">
        <f>'1_BD questio brut'!AD415</f>
        <v>1 fois par an</v>
      </c>
      <c r="AG415" s="191" t="str">
        <f>'1_BD questio brut'!AE415</f>
        <v/>
      </c>
      <c r="AH415" s="191" t="str">
        <f>'1_BD questio brut'!AF415</f>
        <v>Poêle</v>
      </c>
      <c r="AI415" s="191" t="str">
        <f>'1_BD questio brut'!AG415</f>
        <v>1</v>
      </c>
      <c r="AJ415" s="191" t="str">
        <f>'1_BD questio brut'!AH415</f>
        <v/>
      </c>
      <c r="AK415" s="191" t="str">
        <f>'1_BD questio brut'!AI415</f>
        <v>Chauffage d'appoint</v>
      </c>
      <c r="AL415" s="191" t="str">
        <f>'1_BD questio brut'!AJ415</f>
        <v>Pas de réponse</v>
      </c>
      <c r="AM415" s="191" t="str">
        <f>'1_BD questio brut'!AK415</f>
        <v>2; 4; 5</v>
      </c>
      <c r="AN415" s="191" t="str">
        <f>'1_BD questio brut'!AL415</f>
        <v/>
      </c>
      <c r="AO415" s="191" t="str">
        <f>'1_BD questio brut'!AM415</f>
        <v>7</v>
      </c>
      <c r="AP415" s="191" t="str">
        <f>'1_BD questio brut'!AN415</f>
        <v/>
      </c>
      <c r="AQ415" s="191" t="str">
        <f>'1_BD questio brut'!AO415</f>
        <v/>
      </c>
    </row>
    <row r="416" spans="1:43" ht="43.5" hidden="1">
      <c r="A416" s="98">
        <f>INDEX('3_BD instruction total'!A:A,MATCH(C416,'3_BD instruction total'!F:F,0))</f>
        <v>2022</v>
      </c>
      <c r="B416" s="98" t="str">
        <f>INDEX('3_BD instruction total'!C:C,MATCH(C416,'3_BD instruction total'!F:F,0))</f>
        <v>non</v>
      </c>
      <c r="C416" s="191" t="str">
        <f>'1_BD questio brut'!A416</f>
        <v>VRB0450</v>
      </c>
      <c r="D416" s="191" t="str">
        <f t="array" ref="D416">INDEX('Données 1_BD questio'!C:C,MATCH('1_BD questio brut'!$B$1&amp;'1_BD questio brut'!B416,'Données 1_BD questio'!A:A&amp;'Données 1_BD questio'!B:B,0))</f>
        <v>CAPV</v>
      </c>
      <c r="E416" s="191" t="str">
        <f t="array" ref="E416">INDEX('Données 1_BD questio'!C:C,MATCH('1_BD questio brut'!$C$1&amp;'1_BD questio brut'!C416,'Données 1_BD questio'!A:A&amp;'Données 1_BD questio'!B:B,0))</f>
        <v>Employé</v>
      </c>
      <c r="F416" s="191" t="str">
        <f t="array" ref="F416">INDEX('Données 1_BD questio'!C:C,MATCH('1_BD questio brut'!$D$1&amp;'1_BD questio brut'!D416,'Données 1_BD questio'!A:A&amp;'Données 1_BD questio'!B:B,0))</f>
        <v>Employé</v>
      </c>
      <c r="G416" s="191" t="str">
        <f>'1_BD questio brut'!E416</f>
        <v>25 à 34 ans</v>
      </c>
      <c r="H416" s="191">
        <f>'1_BD questio brut'!F416</f>
        <v>3</v>
      </c>
      <c r="I416" s="191" t="str">
        <f>'1_BD questio brut'!G416</f>
        <v>30 000 à 40 000 €</v>
      </c>
      <c r="J416" s="191" t="str">
        <f t="array" ref="J416">INDEX('Données 1_BD questio'!C:C,MATCH('1_BD questio brut'!$H$1&amp;'1_BD questio brut'!H416,'Données 1_BD questio'!A:A&amp;'Données 1_BD questio'!B:B,0))</f>
        <v>Maison avec jardin</v>
      </c>
      <c r="K416" s="191">
        <f>'1_BD questio brut'!I416</f>
        <v>96</v>
      </c>
      <c r="L416" s="191" t="str">
        <f>'1_BD questio brut'!J416</f>
        <v>1975-1990</v>
      </c>
      <c r="M416" s="191" t="str">
        <f>'1_BD questio brut'!K416</f>
        <v>6</v>
      </c>
      <c r="N416" s="191" t="str">
        <f>'1_BD questio brut'!L416</f>
        <v>E</v>
      </c>
      <c r="O416" s="191" t="str">
        <f>'1_BD questio brut'!M416</f>
        <v>Propriétaire occupant</v>
      </c>
      <c r="P416" s="191" t="str">
        <f>'1_BD questio brut'!N416</f>
        <v>Poêle</v>
      </c>
      <c r="Q416" s="191" t="str">
        <f>'1_BD questio brut'!O416</f>
        <v>Chauffage de base</v>
      </c>
      <c r="R416" s="191" t="str">
        <f>'1_BD questio brut'!P416</f>
        <v>Tous les jours</v>
      </c>
      <c r="S416" s="191" t="str">
        <f>'1_BD questio brut'!Q416</f>
        <v>4; 5</v>
      </c>
      <c r="T416" s="191" t="str">
        <f>'1_BD questio brut'!R416</f>
        <v>Avant 1990</v>
      </c>
      <c r="U416" s="191" t="str">
        <f>'1_BD questio brut'!S416</f>
        <v>Bois bûche</v>
      </c>
      <c r="V416" s="191" t="str">
        <f>'1_BD questio brut'!T416</f>
        <v/>
      </c>
      <c r="W416" s="191" t="str">
        <f>'1_BD questio brut'!U416</f>
        <v>4</v>
      </c>
      <c r="X416" s="191" t="str">
        <f>'1_BD questio brut'!V416</f>
        <v>stères</v>
      </c>
      <c r="Y416" s="191" t="str">
        <f>'1_BD questio brut'!W416</f>
        <v>2</v>
      </c>
      <c r="Z416" s="191" t="str">
        <f>'1_BD questio brut'!X416</f>
        <v/>
      </c>
      <c r="AA416" s="191" t="str">
        <f t="array" ref="AA416">INDEX('Données 1_BD questio'!C:C,MATCH('1_BD questio brut'!$Y$1&amp;'1_BD questio brut'!Y416,'Données 1_BD questio'!A:A&amp;'Données 1_BD questio'!B:B,0))</f>
        <v>RA2B</v>
      </c>
      <c r="AB416" s="191" t="str">
        <f>'1_BD questio brut'!Z416</f>
        <v>2</v>
      </c>
      <c r="AC416" s="191" t="str">
        <f>'1_BD questio brut'!AA416</f>
        <v>&lt; 1 an</v>
      </c>
      <c r="AD416" s="191" t="str">
        <f>'1_BD questio brut'!AB416</f>
        <v>Les deux</v>
      </c>
      <c r="AE416" s="191" t="str">
        <f t="array" ref="AE416">INDEX('Données 1_BD questio'!C:C,MATCH('1_BD questio brut'!$AC$1&amp;'1_BD questio brut'!AC416,'Données 1_BD questio'!A:A&amp;'Données 1_BD questio'!B:B,0))</f>
        <v>un professionnel</v>
      </c>
      <c r="AF416" s="191" t="str">
        <f>'1_BD questio brut'!AD416</f>
        <v>1 fois par an</v>
      </c>
      <c r="AG416" s="191" t="str">
        <f>'1_BD questio brut'!AE416</f>
        <v/>
      </c>
      <c r="AH416" s="191" t="str">
        <f>'1_BD questio brut'!AF416</f>
        <v>Poêle</v>
      </c>
      <c r="AI416" s="191" t="str">
        <f>'1_BD questio brut'!AG416</f>
        <v>1</v>
      </c>
      <c r="AJ416" s="191" t="str">
        <f>'1_BD questio brut'!AH416</f>
        <v/>
      </c>
      <c r="AK416" s="191" t="str">
        <f>'1_BD questio brut'!AI416</f>
        <v>Chauffage de base</v>
      </c>
      <c r="AL416" s="191" t="str">
        <f>'1_BD questio brut'!AJ416</f>
        <v>Pas de réponse</v>
      </c>
      <c r="AM416" s="191" t="str">
        <f>'1_BD questio brut'!AK416</f>
        <v>2; 4</v>
      </c>
      <c r="AN416" s="191" t="str">
        <f>'1_BD questio brut'!AL416</f>
        <v/>
      </c>
      <c r="AO416" s="191" t="str">
        <f>'1_BD questio brut'!AM416</f>
        <v>7</v>
      </c>
      <c r="AP416" s="191" t="str">
        <f>'1_BD questio brut'!AN416</f>
        <v/>
      </c>
      <c r="AQ416" s="191" t="str">
        <f>'1_BD questio brut'!AO416</f>
        <v/>
      </c>
    </row>
    <row r="417" spans="1:43" ht="43.5" hidden="1">
      <c r="A417" s="98">
        <f>INDEX('3_BD instruction total'!A:A,MATCH(C417,'3_BD instruction total'!F:F,0))</f>
        <v>2022</v>
      </c>
      <c r="B417" s="98" t="str">
        <f>INDEX('3_BD instruction total'!C:C,MATCH(C417,'3_BD instruction total'!F:F,0))</f>
        <v>non</v>
      </c>
      <c r="C417" s="191" t="str">
        <f>'1_BD questio brut'!A417</f>
        <v>VRB0451</v>
      </c>
      <c r="D417" s="191" t="str">
        <f t="array" ref="D417">INDEX('Données 1_BD questio'!C:C,MATCH('1_BD questio brut'!$B$1&amp;'1_BD questio brut'!B417,'Données 1_BD questio'!A:A&amp;'Données 1_BD questio'!B:B,0))</f>
        <v>CAPV</v>
      </c>
      <c r="E417" s="191" t="str">
        <f t="array" ref="E417">INDEX('Données 1_BD questio'!C:C,MATCH('1_BD questio brut'!$C$1&amp;'1_BD questio brut'!C417,'Données 1_BD questio'!A:A&amp;'Données 1_BD questio'!B:B,0))</f>
        <v>Employé</v>
      </c>
      <c r="F417" s="191" t="str">
        <f t="array" ref="F417">INDEX('Données 1_BD questio'!C:C,MATCH('1_BD questio brut'!$D$1&amp;'1_BD questio brut'!D417,'Données 1_BD questio'!A:A&amp;'Données 1_BD questio'!B:B,0))</f>
        <v>Cadre</v>
      </c>
      <c r="G417" s="191" t="str">
        <f>'1_BD questio brut'!E417</f>
        <v>35 à 49 ans</v>
      </c>
      <c r="H417" s="191">
        <f>'1_BD questio brut'!F417</f>
        <v>3</v>
      </c>
      <c r="I417" s="191" t="str">
        <f>'1_BD questio brut'!G417</f>
        <v>40 000 à 50 000 €</v>
      </c>
      <c r="J417" s="191" t="str">
        <f t="array" ref="J417">INDEX('Données 1_BD questio'!C:C,MATCH('1_BD questio brut'!$H$1&amp;'1_BD questio brut'!H417,'Données 1_BD questio'!A:A&amp;'Données 1_BD questio'!B:B,0))</f>
        <v>Maison avec jardin</v>
      </c>
      <c r="K417" s="191">
        <f>'1_BD questio brut'!I417</f>
        <v>120</v>
      </c>
      <c r="L417" s="191" t="str">
        <f>'1_BD questio brut'!J417</f>
        <v>Avant 1949</v>
      </c>
      <c r="M417" s="191" t="str">
        <f>'1_BD questio brut'!K417</f>
        <v>6</v>
      </c>
      <c r="N417" s="191" t="str">
        <f>'1_BD questio brut'!L417</f>
        <v>Pas de réponse</v>
      </c>
      <c r="O417" s="191" t="str">
        <f>'1_BD questio brut'!M417</f>
        <v>Propriétaire occupant</v>
      </c>
      <c r="P417" s="191" t="str">
        <f>'1_BD questio brut'!N417</f>
        <v>Foyer ouvert</v>
      </c>
      <c r="Q417" s="191" t="str">
        <f>'1_BD questio brut'!O417</f>
        <v>Chauffage de base</v>
      </c>
      <c r="R417" s="191" t="str">
        <f>'1_BD questio brut'!P417</f>
        <v>Tous les jours</v>
      </c>
      <c r="S417" s="191" t="str">
        <f>'1_BD questio brut'!Q417</f>
        <v>4; 5</v>
      </c>
      <c r="T417" s="191" t="str">
        <f>'1_BD questio brut'!R417</f>
        <v>1990-1995</v>
      </c>
      <c r="U417" s="191" t="str">
        <f>'1_BD questio brut'!S417</f>
        <v>Bois bûche</v>
      </c>
      <c r="V417" s="191" t="str">
        <f>'1_BD questio brut'!T417</f>
        <v/>
      </c>
      <c r="W417" s="191" t="str">
        <f>'1_BD questio brut'!U417</f>
        <v>8</v>
      </c>
      <c r="X417" s="191" t="str">
        <f>'1_BD questio brut'!V417</f>
        <v>stères</v>
      </c>
      <c r="Y417" s="191" t="str">
        <f>'1_BD questio brut'!W417</f>
        <v>1; 2</v>
      </c>
      <c r="Z417" s="191" t="str">
        <f>'1_BD questio brut'!X417</f>
        <v/>
      </c>
      <c r="AA417" s="191" t="str">
        <f t="array" ref="AA417">INDEX('Données 1_BD questio'!C:C,MATCH('1_BD questio brut'!$Y$1&amp;'1_BD questio brut'!Y417,'Données 1_BD questio'!A:A&amp;'Données 1_BD questio'!B:B,0))</f>
        <v>Rhône-Alpes hors RA2B</v>
      </c>
      <c r="AB417" s="191" t="str">
        <f>'1_BD questio brut'!Z417</f>
        <v>2</v>
      </c>
      <c r="AC417" s="191" t="str">
        <f>'1_BD questio brut'!AA417</f>
        <v>1 à 2 ans</v>
      </c>
      <c r="AD417" s="191" t="str">
        <f>'1_BD questio brut'!AB417</f>
        <v>Feuillus</v>
      </c>
      <c r="AE417" s="191" t="str">
        <f t="array" ref="AE417">INDEX('Données 1_BD questio'!C:C,MATCH('1_BD questio brut'!$AC$1&amp;'1_BD questio brut'!AC417,'Données 1_BD questio'!A:A&amp;'Données 1_BD questio'!B:B,0))</f>
        <v>un professionnel</v>
      </c>
      <c r="AF417" s="191" t="str">
        <f>'1_BD questio brut'!AD417</f>
        <v>1 fois par an</v>
      </c>
      <c r="AG417" s="191" t="str">
        <f>'1_BD questio brut'!AE417</f>
        <v/>
      </c>
      <c r="AH417" s="191" t="str">
        <f>'1_BD questio brut'!AF417</f>
        <v>Poêle</v>
      </c>
      <c r="AI417" s="191" t="str">
        <f>'1_BD questio brut'!AG417</f>
        <v>2</v>
      </c>
      <c r="AJ417" s="191" t="str">
        <f>'1_BD questio brut'!AH417</f>
        <v/>
      </c>
      <c r="AK417" s="191" t="str">
        <f>'1_BD questio brut'!AI417</f>
        <v>Chauffage de base</v>
      </c>
      <c r="AL417" s="191" t="str">
        <f>'1_BD questio brut'!AJ417</f>
        <v>Pas de réponse</v>
      </c>
      <c r="AM417" s="191" t="str">
        <f>'1_BD questio brut'!AK417</f>
        <v>2; 4; 5</v>
      </c>
      <c r="AN417" s="191" t="str">
        <f>'1_BD questio brut'!AL417</f>
        <v/>
      </c>
      <c r="AO417" s="191" t="str">
        <f>'1_BD questio brut'!AM417</f>
        <v>2; 8</v>
      </c>
      <c r="AP417" s="191" t="str">
        <f>'1_BD questio brut'!AN417</f>
        <v/>
      </c>
      <c r="AQ417" s="191" t="str">
        <f>'1_BD questio brut'!AO417</f>
        <v/>
      </c>
    </row>
    <row r="418" spans="1:43" ht="43.5" hidden="1">
      <c r="A418" s="98">
        <f>INDEX('3_BD instruction total'!A:A,MATCH(C418,'3_BD instruction total'!F:F,0))</f>
        <v>2022</v>
      </c>
      <c r="B418" s="98" t="str">
        <f>INDEX('3_BD instruction total'!C:C,MATCH(C418,'3_BD instruction total'!F:F,0))</f>
        <v>non</v>
      </c>
      <c r="C418" s="191" t="str">
        <f>'1_BD questio brut'!A418</f>
        <v>VRB0452</v>
      </c>
      <c r="D418" s="191" t="str">
        <f t="array" ref="D418">INDEX('Données 1_BD questio'!C:C,MATCH('1_BD questio brut'!$B$1&amp;'1_BD questio brut'!B418,'Données 1_BD questio'!A:A&amp;'Données 1_BD questio'!B:B,0))</f>
        <v>CAPV</v>
      </c>
      <c r="E418" s="191" t="str">
        <f t="array" ref="E418">INDEX('Données 1_BD questio'!C:C,MATCH('1_BD questio brut'!$C$1&amp;'1_BD questio brut'!C418,'Données 1_BD questio'!A:A&amp;'Données 1_BD questio'!B:B,0))</f>
        <v>Cadre</v>
      </c>
      <c r="F418" s="191" t="str">
        <f t="array" ref="F418">INDEX('Données 1_BD questio'!C:C,MATCH('1_BD questio brut'!$D$1&amp;'1_BD questio brut'!D418,'Données 1_BD questio'!A:A&amp;'Données 1_BD questio'!B:B,0))</f>
        <v>Cadre</v>
      </c>
      <c r="G418" s="191" t="str">
        <f>'1_BD questio brut'!E418</f>
        <v>35 à 49 ans</v>
      </c>
      <c r="H418" s="191">
        <f>'1_BD questio brut'!F418</f>
        <v>4</v>
      </c>
      <c r="I418" s="191" t="str">
        <f>'1_BD questio brut'!G418</f>
        <v>70 000 à 80 000 €</v>
      </c>
      <c r="J418" s="191" t="str">
        <f t="array" ref="J418">INDEX('Données 1_BD questio'!C:C,MATCH('1_BD questio brut'!$H$1&amp;'1_BD questio brut'!H418,'Données 1_BD questio'!A:A&amp;'Données 1_BD questio'!B:B,0))</f>
        <v>Maison avec jardin</v>
      </c>
      <c r="K418" s="191">
        <f>'1_BD questio brut'!I418</f>
        <v>1</v>
      </c>
      <c r="L418" s="191" t="str">
        <f>'1_BD questio brut'!J418</f>
        <v>1975-1990</v>
      </c>
      <c r="M418" s="191" t="str">
        <f>'1_BD questio brut'!K418</f>
        <v>6</v>
      </c>
      <c r="N418" s="191" t="str">
        <f>'1_BD questio brut'!L418</f>
        <v>Pas de réponse</v>
      </c>
      <c r="O418" s="191" t="str">
        <f>'1_BD questio brut'!M418</f>
        <v>Propriétaire occupant</v>
      </c>
      <c r="P418" s="191" t="str">
        <f>'1_BD questio brut'!N418</f>
        <v>Insert / foyer fermé</v>
      </c>
      <c r="Q418" s="191" t="str">
        <f>'1_BD questio brut'!O418</f>
        <v>Chauffage d'apoint</v>
      </c>
      <c r="R418" s="191" t="str">
        <f>'1_BD questio brut'!P418</f>
        <v>1 à 2 jours/semaine</v>
      </c>
      <c r="S418" s="191" t="str">
        <f>'1_BD questio brut'!Q418</f>
        <v>4</v>
      </c>
      <c r="T418" s="191" t="str">
        <f>'1_BD questio brut'!R418</f>
        <v>1990-1995</v>
      </c>
      <c r="U418" s="191" t="str">
        <f>'1_BD questio brut'!S418</f>
        <v>Bois bûche</v>
      </c>
      <c r="V418" s="191" t="str">
        <f>'1_BD questio brut'!T418</f>
        <v/>
      </c>
      <c r="W418" s="191" t="str">
        <f>'1_BD questio brut'!U418</f>
        <v/>
      </c>
      <c r="X418" s="191" t="str">
        <f>'1_BD questio brut'!V418</f>
        <v/>
      </c>
      <c r="Y418" s="191" t="str">
        <f>'1_BD questio brut'!W418</f>
        <v>2</v>
      </c>
      <c r="Z418" s="191" t="str">
        <f>'1_BD questio brut'!X418</f>
        <v/>
      </c>
      <c r="AA418" s="191" t="str">
        <f t="array" ref="AA418">INDEX('Données 1_BD questio'!C:C,MATCH('1_BD questio brut'!$Y$1&amp;'1_BD questio brut'!Y418,'Données 1_BD questio'!A:A&amp;'Données 1_BD questio'!B:B,0))</f>
        <v>Ne sait pas</v>
      </c>
      <c r="AB418" s="191" t="str">
        <f>'1_BD questio brut'!Z418</f>
        <v>2</v>
      </c>
      <c r="AC418" s="191" t="str">
        <f>'1_BD questio brut'!AA418</f>
        <v>&gt; 2 ans</v>
      </c>
      <c r="AD418" s="191" t="str">
        <f>'1_BD questio brut'!AB418</f>
        <v>Feuillus</v>
      </c>
      <c r="AE418" s="191" t="str">
        <f t="array" ref="AE418">INDEX('Données 1_BD questio'!C:C,MATCH('1_BD questio brut'!$AC$1&amp;'1_BD questio brut'!AC418,'Données 1_BD questio'!A:A&amp;'Données 1_BD questio'!B:B,0))</f>
        <v>un professionnel</v>
      </c>
      <c r="AF418" s="191" t="str">
        <f>'1_BD questio brut'!AD418</f>
        <v>1 fois par an</v>
      </c>
      <c r="AG418" s="191" t="str">
        <f>'1_BD questio brut'!AE418</f>
        <v/>
      </c>
      <c r="AH418" s="191" t="str">
        <f>'1_BD questio brut'!AF418</f>
        <v>Poêle</v>
      </c>
      <c r="AI418" s="191" t="str">
        <f>'1_BD questio brut'!AG418</f>
        <v>1</v>
      </c>
      <c r="AJ418" s="191" t="str">
        <f>'1_BD questio brut'!AH418</f>
        <v/>
      </c>
      <c r="AK418" s="191" t="str">
        <f>'1_BD questio brut'!AI418</f>
        <v>Chauffage d'appoint</v>
      </c>
      <c r="AL418" s="191" t="str">
        <f>'1_BD questio brut'!AJ418</f>
        <v>Pas de réponse</v>
      </c>
      <c r="AM418" s="191" t="str">
        <f>'1_BD questio brut'!AK418</f>
        <v>2; 4; 5</v>
      </c>
      <c r="AN418" s="191" t="str">
        <f>'1_BD questio brut'!AL418</f>
        <v/>
      </c>
      <c r="AO418" s="191" t="str">
        <f>'1_BD questio brut'!AM418</f>
        <v>1</v>
      </c>
      <c r="AP418" s="191" t="str">
        <f>'1_BD questio brut'!AN418</f>
        <v/>
      </c>
      <c r="AQ418" s="191" t="str">
        <f>'1_BD questio brut'!AO418</f>
        <v/>
      </c>
    </row>
    <row r="419" spans="1:43" ht="43.5" hidden="1">
      <c r="A419" s="98">
        <f>INDEX('3_BD instruction total'!A:A,MATCH(C419,'3_BD instruction total'!F:F,0))</f>
        <v>2022</v>
      </c>
      <c r="B419" s="98" t="str">
        <f>INDEX('3_BD instruction total'!C:C,MATCH(C419,'3_BD instruction total'!F:F,0))</f>
        <v>non</v>
      </c>
      <c r="C419" s="191" t="str">
        <f>'1_BD questio brut'!A419</f>
        <v>VRB0453</v>
      </c>
      <c r="D419" s="191" t="str">
        <f t="array" ref="D419">INDEX('Données 1_BD questio'!C:C,MATCH('1_BD questio brut'!$B$1&amp;'1_BD questio brut'!B419,'Données 1_BD questio'!A:A&amp;'Données 1_BD questio'!B:B,0))</f>
        <v>CAPV</v>
      </c>
      <c r="E419" s="191" t="str">
        <f t="array" ref="E419">INDEX('Données 1_BD questio'!C:C,MATCH('1_BD questio brut'!$C$1&amp;'1_BD questio brut'!C419,'Données 1_BD questio'!A:A&amp;'Données 1_BD questio'!B:B,0))</f>
        <v>Employé</v>
      </c>
      <c r="F419" s="191" t="str">
        <f t="array" ref="F419">INDEX('Données 1_BD questio'!C:C,MATCH('1_BD questio brut'!$D$1&amp;'1_BD questio brut'!D419,'Données 1_BD questio'!A:A&amp;'Données 1_BD questio'!B:B,0))</f>
        <v>Artisan,commerçant,chef d'entreprise</v>
      </c>
      <c r="G419" s="191" t="str">
        <f>'1_BD questio brut'!E419</f>
        <v>35 à 49 ans</v>
      </c>
      <c r="H419" s="191">
        <f>'1_BD questio brut'!F419</f>
        <v>4</v>
      </c>
      <c r="I419" s="191" t="str">
        <f>'1_BD questio brut'!G419</f>
        <v>50 000 à 60 000 €</v>
      </c>
      <c r="J419" s="191" t="str">
        <f t="array" ref="J419">INDEX('Données 1_BD questio'!C:C,MATCH('1_BD questio brut'!$H$1&amp;'1_BD questio brut'!H419,'Données 1_BD questio'!A:A&amp;'Données 1_BD questio'!B:B,0))</f>
        <v>Maison avec jardin</v>
      </c>
      <c r="K419" s="191">
        <f>'1_BD questio brut'!I419</f>
        <v>130</v>
      </c>
      <c r="L419" s="191" t="str">
        <f>'1_BD questio brut'!J419</f>
        <v>1975-1990</v>
      </c>
      <c r="M419" s="191" t="str">
        <f>'1_BD questio brut'!K419</f>
        <v>6</v>
      </c>
      <c r="N419" s="191" t="str">
        <f>'1_BD questio brut'!L419</f>
        <v>Pas de réponse</v>
      </c>
      <c r="O419" s="191" t="str">
        <f>'1_BD questio brut'!M419</f>
        <v>Propriétaire occupant</v>
      </c>
      <c r="P419" s="191" t="str">
        <f>'1_BD questio brut'!N419</f>
        <v>Insert / foyer fermé</v>
      </c>
      <c r="Q419" s="191" t="str">
        <f>'1_BD questio brut'!O419</f>
        <v>Chauffage d'apoint</v>
      </c>
      <c r="R419" s="191" t="str">
        <f>'1_BD questio brut'!P419</f>
        <v>1 à 3 jours/mois</v>
      </c>
      <c r="S419" s="191" t="str">
        <f>'1_BD questio brut'!Q419</f>
        <v>2; 6</v>
      </c>
      <c r="T419" s="191" t="str">
        <f>'1_BD questio brut'!R419</f>
        <v>Avant 1990</v>
      </c>
      <c r="U419" s="191" t="str">
        <f>'1_BD questio brut'!S419</f>
        <v>Bois bûche</v>
      </c>
      <c r="V419" s="191" t="str">
        <f>'1_BD questio brut'!T419</f>
        <v/>
      </c>
      <c r="W419" s="191" t="str">
        <f>'1_BD questio brut'!U419</f>
        <v>2</v>
      </c>
      <c r="X419" s="191" t="str">
        <f>'1_BD questio brut'!V419</f>
        <v>stères</v>
      </c>
      <c r="Y419" s="191" t="str">
        <f>'1_BD questio brut'!W419</f>
        <v>2</v>
      </c>
      <c r="Z419" s="191" t="str">
        <f>'1_BD questio brut'!X419</f>
        <v/>
      </c>
      <c r="AA419" s="191" t="str">
        <f t="array" ref="AA419">INDEX('Données 1_BD questio'!C:C,MATCH('1_BD questio brut'!$Y$1&amp;'1_BD questio brut'!Y419,'Données 1_BD questio'!A:A&amp;'Données 1_BD questio'!B:B,0))</f>
        <v>Ne sait pas</v>
      </c>
      <c r="AB419" s="191" t="str">
        <f>'1_BD questio brut'!Z419</f>
        <v>2</v>
      </c>
      <c r="AC419" s="191" t="str">
        <f>'1_BD questio brut'!AA419</f>
        <v>&lt; 1 an</v>
      </c>
      <c r="AD419" s="191" t="str">
        <f>'1_BD questio brut'!AB419</f>
        <v>Les deux</v>
      </c>
      <c r="AE419" s="191" t="str">
        <f t="array" ref="AE419">INDEX('Données 1_BD questio'!C:C,MATCH('1_BD questio brut'!$AC$1&amp;'1_BD questio brut'!AC419,'Données 1_BD questio'!A:A&amp;'Données 1_BD questio'!B:B,0))</f>
        <v>un professionnel</v>
      </c>
      <c r="AF419" s="191" t="str">
        <f>'1_BD questio brut'!AD419</f>
        <v>1 fois tous les 2 ans</v>
      </c>
      <c r="AG419" s="191" t="str">
        <f>'1_BD questio brut'!AE419</f>
        <v/>
      </c>
      <c r="AH419" s="191" t="str">
        <f>'1_BD questio brut'!AF419</f>
        <v>Poêle</v>
      </c>
      <c r="AI419" s="191" t="str">
        <f>'1_BD questio brut'!AG419</f>
        <v>2</v>
      </c>
      <c r="AJ419" s="191" t="str">
        <f>'1_BD questio brut'!AH419</f>
        <v/>
      </c>
      <c r="AK419" s="191" t="str">
        <f>'1_BD questio brut'!AI419</f>
        <v>Chauffage de base</v>
      </c>
      <c r="AL419" s="191" t="str">
        <f>'1_BD questio brut'!AJ419</f>
        <v>Pas de réponse</v>
      </c>
      <c r="AM419" s="191" t="str">
        <f>'1_BD questio brut'!AK419</f>
        <v>1; 2; 4; 5</v>
      </c>
      <c r="AN419" s="191" t="str">
        <f>'1_BD questio brut'!AL419</f>
        <v/>
      </c>
      <c r="AO419" s="191" t="str">
        <f>'1_BD questio brut'!AM419</f>
        <v>5</v>
      </c>
      <c r="AP419" s="191" t="str">
        <f>'1_BD questio brut'!AN419</f>
        <v/>
      </c>
      <c r="AQ419" s="191" t="str">
        <f>'1_BD questio brut'!AO419</f>
        <v/>
      </c>
    </row>
    <row r="420" spans="1:43" ht="43.5" hidden="1">
      <c r="A420" s="98">
        <f>INDEX('3_BD instruction total'!A:A,MATCH(C420,'3_BD instruction total'!F:F,0))</f>
        <v>2022</v>
      </c>
      <c r="B420" s="98" t="str">
        <f>INDEX('3_BD instruction total'!C:C,MATCH(C420,'3_BD instruction total'!F:F,0))</f>
        <v>non</v>
      </c>
      <c r="C420" s="191" t="str">
        <f>'1_BD questio brut'!A420</f>
        <v>VRB0454</v>
      </c>
      <c r="D420" s="191" t="str">
        <f t="array" ref="D420">INDEX('Données 1_BD questio'!C:C,MATCH('1_BD questio brut'!$B$1&amp;'1_BD questio brut'!B420,'Données 1_BD questio'!A:A&amp;'Données 1_BD questio'!B:B,0))</f>
        <v>CAPV</v>
      </c>
      <c r="E420" s="191" t="str">
        <f t="array" ref="E420">INDEX('Données 1_BD questio'!C:C,MATCH('1_BD questio brut'!$C$1&amp;'1_BD questio brut'!C420,'Données 1_BD questio'!A:A&amp;'Données 1_BD questio'!B:B,0))</f>
        <v>Retraité</v>
      </c>
      <c r="F420" s="191" t="str">
        <f t="array" ref="F420">INDEX('Données 1_BD questio'!C:C,MATCH('1_BD questio brut'!$D$1&amp;'1_BD questio brut'!D420,'Données 1_BD questio'!A:A&amp;'Données 1_BD questio'!B:B,0))</f>
        <v>Retraité</v>
      </c>
      <c r="G420" s="191" t="str">
        <f>'1_BD questio brut'!E420</f>
        <v>65 ans et plus</v>
      </c>
      <c r="H420" s="191">
        <f>'1_BD questio brut'!F420</f>
        <v>2</v>
      </c>
      <c r="I420" s="191" t="str">
        <f>'1_BD questio brut'!G420</f>
        <v>50 000 à 60 000 €</v>
      </c>
      <c r="J420" s="191" t="str">
        <f t="array" ref="J420">INDEX('Données 1_BD questio'!C:C,MATCH('1_BD questio brut'!$H$1&amp;'1_BD questio brut'!H420,'Données 1_BD questio'!A:A&amp;'Données 1_BD questio'!B:B,0))</f>
        <v>Maison avec jardin</v>
      </c>
      <c r="K420" s="191">
        <f>'1_BD questio brut'!I420</f>
        <v>120</v>
      </c>
      <c r="L420" s="191" t="str">
        <f>'1_BD questio brut'!J420</f>
        <v>1949-1975</v>
      </c>
      <c r="M420" s="191" t="str">
        <f>'1_BD questio brut'!K420</f>
        <v>4</v>
      </c>
      <c r="N420" s="191" t="str">
        <f>'1_BD questio brut'!L420</f>
        <v>Pas de réponse</v>
      </c>
      <c r="O420" s="191" t="str">
        <f>'1_BD questio brut'!M420</f>
        <v>Propriétaire occupant</v>
      </c>
      <c r="P420" s="191" t="str">
        <f>'1_BD questio brut'!N420</f>
        <v>Foyer ouvert</v>
      </c>
      <c r="Q420" s="191" t="str">
        <f>'1_BD questio brut'!O420</f>
        <v>Chauffage d'apoint</v>
      </c>
      <c r="R420" s="191" t="str">
        <f>'1_BD questio brut'!P420</f>
        <v>Tous les jours</v>
      </c>
      <c r="S420" s="191" t="str">
        <f>'1_BD questio brut'!Q420</f>
        <v>1; 2; 3; 4</v>
      </c>
      <c r="T420" s="191" t="str">
        <f>'1_BD questio brut'!R420</f>
        <v>Pas de réponse</v>
      </c>
      <c r="U420" s="191" t="str">
        <f>'1_BD questio brut'!S420</f>
        <v>Bois bûche</v>
      </c>
      <c r="V420" s="191" t="str">
        <f>'1_BD questio brut'!T420</f>
        <v/>
      </c>
      <c r="W420" s="191" t="str">
        <f>'1_BD questio brut'!U420</f>
        <v>6</v>
      </c>
      <c r="X420" s="191" t="str">
        <f>'1_BD questio brut'!V420</f>
        <v>stères</v>
      </c>
      <c r="Y420" s="191" t="str">
        <f>'1_BD questio brut'!W420</f>
        <v>2</v>
      </c>
      <c r="Z420" s="191" t="str">
        <f>'1_BD questio brut'!X420</f>
        <v/>
      </c>
      <c r="AA420" s="191" t="str">
        <f t="array" ref="AA420">INDEX('Données 1_BD questio'!C:C,MATCH('1_BD questio brut'!$Y$1&amp;'1_BD questio brut'!Y420,'Données 1_BD questio'!A:A&amp;'Données 1_BD questio'!B:B,0))</f>
        <v>Rhône-Alpes hors RA2B</v>
      </c>
      <c r="AB420" s="191" t="str">
        <f>'1_BD questio brut'!Z420</f>
        <v>2</v>
      </c>
      <c r="AC420" s="191" t="str">
        <f>'1_BD questio brut'!AA420</f>
        <v>&gt; 2 ans</v>
      </c>
      <c r="AD420" s="191" t="str">
        <f>'1_BD questio brut'!AB420</f>
        <v>Feuillus</v>
      </c>
      <c r="AE420" s="191" t="str">
        <f t="array" ref="AE420">INDEX('Données 1_BD questio'!C:C,MATCH('1_BD questio brut'!$AC$1&amp;'1_BD questio brut'!AC420,'Données 1_BD questio'!A:A&amp;'Données 1_BD questio'!B:B,0))</f>
        <v>un professionnel</v>
      </c>
      <c r="AF420" s="191" t="str">
        <f>'1_BD questio brut'!AD420</f>
        <v>1 fois par an</v>
      </c>
      <c r="AG420" s="191" t="str">
        <f>'1_BD questio brut'!AE420</f>
        <v/>
      </c>
      <c r="AH420" s="191" t="str">
        <f>'1_BD questio brut'!AF420</f>
        <v>Poêle</v>
      </c>
      <c r="AI420" s="191" t="str">
        <f>'1_BD questio brut'!AG420</f>
        <v>1</v>
      </c>
      <c r="AJ420" s="191" t="str">
        <f>'1_BD questio brut'!AH420</f>
        <v/>
      </c>
      <c r="AK420" s="191" t="str">
        <f>'1_BD questio brut'!AI420</f>
        <v>Chauffage de base</v>
      </c>
      <c r="AL420" s="191" t="str">
        <f>'1_BD questio brut'!AJ420</f>
        <v>Pas de réponse</v>
      </c>
      <c r="AM420" s="191" t="str">
        <f>'1_BD questio brut'!AK420</f>
        <v>4; 5</v>
      </c>
      <c r="AN420" s="191" t="str">
        <f>'1_BD questio brut'!AL420</f>
        <v/>
      </c>
      <c r="AO420" s="191" t="str">
        <f>'1_BD questio brut'!AM420</f>
        <v>7</v>
      </c>
      <c r="AP420" s="191" t="str">
        <f>'1_BD questio brut'!AN420</f>
        <v/>
      </c>
      <c r="AQ420" s="191" t="str">
        <f>'1_BD questio brut'!AO420</f>
        <v/>
      </c>
    </row>
    <row r="421" spans="1:43" ht="43.5" hidden="1">
      <c r="A421" s="98">
        <f>INDEX('3_BD instruction total'!A:A,MATCH(C421,'3_BD instruction total'!F:F,0))</f>
        <v>2022</v>
      </c>
      <c r="B421" s="98" t="str">
        <f>INDEX('3_BD instruction total'!C:C,MATCH(C421,'3_BD instruction total'!F:F,0))</f>
        <v>non</v>
      </c>
      <c r="C421" s="191" t="str">
        <f>'1_BD questio brut'!A421</f>
        <v>VRB0455</v>
      </c>
      <c r="D421" s="191" t="str">
        <f t="array" ref="D421">INDEX('Données 1_BD questio'!C:C,MATCH('1_BD questio brut'!$B$1&amp;'1_BD questio brut'!B421,'Données 1_BD questio'!A:A&amp;'Données 1_BD questio'!B:B,0))</f>
        <v>CAPV</v>
      </c>
      <c r="E421" s="191" t="str">
        <f t="array" ref="E421">INDEX('Données 1_BD questio'!C:C,MATCH('1_BD questio brut'!$C$1&amp;'1_BD questio brut'!C421,'Données 1_BD questio'!A:A&amp;'Données 1_BD questio'!B:B,0))</f>
        <v>Artisan,commerçant,chef d'entreprise</v>
      </c>
      <c r="F421" s="191" t="str">
        <f t="array" ref="F421">INDEX('Données 1_BD questio'!C:C,MATCH('1_BD questio brut'!$D$1&amp;'1_BD questio brut'!D421,'Données 1_BD questio'!A:A&amp;'Données 1_BD questio'!B:B,0))</f>
        <v>Pas de réponse</v>
      </c>
      <c r="G421" s="191" t="str">
        <f>'1_BD questio brut'!E421</f>
        <v>35 à 49 ans</v>
      </c>
      <c r="H421" s="191">
        <f>'1_BD questio brut'!F421</f>
        <v>4</v>
      </c>
      <c r="I421" s="191" t="str">
        <f>'1_BD questio brut'!G421</f>
        <v>Moins de 20 000 €</v>
      </c>
      <c r="J421" s="191" t="str">
        <f t="array" ref="J421">INDEX('Données 1_BD questio'!C:C,MATCH('1_BD questio brut'!$H$1&amp;'1_BD questio brut'!H421,'Données 1_BD questio'!A:A&amp;'Données 1_BD questio'!B:B,0))</f>
        <v>Maison avec jardin</v>
      </c>
      <c r="K421" s="191">
        <f>'1_BD questio brut'!I421</f>
        <v>200</v>
      </c>
      <c r="L421" s="191" t="str">
        <f>'1_BD questio brut'!J421</f>
        <v>1990-2005</v>
      </c>
      <c r="M421" s="191" t="str">
        <f>'1_BD questio brut'!K421</f>
        <v>2; 4</v>
      </c>
      <c r="N421" s="191" t="str">
        <f>'1_BD questio brut'!L421</f>
        <v>Pas de réponse</v>
      </c>
      <c r="O421" s="191" t="str">
        <f>'1_BD questio brut'!M421</f>
        <v>Propriétaire occupant</v>
      </c>
      <c r="P421" s="191" t="str">
        <f>'1_BD questio brut'!N421</f>
        <v>Poêle</v>
      </c>
      <c r="Q421" s="191" t="str">
        <f>'1_BD questio brut'!O421</f>
        <v>Chauffage de base</v>
      </c>
      <c r="R421" s="191" t="str">
        <f>'1_BD questio brut'!P421</f>
        <v>Tous les jours</v>
      </c>
      <c r="S421" s="191" t="str">
        <f>'1_BD questio brut'!Q421</f>
        <v>1</v>
      </c>
      <c r="T421" s="191" t="str">
        <f>'1_BD questio brut'!R421</f>
        <v>1996-2002</v>
      </c>
      <c r="U421" s="191" t="str">
        <f>'1_BD questio brut'!S421</f>
        <v>Bois bûche</v>
      </c>
      <c r="V421" s="191" t="str">
        <f>'1_BD questio brut'!T421</f>
        <v/>
      </c>
      <c r="W421" s="191" t="str">
        <f>'1_BD questio brut'!U421</f>
        <v>12</v>
      </c>
      <c r="X421" s="191" t="str">
        <f>'1_BD questio brut'!V421</f>
        <v>Stères</v>
      </c>
      <c r="Y421" s="191" t="str">
        <f>'1_BD questio brut'!W421</f>
        <v>2</v>
      </c>
      <c r="Z421" s="191" t="str">
        <f>'1_BD questio brut'!X421</f>
        <v/>
      </c>
      <c r="AA421" s="191" t="str">
        <f t="array" ref="AA421">INDEX('Données 1_BD questio'!C:C,MATCH('1_BD questio brut'!$Y$1&amp;'1_BD questio brut'!Y421,'Données 1_BD questio'!A:A&amp;'Données 1_BD questio'!B:B,0))</f>
        <v>RA2B</v>
      </c>
      <c r="AB421" s="191" t="str">
        <f>'1_BD questio brut'!Z421</f>
        <v>2</v>
      </c>
      <c r="AC421" s="191" t="str">
        <f>'1_BD questio brut'!AA421</f>
        <v>&gt; 2 ans</v>
      </c>
      <c r="AD421" s="191" t="str">
        <f>'1_BD questio brut'!AB421</f>
        <v>Feuillus</v>
      </c>
      <c r="AE421" s="191" t="str">
        <f t="array" ref="AE421">INDEX('Données 1_BD questio'!C:C,MATCH('1_BD questio brut'!$AC$1&amp;'1_BD questio brut'!AC421,'Données 1_BD questio'!A:A&amp;'Données 1_BD questio'!B:B,0))</f>
        <v>un professionnel</v>
      </c>
      <c r="AF421" s="191" t="str">
        <f>'1_BD questio brut'!AD421</f>
        <v>1 fois par an</v>
      </c>
      <c r="AG421" s="191" t="str">
        <f>'1_BD questio brut'!AE421</f>
        <v/>
      </c>
      <c r="AH421" s="191" t="str">
        <f>'1_BD questio brut'!AF421</f>
        <v>Poêle</v>
      </c>
      <c r="AI421" s="191" t="str">
        <f>'1_BD questio brut'!AG421</f>
        <v>1</v>
      </c>
      <c r="AJ421" s="191" t="str">
        <f>'1_BD questio brut'!AH421</f>
        <v/>
      </c>
      <c r="AK421" s="191" t="str">
        <f>'1_BD questio brut'!AI421</f>
        <v>Chauffage de base</v>
      </c>
      <c r="AL421" s="191" t="str">
        <f>'1_BD questio brut'!AJ421</f>
        <v>Pas de réponse</v>
      </c>
      <c r="AM421" s="191" t="str">
        <f>'1_BD questio brut'!AK421</f>
        <v>2</v>
      </c>
      <c r="AN421" s="191" t="str">
        <f>'1_BD questio brut'!AL421</f>
        <v/>
      </c>
      <c r="AO421" s="191" t="str">
        <f>'1_BD questio brut'!AM421</f>
        <v>1</v>
      </c>
      <c r="AP421" s="191" t="str">
        <f>'1_BD questio brut'!AN421</f>
        <v/>
      </c>
      <c r="AQ421" s="191" t="str">
        <f>'1_BD questio brut'!AO421</f>
        <v/>
      </c>
    </row>
    <row r="422" spans="1:43" ht="29" hidden="1">
      <c r="A422" s="98">
        <f>INDEX('3_BD instruction total'!A:A,MATCH(C422,'3_BD instruction total'!F:F,0))</f>
        <v>2022</v>
      </c>
      <c r="B422" s="98" t="str">
        <f>INDEX('3_BD instruction total'!C:C,MATCH(C422,'3_BD instruction total'!F:F,0))</f>
        <v>non</v>
      </c>
      <c r="C422" s="191" t="str">
        <f>'1_BD questio brut'!A422</f>
        <v>VRB0456</v>
      </c>
      <c r="D422" s="191" t="str">
        <f t="array" ref="D422">INDEX('Données 1_BD questio'!C:C,MATCH('1_BD questio brut'!$B$1&amp;'1_BD questio brut'!B422,'Données 1_BD questio'!A:A&amp;'Données 1_BD questio'!B:B,0))</f>
        <v>CAPV</v>
      </c>
      <c r="E422" s="191" t="str">
        <f t="array" ref="E422">INDEX('Données 1_BD questio'!C:C,MATCH('1_BD questio brut'!$C$1&amp;'1_BD questio brut'!C422,'Données 1_BD questio'!A:A&amp;'Données 1_BD questio'!B:B,0))</f>
        <v>Artisan,commerçant,chef d'entreprise</v>
      </c>
      <c r="F422" s="191" t="str">
        <f t="array" ref="F422">INDEX('Données 1_BD questio'!C:C,MATCH('1_BD questio brut'!$D$1&amp;'1_BD questio brut'!D422,'Données 1_BD questio'!A:A&amp;'Données 1_BD questio'!B:B,0))</f>
        <v>Employé</v>
      </c>
      <c r="G422" s="191" t="str">
        <f>'1_BD questio brut'!E422</f>
        <v>25 à 34 ans</v>
      </c>
      <c r="H422" s="191">
        <f>'1_BD questio brut'!F422</f>
        <v>2</v>
      </c>
      <c r="I422" s="191" t="str">
        <f>'1_BD questio brut'!G422</f>
        <v>40 000 à 50 000 €</v>
      </c>
      <c r="J422" s="191" t="str">
        <f t="array" ref="J422">INDEX('Données 1_BD questio'!C:C,MATCH('1_BD questio brut'!$H$1&amp;'1_BD questio brut'!H422,'Données 1_BD questio'!A:A&amp;'Données 1_BD questio'!B:B,0))</f>
        <v>Maison avec jardin</v>
      </c>
      <c r="K422" s="191">
        <f>'1_BD questio brut'!I422</f>
        <v>125</v>
      </c>
      <c r="L422" s="191" t="str">
        <f>'1_BD questio brut'!J422</f>
        <v>Pas de réponse</v>
      </c>
      <c r="M422" s="191" t="str">
        <f>'1_BD questio brut'!K422</f>
        <v>6</v>
      </c>
      <c r="N422" s="191" t="str">
        <f>'1_BD questio brut'!L422</f>
        <v>F</v>
      </c>
      <c r="O422" s="191" t="str">
        <f>'1_BD questio brut'!M422</f>
        <v>Propriétaire occupant</v>
      </c>
      <c r="P422" s="191" t="str">
        <f>'1_BD questio brut'!N422</f>
        <v>Foyer ouvert</v>
      </c>
      <c r="Q422" s="191" t="str">
        <f>'1_BD questio brut'!O422</f>
        <v>Chauffage de base</v>
      </c>
      <c r="R422" s="191" t="str">
        <f>'1_BD questio brut'!P422</f>
        <v>Tous les jours</v>
      </c>
      <c r="S422" s="191" t="str">
        <f>'1_BD questio brut'!Q422</f>
        <v>1; 2; 6</v>
      </c>
      <c r="T422" s="191" t="str">
        <f>'1_BD questio brut'!R422</f>
        <v>Avant 1990</v>
      </c>
      <c r="U422" s="191" t="str">
        <f>'1_BD questio brut'!S422</f>
        <v>Bois bûche</v>
      </c>
      <c r="V422" s="191" t="str">
        <f>'1_BD questio brut'!T422</f>
        <v/>
      </c>
      <c r="W422" s="191" t="str">
        <f>'1_BD questio brut'!U422</f>
        <v/>
      </c>
      <c r="X422" s="191" t="str">
        <f>'1_BD questio brut'!V422</f>
        <v/>
      </c>
      <c r="Y422" s="191" t="str">
        <f>'1_BD questio brut'!W422</f>
        <v>1; 2</v>
      </c>
      <c r="Z422" s="191" t="str">
        <f>'1_BD questio brut'!X422</f>
        <v/>
      </c>
      <c r="AA422" s="191" t="str">
        <f t="array" ref="AA422">INDEX('Données 1_BD questio'!C:C,MATCH('1_BD questio brut'!$Y$1&amp;'1_BD questio brut'!Y422,'Données 1_BD questio'!A:A&amp;'Données 1_BD questio'!B:B,0))</f>
        <v>RA2B</v>
      </c>
      <c r="AB422" s="191" t="str">
        <f>'1_BD questio brut'!Z422</f>
        <v>2</v>
      </c>
      <c r="AC422" s="191" t="str">
        <f>'1_BD questio brut'!AA422</f>
        <v>1 à 2 ans</v>
      </c>
      <c r="AD422" s="191" t="str">
        <f>'1_BD questio brut'!AB422</f>
        <v>Feuillus</v>
      </c>
      <c r="AE422" s="191" t="str">
        <f t="array" ref="AE422">INDEX('Données 1_BD questio'!C:C,MATCH('1_BD questio brut'!$AC$1&amp;'1_BD questio brut'!AC422,'Données 1_BD questio'!A:A&amp;'Données 1_BD questio'!B:B,0))</f>
        <v>Pas de réponse</v>
      </c>
      <c r="AF422" s="191" t="str">
        <f>'1_BD questio brut'!AD422</f>
        <v>Pas de réponse</v>
      </c>
      <c r="AG422" s="191" t="str">
        <f>'1_BD questio brut'!AE422</f>
        <v/>
      </c>
      <c r="AH422" s="191" t="str">
        <f>'1_BD questio brut'!AF422</f>
        <v>Poêle</v>
      </c>
      <c r="AI422" s="191" t="str">
        <f>'1_BD questio brut'!AG422</f>
        <v>1</v>
      </c>
      <c r="AJ422" s="191" t="str">
        <f>'1_BD questio brut'!AH422</f>
        <v/>
      </c>
      <c r="AK422" s="191" t="str">
        <f>'1_BD questio brut'!AI422</f>
        <v>Chauffage d'appoint</v>
      </c>
      <c r="AL422" s="191" t="str">
        <f>'1_BD questio brut'!AJ422</f>
        <v>Pas de réponse</v>
      </c>
      <c r="AM422" s="191" t="str">
        <f>'1_BD questio brut'!AK422</f>
        <v>4; 5</v>
      </c>
      <c r="AN422" s="191" t="str">
        <f>'1_BD questio brut'!AL422</f>
        <v/>
      </c>
      <c r="AO422" s="191" t="str">
        <f>'1_BD questio brut'!AM422</f>
        <v>7</v>
      </c>
      <c r="AP422" s="191" t="str">
        <f>'1_BD questio brut'!AN422</f>
        <v/>
      </c>
      <c r="AQ422" s="191" t="str">
        <f>'1_BD questio brut'!AO422</f>
        <v/>
      </c>
    </row>
    <row r="423" spans="1:43" ht="43.5" hidden="1">
      <c r="A423" s="98">
        <f>INDEX('3_BD instruction total'!A:A,MATCH(C423,'3_BD instruction total'!F:F,0))</f>
        <v>2022</v>
      </c>
      <c r="B423" s="98" t="str">
        <f>INDEX('3_BD instruction total'!C:C,MATCH(C423,'3_BD instruction total'!F:F,0))</f>
        <v>non</v>
      </c>
      <c r="C423" s="191" t="str">
        <f>'1_BD questio brut'!A423</f>
        <v>VRB0457</v>
      </c>
      <c r="D423" s="191" t="str">
        <f t="array" ref="D423">INDEX('Données 1_BD questio'!C:C,MATCH('1_BD questio brut'!$B$1&amp;'1_BD questio brut'!B423,'Données 1_BD questio'!A:A&amp;'Données 1_BD questio'!B:B,0))</f>
        <v>CAPV</v>
      </c>
      <c r="E423" s="191" t="str">
        <f t="array" ref="E423">INDEX('Données 1_BD questio'!C:C,MATCH('1_BD questio brut'!$C$1&amp;'1_BD questio brut'!C423,'Données 1_BD questio'!A:A&amp;'Données 1_BD questio'!B:B,0))</f>
        <v>Cadre</v>
      </c>
      <c r="F423" s="191" t="str">
        <f t="array" ref="F423">INDEX('Données 1_BD questio'!C:C,MATCH('1_BD questio brut'!$D$1&amp;'1_BD questio brut'!D423,'Données 1_BD questio'!A:A&amp;'Données 1_BD questio'!B:B,0))</f>
        <v>Cadre</v>
      </c>
      <c r="G423" s="191" t="str">
        <f>'1_BD questio brut'!E423</f>
        <v>50 à 64 ans</v>
      </c>
      <c r="H423" s="191">
        <f>'1_BD questio brut'!F423</f>
        <v>5</v>
      </c>
      <c r="I423" s="191" t="str">
        <f>'1_BD questio brut'!G423</f>
        <v>Plus de 100 000 €</v>
      </c>
      <c r="J423" s="191" t="str">
        <f t="array" ref="J423">INDEX('Données 1_BD questio'!C:C,MATCH('1_BD questio brut'!$H$1&amp;'1_BD questio brut'!H423,'Données 1_BD questio'!A:A&amp;'Données 1_BD questio'!B:B,0))</f>
        <v>Maison avec jardin</v>
      </c>
      <c r="K423" s="191">
        <f>'1_BD questio brut'!I423</f>
        <v>240</v>
      </c>
      <c r="L423" s="191" t="str">
        <f>'1_BD questio brut'!J423</f>
        <v>1975-1990</v>
      </c>
      <c r="M423" s="191" t="str">
        <f>'1_BD questio brut'!K423</f>
        <v>1</v>
      </c>
      <c r="N423" s="191" t="str">
        <f>'1_BD questio brut'!L423</f>
        <v>E</v>
      </c>
      <c r="O423" s="191" t="str">
        <f>'1_BD questio brut'!M423</f>
        <v>Propriétaire occupant</v>
      </c>
      <c r="P423" s="191" t="str">
        <f>'1_BD questio brut'!N423</f>
        <v>Foyer ouvert</v>
      </c>
      <c r="Q423" s="191" t="str">
        <f>'1_BD questio brut'!O423</f>
        <v>Chauffage d'apoint</v>
      </c>
      <c r="R423" s="191" t="str">
        <f>'1_BD questio brut'!P423</f>
        <v>Tous les jours</v>
      </c>
      <c r="S423" s="191" t="str">
        <f>'1_BD questio brut'!Q423</f>
        <v>2; 3</v>
      </c>
      <c r="T423" s="191" t="str">
        <f>'1_BD questio brut'!R423</f>
        <v>Avant 1990</v>
      </c>
      <c r="U423" s="191" t="str">
        <f>'1_BD questio brut'!S423</f>
        <v>Bois bûche</v>
      </c>
      <c r="V423" s="191" t="str">
        <f>'1_BD questio brut'!T423</f>
        <v/>
      </c>
      <c r="W423" s="191" t="str">
        <f>'1_BD questio brut'!U423</f>
        <v>8</v>
      </c>
      <c r="X423" s="191" t="str">
        <f>'1_BD questio brut'!V423</f>
        <v>Stères</v>
      </c>
      <c r="Y423" s="191" t="str">
        <f>'1_BD questio brut'!W423</f>
        <v>2</v>
      </c>
      <c r="Z423" s="191" t="str">
        <f>'1_BD questio brut'!X423</f>
        <v/>
      </c>
      <c r="AA423" s="191" t="str">
        <f t="array" ref="AA423">INDEX('Données 1_BD questio'!C:C,MATCH('1_BD questio brut'!$Y$1&amp;'1_BD questio brut'!Y423,'Données 1_BD questio'!A:A&amp;'Données 1_BD questio'!B:B,0))</f>
        <v>Ne sait pas</v>
      </c>
      <c r="AB423" s="191" t="str">
        <f>'1_BD questio brut'!Z423</f>
        <v>2</v>
      </c>
      <c r="AC423" s="191" t="str">
        <f>'1_BD questio brut'!AA423</f>
        <v>1 à 2 ans</v>
      </c>
      <c r="AD423" s="191" t="str">
        <f>'1_BD questio brut'!AB423</f>
        <v>Feuillus</v>
      </c>
      <c r="AE423" s="191" t="str">
        <f t="array" ref="AE423">INDEX('Données 1_BD questio'!C:C,MATCH('1_BD questio brut'!$AC$1&amp;'1_BD questio brut'!AC423,'Données 1_BD questio'!A:A&amp;'Données 1_BD questio'!B:B,0))</f>
        <v>un professionnel</v>
      </c>
      <c r="AF423" s="191" t="str">
        <f>'1_BD questio brut'!AD423</f>
        <v>1 fois par an</v>
      </c>
      <c r="AG423" s="191" t="str">
        <f>'1_BD questio brut'!AE423</f>
        <v>Nous venos d'acquerir la maison qui n'était plus habité</v>
      </c>
      <c r="AH423" s="191" t="str">
        <f>'1_BD questio brut'!AF423</f>
        <v>Poêle</v>
      </c>
      <c r="AI423" s="191" t="str">
        <f>'1_BD questio brut'!AG423</f>
        <v>1</v>
      </c>
      <c r="AJ423" s="191" t="str">
        <f>'1_BD questio brut'!AH423</f>
        <v/>
      </c>
      <c r="AK423" s="191" t="str">
        <f>'1_BD questio brut'!AI423</f>
        <v>Chauffage de base</v>
      </c>
      <c r="AL423" s="191" t="str">
        <f>'1_BD questio brut'!AJ423</f>
        <v>Pas de réponse</v>
      </c>
      <c r="AM423" s="191" t="str">
        <f>'1_BD questio brut'!AK423</f>
        <v>2; 4</v>
      </c>
      <c r="AN423" s="191" t="str">
        <f>'1_BD questio brut'!AL423</f>
        <v/>
      </c>
      <c r="AO423" s="191" t="str">
        <f>'1_BD questio brut'!AM423</f>
        <v>5; 12</v>
      </c>
      <c r="AP423" s="191" t="str">
        <f>'1_BD questio brut'!AN423</f>
        <v/>
      </c>
      <c r="AQ423" s="191" t="str">
        <f>'1_BD questio brut'!AO423</f>
        <v>square habitat</v>
      </c>
    </row>
    <row r="424" spans="1:43" ht="29" hidden="1">
      <c r="A424" s="98">
        <f>INDEX('3_BD instruction total'!A:A,MATCH(C424,'3_BD instruction total'!F:F,0))</f>
        <v>2022</v>
      </c>
      <c r="B424" s="98" t="str">
        <f>INDEX('3_BD instruction total'!C:C,MATCH(C424,'3_BD instruction total'!F:F,0))</f>
        <v>non</v>
      </c>
      <c r="C424" s="191" t="str">
        <f>'1_BD questio brut'!A424</f>
        <v>VRB0458</v>
      </c>
      <c r="D424" s="191" t="str">
        <f t="array" ref="D424">INDEX('Données 1_BD questio'!C:C,MATCH('1_BD questio brut'!$B$1&amp;'1_BD questio brut'!B424,'Données 1_BD questio'!A:A&amp;'Données 1_BD questio'!B:B,0))</f>
        <v>CAPV</v>
      </c>
      <c r="E424" s="191" t="str">
        <f t="array" ref="E424">INDEX('Données 1_BD questio'!C:C,MATCH('1_BD questio brut'!$C$1&amp;'1_BD questio brut'!C424,'Données 1_BD questio'!A:A&amp;'Données 1_BD questio'!B:B,0))</f>
        <v>Retraité</v>
      </c>
      <c r="F424" s="191" t="str">
        <f t="array" ref="F424">INDEX('Données 1_BD questio'!C:C,MATCH('1_BD questio brut'!$D$1&amp;'1_BD questio brut'!D424,'Données 1_BD questio'!A:A&amp;'Données 1_BD questio'!B:B,0))</f>
        <v>Retraité</v>
      </c>
      <c r="G424" s="191" t="str">
        <f>'1_BD questio brut'!E424</f>
        <v>65 ans et plus</v>
      </c>
      <c r="H424" s="191">
        <f>'1_BD questio brut'!F424</f>
        <v>2</v>
      </c>
      <c r="I424" s="191" t="str">
        <f>'1_BD questio brut'!G424</f>
        <v>30 000 à 40 000 €</v>
      </c>
      <c r="J424" s="191" t="str">
        <f t="array" ref="J424">INDEX('Données 1_BD questio'!C:C,MATCH('1_BD questio brut'!$H$1&amp;'1_BD questio brut'!H424,'Données 1_BD questio'!A:A&amp;'Données 1_BD questio'!B:B,0))</f>
        <v>Maison avec jardin</v>
      </c>
      <c r="K424" s="191">
        <f>'1_BD questio brut'!I424</f>
        <v>100</v>
      </c>
      <c r="L424" s="191" t="str">
        <f>'1_BD questio brut'!J424</f>
        <v>1975-1990</v>
      </c>
      <c r="M424" s="191" t="str">
        <f>'1_BD questio brut'!K424</f>
        <v>6</v>
      </c>
      <c r="N424" s="191" t="str">
        <f>'1_BD questio brut'!L424</f>
        <v>Pas de réponse</v>
      </c>
      <c r="O424" s="191" t="str">
        <f>'1_BD questio brut'!M424</f>
        <v>Propriétaire occupant</v>
      </c>
      <c r="P424" s="191" t="str">
        <f>'1_BD questio brut'!N424</f>
        <v>Foyer ouvert</v>
      </c>
      <c r="Q424" s="191" t="str">
        <f>'1_BD questio brut'!O424</f>
        <v>Chauffage d'apoint</v>
      </c>
      <c r="R424" s="191" t="str">
        <f>'1_BD questio brut'!P424</f>
        <v>1 à 3 jours/mois</v>
      </c>
      <c r="S424" s="191" t="str">
        <f>'1_BD questio brut'!Q424</f>
        <v>2</v>
      </c>
      <c r="T424" s="191" t="str">
        <f>'1_BD questio brut'!R424</f>
        <v>Avant 1990</v>
      </c>
      <c r="U424" s="191" t="str">
        <f>'1_BD questio brut'!S424</f>
        <v>Bois bûche</v>
      </c>
      <c r="V424" s="191" t="str">
        <f>'1_BD questio brut'!T424</f>
        <v/>
      </c>
      <c r="W424" s="191" t="str">
        <f>'1_BD questio brut'!U424</f>
        <v>2</v>
      </c>
      <c r="X424" s="191" t="str">
        <f>'1_BD questio brut'!V424</f>
        <v>stère</v>
      </c>
      <c r="Y424" s="191" t="str">
        <f>'1_BD questio brut'!W424</f>
        <v>1</v>
      </c>
      <c r="Z424" s="191" t="str">
        <f>'1_BD questio brut'!X424</f>
        <v/>
      </c>
      <c r="AA424" s="191" t="str">
        <f t="array" ref="AA424">INDEX('Données 1_BD questio'!C:C,MATCH('1_BD questio brut'!$Y$1&amp;'1_BD questio brut'!Y424,'Données 1_BD questio'!A:A&amp;'Données 1_BD questio'!B:B,0))</f>
        <v>RA2B</v>
      </c>
      <c r="AB424" s="191" t="str">
        <f>'1_BD questio brut'!Z424</f>
        <v>2</v>
      </c>
      <c r="AC424" s="191" t="str">
        <f>'1_BD questio brut'!AA424</f>
        <v>&gt; 2 ans</v>
      </c>
      <c r="AD424" s="191" t="str">
        <f>'1_BD questio brut'!AB424</f>
        <v>Les deux</v>
      </c>
      <c r="AE424" s="191" t="str">
        <f t="array" ref="AE424">INDEX('Données 1_BD questio'!C:C,MATCH('1_BD questio brut'!$AC$1&amp;'1_BD questio brut'!AC424,'Données 1_BD questio'!A:A&amp;'Données 1_BD questio'!B:B,0))</f>
        <v>vous-même</v>
      </c>
      <c r="AF424" s="191" t="str">
        <f>'1_BD questio brut'!AD424</f>
        <v>1 fois par an</v>
      </c>
      <c r="AG424" s="191" t="str">
        <f>'1_BD questio brut'!AE424</f>
        <v/>
      </c>
      <c r="AH424" s="191" t="str">
        <f>'1_BD questio brut'!AF424</f>
        <v>Insert cheminée</v>
      </c>
      <c r="AI424" s="191" t="str">
        <f>'1_BD questio brut'!AG424</f>
        <v>1</v>
      </c>
      <c r="AJ424" s="191" t="str">
        <f>'1_BD questio brut'!AH424</f>
        <v/>
      </c>
      <c r="AK424" s="191" t="str">
        <f>'1_BD questio brut'!AI424</f>
        <v>Chauffage d'appoint</v>
      </c>
      <c r="AL424" s="191" t="str">
        <f>'1_BD questio brut'!AJ424</f>
        <v>Pas de réponse</v>
      </c>
      <c r="AM424" s="191" t="str">
        <f>'1_BD questio brut'!AK424</f>
        <v>2; 5</v>
      </c>
      <c r="AN424" s="191" t="str">
        <f>'1_BD questio brut'!AL424</f>
        <v/>
      </c>
      <c r="AO424" s="191" t="str">
        <f>'1_BD questio brut'!AM424</f>
        <v>5; 7</v>
      </c>
      <c r="AP424" s="191" t="str">
        <f>'1_BD questio brut'!AN424</f>
        <v/>
      </c>
      <c r="AQ424" s="191" t="str">
        <f>'1_BD questio brut'!AO424</f>
        <v/>
      </c>
    </row>
    <row r="425" spans="1:43" ht="58" hidden="1">
      <c r="A425" s="98">
        <f>INDEX('3_BD instruction total'!A:A,MATCH(C425,'3_BD instruction total'!F:F,0))</f>
        <v>2022</v>
      </c>
      <c r="B425" s="98" t="str">
        <f>INDEX('3_BD instruction total'!C:C,MATCH(C425,'3_BD instruction total'!F:F,0))</f>
        <v>non</v>
      </c>
      <c r="C425" s="191" t="str">
        <f>'1_BD questio brut'!A425</f>
        <v>VRB0459</v>
      </c>
      <c r="D425" s="191" t="str">
        <f t="array" ref="D425">INDEX('Données 1_BD questio'!C:C,MATCH('1_BD questio brut'!$B$1&amp;'1_BD questio brut'!B425,'Données 1_BD questio'!A:A&amp;'Données 1_BD questio'!B:B,0))</f>
        <v>CAPV</v>
      </c>
      <c r="E425" s="191" t="str">
        <f t="array" ref="E425">INDEX('Données 1_BD questio'!C:C,MATCH('1_BD questio brut'!$C$1&amp;'1_BD questio brut'!C425,'Données 1_BD questio'!A:A&amp;'Données 1_BD questio'!B:B,0))</f>
        <v>Employé</v>
      </c>
      <c r="F425" s="191" t="str">
        <f t="array" ref="F425">INDEX('Données 1_BD questio'!C:C,MATCH('1_BD questio brut'!$D$1&amp;'1_BD questio brut'!D425,'Données 1_BD questio'!A:A&amp;'Données 1_BD questio'!B:B,0))</f>
        <v>Employé</v>
      </c>
      <c r="G425" s="191" t="str">
        <f>'1_BD questio brut'!E425</f>
        <v>50 à 64 ans</v>
      </c>
      <c r="H425" s="191">
        <f>'1_BD questio brut'!F425</f>
        <v>3</v>
      </c>
      <c r="I425" s="191" t="str">
        <f>'1_BD questio brut'!G425</f>
        <v>50 000 à 60 000 €</v>
      </c>
      <c r="J425" s="191" t="str">
        <f t="array" ref="J425">INDEX('Données 1_BD questio'!C:C,MATCH('1_BD questio brut'!$H$1&amp;'1_BD questio brut'!H425,'Données 1_BD questio'!A:A&amp;'Données 1_BD questio'!B:B,0))</f>
        <v>Maison avec jardin</v>
      </c>
      <c r="K425" s="191">
        <f>'1_BD questio brut'!I425</f>
        <v>90</v>
      </c>
      <c r="L425" s="191" t="str">
        <f>'1_BD questio brut'!J425</f>
        <v>1990-2005</v>
      </c>
      <c r="M425" s="191" t="str">
        <f>'1_BD questio brut'!K425</f>
        <v>1; 4</v>
      </c>
      <c r="N425" s="191" t="str">
        <f>'1_BD questio brut'!L425</f>
        <v>Pas de réponse</v>
      </c>
      <c r="O425" s="191" t="str">
        <f>'1_BD questio brut'!M425</f>
        <v>Propriétaire occupant</v>
      </c>
      <c r="P425" s="191" t="str">
        <f>'1_BD questio brut'!N425</f>
        <v>Poêle</v>
      </c>
      <c r="Q425" s="191" t="str">
        <f>'1_BD questio brut'!O425</f>
        <v>Chauffage de base</v>
      </c>
      <c r="R425" s="191" t="str">
        <f>'1_BD questio brut'!P425</f>
        <v>Tous les jours</v>
      </c>
      <c r="S425" s="191" t="str">
        <f>'1_BD questio brut'!Q425</f>
        <v>2; 3; 4; 6</v>
      </c>
      <c r="T425" s="191" t="str">
        <f>'1_BD questio brut'!R425</f>
        <v>1996-2002</v>
      </c>
      <c r="U425" s="191" t="str">
        <f>'1_BD questio brut'!S425</f>
        <v>Granulés/pellets</v>
      </c>
      <c r="V425" s="191" t="str">
        <f>'1_BD questio brut'!T425</f>
        <v/>
      </c>
      <c r="W425" s="191" t="str">
        <f>'1_BD questio brut'!U425</f>
        <v/>
      </c>
      <c r="X425" s="191" t="str">
        <f>'1_BD questio brut'!V425</f>
        <v/>
      </c>
      <c r="Y425" s="191" t="str">
        <f>'1_BD questio brut'!W425</f>
        <v>5</v>
      </c>
      <c r="Z425" s="191" t="str">
        <f>'1_BD questio brut'!X425</f>
        <v/>
      </c>
      <c r="AA425" s="191" t="str">
        <f t="array" ref="AA425">INDEX('Données 1_BD questio'!C:C,MATCH('1_BD questio brut'!$Y$1&amp;'1_BD questio brut'!Y425,'Données 1_BD questio'!A:A&amp;'Données 1_BD questio'!B:B,0))</f>
        <v>Pas de réponse</v>
      </c>
      <c r="AB425" s="191" t="str">
        <f>'1_BD questio brut'!Z425</f>
        <v>1</v>
      </c>
      <c r="AC425" s="191" t="str">
        <f>'1_BD questio brut'!AA425</f>
        <v>Pas de réponse</v>
      </c>
      <c r="AD425" s="191" t="str">
        <f>'1_BD questio brut'!AB425</f>
        <v>Pas de réponse</v>
      </c>
      <c r="AE425" s="191" t="str">
        <f t="array" ref="AE425">INDEX('Données 1_BD questio'!C:C,MATCH('1_BD questio brut'!$AC$1&amp;'1_BD questio brut'!AC425,'Données 1_BD questio'!A:A&amp;'Données 1_BD questio'!B:B,0))</f>
        <v>un professionnel</v>
      </c>
      <c r="AF425" s="191" t="str">
        <f>'1_BD questio brut'!AD425</f>
        <v>1 fois par an</v>
      </c>
      <c r="AG425" s="191" t="str">
        <f>'1_BD questio brut'!AE425</f>
        <v/>
      </c>
      <c r="AH425" s="191" t="str">
        <f>'1_BD questio brut'!AF425</f>
        <v>Poêle</v>
      </c>
      <c r="AI425" s="191" t="str">
        <f>'1_BD questio brut'!AG425</f>
        <v>2</v>
      </c>
      <c r="AJ425" s="191" t="str">
        <f>'1_BD questio brut'!AH425</f>
        <v/>
      </c>
      <c r="AK425" s="191" t="str">
        <f>'1_BD questio brut'!AI425</f>
        <v>Chauffage de base</v>
      </c>
      <c r="AL425" s="191" t="str">
        <f>'1_BD questio brut'!AJ425</f>
        <v>Pas de réponse</v>
      </c>
      <c r="AM425" s="191" t="str">
        <f>'1_BD questio brut'!AK425</f>
        <v>1; 4; 6</v>
      </c>
      <c r="AN425" s="191" t="str">
        <f>'1_BD questio brut'!AL425</f>
        <v>Appareil hors service , non réparable</v>
      </c>
      <c r="AO425" s="191" t="str">
        <f>'1_BD questio brut'!AM425</f>
        <v>7</v>
      </c>
      <c r="AP425" s="191" t="str">
        <f>'1_BD questio brut'!AN425</f>
        <v/>
      </c>
      <c r="AQ425" s="191" t="str">
        <f>'1_BD questio brut'!AO425</f>
        <v/>
      </c>
    </row>
    <row r="426" spans="1:43" ht="43.5" hidden="1">
      <c r="A426" s="98">
        <f>INDEX('3_BD instruction total'!A:A,MATCH(C426,'3_BD instruction total'!F:F,0))</f>
        <v>2022</v>
      </c>
      <c r="B426" s="98" t="str">
        <f>INDEX('3_BD instruction total'!C:C,MATCH(C426,'3_BD instruction total'!F:F,0))</f>
        <v>non</v>
      </c>
      <c r="C426" s="191" t="str">
        <f>'1_BD questio brut'!A426</f>
        <v>VRB0461</v>
      </c>
      <c r="D426" s="191" t="str">
        <f t="array" ref="D426">INDEX('Données 1_BD questio'!C:C,MATCH('1_BD questio brut'!$B$1&amp;'1_BD questio brut'!B426,'Données 1_BD questio'!A:A&amp;'Données 1_BD questio'!B:B,0))</f>
        <v>CAPV</v>
      </c>
      <c r="E426" s="191" t="str">
        <f t="array" ref="E426">INDEX('Données 1_BD questio'!C:C,MATCH('1_BD questio brut'!$C$1&amp;'1_BD questio brut'!C426,'Données 1_BD questio'!A:A&amp;'Données 1_BD questio'!B:B,0))</f>
        <v>Retraité</v>
      </c>
      <c r="F426" s="191" t="str">
        <f t="array" ref="F426">INDEX('Données 1_BD questio'!C:C,MATCH('1_BD questio brut'!$D$1&amp;'1_BD questio brut'!D426,'Données 1_BD questio'!A:A&amp;'Données 1_BD questio'!B:B,0))</f>
        <v>Pas de réponse</v>
      </c>
      <c r="G426" s="191" t="str">
        <f>'1_BD questio brut'!E426</f>
        <v>65 ans et plus</v>
      </c>
      <c r="H426" s="191">
        <f>'1_BD questio brut'!F426</f>
        <v>1</v>
      </c>
      <c r="I426" s="191" t="str">
        <f>'1_BD questio brut'!G426</f>
        <v>20 000 à 30 000 €</v>
      </c>
      <c r="J426" s="191" t="str">
        <f t="array" ref="J426">INDEX('Données 1_BD questio'!C:C,MATCH('1_BD questio brut'!$H$1&amp;'1_BD questio brut'!H426,'Données 1_BD questio'!A:A&amp;'Données 1_BD questio'!B:B,0))</f>
        <v>Maison avec jardin</v>
      </c>
      <c r="K426" s="191">
        <f>'1_BD questio brut'!I426</f>
        <v>120</v>
      </c>
      <c r="L426" s="191" t="str">
        <f>'1_BD questio brut'!J426</f>
        <v>1949-1975</v>
      </c>
      <c r="M426" s="191" t="str">
        <f>'1_BD questio brut'!K426</f>
        <v>4</v>
      </c>
      <c r="N426" s="191" t="str">
        <f>'1_BD questio brut'!L426</f>
        <v>Pas de réponse</v>
      </c>
      <c r="O426" s="191" t="str">
        <f>'1_BD questio brut'!M426</f>
        <v>Propriétaire occupant</v>
      </c>
      <c r="P426" s="191" t="str">
        <f>'1_BD questio brut'!N426</f>
        <v>Insert / foyer fermé</v>
      </c>
      <c r="Q426" s="191" t="str">
        <f>'1_BD questio brut'!O426</f>
        <v>Chauffage de base</v>
      </c>
      <c r="R426" s="191" t="str">
        <f>'1_BD questio brut'!P426</f>
        <v>Tous les jours</v>
      </c>
      <c r="S426" s="191" t="str">
        <f>'1_BD questio brut'!Q426</f>
        <v>4</v>
      </c>
      <c r="T426" s="191" t="str">
        <f>'1_BD questio brut'!R426</f>
        <v>Avant 1990</v>
      </c>
      <c r="U426" s="191" t="str">
        <f>'1_BD questio brut'!S426</f>
        <v>Bois bûche</v>
      </c>
      <c r="V426" s="191" t="str">
        <f>'1_BD questio brut'!T426</f>
        <v/>
      </c>
      <c r="W426" s="191" t="str">
        <f>'1_BD questio brut'!U426</f>
        <v>7</v>
      </c>
      <c r="X426" s="191" t="str">
        <f>'1_BD questio brut'!V426</f>
        <v>stère</v>
      </c>
      <c r="Y426" s="191" t="str">
        <f>'1_BD questio brut'!W426</f>
        <v>2</v>
      </c>
      <c r="Z426" s="191" t="str">
        <f>'1_BD questio brut'!X426</f>
        <v/>
      </c>
      <c r="AA426" s="191" t="str">
        <f t="array" ref="AA426">INDEX('Données 1_BD questio'!C:C,MATCH('1_BD questio brut'!$Y$1&amp;'1_BD questio brut'!Y426,'Données 1_BD questio'!A:A&amp;'Données 1_BD questio'!B:B,0))</f>
        <v>Rhône-Alpes hors RA2B</v>
      </c>
      <c r="AB426" s="191" t="str">
        <f>'1_BD questio brut'!Z426</f>
        <v>2</v>
      </c>
      <c r="AC426" s="191" t="str">
        <f>'1_BD questio brut'!AA426</f>
        <v>1 à 2 ans</v>
      </c>
      <c r="AD426" s="191" t="str">
        <f>'1_BD questio brut'!AB426</f>
        <v>Feuillus</v>
      </c>
      <c r="AE426" s="191" t="str">
        <f t="array" ref="AE426">INDEX('Données 1_BD questio'!C:C,MATCH('1_BD questio brut'!$AC$1&amp;'1_BD questio brut'!AC426,'Données 1_BD questio'!A:A&amp;'Données 1_BD questio'!B:B,0))</f>
        <v>un professionnel</v>
      </c>
      <c r="AF426" s="191" t="str">
        <f>'1_BD questio brut'!AD426</f>
        <v>1 fois par an</v>
      </c>
      <c r="AG426" s="191" t="str">
        <f>'1_BD questio brut'!AE426</f>
        <v/>
      </c>
      <c r="AH426" s="191" t="str">
        <f>'1_BD questio brut'!AF426</f>
        <v>Poêle</v>
      </c>
      <c r="AI426" s="191" t="str">
        <f>'1_BD questio brut'!AG426</f>
        <v>2</v>
      </c>
      <c r="AJ426" s="191" t="str">
        <f>'1_BD questio brut'!AH426</f>
        <v/>
      </c>
      <c r="AK426" s="191" t="str">
        <f>'1_BD questio brut'!AI426</f>
        <v>Chauffage de base</v>
      </c>
      <c r="AL426" s="191" t="str">
        <f>'1_BD questio brut'!AJ426</f>
        <v>Pas de réponse</v>
      </c>
      <c r="AM426" s="191" t="str">
        <f>'1_BD questio brut'!AK426</f>
        <v>2; 5</v>
      </c>
      <c r="AN426" s="191" t="str">
        <f>'1_BD questio brut'!AL426</f>
        <v/>
      </c>
      <c r="AO426" s="191" t="str">
        <f>'1_BD questio brut'!AM426</f>
        <v>1</v>
      </c>
      <c r="AP426" s="191" t="str">
        <f>'1_BD questio brut'!AN426</f>
        <v/>
      </c>
      <c r="AQ426" s="191" t="str">
        <f>'1_BD questio brut'!AO426</f>
        <v/>
      </c>
    </row>
    <row r="427" spans="1:43" ht="43.5" hidden="1">
      <c r="A427" s="98">
        <f>INDEX('3_BD instruction total'!A:A,MATCH(C427,'3_BD instruction total'!F:F,0))</f>
        <v>2022</v>
      </c>
      <c r="B427" s="98" t="str">
        <f>INDEX('3_BD instruction total'!C:C,MATCH(C427,'3_BD instruction total'!F:F,0))</f>
        <v>non</v>
      </c>
      <c r="C427" s="191" t="str">
        <f>'1_BD questio brut'!A427</f>
        <v>VRB0462</v>
      </c>
      <c r="D427" s="191" t="str">
        <f t="array" ref="D427">INDEX('Données 1_BD questio'!C:C,MATCH('1_BD questio brut'!$B$1&amp;'1_BD questio brut'!B427,'Données 1_BD questio'!A:A&amp;'Données 1_BD questio'!B:B,0))</f>
        <v>CAPV</v>
      </c>
      <c r="E427" s="191" t="str">
        <f t="array" ref="E427">INDEX('Données 1_BD questio'!C:C,MATCH('1_BD questio brut'!$C$1&amp;'1_BD questio brut'!C427,'Données 1_BD questio'!A:A&amp;'Données 1_BD questio'!B:B,0))</f>
        <v>Cadre</v>
      </c>
      <c r="F427" s="191" t="str">
        <f t="array" ref="F427">INDEX('Données 1_BD questio'!C:C,MATCH('1_BD questio brut'!$D$1&amp;'1_BD questio brut'!D427,'Données 1_BD questio'!A:A&amp;'Données 1_BD questio'!B:B,0))</f>
        <v>Artisan,commerçant,chef d'entreprise</v>
      </c>
      <c r="G427" s="191" t="str">
        <f>'1_BD questio brut'!E427</f>
        <v>35 à 49 ans</v>
      </c>
      <c r="H427" s="191">
        <f>'1_BD questio brut'!F427</f>
        <v>4</v>
      </c>
      <c r="I427" s="191" t="str">
        <f>'1_BD questio brut'!G427</f>
        <v>60 000 à 70 000 €</v>
      </c>
      <c r="J427" s="191" t="str">
        <f t="array" ref="J427">INDEX('Données 1_BD questio'!C:C,MATCH('1_BD questio brut'!$H$1&amp;'1_BD questio brut'!H427,'Données 1_BD questio'!A:A&amp;'Données 1_BD questio'!B:B,0))</f>
        <v>Maison avec jardin</v>
      </c>
      <c r="K427" s="191">
        <f>'1_BD questio brut'!I427</f>
        <v>161</v>
      </c>
      <c r="L427" s="191" t="str">
        <f>'1_BD questio brut'!J427</f>
        <v>1975-1990</v>
      </c>
      <c r="M427" s="191" t="str">
        <f>'1_BD questio brut'!K427</f>
        <v>1; 4</v>
      </c>
      <c r="N427" s="191" t="str">
        <f>'1_BD questio brut'!L427</f>
        <v>Pas de réponse</v>
      </c>
      <c r="O427" s="191" t="str">
        <f>'1_BD questio brut'!M427</f>
        <v>Propriétaire occupant</v>
      </c>
      <c r="P427" s="191" t="str">
        <f>'1_BD questio brut'!N427</f>
        <v>Insert / foyer fermé</v>
      </c>
      <c r="Q427" s="191" t="str">
        <f>'1_BD questio brut'!O427</f>
        <v>Chauffage d'apoint</v>
      </c>
      <c r="R427" s="191" t="str">
        <f>'1_BD questio brut'!P427</f>
        <v>1 à 2 jours/semaine</v>
      </c>
      <c r="S427" s="191" t="str">
        <f>'1_BD questio brut'!Q427</f>
        <v>2; 6</v>
      </c>
      <c r="T427" s="191" t="str">
        <f>'1_BD questio brut'!R427</f>
        <v>Avant 1990</v>
      </c>
      <c r="U427" s="191" t="str">
        <f>'1_BD questio brut'!S427</f>
        <v>Bois bûche</v>
      </c>
      <c r="V427" s="191" t="str">
        <f>'1_BD questio brut'!T427</f>
        <v/>
      </c>
      <c r="W427" s="191" t="str">
        <f>'1_BD questio brut'!U427</f>
        <v>1</v>
      </c>
      <c r="X427" s="191" t="str">
        <f>'1_BD questio brut'!V427</f>
        <v>stère</v>
      </c>
      <c r="Y427" s="191" t="str">
        <f>'1_BD questio brut'!W427</f>
        <v>1</v>
      </c>
      <c r="Z427" s="191" t="str">
        <f>'1_BD questio brut'!X427</f>
        <v/>
      </c>
      <c r="AA427" s="191" t="str">
        <f t="array" ref="AA427">INDEX('Données 1_BD questio'!C:C,MATCH('1_BD questio brut'!$Y$1&amp;'1_BD questio brut'!Y427,'Données 1_BD questio'!A:A&amp;'Données 1_BD questio'!B:B,0))</f>
        <v>Pas de réponse</v>
      </c>
      <c r="AB427" s="191" t="str">
        <f>'1_BD questio brut'!Z427</f>
        <v>2</v>
      </c>
      <c r="AC427" s="191" t="str">
        <f>'1_BD questio brut'!AA427</f>
        <v>1 à 2 ans</v>
      </c>
      <c r="AD427" s="191" t="str">
        <f>'1_BD questio brut'!AB427</f>
        <v>Feuillus</v>
      </c>
      <c r="AE427" s="191" t="str">
        <f t="array" ref="AE427">INDEX('Données 1_BD questio'!C:C,MATCH('1_BD questio brut'!$AC$1&amp;'1_BD questio brut'!AC427,'Données 1_BD questio'!A:A&amp;'Données 1_BD questio'!B:B,0))</f>
        <v>vous-même</v>
      </c>
      <c r="AF427" s="191" t="str">
        <f>'1_BD questio brut'!AD427</f>
        <v>1 fois par an</v>
      </c>
      <c r="AG427" s="191" t="str">
        <f>'1_BD questio brut'!AE427</f>
        <v/>
      </c>
      <c r="AH427" s="191" t="str">
        <f>'1_BD questio brut'!AF427</f>
        <v>Poêle</v>
      </c>
      <c r="AI427" s="191" t="str">
        <f>'1_BD questio brut'!AG427</f>
        <v>1</v>
      </c>
      <c r="AJ427" s="191" t="str">
        <f>'1_BD questio brut'!AH427</f>
        <v/>
      </c>
      <c r="AK427" s="191" t="str">
        <f>'1_BD questio brut'!AI427</f>
        <v>Chauffage de base</v>
      </c>
      <c r="AL427" s="191" t="str">
        <f>'1_BD questio brut'!AJ427</f>
        <v>Pas de réponse</v>
      </c>
      <c r="AM427" s="191" t="str">
        <f>'1_BD questio brut'!AK427</f>
        <v>2; 4; 5</v>
      </c>
      <c r="AN427" s="191" t="str">
        <f>'1_BD questio brut'!AL427</f>
        <v/>
      </c>
      <c r="AO427" s="191" t="str">
        <f>'1_BD questio brut'!AM427</f>
        <v>5; 7</v>
      </c>
      <c r="AP427" s="191" t="str">
        <f>'1_BD questio brut'!AN427</f>
        <v/>
      </c>
      <c r="AQ427" s="191" t="str">
        <f>'1_BD questio brut'!AO427</f>
        <v/>
      </c>
    </row>
    <row r="428" spans="1:43" ht="43.5" hidden="1">
      <c r="A428" s="98">
        <f>INDEX('3_BD instruction total'!A:A,MATCH(C428,'3_BD instruction total'!F:F,0))</f>
        <v>2022</v>
      </c>
      <c r="B428" s="98" t="str">
        <f>INDEX('3_BD instruction total'!C:C,MATCH(C428,'3_BD instruction total'!F:F,0))</f>
        <v>non</v>
      </c>
      <c r="C428" s="191" t="str">
        <f>'1_BD questio brut'!A428</f>
        <v>VRB0463</v>
      </c>
      <c r="D428" s="191" t="str">
        <f t="array" ref="D428">INDEX('Données 1_BD questio'!C:C,MATCH('1_BD questio brut'!$B$1&amp;'1_BD questio brut'!B428,'Données 1_BD questio'!A:A&amp;'Données 1_BD questio'!B:B,0))</f>
        <v>CAPV</v>
      </c>
      <c r="E428" s="191" t="str">
        <f t="array" ref="E428">INDEX('Données 1_BD questio'!C:C,MATCH('1_BD questio brut'!$C$1&amp;'1_BD questio brut'!C428,'Données 1_BD questio'!A:A&amp;'Données 1_BD questio'!B:B,0))</f>
        <v>Employé</v>
      </c>
      <c r="F428" s="191" t="str">
        <f t="array" ref="F428">INDEX('Données 1_BD questio'!C:C,MATCH('1_BD questio brut'!$D$1&amp;'1_BD questio brut'!D428,'Données 1_BD questio'!A:A&amp;'Données 1_BD questio'!B:B,0))</f>
        <v>Employé</v>
      </c>
      <c r="G428" s="191" t="str">
        <f>'1_BD questio brut'!E428</f>
        <v>50 à 64 ans</v>
      </c>
      <c r="H428" s="191">
        <f>'1_BD questio brut'!F428</f>
        <v>3</v>
      </c>
      <c r="I428" s="191" t="str">
        <f>'1_BD questio brut'!G428</f>
        <v>50 000 à 60 000 €</v>
      </c>
      <c r="J428" s="191" t="str">
        <f t="array" ref="J428">INDEX('Données 1_BD questio'!C:C,MATCH('1_BD questio brut'!$H$1&amp;'1_BD questio brut'!H428,'Données 1_BD questio'!A:A&amp;'Données 1_BD questio'!B:B,0))</f>
        <v>Maison avec jardin</v>
      </c>
      <c r="K428" s="191">
        <f>'1_BD questio brut'!I428</f>
        <v>97</v>
      </c>
      <c r="L428" s="191" t="str">
        <f>'1_BD questio brut'!J428</f>
        <v>1975-1990</v>
      </c>
      <c r="M428" s="191" t="str">
        <f>'1_BD questio brut'!K428</f>
        <v>1</v>
      </c>
      <c r="N428" s="191" t="str">
        <f>'1_BD questio brut'!L428</f>
        <v>Pas de réponse</v>
      </c>
      <c r="O428" s="191" t="str">
        <f>'1_BD questio brut'!M428</f>
        <v>Propriétaire occupant</v>
      </c>
      <c r="P428" s="191" t="str">
        <f>'1_BD questio brut'!N428</f>
        <v>Insert / foyer fermé</v>
      </c>
      <c r="Q428" s="191" t="str">
        <f>'1_BD questio brut'!O428</f>
        <v>Chauffage d'apoint</v>
      </c>
      <c r="R428" s="191" t="str">
        <f>'1_BD questio brut'!P428</f>
        <v>1 à 2 jours/semaine</v>
      </c>
      <c r="S428" s="191" t="str">
        <f>'1_BD questio brut'!Q428</f>
        <v>2; 6</v>
      </c>
      <c r="T428" s="191" t="str">
        <f>'1_BD questio brut'!R428</f>
        <v>1990-1995</v>
      </c>
      <c r="U428" s="191" t="str">
        <f>'1_BD questio brut'!S428</f>
        <v>Bois bûche</v>
      </c>
      <c r="V428" s="191" t="str">
        <f>'1_BD questio brut'!T428</f>
        <v/>
      </c>
      <c r="W428" s="191" t="str">
        <f>'1_BD questio brut'!U428</f>
        <v/>
      </c>
      <c r="X428" s="191" t="str">
        <f>'1_BD questio brut'!V428</f>
        <v/>
      </c>
      <c r="Y428" s="191" t="str">
        <f>'1_BD questio brut'!W428</f>
        <v>1</v>
      </c>
      <c r="Z428" s="191" t="str">
        <f>'1_BD questio brut'!X428</f>
        <v/>
      </c>
      <c r="AA428" s="191" t="str">
        <f t="array" ref="AA428">INDEX('Données 1_BD questio'!C:C,MATCH('1_BD questio brut'!$Y$1&amp;'1_BD questio brut'!Y428,'Données 1_BD questio'!A:A&amp;'Données 1_BD questio'!B:B,0))</f>
        <v>Pas de réponse</v>
      </c>
      <c r="AB428" s="191" t="str">
        <f>'1_BD questio brut'!Z428</f>
        <v>2</v>
      </c>
      <c r="AC428" s="191" t="str">
        <f>'1_BD questio brut'!AA428</f>
        <v>1 à 2 ans</v>
      </c>
      <c r="AD428" s="191" t="str">
        <f>'1_BD questio brut'!AB428</f>
        <v>Feuillus</v>
      </c>
      <c r="AE428" s="191" t="str">
        <f t="array" ref="AE428">INDEX('Données 1_BD questio'!C:C,MATCH('1_BD questio brut'!$AC$1&amp;'1_BD questio brut'!AC428,'Données 1_BD questio'!A:A&amp;'Données 1_BD questio'!B:B,0))</f>
        <v>un professionnel</v>
      </c>
      <c r="AF428" s="191" t="str">
        <f>'1_BD questio brut'!AD428</f>
        <v>1 fois par an</v>
      </c>
      <c r="AG428" s="191" t="str">
        <f>'1_BD questio brut'!AE428</f>
        <v/>
      </c>
      <c r="AH428" s="191" t="str">
        <f>'1_BD questio brut'!AF428</f>
        <v>Poêle</v>
      </c>
      <c r="AI428" s="191" t="str">
        <f>'1_BD questio brut'!AG428</f>
        <v>1</v>
      </c>
      <c r="AJ428" s="191" t="str">
        <f>'1_BD questio brut'!AH428</f>
        <v/>
      </c>
      <c r="AK428" s="191" t="str">
        <f>'1_BD questio brut'!AI428</f>
        <v>Chauffage d'appoint</v>
      </c>
      <c r="AL428" s="191" t="str">
        <f>'1_BD questio brut'!AJ428</f>
        <v>Pas de réponse</v>
      </c>
      <c r="AM428" s="191" t="str">
        <f>'1_BD questio brut'!AK428</f>
        <v>1; 2; 4; 5</v>
      </c>
      <c r="AN428" s="191" t="str">
        <f>'1_BD questio brut'!AL428</f>
        <v/>
      </c>
      <c r="AO428" s="191" t="str">
        <f>'1_BD questio brut'!AM428</f>
        <v>5; 7</v>
      </c>
      <c r="AP428" s="191" t="str">
        <f>'1_BD questio brut'!AN428</f>
        <v/>
      </c>
      <c r="AQ428" s="191" t="str">
        <f>'1_BD questio brut'!AO428</f>
        <v/>
      </c>
    </row>
    <row r="429" spans="1:43" ht="29" hidden="1">
      <c r="A429" s="98">
        <f>INDEX('3_BD instruction total'!A:A,MATCH(C429,'3_BD instruction total'!F:F,0))</f>
        <v>2022</v>
      </c>
      <c r="B429" s="98" t="str">
        <f>INDEX('3_BD instruction total'!C:C,MATCH(C429,'3_BD instruction total'!F:F,0))</f>
        <v>non</v>
      </c>
      <c r="C429" s="191" t="str">
        <f>'1_BD questio brut'!A429</f>
        <v>VRB0464</v>
      </c>
      <c r="D429" s="191" t="str">
        <f t="array" ref="D429">INDEX('Données 1_BD questio'!C:C,MATCH('1_BD questio brut'!$B$1&amp;'1_BD questio brut'!B429,'Données 1_BD questio'!A:A&amp;'Données 1_BD questio'!B:B,0))</f>
        <v>CAPV</v>
      </c>
      <c r="E429" s="191" t="str">
        <f t="array" ref="E429">INDEX('Données 1_BD questio'!C:C,MATCH('1_BD questio brut'!$C$1&amp;'1_BD questio brut'!C429,'Données 1_BD questio'!A:A&amp;'Données 1_BD questio'!B:B,0))</f>
        <v>Cadre</v>
      </c>
      <c r="F429" s="191" t="str">
        <f t="array" ref="F429">INDEX('Données 1_BD questio'!C:C,MATCH('1_BD questio brut'!$D$1&amp;'1_BD questio brut'!D429,'Données 1_BD questio'!A:A&amp;'Données 1_BD questio'!B:B,0))</f>
        <v>Cadre</v>
      </c>
      <c r="G429" s="191" t="str">
        <f>'1_BD questio brut'!E429</f>
        <v>35 à 49 ans</v>
      </c>
      <c r="H429" s="191">
        <f>'1_BD questio brut'!F429</f>
        <v>4</v>
      </c>
      <c r="I429" s="191" t="str">
        <f>'1_BD questio brut'!G429</f>
        <v>80 000 à 90 000 €</v>
      </c>
      <c r="J429" s="191" t="str">
        <f t="array" ref="J429">INDEX('Données 1_BD questio'!C:C,MATCH('1_BD questio brut'!$H$1&amp;'1_BD questio brut'!H429,'Données 1_BD questio'!A:A&amp;'Données 1_BD questio'!B:B,0))</f>
        <v>Maison avec jardin</v>
      </c>
      <c r="K429" s="191">
        <f>'1_BD questio brut'!I429</f>
        <v>170</v>
      </c>
      <c r="L429" s="191" t="str">
        <f>'1_BD questio brut'!J429</f>
        <v>1975-1990</v>
      </c>
      <c r="M429" s="191" t="str">
        <f>'1_BD questio brut'!K429</f>
        <v>6</v>
      </c>
      <c r="N429" s="191" t="str">
        <f>'1_BD questio brut'!L429</f>
        <v>C</v>
      </c>
      <c r="O429" s="191" t="str">
        <f>'1_BD questio brut'!M429</f>
        <v>Propriétaire occupant</v>
      </c>
      <c r="P429" s="191" t="str">
        <f>'1_BD questio brut'!N429</f>
        <v>Insert / foyer fermé</v>
      </c>
      <c r="Q429" s="191" t="str">
        <f>'1_BD questio brut'!O429</f>
        <v>Chauffage de base</v>
      </c>
      <c r="R429" s="191" t="str">
        <f>'1_BD questio brut'!P429</f>
        <v>Pas de réponse</v>
      </c>
      <c r="S429" s="191" t="str">
        <f>'1_BD questio brut'!Q429</f>
        <v>7</v>
      </c>
      <c r="T429" s="191" t="str">
        <f>'1_BD questio brut'!R429</f>
        <v>Avant 1990</v>
      </c>
      <c r="U429" s="191" t="str">
        <f>'1_BD questio brut'!S429</f>
        <v>Bois bûche</v>
      </c>
      <c r="V429" s="191" t="str">
        <f>'1_BD questio brut'!T429</f>
        <v/>
      </c>
      <c r="W429" s="191" t="str">
        <f>'1_BD questio brut'!U429</f>
        <v/>
      </c>
      <c r="X429" s="191" t="str">
        <f>'1_BD questio brut'!V429</f>
        <v/>
      </c>
      <c r="Y429" s="191" t="str">
        <f>'1_BD questio brut'!W429</f>
        <v>5</v>
      </c>
      <c r="Z429" s="191" t="str">
        <f>'1_BD questio brut'!X429</f>
        <v/>
      </c>
      <c r="AA429" s="191" t="str">
        <f t="array" ref="AA429">INDEX('Données 1_BD questio'!C:C,MATCH('1_BD questio brut'!$Y$1&amp;'1_BD questio brut'!Y429,'Données 1_BD questio'!A:A&amp;'Données 1_BD questio'!B:B,0))</f>
        <v>Pas de réponse</v>
      </c>
      <c r="AB429" s="191" t="str">
        <f>'1_BD questio brut'!Z429</f>
        <v>2</v>
      </c>
      <c r="AC429" s="191" t="str">
        <f>'1_BD questio brut'!AA429</f>
        <v>Pas de réponse</v>
      </c>
      <c r="AD429" s="191" t="str">
        <f>'1_BD questio brut'!AB429</f>
        <v>Pas de réponse</v>
      </c>
      <c r="AE429" s="191" t="str">
        <f t="array" ref="AE429">INDEX('Données 1_BD questio'!C:C,MATCH('1_BD questio brut'!$AC$1&amp;'1_BD questio brut'!AC429,'Données 1_BD questio'!A:A&amp;'Données 1_BD questio'!B:B,0))</f>
        <v>Pas de réponse</v>
      </c>
      <c r="AF429" s="191" t="str">
        <f>'1_BD questio brut'!AD429</f>
        <v>Pas de réponse</v>
      </c>
      <c r="AG429" s="191" t="str">
        <f>'1_BD questio brut'!AE429</f>
        <v/>
      </c>
      <c r="AH429" s="191" t="str">
        <f>'1_BD questio brut'!AF429</f>
        <v>Insert cheminée</v>
      </c>
      <c r="AI429" s="191" t="str">
        <f>'1_BD questio brut'!AG429</f>
        <v>1; 2</v>
      </c>
      <c r="AJ429" s="191" t="str">
        <f>'1_BD questio brut'!AH429</f>
        <v/>
      </c>
      <c r="AK429" s="191" t="str">
        <f>'1_BD questio brut'!AI429</f>
        <v>Chauffage de base</v>
      </c>
      <c r="AL429" s="191" t="str">
        <f>'1_BD questio brut'!AJ429</f>
        <v>Pas de réponse</v>
      </c>
      <c r="AM429" s="191" t="str">
        <f>'1_BD questio brut'!AK429</f>
        <v>1; 2; 4; 5</v>
      </c>
      <c r="AN429" s="191" t="str">
        <f>'1_BD questio brut'!AL429</f>
        <v/>
      </c>
      <c r="AO429" s="191" t="str">
        <f>'1_BD questio brut'!AM429</f>
        <v>7</v>
      </c>
      <c r="AP429" s="191" t="str">
        <f>'1_BD questio brut'!AN429</f>
        <v/>
      </c>
      <c r="AQ429" s="191" t="str">
        <f>'1_BD questio brut'!AO429</f>
        <v/>
      </c>
    </row>
    <row r="430" spans="1:43" ht="43.5" hidden="1">
      <c r="A430" s="98">
        <f>INDEX('3_BD instruction total'!A:A,MATCH(C430,'3_BD instruction total'!F:F,0))</f>
        <v>2022</v>
      </c>
      <c r="B430" s="98" t="str">
        <f>INDEX('3_BD instruction total'!C:C,MATCH(C430,'3_BD instruction total'!F:F,0))</f>
        <v>non</v>
      </c>
      <c r="C430" s="191" t="str">
        <f>'1_BD questio brut'!A430</f>
        <v>VRB0465</v>
      </c>
      <c r="D430" s="191" t="str">
        <f t="array" ref="D430">INDEX('Données 1_BD questio'!C:C,MATCH('1_BD questio brut'!$B$1&amp;'1_BD questio brut'!B430,'Données 1_BD questio'!A:A&amp;'Données 1_BD questio'!B:B,0))</f>
        <v>CAPV</v>
      </c>
      <c r="E430" s="191" t="str">
        <f t="array" ref="E430">INDEX('Données 1_BD questio'!C:C,MATCH('1_BD questio brut'!$C$1&amp;'1_BD questio brut'!C430,'Données 1_BD questio'!A:A&amp;'Données 1_BD questio'!B:B,0))</f>
        <v>Retraité</v>
      </c>
      <c r="F430" s="191" t="str">
        <f t="array" ref="F430">INDEX('Données 1_BD questio'!C:C,MATCH('1_BD questio brut'!$D$1&amp;'1_BD questio brut'!D430,'Données 1_BD questio'!A:A&amp;'Données 1_BD questio'!B:B,0))</f>
        <v>Profession intermédiaire</v>
      </c>
      <c r="G430" s="191" t="str">
        <f>'1_BD questio brut'!E430</f>
        <v>50 à 64 ans</v>
      </c>
      <c r="H430" s="191">
        <f>'1_BD questio brut'!F430</f>
        <v>2</v>
      </c>
      <c r="I430" s="191" t="str">
        <f>'1_BD questio brut'!G430</f>
        <v>50 000 à 60 000 €</v>
      </c>
      <c r="J430" s="191" t="str">
        <f t="array" ref="J430">INDEX('Données 1_BD questio'!C:C,MATCH('1_BD questio brut'!$H$1&amp;'1_BD questio brut'!H430,'Données 1_BD questio'!A:A&amp;'Données 1_BD questio'!B:B,0))</f>
        <v>Maison avec jardin</v>
      </c>
      <c r="K430" s="191">
        <f>'1_BD questio brut'!I430</f>
        <v>105</v>
      </c>
      <c r="L430" s="191" t="str">
        <f>'1_BD questio brut'!J430</f>
        <v>Après 2005</v>
      </c>
      <c r="M430" s="191" t="str">
        <f>'1_BD questio brut'!K430</f>
        <v>6</v>
      </c>
      <c r="N430" s="191" t="str">
        <f>'1_BD questio brut'!L430</f>
        <v>Pas de réponse</v>
      </c>
      <c r="O430" s="191" t="str">
        <f>'1_BD questio brut'!M430</f>
        <v>Propriétaire occupant</v>
      </c>
      <c r="P430" s="191" t="str">
        <f>'1_BD questio brut'!N430</f>
        <v>Poêle</v>
      </c>
      <c r="Q430" s="191" t="str">
        <f>'1_BD questio brut'!O430</f>
        <v>Chauffage de base</v>
      </c>
      <c r="R430" s="191" t="str">
        <f>'1_BD questio brut'!P430</f>
        <v>Tous les jours</v>
      </c>
      <c r="S430" s="191" t="str">
        <f>'1_BD questio brut'!Q430</f>
        <v>6</v>
      </c>
      <c r="T430" s="191" t="str">
        <f>'1_BD questio brut'!R430</f>
        <v>1990-1995</v>
      </c>
      <c r="U430" s="191" t="str">
        <f>'1_BD questio brut'!S430</f>
        <v>Bois bûche</v>
      </c>
      <c r="V430" s="191" t="str">
        <f>'1_BD questio brut'!T430</f>
        <v/>
      </c>
      <c r="W430" s="191" t="str">
        <f>'1_BD questio brut'!U430</f>
        <v>6</v>
      </c>
      <c r="X430" s="191" t="str">
        <f>'1_BD questio brut'!V430</f>
        <v>Stère</v>
      </c>
      <c r="Y430" s="191" t="str">
        <f>'1_BD questio brut'!W430</f>
        <v>2</v>
      </c>
      <c r="Z430" s="191" t="str">
        <f>'1_BD questio brut'!X430</f>
        <v/>
      </c>
      <c r="AA430" s="191" t="str">
        <f t="array" ref="AA430">INDEX('Données 1_BD questio'!C:C,MATCH('1_BD questio brut'!$Y$1&amp;'1_BD questio brut'!Y430,'Données 1_BD questio'!A:A&amp;'Données 1_BD questio'!B:B,0))</f>
        <v>Ne sait pas</v>
      </c>
      <c r="AB430" s="191" t="str">
        <f>'1_BD questio brut'!Z430</f>
        <v>2</v>
      </c>
      <c r="AC430" s="191" t="str">
        <f>'1_BD questio brut'!AA430</f>
        <v>&gt; 2 ans</v>
      </c>
      <c r="AD430" s="191" t="str">
        <f>'1_BD questio brut'!AB430</f>
        <v>Feuillus</v>
      </c>
      <c r="AE430" s="191" t="str">
        <f t="array" ref="AE430">INDEX('Données 1_BD questio'!C:C,MATCH('1_BD questio brut'!$AC$1&amp;'1_BD questio brut'!AC430,'Données 1_BD questio'!A:A&amp;'Données 1_BD questio'!B:B,0))</f>
        <v>un professionnel</v>
      </c>
      <c r="AF430" s="191" t="str">
        <f>'1_BD questio brut'!AD430</f>
        <v>1 fois par an</v>
      </c>
      <c r="AG430" s="191" t="str">
        <f>'1_BD questio brut'!AE430</f>
        <v/>
      </c>
      <c r="AH430" s="191" t="str">
        <f>'1_BD questio brut'!AF430</f>
        <v>Poêle</v>
      </c>
      <c r="AI430" s="191" t="str">
        <f>'1_BD questio brut'!AG430</f>
        <v>1</v>
      </c>
      <c r="AJ430" s="191" t="str">
        <f>'1_BD questio brut'!AH430</f>
        <v/>
      </c>
      <c r="AK430" s="191" t="str">
        <f>'1_BD questio brut'!AI430</f>
        <v>Chauffage de base</v>
      </c>
      <c r="AL430" s="191" t="str">
        <f>'1_BD questio brut'!AJ430</f>
        <v>Pas de réponse</v>
      </c>
      <c r="AM430" s="191" t="str">
        <f>'1_BD questio brut'!AK430</f>
        <v>1; 2; 4; 5</v>
      </c>
      <c r="AN430" s="191" t="str">
        <f>'1_BD questio brut'!AL430</f>
        <v/>
      </c>
      <c r="AO430" s="191" t="str">
        <f>'1_BD questio brut'!AM430</f>
        <v>5</v>
      </c>
      <c r="AP430" s="191" t="str">
        <f>'1_BD questio brut'!AN430</f>
        <v/>
      </c>
      <c r="AQ430" s="191" t="str">
        <f>'1_BD questio brut'!AO430</f>
        <v/>
      </c>
    </row>
    <row r="431" spans="1:43" ht="43.5" hidden="1">
      <c r="A431" s="98">
        <f>INDEX('3_BD instruction total'!A:A,MATCH(C431,'3_BD instruction total'!F:F,0))</f>
        <v>2022</v>
      </c>
      <c r="B431" s="98" t="str">
        <f>INDEX('3_BD instruction total'!C:C,MATCH(C431,'3_BD instruction total'!F:F,0))</f>
        <v>non</v>
      </c>
      <c r="C431" s="191" t="str">
        <f>'1_BD questio brut'!A431</f>
        <v>VRB0466</v>
      </c>
      <c r="D431" s="191" t="str">
        <f t="array" ref="D431">INDEX('Données 1_BD questio'!C:C,MATCH('1_BD questio brut'!$B$1&amp;'1_BD questio brut'!B431,'Données 1_BD questio'!A:A&amp;'Données 1_BD questio'!B:B,0))</f>
        <v>CAPV</v>
      </c>
      <c r="E431" s="191" t="str">
        <f t="array" ref="E431">INDEX('Données 1_BD questio'!C:C,MATCH('1_BD questio brut'!$C$1&amp;'1_BD questio brut'!C431,'Données 1_BD questio'!A:A&amp;'Données 1_BD questio'!B:B,0))</f>
        <v>Cadre</v>
      </c>
      <c r="F431" s="191" t="str">
        <f t="array" ref="F431">INDEX('Données 1_BD questio'!C:C,MATCH('1_BD questio brut'!$D$1&amp;'1_BD questio brut'!D431,'Données 1_BD questio'!A:A&amp;'Données 1_BD questio'!B:B,0))</f>
        <v>Cadre</v>
      </c>
      <c r="G431" s="191" t="str">
        <f>'1_BD questio brut'!E431</f>
        <v>25 à 34 ans</v>
      </c>
      <c r="H431" s="191">
        <f>'1_BD questio brut'!F431</f>
        <v>4</v>
      </c>
      <c r="I431" s="191" t="str">
        <f>'1_BD questio brut'!G431</f>
        <v>50 000 à 60 000 €</v>
      </c>
      <c r="J431" s="191" t="str">
        <f t="array" ref="J431">INDEX('Données 1_BD questio'!C:C,MATCH('1_BD questio brut'!$H$1&amp;'1_BD questio brut'!H431,'Données 1_BD questio'!A:A&amp;'Données 1_BD questio'!B:B,0))</f>
        <v>Maison avec jardin</v>
      </c>
      <c r="K431" s="191">
        <f>'1_BD questio brut'!I431</f>
        <v>100</v>
      </c>
      <c r="L431" s="191" t="str">
        <f>'1_BD questio brut'!J431</f>
        <v>1975-1990</v>
      </c>
      <c r="M431" s="191" t="str">
        <f>'1_BD questio brut'!K431</f>
        <v>6</v>
      </c>
      <c r="N431" s="191" t="str">
        <f>'1_BD questio brut'!L431</f>
        <v>D</v>
      </c>
      <c r="O431" s="191" t="str">
        <f>'1_BD questio brut'!M431</f>
        <v>Propriétaire occupant</v>
      </c>
      <c r="P431" s="191" t="str">
        <f>'1_BD questio brut'!N431</f>
        <v>Insert / foyer fermé</v>
      </c>
      <c r="Q431" s="191" t="str">
        <f>'1_BD questio brut'!O431</f>
        <v>Chauffage de base</v>
      </c>
      <c r="R431" s="191" t="str">
        <f>'1_BD questio brut'!P431</f>
        <v>Tous les jours</v>
      </c>
      <c r="S431" s="191" t="str">
        <f>'1_BD questio brut'!Q431</f>
        <v>4; 5; 6</v>
      </c>
      <c r="T431" s="191" t="str">
        <f>'1_BD questio brut'!R431</f>
        <v>Avant 1990</v>
      </c>
      <c r="U431" s="191" t="str">
        <f>'1_BD questio brut'!S431</f>
        <v>Bois de récupération, à préciser</v>
      </c>
      <c r="V431" s="191" t="str">
        <f>'1_BD questio brut'!T431</f>
        <v>coupe jardin récuperation</v>
      </c>
      <c r="W431" s="191" t="str">
        <f>'1_BD questio brut'!U431</f>
        <v>9</v>
      </c>
      <c r="X431" s="191" t="str">
        <f>'1_BD questio brut'!V431</f>
        <v>stère</v>
      </c>
      <c r="Y431" s="191" t="str">
        <f>'1_BD questio brut'!W431</f>
        <v>1; 2</v>
      </c>
      <c r="Z431" s="191" t="str">
        <f>'1_BD questio brut'!X431</f>
        <v/>
      </c>
      <c r="AA431" s="191" t="str">
        <f t="array" ref="AA431">INDEX('Données 1_BD questio'!C:C,MATCH('1_BD questio brut'!$Y$1&amp;'1_BD questio brut'!Y431,'Données 1_BD questio'!A:A&amp;'Données 1_BD questio'!B:B,0))</f>
        <v>Rhône-Alpes hors RA2B</v>
      </c>
      <c r="AB431" s="191" t="str">
        <f>'1_BD questio brut'!Z431</f>
        <v>2</v>
      </c>
      <c r="AC431" s="191" t="str">
        <f>'1_BD questio brut'!AA431</f>
        <v>1 à 2 ans</v>
      </c>
      <c r="AD431" s="191" t="str">
        <f>'1_BD questio brut'!AB431</f>
        <v>Les deux</v>
      </c>
      <c r="AE431" s="191" t="str">
        <f t="array" ref="AE431">INDEX('Données 1_BD questio'!C:C,MATCH('1_BD questio brut'!$AC$1&amp;'1_BD questio brut'!AC431,'Données 1_BD questio'!A:A&amp;'Données 1_BD questio'!B:B,0))</f>
        <v>un professionnel</v>
      </c>
      <c r="AF431" s="191" t="str">
        <f>'1_BD questio brut'!AD431</f>
        <v>1 fois par an</v>
      </c>
      <c r="AG431" s="191" t="str">
        <f>'1_BD questio brut'!AE431</f>
        <v/>
      </c>
      <c r="AH431" s="191" t="str">
        <f>'1_BD questio brut'!AF431</f>
        <v>Poêle</v>
      </c>
      <c r="AI431" s="191" t="str">
        <f>'1_BD questio brut'!AG431</f>
        <v>2</v>
      </c>
      <c r="AJ431" s="191" t="str">
        <f>'1_BD questio brut'!AH431</f>
        <v/>
      </c>
      <c r="AK431" s="191" t="str">
        <f>'1_BD questio brut'!AI431</f>
        <v>Chauffage de base</v>
      </c>
      <c r="AL431" s="191" t="str">
        <f>'1_BD questio brut'!AJ431</f>
        <v>Pas de réponse</v>
      </c>
      <c r="AM431" s="191" t="str">
        <f>'1_BD questio brut'!AK431</f>
        <v>1; 4; 5</v>
      </c>
      <c r="AN431" s="191" t="str">
        <f>'1_BD questio brut'!AL431</f>
        <v/>
      </c>
      <c r="AO431" s="191" t="str">
        <f>'1_BD questio brut'!AM431</f>
        <v>2</v>
      </c>
      <c r="AP431" s="191" t="str">
        <f>'1_BD questio brut'!AN431</f>
        <v/>
      </c>
      <c r="AQ431" s="191" t="str">
        <f>'1_BD questio brut'!AO431</f>
        <v/>
      </c>
    </row>
    <row r="432" spans="1:43" ht="29" hidden="1">
      <c r="A432" s="98">
        <f>INDEX('3_BD instruction total'!A:A,MATCH(C432,'3_BD instruction total'!F:F,0))</f>
        <v>2022</v>
      </c>
      <c r="B432" s="98" t="str">
        <f>INDEX('3_BD instruction total'!C:C,MATCH(C432,'3_BD instruction total'!F:F,0))</f>
        <v>non</v>
      </c>
      <c r="C432" s="191" t="str">
        <f>'1_BD questio brut'!A432</f>
        <v>VRB0467</v>
      </c>
      <c r="D432" s="191" t="str">
        <f t="array" ref="D432">INDEX('Données 1_BD questio'!C:C,MATCH('1_BD questio brut'!$B$1&amp;'1_BD questio brut'!B432,'Données 1_BD questio'!A:A&amp;'Données 1_BD questio'!B:B,0))</f>
        <v>CAPV</v>
      </c>
      <c r="E432" s="191" t="str">
        <f t="array" ref="E432">INDEX('Données 1_BD questio'!C:C,MATCH('1_BD questio brut'!$C$1&amp;'1_BD questio brut'!C432,'Données 1_BD questio'!A:A&amp;'Données 1_BD questio'!B:B,0))</f>
        <v>Retraité</v>
      </c>
      <c r="F432" s="191" t="str">
        <f t="array" ref="F432">INDEX('Données 1_BD questio'!C:C,MATCH('1_BD questio brut'!$D$1&amp;'1_BD questio brut'!D432,'Données 1_BD questio'!A:A&amp;'Données 1_BD questio'!B:B,0))</f>
        <v>Pas de réponse</v>
      </c>
      <c r="G432" s="191" t="str">
        <f>'1_BD questio brut'!E432</f>
        <v>65 ans et plus</v>
      </c>
      <c r="H432" s="191">
        <f>'1_BD questio brut'!F432</f>
        <v>1</v>
      </c>
      <c r="I432" s="191" t="str">
        <f>'1_BD questio brut'!G432</f>
        <v>Moins de 20 000 €</v>
      </c>
      <c r="J432" s="191" t="str">
        <f t="array" ref="J432">INDEX('Données 1_BD questio'!C:C,MATCH('1_BD questio brut'!$H$1&amp;'1_BD questio brut'!H432,'Données 1_BD questio'!A:A&amp;'Données 1_BD questio'!B:B,0))</f>
        <v>Maison avec jardin</v>
      </c>
      <c r="K432" s="191">
        <f>'1_BD questio brut'!I432</f>
        <v>100</v>
      </c>
      <c r="L432" s="191" t="str">
        <f>'1_BD questio brut'!J432</f>
        <v>1990-2005</v>
      </c>
      <c r="M432" s="191" t="str">
        <f>'1_BD questio brut'!K432</f>
        <v>1; 4</v>
      </c>
      <c r="N432" s="191" t="str">
        <f>'1_BD questio brut'!L432</f>
        <v>Pas de réponse</v>
      </c>
      <c r="O432" s="191" t="str">
        <f>'1_BD questio brut'!M432</f>
        <v>Propriétaire occupant</v>
      </c>
      <c r="P432" s="191" t="str">
        <f>'1_BD questio brut'!N432</f>
        <v>Insert / foyer fermé</v>
      </c>
      <c r="Q432" s="191" t="str">
        <f>'1_BD questio brut'!O432</f>
        <v>Chauffage de base</v>
      </c>
      <c r="R432" s="191" t="str">
        <f>'1_BD questio brut'!P432</f>
        <v>Tous les jours</v>
      </c>
      <c r="S432" s="191" t="str">
        <f>'1_BD questio brut'!Q432</f>
        <v>1; 2; 3; 4; 5; 6</v>
      </c>
      <c r="T432" s="191" t="str">
        <f>'1_BD questio brut'!R432</f>
        <v>Avant 1990</v>
      </c>
      <c r="U432" s="191" t="str">
        <f>'1_BD questio brut'!S432</f>
        <v>Bois bûche</v>
      </c>
      <c r="V432" s="191" t="str">
        <f>'1_BD questio brut'!T432</f>
        <v/>
      </c>
      <c r="W432" s="191" t="str">
        <f>'1_BD questio brut'!U432</f>
        <v>5</v>
      </c>
      <c r="X432" s="191" t="str">
        <f>'1_BD questio brut'!V432</f>
        <v>M3</v>
      </c>
      <c r="Y432" s="191" t="str">
        <f>'1_BD questio brut'!W432</f>
        <v>2</v>
      </c>
      <c r="Z432" s="191" t="str">
        <f>'1_BD questio brut'!X432</f>
        <v/>
      </c>
      <c r="AA432" s="191" t="str">
        <f t="array" ref="AA432">INDEX('Données 1_BD questio'!C:C,MATCH('1_BD questio brut'!$Y$1&amp;'1_BD questio brut'!Y432,'Données 1_BD questio'!A:A&amp;'Données 1_BD questio'!B:B,0))</f>
        <v>RA2B</v>
      </c>
      <c r="AB432" s="191" t="str">
        <f>'1_BD questio brut'!Z432</f>
        <v>2</v>
      </c>
      <c r="AC432" s="191" t="str">
        <f>'1_BD questio brut'!AA432</f>
        <v>1 à 2 ans</v>
      </c>
      <c r="AD432" s="191" t="str">
        <f>'1_BD questio brut'!AB432</f>
        <v>Feuillus</v>
      </c>
      <c r="AE432" s="191" t="str">
        <f t="array" ref="AE432">INDEX('Données 1_BD questio'!C:C,MATCH('1_BD questio brut'!$AC$1&amp;'1_BD questio brut'!AC432,'Données 1_BD questio'!A:A&amp;'Données 1_BD questio'!B:B,0))</f>
        <v>vous-même</v>
      </c>
      <c r="AF432" s="191" t="str">
        <f>'1_BD questio brut'!AD432</f>
        <v>2 fois par an</v>
      </c>
      <c r="AG432" s="191" t="str">
        <f>'1_BD questio brut'!AE432</f>
        <v/>
      </c>
      <c r="AH432" s="191" t="str">
        <f>'1_BD questio brut'!AF432</f>
        <v>Poêle</v>
      </c>
      <c r="AI432" s="191" t="str">
        <f>'1_BD questio brut'!AG432</f>
        <v>2</v>
      </c>
      <c r="AJ432" s="191" t="str">
        <f>'1_BD questio brut'!AH432</f>
        <v/>
      </c>
      <c r="AK432" s="191" t="str">
        <f>'1_BD questio brut'!AI432</f>
        <v>Chauffage de base</v>
      </c>
      <c r="AL432" s="191" t="str">
        <f>'1_BD questio brut'!AJ432</f>
        <v>Pas de réponse</v>
      </c>
      <c r="AM432" s="191" t="str">
        <f>'1_BD questio brut'!AK432</f>
        <v>2</v>
      </c>
      <c r="AN432" s="191" t="str">
        <f>'1_BD questio brut'!AL432</f>
        <v/>
      </c>
      <c r="AO432" s="191" t="str">
        <f>'1_BD questio brut'!AM432</f>
        <v>7</v>
      </c>
      <c r="AP432" s="191" t="str">
        <f>'1_BD questio brut'!AN432</f>
        <v/>
      </c>
      <c r="AQ432" s="191" t="str">
        <f>'1_BD questio brut'!AO432</f>
        <v/>
      </c>
    </row>
    <row r="433" spans="1:43" ht="43.5" hidden="1">
      <c r="A433" s="98">
        <f>INDEX('3_BD instruction total'!A:A,MATCH(C433,'3_BD instruction total'!F:F,0))</f>
        <v>2022</v>
      </c>
      <c r="B433" s="98" t="str">
        <f>INDEX('3_BD instruction total'!C:C,MATCH(C433,'3_BD instruction total'!F:F,0))</f>
        <v>non</v>
      </c>
      <c r="C433" s="191" t="str">
        <f>'1_BD questio brut'!A433</f>
        <v>VRB0468</v>
      </c>
      <c r="D433" s="191" t="str">
        <f t="array" ref="D433">INDEX('Données 1_BD questio'!C:C,MATCH('1_BD questio brut'!$B$1&amp;'1_BD questio brut'!B433,'Données 1_BD questio'!A:A&amp;'Données 1_BD questio'!B:B,0))</f>
        <v>CAPV</v>
      </c>
      <c r="E433" s="191" t="str">
        <f t="array" ref="E433">INDEX('Données 1_BD questio'!C:C,MATCH('1_BD questio brut'!$C$1&amp;'1_BD questio brut'!C433,'Données 1_BD questio'!A:A&amp;'Données 1_BD questio'!B:B,0))</f>
        <v>Retraité</v>
      </c>
      <c r="F433" s="191" t="str">
        <f t="array" ref="F433">INDEX('Données 1_BD questio'!C:C,MATCH('1_BD questio brut'!$D$1&amp;'1_BD questio brut'!D433,'Données 1_BD questio'!A:A&amp;'Données 1_BD questio'!B:B,0))</f>
        <v>Pas de réponse</v>
      </c>
      <c r="G433" s="191" t="str">
        <f>'1_BD questio brut'!E433</f>
        <v>65 ans et plus</v>
      </c>
      <c r="H433" s="191">
        <f>'1_BD questio brut'!F433</f>
        <v>1</v>
      </c>
      <c r="I433" s="191" t="str">
        <f>'1_BD questio brut'!G433</f>
        <v>20 000 à 30 000 €</v>
      </c>
      <c r="J433" s="191" t="str">
        <f t="array" ref="J433">INDEX('Données 1_BD questio'!C:C,MATCH('1_BD questio brut'!$H$1&amp;'1_BD questio brut'!H433,'Données 1_BD questio'!A:A&amp;'Données 1_BD questio'!B:B,0))</f>
        <v>Maison avec jardin</v>
      </c>
      <c r="K433" s="191">
        <f>'1_BD questio brut'!I433</f>
        <v>65</v>
      </c>
      <c r="L433" s="191" t="str">
        <f>'1_BD questio brut'!J433</f>
        <v>1949-1975</v>
      </c>
      <c r="M433" s="191" t="str">
        <f>'1_BD questio brut'!K433</f>
        <v>4</v>
      </c>
      <c r="N433" s="191" t="str">
        <f>'1_BD questio brut'!L433</f>
        <v>Pas de réponse</v>
      </c>
      <c r="O433" s="191" t="str">
        <f>'1_BD questio brut'!M433</f>
        <v>Propriétaire occupant</v>
      </c>
      <c r="P433" s="191" t="str">
        <f>'1_BD questio brut'!N433</f>
        <v>Foyer ouvert</v>
      </c>
      <c r="Q433" s="191" t="str">
        <f>'1_BD questio brut'!O433</f>
        <v>Chauffage d'apoint</v>
      </c>
      <c r="R433" s="191" t="str">
        <f>'1_BD questio brut'!P433</f>
        <v>Pas de réponse</v>
      </c>
      <c r="S433" s="191" t="str">
        <f>'1_BD questio brut'!Q433</f>
        <v>3</v>
      </c>
      <c r="T433" s="191" t="str">
        <f>'1_BD questio brut'!R433</f>
        <v>Avant 1990</v>
      </c>
      <c r="U433" s="191" t="str">
        <f>'1_BD questio brut'!S433</f>
        <v>Bois bûche</v>
      </c>
      <c r="V433" s="191" t="str">
        <f>'1_BD questio brut'!T433</f>
        <v/>
      </c>
      <c r="W433" s="191" t="str">
        <f>'1_BD questio brut'!U433</f>
        <v/>
      </c>
      <c r="X433" s="191" t="str">
        <f>'1_BD questio brut'!V433</f>
        <v/>
      </c>
      <c r="Y433" s="191" t="str">
        <f>'1_BD questio brut'!W433</f>
        <v>4</v>
      </c>
      <c r="Z433" s="191" t="str">
        <f>'1_BD questio brut'!X433</f>
        <v/>
      </c>
      <c r="AA433" s="191" t="str">
        <f t="array" ref="AA433">INDEX('Données 1_BD questio'!C:C,MATCH('1_BD questio brut'!$Y$1&amp;'1_BD questio brut'!Y433,'Données 1_BD questio'!A:A&amp;'Données 1_BD questio'!B:B,0))</f>
        <v>Ne sait pas</v>
      </c>
      <c r="AB433" s="191" t="str">
        <f>'1_BD questio brut'!Z433</f>
        <v>2</v>
      </c>
      <c r="AC433" s="191" t="str">
        <f>'1_BD questio brut'!AA433</f>
        <v>1 à 2 ans</v>
      </c>
      <c r="AD433" s="191" t="str">
        <f>'1_BD questio brut'!AB433</f>
        <v>Feuillus</v>
      </c>
      <c r="AE433" s="191" t="str">
        <f t="array" ref="AE433">INDEX('Données 1_BD questio'!C:C,MATCH('1_BD questio brut'!$AC$1&amp;'1_BD questio brut'!AC433,'Données 1_BD questio'!A:A&amp;'Données 1_BD questio'!B:B,0))</f>
        <v>un professionnel</v>
      </c>
      <c r="AF433" s="191" t="str">
        <f>'1_BD questio brut'!AD433</f>
        <v>1 fois par an</v>
      </c>
      <c r="AG433" s="191" t="str">
        <f>'1_BD questio brut'!AE433</f>
        <v/>
      </c>
      <c r="AH433" s="191" t="str">
        <f>'1_BD questio brut'!AF433</f>
        <v>Insert cheminée</v>
      </c>
      <c r="AI433" s="191" t="str">
        <f>'1_BD questio brut'!AG433</f>
        <v>1</v>
      </c>
      <c r="AJ433" s="191" t="str">
        <f>'1_BD questio brut'!AH433</f>
        <v/>
      </c>
      <c r="AK433" s="191" t="str">
        <f>'1_BD questio brut'!AI433</f>
        <v>Chauffage de base</v>
      </c>
      <c r="AL433" s="191" t="str">
        <f>'1_BD questio brut'!AJ433</f>
        <v>Pas de réponse</v>
      </c>
      <c r="AM433" s="191" t="str">
        <f>'1_BD questio brut'!AK433</f>
        <v>1; 2; 5</v>
      </c>
      <c r="AN433" s="191" t="str">
        <f>'1_BD questio brut'!AL433</f>
        <v/>
      </c>
      <c r="AO433" s="191" t="str">
        <f>'1_BD questio brut'!AM433</f>
        <v>5</v>
      </c>
      <c r="AP433" s="191" t="str">
        <f>'1_BD questio brut'!AN433</f>
        <v/>
      </c>
      <c r="AQ433" s="191" t="str">
        <f>'1_BD questio brut'!AO433</f>
        <v/>
      </c>
    </row>
    <row r="434" spans="1:43" ht="43.5" hidden="1">
      <c r="A434" s="98">
        <f>INDEX('3_BD instruction total'!A:A,MATCH(C434,'3_BD instruction total'!F:F,0))</f>
        <v>2022</v>
      </c>
      <c r="B434" s="98" t="str">
        <f>INDEX('3_BD instruction total'!C:C,MATCH(C434,'3_BD instruction total'!F:F,0))</f>
        <v>non</v>
      </c>
      <c r="C434" s="191" t="str">
        <f>'1_BD questio brut'!A434</f>
        <v>VRB0469</v>
      </c>
      <c r="D434" s="191" t="str">
        <f t="array" ref="D434">INDEX('Données 1_BD questio'!C:C,MATCH('1_BD questio brut'!$B$1&amp;'1_BD questio brut'!B434,'Données 1_BD questio'!A:A&amp;'Données 1_BD questio'!B:B,0))</f>
        <v>CAPV</v>
      </c>
      <c r="E434" s="191" t="str">
        <f t="array" ref="E434">INDEX('Données 1_BD questio'!C:C,MATCH('1_BD questio brut'!$C$1&amp;'1_BD questio brut'!C434,'Données 1_BD questio'!A:A&amp;'Données 1_BD questio'!B:B,0))</f>
        <v>Retraité</v>
      </c>
      <c r="F434" s="191" t="str">
        <f t="array" ref="F434">INDEX('Données 1_BD questio'!C:C,MATCH('1_BD questio brut'!$D$1&amp;'1_BD questio brut'!D434,'Données 1_BD questio'!A:A&amp;'Données 1_BD questio'!B:B,0))</f>
        <v>Pas de réponse</v>
      </c>
      <c r="G434" s="191" t="str">
        <f>'1_BD questio brut'!E434</f>
        <v>65 ans et plus</v>
      </c>
      <c r="H434" s="191">
        <f>'1_BD questio brut'!F434</f>
        <v>1</v>
      </c>
      <c r="I434" s="191" t="str">
        <f>'1_BD questio brut'!G434</f>
        <v>Moins de 20 000 €</v>
      </c>
      <c r="J434" s="191" t="str">
        <f t="array" ref="J434">INDEX('Données 1_BD questio'!C:C,MATCH('1_BD questio brut'!$H$1&amp;'1_BD questio brut'!H434,'Données 1_BD questio'!A:A&amp;'Données 1_BD questio'!B:B,0))</f>
        <v>Maison avec jardin</v>
      </c>
      <c r="K434" s="191">
        <f>'1_BD questio brut'!I434</f>
        <v>85</v>
      </c>
      <c r="L434" s="191" t="str">
        <f>'1_BD questio brut'!J434</f>
        <v>1975-1990</v>
      </c>
      <c r="M434" s="191" t="str">
        <f>'1_BD questio brut'!K434</f>
        <v>2; 3</v>
      </c>
      <c r="N434" s="191" t="str">
        <f>'1_BD questio brut'!L434</f>
        <v>Pas de réponse</v>
      </c>
      <c r="O434" s="191" t="str">
        <f>'1_BD questio brut'!M434</f>
        <v>Propriétaire occupant</v>
      </c>
      <c r="P434" s="191" t="str">
        <f>'1_BD questio brut'!N434</f>
        <v>Poêle</v>
      </c>
      <c r="Q434" s="191" t="str">
        <f>'1_BD questio brut'!O434</f>
        <v>Chauffage d'apoint</v>
      </c>
      <c r="R434" s="191" t="str">
        <f>'1_BD questio brut'!P434</f>
        <v>3 à 4 jours/semaine</v>
      </c>
      <c r="S434" s="191" t="str">
        <f>'1_BD questio brut'!Q434</f>
        <v>3; 6</v>
      </c>
      <c r="T434" s="191" t="str">
        <f>'1_BD questio brut'!R434</f>
        <v>1990-1995</v>
      </c>
      <c r="U434" s="191" t="str">
        <f>'1_BD questio brut'!S434</f>
        <v>Bois bûche</v>
      </c>
      <c r="V434" s="191" t="str">
        <f>'1_BD questio brut'!T434</f>
        <v/>
      </c>
      <c r="W434" s="191" t="str">
        <f>'1_BD questio brut'!U434</f>
        <v>5-7</v>
      </c>
      <c r="X434" s="191" t="str">
        <f>'1_BD questio brut'!V434</f>
        <v>Stères</v>
      </c>
      <c r="Y434" s="191" t="str">
        <f>'1_BD questio brut'!W434</f>
        <v>2</v>
      </c>
      <c r="Z434" s="191" t="str">
        <f>'1_BD questio brut'!X434</f>
        <v/>
      </c>
      <c r="AA434" s="191" t="str">
        <f t="array" ref="AA434">INDEX('Données 1_BD questio'!C:C,MATCH('1_BD questio brut'!$Y$1&amp;'1_BD questio brut'!Y434,'Données 1_BD questio'!A:A&amp;'Données 1_BD questio'!B:B,0))</f>
        <v>Ne sait pas</v>
      </c>
      <c r="AB434" s="191" t="str">
        <f>'1_BD questio brut'!Z434</f>
        <v>2</v>
      </c>
      <c r="AC434" s="191" t="str">
        <f>'1_BD questio brut'!AA434</f>
        <v>1 à 2 ans</v>
      </c>
      <c r="AD434" s="191" t="str">
        <f>'1_BD questio brut'!AB434</f>
        <v>Feuillus</v>
      </c>
      <c r="AE434" s="191" t="str">
        <f t="array" ref="AE434">INDEX('Données 1_BD questio'!C:C,MATCH('1_BD questio brut'!$AC$1&amp;'1_BD questio brut'!AC434,'Données 1_BD questio'!A:A&amp;'Données 1_BD questio'!B:B,0))</f>
        <v>un professionnel</v>
      </c>
      <c r="AF434" s="191" t="str">
        <f>'1_BD questio brut'!AD434</f>
        <v>1 fois par an</v>
      </c>
      <c r="AG434" s="191" t="str">
        <f>'1_BD questio brut'!AE434</f>
        <v/>
      </c>
      <c r="AH434" s="191" t="str">
        <f>'1_BD questio brut'!AF434</f>
        <v>Poêle</v>
      </c>
      <c r="AI434" s="191" t="str">
        <f>'1_BD questio brut'!AG434</f>
        <v>2</v>
      </c>
      <c r="AJ434" s="191" t="str">
        <f>'1_BD questio brut'!AH434</f>
        <v/>
      </c>
      <c r="AK434" s="191" t="str">
        <f>'1_BD questio brut'!AI434</f>
        <v>Chauffage de base</v>
      </c>
      <c r="AL434" s="191" t="str">
        <f>'1_BD questio brut'!AJ434</f>
        <v>Pas de réponse</v>
      </c>
      <c r="AM434" s="191" t="str">
        <f>'1_BD questio brut'!AK434</f>
        <v>4</v>
      </c>
      <c r="AN434" s="191" t="str">
        <f>'1_BD questio brut'!AL434</f>
        <v/>
      </c>
      <c r="AO434" s="191" t="str">
        <f>'1_BD questio brut'!AM434</f>
        <v>5</v>
      </c>
      <c r="AP434" s="191" t="str">
        <f>'1_BD questio brut'!AN434</f>
        <v/>
      </c>
      <c r="AQ434" s="191" t="str">
        <f>'1_BD questio brut'!AO434</f>
        <v/>
      </c>
    </row>
    <row r="435" spans="1:43" ht="29" hidden="1">
      <c r="A435" s="98">
        <f>INDEX('3_BD instruction total'!A:A,MATCH(C435,'3_BD instruction total'!F:F,0))</f>
        <v>2022</v>
      </c>
      <c r="B435" s="98" t="str">
        <f>INDEX('3_BD instruction total'!C:C,MATCH(C435,'3_BD instruction total'!F:F,0))</f>
        <v>non</v>
      </c>
      <c r="C435" s="191" t="str">
        <f>'1_BD questio brut'!A435</f>
        <v>VRB0470</v>
      </c>
      <c r="D435" s="191" t="str">
        <f t="array" ref="D435">INDEX('Données 1_BD questio'!C:C,MATCH('1_BD questio brut'!$B$1&amp;'1_BD questio brut'!B435,'Données 1_BD questio'!A:A&amp;'Données 1_BD questio'!B:B,0))</f>
        <v>CAPV</v>
      </c>
      <c r="E435" s="191" t="str">
        <f t="array" ref="E435">INDEX('Données 1_BD questio'!C:C,MATCH('1_BD questio brut'!$C$1&amp;'1_BD questio brut'!C435,'Données 1_BD questio'!A:A&amp;'Données 1_BD questio'!B:B,0))</f>
        <v>Ouvrier</v>
      </c>
      <c r="F435" s="191" t="str">
        <f t="array" ref="F435">INDEX('Données 1_BD questio'!C:C,MATCH('1_BD questio brut'!$D$1&amp;'1_BD questio brut'!D435,'Données 1_BD questio'!A:A&amp;'Données 1_BD questio'!B:B,0))</f>
        <v>Employé</v>
      </c>
      <c r="G435" s="191" t="str">
        <f>'1_BD questio brut'!E435</f>
        <v>35 à 49 ans</v>
      </c>
      <c r="H435" s="191">
        <f>'1_BD questio brut'!F435</f>
        <v>5</v>
      </c>
      <c r="I435" s="191" t="str">
        <f>'1_BD questio brut'!G435</f>
        <v>30 000 à 40 000 €</v>
      </c>
      <c r="J435" s="191" t="str">
        <f t="array" ref="J435">INDEX('Données 1_BD questio'!C:C,MATCH('1_BD questio brut'!$H$1&amp;'1_BD questio brut'!H435,'Données 1_BD questio'!A:A&amp;'Données 1_BD questio'!B:B,0))</f>
        <v>Maison avec jardin</v>
      </c>
      <c r="K435" s="191">
        <f>'1_BD questio brut'!I435</f>
        <v>1</v>
      </c>
      <c r="L435" s="191" t="str">
        <f>'1_BD questio brut'!J435</f>
        <v>1975-1990</v>
      </c>
      <c r="M435" s="191" t="str">
        <f>'1_BD questio brut'!K435</f>
        <v>6</v>
      </c>
      <c r="N435" s="191" t="str">
        <f>'1_BD questio brut'!L435</f>
        <v>Pas de réponse</v>
      </c>
      <c r="O435" s="191" t="str">
        <f>'1_BD questio brut'!M435</f>
        <v>Propriétaire occupant</v>
      </c>
      <c r="P435" s="191" t="str">
        <f>'1_BD questio brut'!N435</f>
        <v>Poêle</v>
      </c>
      <c r="Q435" s="191" t="str">
        <f>'1_BD questio brut'!O435</f>
        <v>Chauffage de base</v>
      </c>
      <c r="R435" s="191" t="str">
        <f>'1_BD questio brut'!P435</f>
        <v>Tous les jours</v>
      </c>
      <c r="S435" s="191" t="str">
        <f>'1_BD questio brut'!Q435</f>
        <v>1; 2; 4</v>
      </c>
      <c r="T435" s="191" t="str">
        <f>'1_BD questio brut'!R435</f>
        <v>Après 2002</v>
      </c>
      <c r="U435" s="191" t="str">
        <f>'1_BD questio brut'!S435</f>
        <v>Bois bûche</v>
      </c>
      <c r="V435" s="191" t="str">
        <f>'1_BD questio brut'!T435</f>
        <v/>
      </c>
      <c r="W435" s="191" t="str">
        <f>'1_BD questio brut'!U435</f>
        <v/>
      </c>
      <c r="X435" s="191" t="str">
        <f>'1_BD questio brut'!V435</f>
        <v/>
      </c>
      <c r="Y435" s="191" t="str">
        <f>'1_BD questio brut'!W435</f>
        <v>2</v>
      </c>
      <c r="Z435" s="191" t="str">
        <f>'1_BD questio brut'!X435</f>
        <v/>
      </c>
      <c r="AA435" s="191" t="str">
        <f t="array" ref="AA435">INDEX('Données 1_BD questio'!C:C,MATCH('1_BD questio brut'!$Y$1&amp;'1_BD questio brut'!Y435,'Données 1_BD questio'!A:A&amp;'Données 1_BD questio'!B:B,0))</f>
        <v>Ne sait pas</v>
      </c>
      <c r="AB435" s="191" t="str">
        <f>'1_BD questio brut'!Z435</f>
        <v>2</v>
      </c>
      <c r="AC435" s="191" t="str">
        <f>'1_BD questio brut'!AA435</f>
        <v>1 à 2 ans</v>
      </c>
      <c r="AD435" s="191" t="str">
        <f>'1_BD questio brut'!AB435</f>
        <v>Les deux</v>
      </c>
      <c r="AE435" s="191" t="str">
        <f t="array" ref="AE435">INDEX('Données 1_BD questio'!C:C,MATCH('1_BD questio brut'!$AC$1&amp;'1_BD questio brut'!AC435,'Données 1_BD questio'!A:A&amp;'Données 1_BD questio'!B:B,0))</f>
        <v>Pas de réponse</v>
      </c>
      <c r="AF435" s="191" t="str">
        <f>'1_BD questio brut'!AD435</f>
        <v>1 fois par an</v>
      </c>
      <c r="AG435" s="191" t="str">
        <f>'1_BD questio brut'!AE435</f>
        <v/>
      </c>
      <c r="AH435" s="191" t="str">
        <f>'1_BD questio brut'!AF435</f>
        <v>Poêle</v>
      </c>
      <c r="AI435" s="191" t="str">
        <f>'1_BD questio brut'!AG435</f>
        <v>2</v>
      </c>
      <c r="AJ435" s="191" t="str">
        <f>'1_BD questio brut'!AH435</f>
        <v/>
      </c>
      <c r="AK435" s="191" t="str">
        <f>'1_BD questio brut'!AI435</f>
        <v>Chauffage de base</v>
      </c>
      <c r="AL435" s="191" t="str">
        <f>'1_BD questio brut'!AJ435</f>
        <v>Pas de réponse</v>
      </c>
      <c r="AM435" s="191" t="str">
        <f>'1_BD questio brut'!AK435</f>
        <v>1; 2; 5</v>
      </c>
      <c r="AN435" s="191" t="str">
        <f>'1_BD questio brut'!AL435</f>
        <v/>
      </c>
      <c r="AO435" s="191" t="str">
        <f>'1_BD questio brut'!AM435</f>
        <v>12</v>
      </c>
      <c r="AP435" s="191" t="str">
        <f>'1_BD questio brut'!AN435</f>
        <v/>
      </c>
      <c r="AQ435" s="191" t="str">
        <f>'1_BD questio brut'!AO435</f>
        <v>Urbanis</v>
      </c>
    </row>
    <row r="436" spans="1:43" ht="43.5" hidden="1">
      <c r="A436" s="98">
        <f>INDEX('3_BD instruction total'!A:A,MATCH(C436,'3_BD instruction total'!F:F,0))</f>
        <v>2022</v>
      </c>
      <c r="B436" s="98" t="str">
        <f>INDEX('3_BD instruction total'!C:C,MATCH(C436,'3_BD instruction total'!F:F,0))</f>
        <v>non</v>
      </c>
      <c r="C436" s="191" t="str">
        <f>'1_BD questio brut'!A436</f>
        <v>VRB0471</v>
      </c>
      <c r="D436" s="191" t="str">
        <f t="array" ref="D436">INDEX('Données 1_BD questio'!C:C,MATCH('1_BD questio brut'!$B$1&amp;'1_BD questio brut'!B436,'Données 1_BD questio'!A:A&amp;'Données 1_BD questio'!B:B,0))</f>
        <v>CAPV</v>
      </c>
      <c r="E436" s="191" t="str">
        <f t="array" ref="E436">INDEX('Données 1_BD questio'!C:C,MATCH('1_BD questio brut'!$C$1&amp;'1_BD questio brut'!C436,'Données 1_BD questio'!A:A&amp;'Données 1_BD questio'!B:B,0))</f>
        <v>Cadre</v>
      </c>
      <c r="F436" s="191" t="str">
        <f t="array" ref="F436">INDEX('Données 1_BD questio'!C:C,MATCH('1_BD questio brut'!$D$1&amp;'1_BD questio brut'!D436,'Données 1_BD questio'!A:A&amp;'Données 1_BD questio'!B:B,0))</f>
        <v>Cadre</v>
      </c>
      <c r="G436" s="191" t="str">
        <f>'1_BD questio brut'!E436</f>
        <v>35 à 49 ans</v>
      </c>
      <c r="H436" s="191">
        <f>'1_BD questio brut'!F436</f>
        <v>5</v>
      </c>
      <c r="I436" s="191" t="str">
        <f>'1_BD questio brut'!G436</f>
        <v>Plus de 100 000 €</v>
      </c>
      <c r="J436" s="191" t="str">
        <f t="array" ref="J436">INDEX('Données 1_BD questio'!C:C,MATCH('1_BD questio brut'!$H$1&amp;'1_BD questio brut'!H436,'Données 1_BD questio'!A:A&amp;'Données 1_BD questio'!B:B,0))</f>
        <v>Maison avec jardin</v>
      </c>
      <c r="K436" s="191">
        <f>'1_BD questio brut'!I436</f>
        <v>280</v>
      </c>
      <c r="L436" s="191" t="str">
        <f>'1_BD questio brut'!J436</f>
        <v>1949-1975</v>
      </c>
      <c r="M436" s="191" t="str">
        <f>'1_BD questio brut'!K436</f>
        <v>6</v>
      </c>
      <c r="N436" s="191" t="str">
        <f>'1_BD questio brut'!L436</f>
        <v>Pas de réponse</v>
      </c>
      <c r="O436" s="191" t="str">
        <f>'1_BD questio brut'!M436</f>
        <v>Propriétaire occupant</v>
      </c>
      <c r="P436" s="191" t="str">
        <f>'1_BD questio brut'!N436</f>
        <v>Foyer ouvert</v>
      </c>
      <c r="Q436" s="191" t="str">
        <f>'1_BD questio brut'!O436</f>
        <v>Plaisir/agrément</v>
      </c>
      <c r="R436" s="191" t="str">
        <f>'1_BD questio brut'!P436</f>
        <v>Jamais</v>
      </c>
      <c r="S436" s="191" t="str">
        <f>'1_BD questio brut'!Q436</f>
        <v>7</v>
      </c>
      <c r="T436" s="191" t="str">
        <f>'1_BD questio brut'!R436</f>
        <v>Avant 1990</v>
      </c>
      <c r="U436" s="191" t="str">
        <f>'1_BD questio brut'!S436</f>
        <v>Autre</v>
      </c>
      <c r="V436" s="191" t="str">
        <f>'1_BD questio brut'!T436</f>
        <v>Non utilisé</v>
      </c>
      <c r="W436" s="191" t="str">
        <f>'1_BD questio brut'!U436</f>
        <v/>
      </c>
      <c r="X436" s="191" t="str">
        <f>'1_BD questio brut'!V436</f>
        <v/>
      </c>
      <c r="Y436" s="191" t="str">
        <f>'1_BD questio brut'!W436</f>
        <v>5</v>
      </c>
      <c r="Z436" s="191" t="str">
        <f>'1_BD questio brut'!X436</f>
        <v/>
      </c>
      <c r="AA436" s="191" t="str">
        <f t="array" ref="AA436">INDEX('Données 1_BD questio'!C:C,MATCH('1_BD questio brut'!$Y$1&amp;'1_BD questio brut'!Y436,'Données 1_BD questio'!A:A&amp;'Données 1_BD questio'!B:B,0))</f>
        <v>Pas de réponse</v>
      </c>
      <c r="AB436" s="191" t="str">
        <f>'1_BD questio brut'!Z436</f>
        <v>4</v>
      </c>
      <c r="AC436" s="191" t="str">
        <f>'1_BD questio brut'!AA436</f>
        <v>Pas de réponse</v>
      </c>
      <c r="AD436" s="191" t="str">
        <f>'1_BD questio brut'!AB436</f>
        <v>Pas de réponse</v>
      </c>
      <c r="AE436" s="191" t="str">
        <f t="array" ref="AE436">INDEX('Données 1_BD questio'!C:C,MATCH('1_BD questio brut'!$AC$1&amp;'1_BD questio brut'!AC436,'Données 1_BD questio'!A:A&amp;'Données 1_BD questio'!B:B,0))</f>
        <v>un professionnel</v>
      </c>
      <c r="AF436" s="191" t="str">
        <f>'1_BD questio brut'!AD436</f>
        <v>1 fois par an</v>
      </c>
      <c r="AG436" s="191" t="str">
        <f>'1_BD questio brut'!AE436</f>
        <v/>
      </c>
      <c r="AH436" s="191" t="str">
        <f>'1_BD questio brut'!AF436</f>
        <v>Poêle</v>
      </c>
      <c r="AI436" s="191" t="str">
        <f>'1_BD questio brut'!AG436</f>
        <v>1</v>
      </c>
      <c r="AJ436" s="191" t="str">
        <f>'1_BD questio brut'!AH436</f>
        <v/>
      </c>
      <c r="AK436" s="191" t="str">
        <f>'1_BD questio brut'!AI436</f>
        <v>Chauffage d'appoint</v>
      </c>
      <c r="AL436" s="191" t="str">
        <f>'1_BD questio brut'!AJ436</f>
        <v>Pas de réponse</v>
      </c>
      <c r="AM436" s="191" t="str">
        <f>'1_BD questio brut'!AK436</f>
        <v>2; 4; 5</v>
      </c>
      <c r="AN436" s="191" t="str">
        <f>'1_BD questio brut'!AL436</f>
        <v/>
      </c>
      <c r="AO436" s="191" t="str">
        <f>'1_BD questio brut'!AM436</f>
        <v>6; 7</v>
      </c>
      <c r="AP436" s="191" t="str">
        <f>'1_BD questio brut'!AN436</f>
        <v/>
      </c>
      <c r="AQ436" s="191" t="str">
        <f>'1_BD questio brut'!AO436</f>
        <v/>
      </c>
    </row>
    <row r="437" spans="1:43" ht="43.5" hidden="1">
      <c r="A437" s="98">
        <f>INDEX('3_BD instruction total'!A:A,MATCH(C437,'3_BD instruction total'!F:F,0))</f>
        <v>2022</v>
      </c>
      <c r="B437" s="98" t="str">
        <f>INDEX('3_BD instruction total'!C:C,MATCH(C437,'3_BD instruction total'!F:F,0))</f>
        <v>non</v>
      </c>
      <c r="C437" s="191" t="str">
        <f>'1_BD questio brut'!A437</f>
        <v>VRB0472</v>
      </c>
      <c r="D437" s="191" t="str">
        <f t="array" ref="D437">INDEX('Données 1_BD questio'!C:C,MATCH('1_BD questio brut'!$B$1&amp;'1_BD questio brut'!B437,'Données 1_BD questio'!A:A&amp;'Données 1_BD questio'!B:B,0))</f>
        <v>CAPV</v>
      </c>
      <c r="E437" s="191" t="str">
        <f t="array" ref="E437">INDEX('Données 1_BD questio'!C:C,MATCH('1_BD questio brut'!$C$1&amp;'1_BD questio brut'!C437,'Données 1_BD questio'!A:A&amp;'Données 1_BD questio'!B:B,0))</f>
        <v>Retraité</v>
      </c>
      <c r="F437" s="191" t="str">
        <f t="array" ref="F437">INDEX('Données 1_BD questio'!C:C,MATCH('1_BD questio brut'!$D$1&amp;'1_BD questio brut'!D437,'Données 1_BD questio'!A:A&amp;'Données 1_BD questio'!B:B,0))</f>
        <v>Pas de réponse</v>
      </c>
      <c r="G437" s="191" t="str">
        <f>'1_BD questio brut'!E437</f>
        <v>65 ans et plus</v>
      </c>
      <c r="H437" s="191">
        <f>'1_BD questio brut'!F437</f>
        <v>1</v>
      </c>
      <c r="I437" s="191" t="str">
        <f>'1_BD questio brut'!G437</f>
        <v>Moins de 20 000 €</v>
      </c>
      <c r="J437" s="191" t="str">
        <f t="array" ref="J437">INDEX('Données 1_BD questio'!C:C,MATCH('1_BD questio brut'!$H$1&amp;'1_BD questio brut'!H437,'Données 1_BD questio'!A:A&amp;'Données 1_BD questio'!B:B,0))</f>
        <v>Maison avec jardin</v>
      </c>
      <c r="K437" s="191">
        <f>'1_BD questio brut'!I437</f>
        <v>100</v>
      </c>
      <c r="L437" s="191" t="str">
        <f>'1_BD questio brut'!J437</f>
        <v>1990-2005</v>
      </c>
      <c r="M437" s="191" t="str">
        <f>'1_BD questio brut'!K437</f>
        <v>1</v>
      </c>
      <c r="N437" s="191" t="str">
        <f>'1_BD questio brut'!L437</f>
        <v>Pas de réponse</v>
      </c>
      <c r="O437" s="191" t="str">
        <f>'1_BD questio brut'!M437</f>
        <v>Propriétaire occupant</v>
      </c>
      <c r="P437" s="191" t="str">
        <f>'1_BD questio brut'!N437</f>
        <v>Insert / foyer fermé</v>
      </c>
      <c r="Q437" s="191" t="str">
        <f>'1_BD questio brut'!O437</f>
        <v>Chauffage de base</v>
      </c>
      <c r="R437" s="191" t="str">
        <f>'1_BD questio brut'!P437</f>
        <v>Pas de réponse</v>
      </c>
      <c r="S437" s="191" t="str">
        <f>'1_BD questio brut'!Q437</f>
        <v>3; 4; 5</v>
      </c>
      <c r="T437" s="191" t="str">
        <f>'1_BD questio brut'!R437</f>
        <v>1990-1995</v>
      </c>
      <c r="U437" s="191" t="str">
        <f>'1_BD questio brut'!S437</f>
        <v>Bois bûche</v>
      </c>
      <c r="V437" s="191" t="str">
        <f>'1_BD questio brut'!T437</f>
        <v/>
      </c>
      <c r="W437" s="191" t="str">
        <f>'1_BD questio brut'!U437</f>
        <v>5 à 6</v>
      </c>
      <c r="X437" s="191" t="str">
        <f>'1_BD questio brut'!V437</f>
        <v>stère</v>
      </c>
      <c r="Y437" s="191" t="str">
        <f>'1_BD questio brut'!W437</f>
        <v>3</v>
      </c>
      <c r="Z437" s="191" t="str">
        <f>'1_BD questio brut'!X437</f>
        <v/>
      </c>
      <c r="AA437" s="191" t="str">
        <f t="array" ref="AA437">INDEX('Données 1_BD questio'!C:C,MATCH('1_BD questio brut'!$Y$1&amp;'1_BD questio brut'!Y437,'Données 1_BD questio'!A:A&amp;'Données 1_BD questio'!B:B,0))</f>
        <v>RA2B</v>
      </c>
      <c r="AB437" s="191" t="str">
        <f>'1_BD questio brut'!Z437</f>
        <v>1</v>
      </c>
      <c r="AC437" s="191" t="str">
        <f>'1_BD questio brut'!AA437</f>
        <v>&gt; 2 ans</v>
      </c>
      <c r="AD437" s="191" t="str">
        <f>'1_BD questio brut'!AB437</f>
        <v>Les deux</v>
      </c>
      <c r="AE437" s="191" t="str">
        <f t="array" ref="AE437">INDEX('Données 1_BD questio'!C:C,MATCH('1_BD questio brut'!$AC$1&amp;'1_BD questio brut'!AC437,'Données 1_BD questio'!A:A&amp;'Données 1_BD questio'!B:B,0))</f>
        <v>un professionnel</v>
      </c>
      <c r="AF437" s="191" t="str">
        <f>'1_BD questio brut'!AD437</f>
        <v>1 fois par an</v>
      </c>
      <c r="AG437" s="191" t="str">
        <f>'1_BD questio brut'!AE437</f>
        <v/>
      </c>
      <c r="AH437" s="191" t="str">
        <f>'1_BD questio brut'!AF437</f>
        <v>Poêle</v>
      </c>
      <c r="AI437" s="191" t="str">
        <f>'1_BD questio brut'!AG437</f>
        <v>2</v>
      </c>
      <c r="AJ437" s="191" t="str">
        <f>'1_BD questio brut'!AH437</f>
        <v/>
      </c>
      <c r="AK437" s="191" t="str">
        <f>'1_BD questio brut'!AI437</f>
        <v>Chauffage de base</v>
      </c>
      <c r="AL437" s="191" t="str">
        <f>'1_BD questio brut'!AJ437</f>
        <v>Pas de réponse</v>
      </c>
      <c r="AM437" s="191" t="str">
        <f>'1_BD questio brut'!AK437</f>
        <v>1; 2</v>
      </c>
      <c r="AN437" s="191" t="str">
        <f>'1_BD questio brut'!AL437</f>
        <v/>
      </c>
      <c r="AO437" s="191" t="str">
        <f>'1_BD questio brut'!AM437</f>
        <v>5</v>
      </c>
      <c r="AP437" s="191" t="str">
        <f>'1_BD questio brut'!AN437</f>
        <v/>
      </c>
      <c r="AQ437" s="191" t="str">
        <f>'1_BD questio brut'!AO437</f>
        <v/>
      </c>
    </row>
    <row r="438" spans="1:43" ht="29" hidden="1">
      <c r="A438" s="98">
        <f>INDEX('3_BD instruction total'!A:A,MATCH(C438,'3_BD instruction total'!F:F,0))</f>
        <v>2022</v>
      </c>
      <c r="B438" s="98" t="str">
        <f>INDEX('3_BD instruction total'!C:C,MATCH(C438,'3_BD instruction total'!F:F,0))</f>
        <v>non</v>
      </c>
      <c r="C438" s="191" t="str">
        <f>'1_BD questio brut'!A438</f>
        <v>VRB0473</v>
      </c>
      <c r="D438" s="191" t="str">
        <f t="array" ref="D438">INDEX('Données 1_BD questio'!C:C,MATCH('1_BD questio brut'!$B$1&amp;'1_BD questio brut'!B438,'Données 1_BD questio'!A:A&amp;'Données 1_BD questio'!B:B,0))</f>
        <v>CAPV</v>
      </c>
      <c r="E438" s="191" t="str">
        <f t="array" ref="E438">INDEX('Données 1_BD questio'!C:C,MATCH('1_BD questio brut'!$C$1&amp;'1_BD questio brut'!C438,'Données 1_BD questio'!A:A&amp;'Données 1_BD questio'!B:B,0))</f>
        <v>Employé</v>
      </c>
      <c r="F438" s="191" t="str">
        <f t="array" ref="F438">INDEX('Données 1_BD questio'!C:C,MATCH('1_BD questio brut'!$D$1&amp;'1_BD questio brut'!D438,'Données 1_BD questio'!A:A&amp;'Données 1_BD questio'!B:B,0))</f>
        <v>Pas de réponse</v>
      </c>
      <c r="G438" s="191" t="str">
        <f>'1_BD questio brut'!E438</f>
        <v>50 à 64 ans</v>
      </c>
      <c r="H438" s="191">
        <f>'1_BD questio brut'!F438</f>
        <v>1</v>
      </c>
      <c r="I438" s="191" t="str">
        <f>'1_BD questio brut'!G438</f>
        <v>Moins de 20 000 €</v>
      </c>
      <c r="J438" s="191" t="str">
        <f t="array" ref="J438">INDEX('Données 1_BD questio'!C:C,MATCH('1_BD questio brut'!$H$1&amp;'1_BD questio brut'!H438,'Données 1_BD questio'!A:A&amp;'Données 1_BD questio'!B:B,0))</f>
        <v>Maison avec jardin</v>
      </c>
      <c r="K438" s="191">
        <f>'1_BD questio brut'!I438</f>
        <v>100</v>
      </c>
      <c r="L438" s="191" t="str">
        <f>'1_BD questio brut'!J438</f>
        <v>Avant 1949</v>
      </c>
      <c r="M438" s="191" t="str">
        <f>'1_BD questio brut'!K438</f>
        <v>6</v>
      </c>
      <c r="N438" s="191" t="str">
        <f>'1_BD questio brut'!L438</f>
        <v>Pas de réponse</v>
      </c>
      <c r="O438" s="191" t="str">
        <f>'1_BD questio brut'!M438</f>
        <v>Propriétaire occupant</v>
      </c>
      <c r="P438" s="191" t="str">
        <f>'1_BD questio brut'!N438</f>
        <v>Foyer ouvert</v>
      </c>
      <c r="Q438" s="191" t="str">
        <f>'1_BD questio brut'!O438</f>
        <v>Chauffage de base</v>
      </c>
      <c r="R438" s="191" t="str">
        <f>'1_BD questio brut'!P438</f>
        <v>Tous les jours</v>
      </c>
      <c r="S438" s="191" t="str">
        <f>'1_BD questio brut'!Q438</f>
        <v>4; 6</v>
      </c>
      <c r="T438" s="191" t="str">
        <f>'1_BD questio brut'!R438</f>
        <v>Avant 1990</v>
      </c>
      <c r="U438" s="191" t="str">
        <f>'1_BD questio brut'!S438</f>
        <v>Bois bûche</v>
      </c>
      <c r="V438" s="191" t="str">
        <f>'1_BD questio brut'!T438</f>
        <v/>
      </c>
      <c r="W438" s="191" t="str">
        <f>'1_BD questio brut'!U438</f>
        <v>5</v>
      </c>
      <c r="X438" s="191" t="str">
        <f>'1_BD questio brut'!V438</f>
        <v>Stère</v>
      </c>
      <c r="Y438" s="191" t="str">
        <f>'1_BD questio brut'!W438</f>
        <v>3</v>
      </c>
      <c r="Z438" s="191" t="str">
        <f>'1_BD questio brut'!X438</f>
        <v/>
      </c>
      <c r="AA438" s="191" t="str">
        <f t="array" ref="AA438">INDEX('Données 1_BD questio'!C:C,MATCH('1_BD questio brut'!$Y$1&amp;'1_BD questio brut'!Y438,'Données 1_BD questio'!A:A&amp;'Données 1_BD questio'!B:B,0))</f>
        <v>Rhône-Alpes hors RA2B</v>
      </c>
      <c r="AB438" s="191" t="str">
        <f>'1_BD questio brut'!Z438</f>
        <v>2</v>
      </c>
      <c r="AC438" s="191" t="str">
        <f>'1_BD questio brut'!AA438</f>
        <v>1 à 2 ans</v>
      </c>
      <c r="AD438" s="191" t="str">
        <f>'1_BD questio brut'!AB438</f>
        <v>Les deux</v>
      </c>
      <c r="AE438" s="191" t="str">
        <f t="array" ref="AE438">INDEX('Données 1_BD questio'!C:C,MATCH('1_BD questio brut'!$AC$1&amp;'1_BD questio brut'!AC438,'Données 1_BD questio'!A:A&amp;'Données 1_BD questio'!B:B,0))</f>
        <v>vous-même</v>
      </c>
      <c r="AF438" s="191" t="str">
        <f>'1_BD questio brut'!AD438</f>
        <v>1 fois par an</v>
      </c>
      <c r="AG438" s="191" t="str">
        <f>'1_BD questio brut'!AE438</f>
        <v/>
      </c>
      <c r="AH438" s="191" t="str">
        <f>'1_BD questio brut'!AF438</f>
        <v>Poêle</v>
      </c>
      <c r="AI438" s="191" t="str">
        <f>'1_BD questio brut'!AG438</f>
        <v>2</v>
      </c>
      <c r="AJ438" s="191" t="str">
        <f>'1_BD questio brut'!AH438</f>
        <v/>
      </c>
      <c r="AK438" s="191" t="str">
        <f>'1_BD questio brut'!AI438</f>
        <v>Chauffage de base</v>
      </c>
      <c r="AL438" s="191" t="str">
        <f>'1_BD questio brut'!AJ438</f>
        <v>Pas de réponse</v>
      </c>
      <c r="AM438" s="191" t="str">
        <f>'1_BD questio brut'!AK438</f>
        <v>1; 2; 4; 5</v>
      </c>
      <c r="AN438" s="191" t="str">
        <f>'1_BD questio brut'!AL438</f>
        <v/>
      </c>
      <c r="AO438" s="191" t="str">
        <f>'1_BD questio brut'!AM438</f>
        <v>1; 5</v>
      </c>
      <c r="AP438" s="191" t="str">
        <f>'1_BD questio brut'!AN438</f>
        <v/>
      </c>
      <c r="AQ438" s="191" t="str">
        <f>'1_BD questio brut'!AO438</f>
        <v/>
      </c>
    </row>
    <row r="439" spans="1:43" ht="43.5" hidden="1">
      <c r="A439" s="98">
        <f>INDEX('3_BD instruction total'!A:A,MATCH(C439,'3_BD instruction total'!F:F,0))</f>
        <v>2022</v>
      </c>
      <c r="B439" s="98" t="str">
        <f>INDEX('3_BD instruction total'!C:C,MATCH(C439,'3_BD instruction total'!F:F,0))</f>
        <v>non</v>
      </c>
      <c r="C439" s="191" t="str">
        <f>'1_BD questio brut'!A439</f>
        <v>VRB0474</v>
      </c>
      <c r="D439" s="191" t="str">
        <f t="array" ref="D439">INDEX('Données 1_BD questio'!C:C,MATCH('1_BD questio brut'!$B$1&amp;'1_BD questio brut'!B439,'Données 1_BD questio'!A:A&amp;'Données 1_BD questio'!B:B,0))</f>
        <v>CAPV</v>
      </c>
      <c r="E439" s="191" t="str">
        <f t="array" ref="E439">INDEX('Données 1_BD questio'!C:C,MATCH('1_BD questio brut'!$C$1&amp;'1_BD questio brut'!C439,'Données 1_BD questio'!A:A&amp;'Données 1_BD questio'!B:B,0))</f>
        <v>Retraité</v>
      </c>
      <c r="F439" s="191" t="str">
        <f t="array" ref="F439">INDEX('Données 1_BD questio'!C:C,MATCH('1_BD questio brut'!$D$1&amp;'1_BD questio brut'!D439,'Données 1_BD questio'!A:A&amp;'Données 1_BD questio'!B:B,0))</f>
        <v>Retraité</v>
      </c>
      <c r="G439" s="191" t="str">
        <f>'1_BD questio brut'!E439</f>
        <v>65 ans et plus</v>
      </c>
      <c r="H439" s="191">
        <f>'1_BD questio brut'!F439</f>
        <v>2</v>
      </c>
      <c r="I439" s="191" t="str">
        <f>'1_BD questio brut'!G439</f>
        <v>30 000 à 40 000 €</v>
      </c>
      <c r="J439" s="191" t="str">
        <f t="array" ref="J439">INDEX('Données 1_BD questio'!C:C,MATCH('1_BD questio brut'!$H$1&amp;'1_BD questio brut'!H439,'Données 1_BD questio'!A:A&amp;'Données 1_BD questio'!B:B,0))</f>
        <v>Maison avec jardin</v>
      </c>
      <c r="K439" s="191">
        <f>'1_BD questio brut'!I439</f>
        <v>100</v>
      </c>
      <c r="L439" s="191" t="str">
        <f>'1_BD questio brut'!J439</f>
        <v>Avant 1949</v>
      </c>
      <c r="M439" s="191" t="str">
        <f>'1_BD questio brut'!K439</f>
        <v>6</v>
      </c>
      <c r="N439" s="191" t="str">
        <f>'1_BD questio brut'!L439</f>
        <v>Pas de réponse</v>
      </c>
      <c r="O439" s="191" t="str">
        <f>'1_BD questio brut'!M439</f>
        <v>Propriétaire occupant</v>
      </c>
      <c r="P439" s="191" t="str">
        <f>'1_BD questio brut'!N439</f>
        <v>Poêle</v>
      </c>
      <c r="Q439" s="191" t="str">
        <f>'1_BD questio brut'!O439</f>
        <v>Chauffage d'apoint</v>
      </c>
      <c r="R439" s="191" t="str">
        <f>'1_BD questio brut'!P439</f>
        <v>3 à 4 jours/semaine</v>
      </c>
      <c r="S439" s="191" t="str">
        <f>'1_BD questio brut'!Q439</f>
        <v>1; 2; 3; 4; 5; 6</v>
      </c>
      <c r="T439" s="191" t="str">
        <f>'1_BD questio brut'!R439</f>
        <v>Avant 1990</v>
      </c>
      <c r="U439" s="191" t="str">
        <f>'1_BD questio brut'!S439</f>
        <v>Bois bûche</v>
      </c>
      <c r="V439" s="191" t="str">
        <f>'1_BD questio brut'!T439</f>
        <v/>
      </c>
      <c r="W439" s="191" t="str">
        <f>'1_BD questio brut'!U439</f>
        <v/>
      </c>
      <c r="X439" s="191" t="str">
        <f>'1_BD questio brut'!V439</f>
        <v>Stère</v>
      </c>
      <c r="Y439" s="191" t="str">
        <f>'1_BD questio brut'!W439</f>
        <v>2</v>
      </c>
      <c r="Z439" s="191" t="str">
        <f>'1_BD questio brut'!X439</f>
        <v/>
      </c>
      <c r="AA439" s="191" t="str">
        <f t="array" ref="AA439">INDEX('Données 1_BD questio'!C:C,MATCH('1_BD questio brut'!$Y$1&amp;'1_BD questio brut'!Y439,'Données 1_BD questio'!A:A&amp;'Données 1_BD questio'!B:B,0))</f>
        <v>Ne sait pas</v>
      </c>
      <c r="AB439" s="191" t="str">
        <f>'1_BD questio brut'!Z439</f>
        <v>1</v>
      </c>
      <c r="AC439" s="191" t="str">
        <f>'1_BD questio brut'!AA439</f>
        <v>1 à 2 ans</v>
      </c>
      <c r="AD439" s="191" t="str">
        <f>'1_BD questio brut'!AB439</f>
        <v>Feuillus</v>
      </c>
      <c r="AE439" s="191" t="str">
        <f t="array" ref="AE439">INDEX('Données 1_BD questio'!C:C,MATCH('1_BD questio brut'!$AC$1&amp;'1_BD questio brut'!AC439,'Données 1_BD questio'!A:A&amp;'Données 1_BD questio'!B:B,0))</f>
        <v>vous-même</v>
      </c>
      <c r="AF439" s="191" t="str">
        <f>'1_BD questio brut'!AD439</f>
        <v>2 fois par an</v>
      </c>
      <c r="AG439" s="191" t="str">
        <f>'1_BD questio brut'!AE439</f>
        <v/>
      </c>
      <c r="AH439" s="191" t="str">
        <f>'1_BD questio brut'!AF439</f>
        <v>Poêle</v>
      </c>
      <c r="AI439" s="191" t="str">
        <f>'1_BD questio brut'!AG439</f>
        <v>2</v>
      </c>
      <c r="AJ439" s="191" t="str">
        <f>'1_BD questio brut'!AH439</f>
        <v/>
      </c>
      <c r="AK439" s="191" t="str">
        <f>'1_BD questio brut'!AI439</f>
        <v>Chauffage de base</v>
      </c>
      <c r="AL439" s="191" t="str">
        <f>'1_BD questio brut'!AJ439</f>
        <v>Pas de réponse</v>
      </c>
      <c r="AM439" s="191" t="str">
        <f>'1_BD questio brut'!AK439</f>
        <v>2; 5</v>
      </c>
      <c r="AN439" s="191" t="str">
        <f>'1_BD questio brut'!AL439</f>
        <v/>
      </c>
      <c r="AO439" s="191" t="str">
        <f>'1_BD questio brut'!AM439</f>
        <v>5</v>
      </c>
      <c r="AP439" s="191" t="str">
        <f>'1_BD questio brut'!AN439</f>
        <v/>
      </c>
      <c r="AQ439" s="191" t="str">
        <f>'1_BD questio brut'!AO439</f>
        <v/>
      </c>
    </row>
    <row r="440" spans="1:43" ht="43.5" hidden="1">
      <c r="A440" s="98">
        <f>INDEX('3_BD instruction total'!A:A,MATCH(C440,'3_BD instruction total'!F:F,0))</f>
        <v>2022</v>
      </c>
      <c r="B440" s="98" t="str">
        <f>INDEX('3_BD instruction total'!C:C,MATCH(C440,'3_BD instruction total'!F:F,0))</f>
        <v>non</v>
      </c>
      <c r="C440" s="191" t="str">
        <f>'1_BD questio brut'!A440</f>
        <v>VRB0475</v>
      </c>
      <c r="D440" s="191" t="str">
        <f t="array" ref="D440">INDEX('Données 1_BD questio'!C:C,MATCH('1_BD questio brut'!$B$1&amp;'1_BD questio brut'!B440,'Données 1_BD questio'!A:A&amp;'Données 1_BD questio'!B:B,0))</f>
        <v>CAPV</v>
      </c>
      <c r="E440" s="191" t="str">
        <f t="array" ref="E440">INDEX('Données 1_BD questio'!C:C,MATCH('1_BD questio brut'!$C$1&amp;'1_BD questio brut'!C440,'Données 1_BD questio'!A:A&amp;'Données 1_BD questio'!B:B,0))</f>
        <v>Retraité</v>
      </c>
      <c r="F440" s="191" t="str">
        <f t="array" ref="F440">INDEX('Données 1_BD questio'!C:C,MATCH('1_BD questio brut'!$D$1&amp;'1_BD questio brut'!D440,'Données 1_BD questio'!A:A&amp;'Données 1_BD questio'!B:B,0))</f>
        <v>Pas de réponse</v>
      </c>
      <c r="G440" s="191" t="str">
        <f>'1_BD questio brut'!E440</f>
        <v>65 ans et plus</v>
      </c>
      <c r="H440" s="191">
        <f>'1_BD questio brut'!F440</f>
        <v>1</v>
      </c>
      <c r="I440" s="191" t="str">
        <f>'1_BD questio brut'!G440</f>
        <v>Moins de 20 000 €</v>
      </c>
      <c r="J440" s="191" t="str">
        <f t="array" ref="J440">INDEX('Données 1_BD questio'!C:C,MATCH('1_BD questio brut'!$H$1&amp;'1_BD questio brut'!H440,'Données 1_BD questio'!A:A&amp;'Données 1_BD questio'!B:B,0))</f>
        <v>Maison avec jardin</v>
      </c>
      <c r="K440" s="191">
        <f>'1_BD questio brut'!I440</f>
        <v>1</v>
      </c>
      <c r="L440" s="191" t="str">
        <f>'1_BD questio brut'!J440</f>
        <v>1949-1975</v>
      </c>
      <c r="M440" s="191" t="str">
        <f>'1_BD questio brut'!K440</f>
        <v>4</v>
      </c>
      <c r="N440" s="191" t="str">
        <f>'1_BD questio brut'!L440</f>
        <v>Pas de réponse</v>
      </c>
      <c r="O440" s="191" t="str">
        <f>'1_BD questio brut'!M440</f>
        <v>Propriétaire occupant</v>
      </c>
      <c r="P440" s="191" t="str">
        <f>'1_BD questio brut'!N440</f>
        <v>Poêle</v>
      </c>
      <c r="Q440" s="191" t="str">
        <f>'1_BD questio brut'!O440</f>
        <v>Chauffage d'apoint</v>
      </c>
      <c r="R440" s="191" t="str">
        <f>'1_BD questio brut'!P440</f>
        <v>Tous les jours</v>
      </c>
      <c r="S440" s="191" t="str">
        <f>'1_BD questio brut'!Q440</f>
        <v>2</v>
      </c>
      <c r="T440" s="191" t="str">
        <f>'1_BD questio brut'!R440</f>
        <v>Avant 1990</v>
      </c>
      <c r="U440" s="191" t="str">
        <f>'1_BD questio brut'!S440</f>
        <v>Bois bûche</v>
      </c>
      <c r="V440" s="191" t="str">
        <f>'1_BD questio brut'!T440</f>
        <v/>
      </c>
      <c r="W440" s="191" t="str">
        <f>'1_BD questio brut'!U440</f>
        <v>3</v>
      </c>
      <c r="X440" s="191" t="str">
        <f>'1_BD questio brut'!V440</f>
        <v>Stère</v>
      </c>
      <c r="Y440" s="191" t="str">
        <f>'1_BD questio brut'!W440</f>
        <v>1</v>
      </c>
      <c r="Z440" s="191" t="str">
        <f>'1_BD questio brut'!X440</f>
        <v/>
      </c>
      <c r="AA440" s="191" t="str">
        <f t="array" ref="AA440">INDEX('Données 1_BD questio'!C:C,MATCH('1_BD questio brut'!$Y$1&amp;'1_BD questio brut'!Y440,'Données 1_BD questio'!A:A&amp;'Données 1_BD questio'!B:B,0))</f>
        <v>Ne sait pas</v>
      </c>
      <c r="AB440" s="191" t="str">
        <f>'1_BD questio brut'!Z440</f>
        <v>2</v>
      </c>
      <c r="AC440" s="191" t="str">
        <f>'1_BD questio brut'!AA440</f>
        <v>&gt; 2 ans</v>
      </c>
      <c r="AD440" s="191" t="str">
        <f>'1_BD questio brut'!AB440</f>
        <v>Pas de réponse</v>
      </c>
      <c r="AE440" s="191" t="str">
        <f t="array" ref="AE440">INDEX('Données 1_BD questio'!C:C,MATCH('1_BD questio brut'!$AC$1&amp;'1_BD questio brut'!AC440,'Données 1_BD questio'!A:A&amp;'Données 1_BD questio'!B:B,0))</f>
        <v>un professionnel</v>
      </c>
      <c r="AF440" s="191" t="str">
        <f>'1_BD questio brut'!AD440</f>
        <v>1 fois par an</v>
      </c>
      <c r="AG440" s="191" t="str">
        <f>'1_BD questio brut'!AE440</f>
        <v/>
      </c>
      <c r="AH440" s="191" t="str">
        <f>'1_BD questio brut'!AF440</f>
        <v>Poêle</v>
      </c>
      <c r="AI440" s="191" t="str">
        <f>'1_BD questio brut'!AG440</f>
        <v>2</v>
      </c>
      <c r="AJ440" s="191" t="str">
        <f>'1_BD questio brut'!AH440</f>
        <v/>
      </c>
      <c r="AK440" s="191" t="str">
        <f>'1_BD questio brut'!AI440</f>
        <v>Chauffage de base</v>
      </c>
      <c r="AL440" s="191" t="str">
        <f>'1_BD questio brut'!AJ440</f>
        <v>Pas de réponse</v>
      </c>
      <c r="AM440" s="191" t="str">
        <f>'1_BD questio brut'!AK440</f>
        <v>4</v>
      </c>
      <c r="AN440" s="191" t="str">
        <f>'1_BD questio brut'!AL440</f>
        <v/>
      </c>
      <c r="AO440" s="191" t="str">
        <f>'1_BD questio brut'!AM440</f>
        <v>1</v>
      </c>
      <c r="AP440" s="191" t="str">
        <f>'1_BD questio brut'!AN440</f>
        <v/>
      </c>
      <c r="AQ440" s="191" t="str">
        <f>'1_BD questio brut'!AO440</f>
        <v/>
      </c>
    </row>
    <row r="441" spans="1:43" ht="43.5" hidden="1">
      <c r="A441" s="98">
        <f>INDEX('3_BD instruction total'!A:A,MATCH(C441,'3_BD instruction total'!F:F,0))</f>
        <v>2022</v>
      </c>
      <c r="B441" s="98" t="str">
        <f>INDEX('3_BD instruction total'!C:C,MATCH(C441,'3_BD instruction total'!F:F,0))</f>
        <v>non</v>
      </c>
      <c r="C441" s="191" t="str">
        <f>'1_BD questio brut'!A441</f>
        <v>VRB0476</v>
      </c>
      <c r="D441" s="191" t="str">
        <f t="array" ref="D441">INDEX('Données 1_BD questio'!C:C,MATCH('1_BD questio brut'!$B$1&amp;'1_BD questio brut'!B441,'Données 1_BD questio'!A:A&amp;'Données 1_BD questio'!B:B,0))</f>
        <v>CAPV</v>
      </c>
      <c r="E441" s="191" t="str">
        <f t="array" ref="E441">INDEX('Données 1_BD questio'!C:C,MATCH('1_BD questio brut'!$C$1&amp;'1_BD questio brut'!C441,'Données 1_BD questio'!A:A&amp;'Données 1_BD questio'!B:B,0))</f>
        <v>Retraité</v>
      </c>
      <c r="F441" s="191" t="str">
        <f t="array" ref="F441">INDEX('Données 1_BD questio'!C:C,MATCH('1_BD questio brut'!$D$1&amp;'1_BD questio brut'!D441,'Données 1_BD questio'!A:A&amp;'Données 1_BD questio'!B:B,0))</f>
        <v>Pas de réponse</v>
      </c>
      <c r="G441" s="191" t="str">
        <f>'1_BD questio brut'!E441</f>
        <v>65 ans et plus</v>
      </c>
      <c r="H441" s="191">
        <f>'1_BD questio brut'!F441</f>
        <v>1</v>
      </c>
      <c r="I441" s="191" t="str">
        <f>'1_BD questio brut'!G441</f>
        <v>Moins de 20 000 €</v>
      </c>
      <c r="J441" s="191" t="str">
        <f t="array" ref="J441">INDEX('Données 1_BD questio'!C:C,MATCH('1_BD questio brut'!$H$1&amp;'1_BD questio brut'!H441,'Données 1_BD questio'!A:A&amp;'Données 1_BD questio'!B:B,0))</f>
        <v>Maison avec jardin</v>
      </c>
      <c r="K441" s="191">
        <f>'1_BD questio brut'!I441</f>
        <v>110</v>
      </c>
      <c r="L441" s="191" t="str">
        <f>'1_BD questio brut'!J441</f>
        <v>Avant 1949</v>
      </c>
      <c r="M441" s="191" t="str">
        <f>'1_BD questio brut'!K441</f>
        <v>4</v>
      </c>
      <c r="N441" s="191" t="str">
        <f>'1_BD questio brut'!L441</f>
        <v>G</v>
      </c>
      <c r="O441" s="191" t="str">
        <f>'1_BD questio brut'!M441</f>
        <v>Propriétaire occupant</v>
      </c>
      <c r="P441" s="191" t="str">
        <f>'1_BD questio brut'!N441</f>
        <v>Cuisinière</v>
      </c>
      <c r="Q441" s="191" t="str">
        <f>'1_BD questio brut'!O441</f>
        <v>Chauffage d'apoint</v>
      </c>
      <c r="R441" s="191" t="str">
        <f>'1_BD questio brut'!P441</f>
        <v>Tous les jours</v>
      </c>
      <c r="S441" s="191" t="str">
        <f>'1_BD questio brut'!Q441</f>
        <v>3</v>
      </c>
      <c r="T441" s="191" t="str">
        <f>'1_BD questio brut'!R441</f>
        <v>1996-2002</v>
      </c>
      <c r="U441" s="191" t="str">
        <f>'1_BD questio brut'!S441</f>
        <v>Bois bûche</v>
      </c>
      <c r="V441" s="191" t="str">
        <f>'1_BD questio brut'!T441</f>
        <v/>
      </c>
      <c r="W441" s="191" t="str">
        <f>'1_BD questio brut'!U441</f>
        <v>5 à 6</v>
      </c>
      <c r="X441" s="191" t="str">
        <f>'1_BD questio brut'!V441</f>
        <v>Stères</v>
      </c>
      <c r="Y441" s="191" t="str">
        <f>'1_BD questio brut'!W441</f>
        <v>1; 2</v>
      </c>
      <c r="Z441" s="191" t="str">
        <f>'1_BD questio brut'!X441</f>
        <v/>
      </c>
      <c r="AA441" s="191" t="str">
        <f t="array" ref="AA441">INDEX('Données 1_BD questio'!C:C,MATCH('1_BD questio brut'!$Y$1&amp;'1_BD questio brut'!Y441,'Données 1_BD questio'!A:A&amp;'Données 1_BD questio'!B:B,0))</f>
        <v>Rhône-Alpes hors RA2B</v>
      </c>
      <c r="AB441" s="191" t="str">
        <f>'1_BD questio brut'!Z441</f>
        <v>1</v>
      </c>
      <c r="AC441" s="191" t="str">
        <f>'1_BD questio brut'!AA441</f>
        <v>1 à 2 ans</v>
      </c>
      <c r="AD441" s="191" t="str">
        <f>'1_BD questio brut'!AB441</f>
        <v>Feuillus</v>
      </c>
      <c r="AE441" s="191" t="str">
        <f t="array" ref="AE441">INDEX('Données 1_BD questio'!C:C,MATCH('1_BD questio brut'!$AC$1&amp;'1_BD questio brut'!AC441,'Données 1_BD questio'!A:A&amp;'Données 1_BD questio'!B:B,0))</f>
        <v>un professionnel</v>
      </c>
      <c r="AF441" s="191" t="str">
        <f>'1_BD questio brut'!AD441</f>
        <v>1 fois par an</v>
      </c>
      <c r="AG441" s="191" t="str">
        <f>'1_BD questio brut'!AE441</f>
        <v/>
      </c>
      <c r="AH441" s="191" t="str">
        <f>'1_BD questio brut'!AF441</f>
        <v>Cuisinière</v>
      </c>
      <c r="AI441" s="191" t="str">
        <f>'1_BD questio brut'!AG441</f>
        <v>1</v>
      </c>
      <c r="AJ441" s="191" t="str">
        <f>'1_BD questio brut'!AH441</f>
        <v/>
      </c>
      <c r="AK441" s="191" t="str">
        <f>'1_BD questio brut'!AI441</f>
        <v>Chauffage d'appoint</v>
      </c>
      <c r="AL441" s="191" t="str">
        <f>'1_BD questio brut'!AJ441</f>
        <v>Pas de réponse</v>
      </c>
      <c r="AM441" s="191" t="str">
        <f>'1_BD questio brut'!AK441</f>
        <v>1; 2; 4; 5</v>
      </c>
      <c r="AN441" s="191" t="str">
        <f>'1_BD questio brut'!AL441</f>
        <v/>
      </c>
      <c r="AO441" s="191" t="str">
        <f>'1_BD questio brut'!AM441</f>
        <v>2</v>
      </c>
      <c r="AP441" s="191" t="str">
        <f>'1_BD questio brut'!AN441</f>
        <v/>
      </c>
      <c r="AQ441" s="191" t="str">
        <f>'1_BD questio brut'!AO441</f>
        <v/>
      </c>
    </row>
    <row r="442" spans="1:43" ht="29" hidden="1">
      <c r="A442" s="98">
        <f>INDEX('3_BD instruction total'!A:A,MATCH(C442,'3_BD instruction total'!F:F,0))</f>
        <v>2022</v>
      </c>
      <c r="B442" s="98" t="str">
        <f>INDEX('3_BD instruction total'!C:C,MATCH(C442,'3_BD instruction total'!F:F,0))</f>
        <v>non</v>
      </c>
      <c r="C442" s="191" t="str">
        <f>'1_BD questio brut'!A442</f>
        <v>VRB0477</v>
      </c>
      <c r="D442" s="191" t="str">
        <f t="array" ref="D442">INDEX('Données 1_BD questio'!C:C,MATCH('1_BD questio brut'!$B$1&amp;'1_BD questio brut'!B442,'Données 1_BD questio'!A:A&amp;'Données 1_BD questio'!B:B,0))</f>
        <v>CAPV</v>
      </c>
      <c r="E442" s="191" t="str">
        <f t="array" ref="E442">INDEX('Données 1_BD questio'!C:C,MATCH('1_BD questio brut'!$C$1&amp;'1_BD questio brut'!C442,'Données 1_BD questio'!A:A&amp;'Données 1_BD questio'!B:B,0))</f>
        <v>Agriculteur exploitant</v>
      </c>
      <c r="F442" s="191" t="str">
        <f t="array" ref="F442">INDEX('Données 1_BD questio'!C:C,MATCH('1_BD questio brut'!$D$1&amp;'1_BD questio brut'!D442,'Données 1_BD questio'!A:A&amp;'Données 1_BD questio'!B:B,0))</f>
        <v>Employé</v>
      </c>
      <c r="G442" s="191" t="str">
        <f>'1_BD questio brut'!E442</f>
        <v>35 à 49 ans</v>
      </c>
      <c r="H442" s="191">
        <f>'1_BD questio brut'!F442</f>
        <v>4</v>
      </c>
      <c r="I442" s="191" t="str">
        <f>'1_BD questio brut'!G442</f>
        <v>30 000 à 40 000 €</v>
      </c>
      <c r="J442" s="191" t="str">
        <f t="array" ref="J442">INDEX('Données 1_BD questio'!C:C,MATCH('1_BD questio brut'!$H$1&amp;'1_BD questio brut'!H442,'Données 1_BD questio'!A:A&amp;'Données 1_BD questio'!B:B,0))</f>
        <v>Maison avec jardin</v>
      </c>
      <c r="K442" s="191">
        <f>'1_BD questio brut'!I442</f>
        <v>105</v>
      </c>
      <c r="L442" s="191" t="str">
        <f>'1_BD questio brut'!J442</f>
        <v>1975-1990</v>
      </c>
      <c r="M442" s="191" t="str">
        <f>'1_BD questio brut'!K442</f>
        <v>1</v>
      </c>
      <c r="N442" s="191" t="str">
        <f>'1_BD questio brut'!L442</f>
        <v>G</v>
      </c>
      <c r="O442" s="191" t="str">
        <f>'1_BD questio brut'!M442</f>
        <v>Propriétaire occupant</v>
      </c>
      <c r="P442" s="191" t="str">
        <f>'1_BD questio brut'!N442</f>
        <v>Insert / foyer fermé</v>
      </c>
      <c r="Q442" s="191" t="str">
        <f>'1_BD questio brut'!O442</f>
        <v>Chauffage d'apoint</v>
      </c>
      <c r="R442" s="191" t="str">
        <f>'1_BD questio brut'!P442</f>
        <v>Tous les jours</v>
      </c>
      <c r="S442" s="191" t="str">
        <f>'1_BD questio brut'!Q442</f>
        <v>4</v>
      </c>
      <c r="T442" s="191" t="str">
        <f>'1_BD questio brut'!R442</f>
        <v>Avant 1990</v>
      </c>
      <c r="U442" s="191" t="str">
        <f>'1_BD questio brut'!S442</f>
        <v>Bois bûche</v>
      </c>
      <c r="V442" s="191" t="str">
        <f>'1_BD questio brut'!T442</f>
        <v/>
      </c>
      <c r="W442" s="191" t="str">
        <f>'1_BD questio brut'!U442</f>
        <v>30</v>
      </c>
      <c r="X442" s="191" t="str">
        <f>'1_BD questio brut'!V442</f>
        <v>Stère</v>
      </c>
      <c r="Y442" s="191" t="str">
        <f>'1_BD questio brut'!W442</f>
        <v>1</v>
      </c>
      <c r="Z442" s="191" t="str">
        <f>'1_BD questio brut'!X442</f>
        <v/>
      </c>
      <c r="AA442" s="191" t="str">
        <f t="array" ref="AA442">INDEX('Données 1_BD questio'!C:C,MATCH('1_BD questio brut'!$Y$1&amp;'1_BD questio brut'!Y442,'Données 1_BD questio'!A:A&amp;'Données 1_BD questio'!B:B,0))</f>
        <v>Pas de réponse</v>
      </c>
      <c r="AB442" s="191" t="str">
        <f>'1_BD questio brut'!Z442</f>
        <v>1</v>
      </c>
      <c r="AC442" s="191" t="str">
        <f>'1_BD questio brut'!AA442</f>
        <v>&gt; 2 ans</v>
      </c>
      <c r="AD442" s="191" t="str">
        <f>'1_BD questio brut'!AB442</f>
        <v>Feuillus</v>
      </c>
      <c r="AE442" s="191" t="str">
        <f t="array" ref="AE442">INDEX('Données 1_BD questio'!C:C,MATCH('1_BD questio brut'!$AC$1&amp;'1_BD questio brut'!AC442,'Données 1_BD questio'!A:A&amp;'Données 1_BD questio'!B:B,0))</f>
        <v>vous-même</v>
      </c>
      <c r="AF442" s="191" t="str">
        <f>'1_BD questio brut'!AD442</f>
        <v>2 fois par an</v>
      </c>
      <c r="AG442" s="191" t="str">
        <f>'1_BD questio brut'!AE442</f>
        <v/>
      </c>
      <c r="AH442" s="191" t="str">
        <f>'1_BD questio brut'!AF442</f>
        <v>Poêle</v>
      </c>
      <c r="AI442" s="191" t="str">
        <f>'1_BD questio brut'!AG442</f>
        <v>1</v>
      </c>
      <c r="AJ442" s="191" t="str">
        <f>'1_BD questio brut'!AH442</f>
        <v/>
      </c>
      <c r="AK442" s="191" t="str">
        <f>'1_BD questio brut'!AI442</f>
        <v>Chauffage de base</v>
      </c>
      <c r="AL442" s="191" t="str">
        <f>'1_BD questio brut'!AJ442</f>
        <v>Pas de réponse</v>
      </c>
      <c r="AM442" s="191" t="str">
        <f>'1_BD questio brut'!AK442</f>
        <v>2; 4; 5</v>
      </c>
      <c r="AN442" s="191" t="str">
        <f>'1_BD questio brut'!AL442</f>
        <v/>
      </c>
      <c r="AO442" s="191" t="str">
        <f>'1_BD questio brut'!AM442</f>
        <v>7</v>
      </c>
      <c r="AP442" s="191" t="str">
        <f>'1_BD questio brut'!AN442</f>
        <v/>
      </c>
      <c r="AQ442" s="191" t="str">
        <f>'1_BD questio brut'!AO442</f>
        <v/>
      </c>
    </row>
    <row r="443" spans="1:43" ht="43.5" hidden="1">
      <c r="A443" s="98">
        <f>INDEX('3_BD instruction total'!A:A,MATCH(C443,'3_BD instruction total'!F:F,0))</f>
        <v>1900</v>
      </c>
      <c r="B443" s="98" t="str">
        <f>INDEX('3_BD instruction total'!C:C,MATCH(C443,'3_BD instruction total'!F:F,0))</f>
        <v>non</v>
      </c>
      <c r="C443" s="191" t="str">
        <f>'1_BD questio brut'!A443</f>
        <v>VRB0478</v>
      </c>
      <c r="D443" s="191" t="str">
        <f t="array" ref="D443">INDEX('Données 1_BD questio'!C:C,MATCH('1_BD questio brut'!$B$1&amp;'1_BD questio brut'!B443,'Données 1_BD questio'!A:A&amp;'Données 1_BD questio'!B:B,0))</f>
        <v>CAPV</v>
      </c>
      <c r="E443" s="191" t="str">
        <f t="array" ref="E443">INDEX('Données 1_BD questio'!C:C,MATCH('1_BD questio brut'!$C$1&amp;'1_BD questio brut'!C443,'Données 1_BD questio'!A:A&amp;'Données 1_BD questio'!B:B,0))</f>
        <v>Artisan,commerçant,chef d'entreprise</v>
      </c>
      <c r="F443" s="191" t="str">
        <f t="array" ref="F443">INDEX('Données 1_BD questio'!C:C,MATCH('1_BD questio brut'!$D$1&amp;'1_BD questio brut'!D443,'Données 1_BD questio'!A:A&amp;'Données 1_BD questio'!B:B,0))</f>
        <v>Employé</v>
      </c>
      <c r="G443" s="191" t="str">
        <f>'1_BD questio brut'!E443</f>
        <v>50 à 64 ans</v>
      </c>
      <c r="H443" s="191">
        <f>'1_BD questio brut'!F443</f>
        <v>1</v>
      </c>
      <c r="I443" s="191" t="str">
        <f>'1_BD questio brut'!G443</f>
        <v>Plus de 100 000 €</v>
      </c>
      <c r="J443" s="191" t="str">
        <f t="array" ref="J443">INDEX('Données 1_BD questio'!C:C,MATCH('1_BD questio brut'!$H$1&amp;'1_BD questio brut'!H443,'Données 1_BD questio'!A:A&amp;'Données 1_BD questio'!B:B,0))</f>
        <v>Maison avec jardin</v>
      </c>
      <c r="K443" s="191">
        <f>'1_BD questio brut'!I443</f>
        <v>123</v>
      </c>
      <c r="L443" s="191" t="str">
        <f>'1_BD questio brut'!J443</f>
        <v>Après 2005</v>
      </c>
      <c r="M443" s="191" t="str">
        <f>'1_BD questio brut'!K443</f>
        <v>1</v>
      </c>
      <c r="N443" s="191" t="str">
        <f>'1_BD questio brut'!L443</f>
        <v>B</v>
      </c>
      <c r="O443" s="191" t="str">
        <f>'1_BD questio brut'!M443</f>
        <v>Propriétaire occupant</v>
      </c>
      <c r="P443" s="191" t="str">
        <f>'1_BD questio brut'!N443</f>
        <v>Foyer ouvert</v>
      </c>
      <c r="Q443" s="191" t="str">
        <f>'1_BD questio brut'!O443</f>
        <v>Pas de réponse</v>
      </c>
      <c r="R443" s="191" t="str">
        <f>'1_BD questio brut'!P443</f>
        <v>Tous les jours</v>
      </c>
      <c r="S443" s="191" t="str">
        <f>'1_BD questio brut'!Q443</f>
        <v>4</v>
      </c>
      <c r="T443" s="191" t="str">
        <f>'1_BD questio brut'!R443</f>
        <v>1996-2002</v>
      </c>
      <c r="U443" s="191" t="str">
        <f>'1_BD questio brut'!S443</f>
        <v>Bois bûche</v>
      </c>
      <c r="V443" s="191" t="str">
        <f>'1_BD questio brut'!T443</f>
        <v/>
      </c>
      <c r="W443" s="191" t="str">
        <f>'1_BD questio brut'!U443</f>
        <v>5 à 3</v>
      </c>
      <c r="X443" s="191" t="str">
        <f>'1_BD questio brut'!V443</f>
        <v>M3</v>
      </c>
      <c r="Y443" s="191" t="str">
        <f>'1_BD questio brut'!W443</f>
        <v>2</v>
      </c>
      <c r="Z443" s="191" t="str">
        <f>'1_BD questio brut'!X443</f>
        <v/>
      </c>
      <c r="AA443" s="191" t="str">
        <f t="array" ref="AA443">INDEX('Données 1_BD questio'!C:C,MATCH('1_BD questio brut'!$Y$1&amp;'1_BD questio brut'!Y443,'Données 1_BD questio'!A:A&amp;'Données 1_BD questio'!B:B,0))</f>
        <v>Rhône-Alpes hors RA2B</v>
      </c>
      <c r="AB443" s="191" t="str">
        <f>'1_BD questio brut'!Z443</f>
        <v>2</v>
      </c>
      <c r="AC443" s="191" t="str">
        <f>'1_BD questio brut'!AA443</f>
        <v>&gt; 2 ans</v>
      </c>
      <c r="AD443" s="191" t="str">
        <f>'1_BD questio brut'!AB443</f>
        <v>Feuillus</v>
      </c>
      <c r="AE443" s="191" t="str">
        <f t="array" ref="AE443">INDEX('Données 1_BD questio'!C:C,MATCH('1_BD questio brut'!$AC$1&amp;'1_BD questio brut'!AC443,'Données 1_BD questio'!A:A&amp;'Données 1_BD questio'!B:B,0))</f>
        <v>un professionnel</v>
      </c>
      <c r="AF443" s="191" t="str">
        <f>'1_BD questio brut'!AD443</f>
        <v>1 fois par an</v>
      </c>
      <c r="AG443" s="191" t="str">
        <f>'1_BD questio brut'!AE443</f>
        <v/>
      </c>
      <c r="AH443" s="191" t="str">
        <f>'1_BD questio brut'!AF443</f>
        <v>Poêle</v>
      </c>
      <c r="AI443" s="191" t="str">
        <f>'1_BD questio brut'!AG443</f>
        <v>1</v>
      </c>
      <c r="AJ443" s="191" t="str">
        <f>'1_BD questio brut'!AH443</f>
        <v/>
      </c>
      <c r="AK443" s="191" t="str">
        <f>'1_BD questio brut'!AI443</f>
        <v>Chauffage de base</v>
      </c>
      <c r="AL443" s="191" t="str">
        <f>'1_BD questio brut'!AJ443</f>
        <v>Pas de réponse</v>
      </c>
      <c r="AM443" s="191" t="str">
        <f>'1_BD questio brut'!AK443</f>
        <v>1; 5</v>
      </c>
      <c r="AN443" s="191" t="str">
        <f>'1_BD questio brut'!AL443</f>
        <v/>
      </c>
      <c r="AO443" s="191" t="str">
        <f>'1_BD questio brut'!AM443</f>
        <v>5; 7; 11</v>
      </c>
      <c r="AP443" s="191" t="str">
        <f>'1_BD questio brut'!AN443</f>
        <v/>
      </c>
      <c r="AQ443" s="191" t="str">
        <f>'1_BD questio brut'!AO443</f>
        <v/>
      </c>
    </row>
    <row r="444" spans="1:43" ht="116" hidden="1">
      <c r="A444" s="98">
        <f>INDEX('3_BD instruction total'!A:A,MATCH(C444,'3_BD instruction total'!F:F,0))</f>
        <v>2022</v>
      </c>
      <c r="B444" s="98" t="str">
        <f>INDEX('3_BD instruction total'!C:C,MATCH(C444,'3_BD instruction total'!F:F,0))</f>
        <v>non</v>
      </c>
      <c r="C444" s="191" t="str">
        <f>'1_BD questio brut'!A444</f>
        <v>VRB0479</v>
      </c>
      <c r="D444" s="191" t="str">
        <f t="array" ref="D444">INDEX('Données 1_BD questio'!C:C,MATCH('1_BD questio brut'!$B$1&amp;'1_BD questio brut'!B444,'Données 1_BD questio'!A:A&amp;'Données 1_BD questio'!B:B,0))</f>
        <v>CAPV</v>
      </c>
      <c r="E444" s="191" t="str">
        <f t="array" ref="E444">INDEX('Données 1_BD questio'!C:C,MATCH('1_BD questio brut'!$C$1&amp;'1_BD questio brut'!C444,'Données 1_BD questio'!A:A&amp;'Données 1_BD questio'!B:B,0))</f>
        <v>Employé</v>
      </c>
      <c r="F444" s="191" t="str">
        <f t="array" ref="F444">INDEX('Données 1_BD questio'!C:C,MATCH('1_BD questio brut'!$D$1&amp;'1_BD questio brut'!D444,'Données 1_BD questio'!A:A&amp;'Données 1_BD questio'!B:B,0))</f>
        <v>Cadre</v>
      </c>
      <c r="G444" s="191" t="str">
        <f>'1_BD questio brut'!E444</f>
        <v>35 à 49 ans</v>
      </c>
      <c r="H444" s="191">
        <f>'1_BD questio brut'!F444</f>
        <v>5</v>
      </c>
      <c r="I444" s="191" t="str">
        <f>'1_BD questio brut'!G444</f>
        <v>40 000 à 50 000 €</v>
      </c>
      <c r="J444" s="191" t="str">
        <f t="array" ref="J444">INDEX('Données 1_BD questio'!C:C,MATCH('1_BD questio brut'!$H$1&amp;'1_BD questio brut'!H444,'Données 1_BD questio'!A:A&amp;'Données 1_BD questio'!B:B,0))</f>
        <v>Maison avec jardin</v>
      </c>
      <c r="K444" s="191">
        <f>'1_BD questio brut'!I444</f>
        <v>157</v>
      </c>
      <c r="L444" s="191" t="str">
        <f>'1_BD questio brut'!J444</f>
        <v>1975-1990</v>
      </c>
      <c r="M444" s="191" t="str">
        <f>'1_BD questio brut'!K444</f>
        <v>1</v>
      </c>
      <c r="N444" s="191" t="str">
        <f>'1_BD questio brut'!L444</f>
        <v>E</v>
      </c>
      <c r="O444" s="191" t="str">
        <f>'1_BD questio brut'!M444</f>
        <v>Propriétaire occupant</v>
      </c>
      <c r="P444" s="191" t="str">
        <f>'1_BD questio brut'!N444</f>
        <v>Foyer ouvert</v>
      </c>
      <c r="Q444" s="191" t="str">
        <f>'1_BD questio brut'!O444</f>
        <v>Chauffage d'apoint</v>
      </c>
      <c r="R444" s="191" t="str">
        <f>'1_BD questio brut'!P444</f>
        <v>Tous les jours</v>
      </c>
      <c r="S444" s="191" t="str">
        <f>'1_BD questio brut'!Q444</f>
        <v>3; 6</v>
      </c>
      <c r="T444" s="191" t="str">
        <f>'1_BD questio brut'!R444</f>
        <v>Avant 1990</v>
      </c>
      <c r="U444" s="191" t="str">
        <f>'1_BD questio brut'!S444</f>
        <v>Bois bûche</v>
      </c>
      <c r="V444" s="191" t="str">
        <f>'1_BD questio brut'!T444</f>
        <v/>
      </c>
      <c r="W444" s="191" t="str">
        <f>'1_BD questio brut'!U444</f>
        <v>5</v>
      </c>
      <c r="X444" s="191" t="str">
        <f>'1_BD questio brut'!V444</f>
        <v>Stère</v>
      </c>
      <c r="Y444" s="191" t="str">
        <f>'1_BD questio brut'!W444</f>
        <v>2</v>
      </c>
      <c r="Z444" s="191" t="str">
        <f>'1_BD questio brut'!X444</f>
        <v/>
      </c>
      <c r="AA444" s="191" t="str">
        <f t="array" ref="AA444">INDEX('Données 1_BD questio'!C:C,MATCH('1_BD questio brut'!$Y$1&amp;'1_BD questio brut'!Y444,'Données 1_BD questio'!A:A&amp;'Données 1_BD questio'!B:B,0))</f>
        <v>Rhône-Alpes hors RA2B</v>
      </c>
      <c r="AB444" s="191" t="str">
        <f>'1_BD questio brut'!Z444</f>
        <v>2</v>
      </c>
      <c r="AC444" s="191" t="str">
        <f>'1_BD questio brut'!AA444</f>
        <v>1 à 2 ans</v>
      </c>
      <c r="AD444" s="191" t="str">
        <f>'1_BD questio brut'!AB444</f>
        <v>Les deux</v>
      </c>
      <c r="AE444" s="191" t="str">
        <f t="array" ref="AE444">INDEX('Données 1_BD questio'!C:C,MATCH('1_BD questio brut'!$AC$1&amp;'1_BD questio brut'!AC444,'Données 1_BD questio'!A:A&amp;'Données 1_BD questio'!B:B,0))</f>
        <v>un professionnel</v>
      </c>
      <c r="AF444" s="191" t="str">
        <f>'1_BD questio brut'!AD444</f>
        <v>1 fois par an</v>
      </c>
      <c r="AG444" s="191" t="str">
        <f>'1_BD questio brut'!AE444</f>
        <v/>
      </c>
      <c r="AH444" s="191" t="str">
        <f>'1_BD questio brut'!AF444</f>
        <v>Poêle</v>
      </c>
      <c r="AI444" s="191" t="str">
        <f>'1_BD questio brut'!AG444</f>
        <v>2</v>
      </c>
      <c r="AJ444" s="191" t="str">
        <f>'1_BD questio brut'!AH444</f>
        <v/>
      </c>
      <c r="AK444" s="191" t="str">
        <f>'1_BD questio brut'!AI444</f>
        <v>Chauffage de base</v>
      </c>
      <c r="AL444" s="191" t="str">
        <f>'1_BD questio brut'!AJ444</f>
        <v>Pas de réponse</v>
      </c>
      <c r="AM444" s="191" t="str">
        <f>'1_BD questio brut'!AK444</f>
        <v>1; 4; 5; 6</v>
      </c>
      <c r="AN444" s="191" t="str">
        <f>'1_BD questio brut'!AL444</f>
        <v>Allumage automatique à distance ce qui n'est plas le cas avec un poele avec bûches bois</v>
      </c>
      <c r="AO444" s="191" t="str">
        <f>'1_BD questio brut'!AM444</f>
        <v>7; 11</v>
      </c>
      <c r="AP444" s="191" t="str">
        <f>'1_BD questio brut'!AN444</f>
        <v/>
      </c>
      <c r="AQ444" s="191" t="str">
        <f>'1_BD questio brut'!AO444</f>
        <v/>
      </c>
    </row>
    <row r="445" spans="1:43" ht="43.5" hidden="1">
      <c r="A445" s="98">
        <f>INDEX('3_BD instruction total'!A:A,MATCH(C445,'3_BD instruction total'!F:F,0))</f>
        <v>2022</v>
      </c>
      <c r="B445" s="98" t="str">
        <f>INDEX('3_BD instruction total'!C:C,MATCH(C445,'3_BD instruction total'!F:F,0))</f>
        <v>non</v>
      </c>
      <c r="C445" s="191" t="str">
        <f>'1_BD questio brut'!A445</f>
        <v>VRB0480</v>
      </c>
      <c r="D445" s="191" t="str">
        <f t="array" ref="D445">INDEX('Données 1_BD questio'!C:C,MATCH('1_BD questio brut'!$B$1&amp;'1_BD questio brut'!B445,'Données 1_BD questio'!A:A&amp;'Données 1_BD questio'!B:B,0))</f>
        <v>CAPV</v>
      </c>
      <c r="E445" s="191" t="str">
        <f t="array" ref="E445">INDEX('Données 1_BD questio'!C:C,MATCH('1_BD questio brut'!$C$1&amp;'1_BD questio brut'!C445,'Données 1_BD questio'!A:A&amp;'Données 1_BD questio'!B:B,0))</f>
        <v>Retraité</v>
      </c>
      <c r="F445" s="191" t="str">
        <f t="array" ref="F445">INDEX('Données 1_BD questio'!C:C,MATCH('1_BD questio brut'!$D$1&amp;'1_BD questio brut'!D445,'Données 1_BD questio'!A:A&amp;'Données 1_BD questio'!B:B,0))</f>
        <v>Retraité</v>
      </c>
      <c r="G445" s="191" t="str">
        <f>'1_BD questio brut'!E445</f>
        <v>65 ans et plus</v>
      </c>
      <c r="H445" s="191">
        <f>'1_BD questio brut'!F445</f>
        <v>2</v>
      </c>
      <c r="I445" s="191" t="str">
        <f>'1_BD questio brut'!G445</f>
        <v>20 000 à 30 000 €</v>
      </c>
      <c r="J445" s="191" t="str">
        <f t="array" ref="J445">INDEX('Données 1_BD questio'!C:C,MATCH('1_BD questio brut'!$H$1&amp;'1_BD questio brut'!H445,'Données 1_BD questio'!A:A&amp;'Données 1_BD questio'!B:B,0))</f>
        <v>Maison avec jardin</v>
      </c>
      <c r="K445" s="191">
        <f>'1_BD questio brut'!I445</f>
        <v>111</v>
      </c>
      <c r="L445" s="191" t="str">
        <f>'1_BD questio brut'!J445</f>
        <v>1990-2005</v>
      </c>
      <c r="M445" s="191" t="str">
        <f>'1_BD questio brut'!K445</f>
        <v>4</v>
      </c>
      <c r="N445" s="191" t="str">
        <f>'1_BD questio brut'!L445</f>
        <v>Pas de réponse</v>
      </c>
      <c r="O445" s="191" t="str">
        <f>'1_BD questio brut'!M445</f>
        <v>Propriétaire occupant</v>
      </c>
      <c r="P445" s="191" t="str">
        <f>'1_BD questio brut'!N445</f>
        <v>Insert / foyer fermé</v>
      </c>
      <c r="Q445" s="191" t="str">
        <f>'1_BD questio brut'!O445</f>
        <v>Chauffage de base</v>
      </c>
      <c r="R445" s="191" t="str">
        <f>'1_BD questio brut'!P445</f>
        <v>Tous les jours</v>
      </c>
      <c r="S445" s="191" t="str">
        <f>'1_BD questio brut'!Q445</f>
        <v>4; 6</v>
      </c>
      <c r="T445" s="191" t="str">
        <f>'1_BD questio brut'!R445</f>
        <v>1996-2002</v>
      </c>
      <c r="U445" s="191" t="str">
        <f>'1_BD questio brut'!S445</f>
        <v>Bois bûche</v>
      </c>
      <c r="V445" s="191" t="str">
        <f>'1_BD questio brut'!T445</f>
        <v/>
      </c>
      <c r="W445" s="191" t="str">
        <f>'1_BD questio brut'!U445</f>
        <v>8</v>
      </c>
      <c r="X445" s="191" t="str">
        <f>'1_BD questio brut'!V445</f>
        <v/>
      </c>
      <c r="Y445" s="191" t="str">
        <f>'1_BD questio brut'!W445</f>
        <v>1</v>
      </c>
      <c r="Z445" s="191" t="str">
        <f>'1_BD questio brut'!X445</f>
        <v/>
      </c>
      <c r="AA445" s="191" t="str">
        <f t="array" ref="AA445">INDEX('Données 1_BD questio'!C:C,MATCH('1_BD questio brut'!$Y$1&amp;'1_BD questio brut'!Y445,'Données 1_BD questio'!A:A&amp;'Données 1_BD questio'!B:B,0))</f>
        <v>Ne sait pas</v>
      </c>
      <c r="AB445" s="191" t="str">
        <f>'1_BD questio brut'!Z445</f>
        <v>2</v>
      </c>
      <c r="AC445" s="191" t="str">
        <f>'1_BD questio brut'!AA445</f>
        <v>1 à 2 ans</v>
      </c>
      <c r="AD445" s="191" t="str">
        <f>'1_BD questio brut'!AB445</f>
        <v>Feuillus</v>
      </c>
      <c r="AE445" s="191" t="str">
        <f t="array" ref="AE445">INDEX('Données 1_BD questio'!C:C,MATCH('1_BD questio brut'!$AC$1&amp;'1_BD questio brut'!AC445,'Données 1_BD questio'!A:A&amp;'Données 1_BD questio'!B:B,0))</f>
        <v>un professionnel</v>
      </c>
      <c r="AF445" s="191" t="str">
        <f>'1_BD questio brut'!AD445</f>
        <v>1 fois par an</v>
      </c>
      <c r="AG445" s="191" t="str">
        <f>'1_BD questio brut'!AE445</f>
        <v/>
      </c>
      <c r="AH445" s="191" t="str">
        <f>'1_BD questio brut'!AF445</f>
        <v>Insert cheminée</v>
      </c>
      <c r="AI445" s="191" t="str">
        <f>'1_BD questio brut'!AG445</f>
        <v>1</v>
      </c>
      <c r="AJ445" s="191" t="str">
        <f>'1_BD questio brut'!AH445</f>
        <v/>
      </c>
      <c r="AK445" s="191" t="str">
        <f>'1_BD questio brut'!AI445</f>
        <v>Chauffage de base</v>
      </c>
      <c r="AL445" s="191" t="str">
        <f>'1_BD questio brut'!AJ445</f>
        <v>Pas de réponse</v>
      </c>
      <c r="AM445" s="191" t="str">
        <f>'1_BD questio brut'!AK445</f>
        <v>1; 2; 4; 5</v>
      </c>
      <c r="AN445" s="191" t="str">
        <f>'1_BD questio brut'!AL445</f>
        <v/>
      </c>
      <c r="AO445" s="191" t="str">
        <f>'1_BD questio brut'!AM445</f>
        <v>5</v>
      </c>
      <c r="AP445" s="191" t="str">
        <f>'1_BD questio brut'!AN445</f>
        <v/>
      </c>
      <c r="AQ445" s="191" t="str">
        <f>'1_BD questio brut'!AO445</f>
        <v/>
      </c>
    </row>
    <row r="446" spans="1:43" ht="43.5" hidden="1">
      <c r="A446" s="98">
        <f>INDEX('3_BD instruction total'!A:A,MATCH(C446,'3_BD instruction total'!F:F,0))</f>
        <v>2022</v>
      </c>
      <c r="B446" s="98" t="str">
        <f>INDEX('3_BD instruction total'!C:C,MATCH(C446,'3_BD instruction total'!F:F,0))</f>
        <v>non</v>
      </c>
      <c r="C446" s="191" t="str">
        <f>'1_BD questio brut'!A446</f>
        <v>VRB0481</v>
      </c>
      <c r="D446" s="191" t="str">
        <f t="array" ref="D446">INDEX('Données 1_BD questio'!C:C,MATCH('1_BD questio brut'!$B$1&amp;'1_BD questio brut'!B446,'Données 1_BD questio'!A:A&amp;'Données 1_BD questio'!B:B,0))</f>
        <v>CAPV</v>
      </c>
      <c r="E446" s="191" t="str">
        <f t="array" ref="E446">INDEX('Données 1_BD questio'!C:C,MATCH('1_BD questio brut'!$C$1&amp;'1_BD questio brut'!C446,'Données 1_BD questio'!A:A&amp;'Données 1_BD questio'!B:B,0))</f>
        <v>Cadre</v>
      </c>
      <c r="F446" s="191" t="str">
        <f t="array" ref="F446">INDEX('Données 1_BD questio'!C:C,MATCH('1_BD questio brut'!$D$1&amp;'1_BD questio brut'!D446,'Données 1_BD questio'!A:A&amp;'Données 1_BD questio'!B:B,0))</f>
        <v>Cadre</v>
      </c>
      <c r="G446" s="191" t="str">
        <f>'1_BD questio brut'!E446</f>
        <v>50 à 64 ans</v>
      </c>
      <c r="H446" s="191">
        <f>'1_BD questio brut'!F446</f>
        <v>2</v>
      </c>
      <c r="I446" s="191" t="str">
        <f>'1_BD questio brut'!G446</f>
        <v>Moins de 20 000 €</v>
      </c>
      <c r="J446" s="191" t="str">
        <f t="array" ref="J446">INDEX('Données 1_BD questio'!C:C,MATCH('1_BD questio brut'!$H$1&amp;'1_BD questio brut'!H446,'Données 1_BD questio'!A:A&amp;'Données 1_BD questio'!B:B,0))</f>
        <v>Maison avec jardin</v>
      </c>
      <c r="K446" s="191">
        <f>'1_BD questio brut'!I446</f>
        <v>110</v>
      </c>
      <c r="L446" s="191" t="str">
        <f>'1_BD questio brut'!J446</f>
        <v>1990-2005</v>
      </c>
      <c r="M446" s="191" t="str">
        <f>'1_BD questio brut'!K446</f>
        <v>6</v>
      </c>
      <c r="N446" s="191" t="str">
        <f>'1_BD questio brut'!L446</f>
        <v>Pas de réponse</v>
      </c>
      <c r="O446" s="191" t="str">
        <f>'1_BD questio brut'!M446</f>
        <v>Propriétaire occupant</v>
      </c>
      <c r="P446" s="191" t="str">
        <f>'1_BD questio brut'!N446</f>
        <v>Foyer ouvert</v>
      </c>
      <c r="Q446" s="191" t="str">
        <f>'1_BD questio brut'!O446</f>
        <v>Chauffage d'apoint</v>
      </c>
      <c r="R446" s="191" t="str">
        <f>'1_BD questio brut'!P446</f>
        <v>1 à 3 jours/mois</v>
      </c>
      <c r="S446" s="191" t="str">
        <f>'1_BD questio brut'!Q446</f>
        <v>2; 6</v>
      </c>
      <c r="T446" s="191" t="str">
        <f>'1_BD questio brut'!R446</f>
        <v>1990-1995</v>
      </c>
      <c r="U446" s="191" t="str">
        <f>'1_BD questio brut'!S446</f>
        <v>Bois bûche</v>
      </c>
      <c r="V446" s="191" t="str">
        <f>'1_BD questio brut'!T446</f>
        <v/>
      </c>
      <c r="W446" s="191" t="str">
        <f>'1_BD questio brut'!U446</f>
        <v>3</v>
      </c>
      <c r="X446" s="191" t="str">
        <f>'1_BD questio brut'!V446</f>
        <v>Stères</v>
      </c>
      <c r="Y446" s="191" t="str">
        <f>'1_BD questio brut'!W446</f>
        <v>1; 2</v>
      </c>
      <c r="Z446" s="191" t="str">
        <f>'1_BD questio brut'!X446</f>
        <v/>
      </c>
      <c r="AA446" s="191" t="str">
        <f t="array" ref="AA446">INDEX('Données 1_BD questio'!C:C,MATCH('1_BD questio brut'!$Y$1&amp;'1_BD questio brut'!Y446,'Données 1_BD questio'!A:A&amp;'Données 1_BD questio'!B:B,0))</f>
        <v>Ne sait pas</v>
      </c>
      <c r="AB446" s="191" t="str">
        <f>'1_BD questio brut'!Z446</f>
        <v>3</v>
      </c>
      <c r="AC446" s="191" t="str">
        <f>'1_BD questio brut'!AA446</f>
        <v>&lt; 1 an</v>
      </c>
      <c r="AD446" s="191" t="str">
        <f>'1_BD questio brut'!AB446</f>
        <v>Les deux</v>
      </c>
      <c r="AE446" s="191" t="str">
        <f t="array" ref="AE446">INDEX('Données 1_BD questio'!C:C,MATCH('1_BD questio brut'!$AC$1&amp;'1_BD questio brut'!AC446,'Données 1_BD questio'!A:A&amp;'Données 1_BD questio'!B:B,0))</f>
        <v>un professionnel</v>
      </c>
      <c r="AF446" s="191" t="str">
        <f>'1_BD questio brut'!AD446</f>
        <v>1 fois par an</v>
      </c>
      <c r="AG446" s="191" t="str">
        <f>'1_BD questio brut'!AE446</f>
        <v>ou 2 fois par an</v>
      </c>
      <c r="AH446" s="191" t="str">
        <f>'1_BD questio brut'!AF446</f>
        <v>Poêle</v>
      </c>
      <c r="AI446" s="191" t="str">
        <f>'1_BD questio brut'!AG446</f>
        <v>2</v>
      </c>
      <c r="AJ446" s="191" t="str">
        <f>'1_BD questio brut'!AH446</f>
        <v/>
      </c>
      <c r="AK446" s="191" t="str">
        <f>'1_BD questio brut'!AI446</f>
        <v>Chauffage de base</v>
      </c>
      <c r="AL446" s="191" t="str">
        <f>'1_BD questio brut'!AJ446</f>
        <v>Pas de réponse</v>
      </c>
      <c r="AM446" s="191" t="str">
        <f>'1_BD questio brut'!AK446</f>
        <v>2; 5</v>
      </c>
      <c r="AN446" s="191" t="str">
        <f>'1_BD questio brut'!AL446</f>
        <v/>
      </c>
      <c r="AO446" s="191" t="str">
        <f>'1_BD questio brut'!AM446</f>
        <v>5</v>
      </c>
      <c r="AP446" s="191" t="str">
        <f>'1_BD questio brut'!AN446</f>
        <v/>
      </c>
      <c r="AQ446" s="191" t="str">
        <f>'1_BD questio brut'!AO446</f>
        <v/>
      </c>
    </row>
    <row r="447" spans="1:43" ht="29" hidden="1">
      <c r="A447" s="98">
        <f>INDEX('3_BD instruction total'!A:A,MATCH(C447,'3_BD instruction total'!F:F,0))</f>
        <v>2022</v>
      </c>
      <c r="B447" s="98" t="str">
        <f>INDEX('3_BD instruction total'!C:C,MATCH(C447,'3_BD instruction total'!F:F,0))</f>
        <v>non</v>
      </c>
      <c r="C447" s="191" t="str">
        <f>'1_BD questio brut'!A447</f>
        <v>VRB0482</v>
      </c>
      <c r="D447" s="191" t="str">
        <f t="array" ref="D447">INDEX('Données 1_BD questio'!C:C,MATCH('1_BD questio brut'!$B$1&amp;'1_BD questio brut'!B447,'Données 1_BD questio'!A:A&amp;'Données 1_BD questio'!B:B,0))</f>
        <v>CAPV</v>
      </c>
      <c r="E447" s="191" t="str">
        <f t="array" ref="E447">INDEX('Données 1_BD questio'!C:C,MATCH('1_BD questio brut'!$C$1&amp;'1_BD questio brut'!C447,'Données 1_BD questio'!A:A&amp;'Données 1_BD questio'!B:B,0))</f>
        <v>Employé</v>
      </c>
      <c r="F447" s="191" t="str">
        <f t="array" ref="F447">INDEX('Données 1_BD questio'!C:C,MATCH('1_BD questio brut'!$D$1&amp;'1_BD questio brut'!D447,'Données 1_BD questio'!A:A&amp;'Données 1_BD questio'!B:B,0))</f>
        <v>Pas de réponse</v>
      </c>
      <c r="G447" s="191" t="str">
        <f>'1_BD questio brut'!E447</f>
        <v>50 à 64 ans</v>
      </c>
      <c r="H447" s="191">
        <f>'1_BD questio brut'!F447</f>
        <v>1</v>
      </c>
      <c r="I447" s="191" t="str">
        <f>'1_BD questio brut'!G447</f>
        <v>20 000 à 30 000 €</v>
      </c>
      <c r="J447" s="191" t="str">
        <f t="array" ref="J447">INDEX('Données 1_BD questio'!C:C,MATCH('1_BD questio brut'!$H$1&amp;'1_BD questio brut'!H447,'Données 1_BD questio'!A:A&amp;'Données 1_BD questio'!B:B,0))</f>
        <v>Maison avec jardin</v>
      </c>
      <c r="K447" s="191">
        <f>'1_BD questio brut'!I447</f>
        <v>114</v>
      </c>
      <c r="L447" s="191" t="str">
        <f>'1_BD questio brut'!J447</f>
        <v>1975-1990</v>
      </c>
      <c r="M447" s="191" t="str">
        <f>'1_BD questio brut'!K447</f>
        <v>4</v>
      </c>
      <c r="N447" s="191" t="str">
        <f>'1_BD questio brut'!L447</f>
        <v>Pas de réponse</v>
      </c>
      <c r="O447" s="191" t="str">
        <f>'1_BD questio brut'!M447</f>
        <v>Propriétaire occupant</v>
      </c>
      <c r="P447" s="191" t="str">
        <f>'1_BD questio brut'!N447</f>
        <v>Insert / foyer fermé</v>
      </c>
      <c r="Q447" s="191" t="str">
        <f>'1_BD questio brut'!O447</f>
        <v>Chauffage d'apoint</v>
      </c>
      <c r="R447" s="191" t="str">
        <f>'1_BD questio brut'!P447</f>
        <v>Jamais</v>
      </c>
      <c r="S447" s="191" t="str">
        <f>'1_BD questio brut'!Q447</f>
        <v>7</v>
      </c>
      <c r="T447" s="191" t="str">
        <f>'1_BD questio brut'!R447</f>
        <v>Avant 1990</v>
      </c>
      <c r="U447" s="191" t="str">
        <f>'1_BD questio brut'!S447</f>
        <v>Bois bûche</v>
      </c>
      <c r="V447" s="191" t="str">
        <f>'1_BD questio brut'!T447</f>
        <v/>
      </c>
      <c r="W447" s="191" t="str">
        <f>'1_BD questio brut'!U447</f>
        <v/>
      </c>
      <c r="X447" s="191" t="str">
        <f>'1_BD questio brut'!V447</f>
        <v/>
      </c>
      <c r="Y447" s="191" t="str">
        <f>'1_BD questio brut'!W447</f>
        <v>4</v>
      </c>
      <c r="Z447" s="191" t="str">
        <f>'1_BD questio brut'!X447</f>
        <v>Nouvel achat</v>
      </c>
      <c r="AA447" s="191" t="str">
        <f t="array" ref="AA447">INDEX('Données 1_BD questio'!C:C,MATCH('1_BD questio brut'!$Y$1&amp;'1_BD questio brut'!Y447,'Données 1_BD questio'!A:A&amp;'Données 1_BD questio'!B:B,0))</f>
        <v>Pas de réponse</v>
      </c>
      <c r="AB447" s="191" t="str">
        <f>'1_BD questio brut'!Z447</f>
        <v>2</v>
      </c>
      <c r="AC447" s="191" t="str">
        <f>'1_BD questio brut'!AA447</f>
        <v>Pas de réponse</v>
      </c>
      <c r="AD447" s="191" t="str">
        <f>'1_BD questio brut'!AB447</f>
        <v>Pas de réponse</v>
      </c>
      <c r="AE447" s="191" t="str">
        <f t="array" ref="AE447">INDEX('Données 1_BD questio'!C:C,MATCH('1_BD questio brut'!$AC$1&amp;'1_BD questio brut'!AC447,'Données 1_BD questio'!A:A&amp;'Données 1_BD questio'!B:B,0))</f>
        <v>vous-même</v>
      </c>
      <c r="AF447" s="191" t="str">
        <f>'1_BD questio brut'!AD447</f>
        <v>1 fois tous les 2 ans</v>
      </c>
      <c r="AG447" s="191" t="str">
        <f>'1_BD questio brut'!AE447</f>
        <v/>
      </c>
      <c r="AH447" s="191" t="str">
        <f>'1_BD questio brut'!AF447</f>
        <v>Poêle</v>
      </c>
      <c r="AI447" s="191" t="str">
        <f>'1_BD questio brut'!AG447</f>
        <v>1</v>
      </c>
      <c r="AJ447" s="191" t="str">
        <f>'1_BD questio brut'!AH447</f>
        <v/>
      </c>
      <c r="AK447" s="191" t="str">
        <f>'1_BD questio brut'!AI447</f>
        <v>Chauffage de base</v>
      </c>
      <c r="AL447" s="191" t="str">
        <f>'1_BD questio brut'!AJ447</f>
        <v>Pas de réponse</v>
      </c>
      <c r="AM447" s="191" t="str">
        <f>'1_BD questio brut'!AK447</f>
        <v>2; 4</v>
      </c>
      <c r="AN447" s="191" t="str">
        <f>'1_BD questio brut'!AL447</f>
        <v/>
      </c>
      <c r="AO447" s="191" t="str">
        <f>'1_BD questio brut'!AM447</f>
        <v>7</v>
      </c>
      <c r="AP447" s="191" t="str">
        <f>'1_BD questio brut'!AN447</f>
        <v/>
      </c>
      <c r="AQ447" s="191" t="str">
        <f>'1_BD questio brut'!AO447</f>
        <v/>
      </c>
    </row>
    <row r="448" spans="1:43" ht="43.5" hidden="1">
      <c r="A448" s="98">
        <f>INDEX('3_BD instruction total'!A:A,MATCH(C448,'3_BD instruction total'!F:F,0))</f>
        <v>2022</v>
      </c>
      <c r="B448" s="98" t="str">
        <f>INDEX('3_BD instruction total'!C:C,MATCH(C448,'3_BD instruction total'!F:F,0))</f>
        <v>non</v>
      </c>
      <c r="C448" s="191" t="str">
        <f>'1_BD questio brut'!A448</f>
        <v>VRB0483</v>
      </c>
      <c r="D448" s="191" t="str">
        <f t="array" ref="D448">INDEX('Données 1_BD questio'!C:C,MATCH('1_BD questio brut'!$B$1&amp;'1_BD questio brut'!B448,'Données 1_BD questio'!A:A&amp;'Données 1_BD questio'!B:B,0))</f>
        <v>CAPV</v>
      </c>
      <c r="E448" s="191" t="str">
        <f t="array" ref="E448">INDEX('Données 1_BD questio'!C:C,MATCH('1_BD questio brut'!$C$1&amp;'1_BD questio brut'!C448,'Données 1_BD questio'!A:A&amp;'Données 1_BD questio'!B:B,0))</f>
        <v>Employé</v>
      </c>
      <c r="F448" s="191" t="str">
        <f t="array" ref="F448">INDEX('Données 1_BD questio'!C:C,MATCH('1_BD questio brut'!$D$1&amp;'1_BD questio brut'!D448,'Données 1_BD questio'!A:A&amp;'Données 1_BD questio'!B:B,0))</f>
        <v>Autre,sans activité</v>
      </c>
      <c r="G448" s="191" t="str">
        <f>'1_BD questio brut'!E448</f>
        <v>35 à 49 ans</v>
      </c>
      <c r="H448" s="191">
        <f>'1_BD questio brut'!F448</f>
        <v>5</v>
      </c>
      <c r="I448" s="191" t="str">
        <f>'1_BD questio brut'!G448</f>
        <v>50 000 à 60 000 €</v>
      </c>
      <c r="J448" s="191" t="str">
        <f t="array" ref="J448">INDEX('Données 1_BD questio'!C:C,MATCH('1_BD questio brut'!$H$1&amp;'1_BD questio brut'!H448,'Données 1_BD questio'!A:A&amp;'Données 1_BD questio'!B:B,0))</f>
        <v>Maison avec jardin</v>
      </c>
      <c r="K448" s="191">
        <f>'1_BD questio brut'!I448</f>
        <v>187</v>
      </c>
      <c r="L448" s="191" t="str">
        <f>'1_BD questio brut'!J448</f>
        <v>Avant 1949</v>
      </c>
      <c r="M448" s="191" t="str">
        <f>'1_BD questio brut'!K448</f>
        <v>4</v>
      </c>
      <c r="N448" s="191" t="str">
        <f>'1_BD questio brut'!L448</f>
        <v>D</v>
      </c>
      <c r="O448" s="191" t="str">
        <f>'1_BD questio brut'!M448</f>
        <v>Propriétaire occupant</v>
      </c>
      <c r="P448" s="191" t="str">
        <f>'1_BD questio brut'!N448</f>
        <v>Insert / foyer fermé</v>
      </c>
      <c r="Q448" s="191" t="str">
        <f>'1_BD questio brut'!O448</f>
        <v>Chauffage d'apoint</v>
      </c>
      <c r="R448" s="191" t="str">
        <f>'1_BD questio brut'!P448</f>
        <v>3 à 4 jours/semaine</v>
      </c>
      <c r="S448" s="191" t="str">
        <f>'1_BD questio brut'!Q448</f>
        <v>1; 2; 3; 4; 6</v>
      </c>
      <c r="T448" s="191" t="str">
        <f>'1_BD questio brut'!R448</f>
        <v>Avant 1990</v>
      </c>
      <c r="U448" s="191" t="str">
        <f>'1_BD questio brut'!S448</f>
        <v>Bois bûche</v>
      </c>
      <c r="V448" s="191" t="str">
        <f>'1_BD questio brut'!T448</f>
        <v/>
      </c>
      <c r="W448" s="191" t="str">
        <f>'1_BD questio brut'!U448</f>
        <v>5 à 6</v>
      </c>
      <c r="X448" s="191" t="str">
        <f>'1_BD questio brut'!V448</f>
        <v>stères</v>
      </c>
      <c r="Y448" s="191" t="str">
        <f>'1_BD questio brut'!W448</f>
        <v>2</v>
      </c>
      <c r="Z448" s="191" t="str">
        <f>'1_BD questio brut'!X448</f>
        <v/>
      </c>
      <c r="AA448" s="191" t="str">
        <f t="array" ref="AA448">INDEX('Données 1_BD questio'!C:C,MATCH('1_BD questio brut'!$Y$1&amp;'1_BD questio brut'!Y448,'Données 1_BD questio'!A:A&amp;'Données 1_BD questio'!B:B,0))</f>
        <v>RA2B</v>
      </c>
      <c r="AB448" s="191" t="str">
        <f>'1_BD questio brut'!Z448</f>
        <v>2</v>
      </c>
      <c r="AC448" s="191" t="str">
        <f>'1_BD questio brut'!AA448</f>
        <v>1 à 2 ans</v>
      </c>
      <c r="AD448" s="191" t="str">
        <f>'1_BD questio brut'!AB448</f>
        <v>Les deux</v>
      </c>
      <c r="AE448" s="191" t="str">
        <f t="array" ref="AE448">INDEX('Données 1_BD questio'!C:C,MATCH('1_BD questio brut'!$AC$1&amp;'1_BD questio brut'!AC448,'Données 1_BD questio'!A:A&amp;'Données 1_BD questio'!B:B,0))</f>
        <v>un professionnel</v>
      </c>
      <c r="AF448" s="191" t="str">
        <f>'1_BD questio brut'!AD448</f>
        <v>1 fois par an</v>
      </c>
      <c r="AG448" s="191" t="str">
        <f>'1_BD questio brut'!AE448</f>
        <v/>
      </c>
      <c r="AH448" s="191" t="str">
        <f>'1_BD questio brut'!AF448</f>
        <v>Insert cheminée</v>
      </c>
      <c r="AI448" s="191" t="str">
        <f>'1_BD questio brut'!AG448</f>
        <v>1</v>
      </c>
      <c r="AJ448" s="191" t="str">
        <f>'1_BD questio brut'!AH448</f>
        <v/>
      </c>
      <c r="AK448" s="191" t="str">
        <f>'1_BD questio brut'!AI448</f>
        <v>Chauffage d'appoint</v>
      </c>
      <c r="AL448" s="191" t="str">
        <f>'1_BD questio brut'!AJ448</f>
        <v>Pas de réponse</v>
      </c>
      <c r="AM448" s="191" t="str">
        <f>'1_BD questio brut'!AK448</f>
        <v>1; 2; 5</v>
      </c>
      <c r="AN448" s="191" t="str">
        <f>'1_BD questio brut'!AL448</f>
        <v/>
      </c>
      <c r="AO448" s="191" t="str">
        <f>'1_BD questio brut'!AM448</f>
        <v>5</v>
      </c>
      <c r="AP448" s="191" t="str">
        <f>'1_BD questio brut'!AN448</f>
        <v/>
      </c>
      <c r="AQ448" s="191" t="str">
        <f>'1_BD questio brut'!AO448</f>
        <v/>
      </c>
    </row>
    <row r="449" spans="1:43" ht="43.5" hidden="1">
      <c r="A449" s="98">
        <f>INDEX('3_BD instruction total'!A:A,MATCH(C449,'3_BD instruction total'!F:F,0))</f>
        <v>2022</v>
      </c>
      <c r="B449" s="98" t="str">
        <f>INDEX('3_BD instruction total'!C:C,MATCH(C449,'3_BD instruction total'!F:F,0))</f>
        <v>non</v>
      </c>
      <c r="C449" s="191" t="str">
        <f>'1_BD questio brut'!A449</f>
        <v>VRB0485</v>
      </c>
      <c r="D449" s="191" t="str">
        <f t="array" ref="D449">INDEX('Données 1_BD questio'!C:C,MATCH('1_BD questio brut'!$B$1&amp;'1_BD questio brut'!B449,'Données 1_BD questio'!A:A&amp;'Données 1_BD questio'!B:B,0))</f>
        <v>CAPV</v>
      </c>
      <c r="E449" s="191" t="str">
        <f t="array" ref="E449">INDEX('Données 1_BD questio'!C:C,MATCH('1_BD questio brut'!$C$1&amp;'1_BD questio brut'!C449,'Données 1_BD questio'!A:A&amp;'Données 1_BD questio'!B:B,0))</f>
        <v>Retraité</v>
      </c>
      <c r="F449" s="191" t="str">
        <f t="array" ref="F449">INDEX('Données 1_BD questio'!C:C,MATCH('1_BD questio brut'!$D$1&amp;'1_BD questio brut'!D449,'Données 1_BD questio'!A:A&amp;'Données 1_BD questio'!B:B,0))</f>
        <v>Pas de réponse</v>
      </c>
      <c r="G449" s="191" t="str">
        <f>'1_BD questio brut'!E449</f>
        <v>65 ans et plus</v>
      </c>
      <c r="H449" s="191">
        <f>'1_BD questio brut'!F449</f>
        <v>1</v>
      </c>
      <c r="I449" s="191" t="str">
        <f>'1_BD questio brut'!G449</f>
        <v>20 000 à 30 000 €</v>
      </c>
      <c r="J449" s="191" t="str">
        <f t="array" ref="J449">INDEX('Données 1_BD questio'!C:C,MATCH('1_BD questio brut'!$H$1&amp;'1_BD questio brut'!H449,'Données 1_BD questio'!A:A&amp;'Données 1_BD questio'!B:B,0))</f>
        <v>Maison avec jardin</v>
      </c>
      <c r="K449" s="191">
        <f>'1_BD questio brut'!I449</f>
        <v>100</v>
      </c>
      <c r="L449" s="191" t="str">
        <f>'1_BD questio brut'!J449</f>
        <v>Avant 1949</v>
      </c>
      <c r="M449" s="191" t="str">
        <f>'1_BD questio brut'!K449</f>
        <v>6</v>
      </c>
      <c r="N449" s="191" t="str">
        <f>'1_BD questio brut'!L449</f>
        <v>Pas de réponse</v>
      </c>
      <c r="O449" s="191" t="str">
        <f>'1_BD questio brut'!M449</f>
        <v>Propriétaire occupant</v>
      </c>
      <c r="P449" s="191" t="str">
        <f>'1_BD questio brut'!N449</f>
        <v>Insert / foyer fermé</v>
      </c>
      <c r="Q449" s="191" t="str">
        <f>'1_BD questio brut'!O449</f>
        <v>Chauffage de base</v>
      </c>
      <c r="R449" s="191" t="str">
        <f>'1_BD questio brut'!P449</f>
        <v>Tous les jours</v>
      </c>
      <c r="S449" s="191" t="str">
        <f>'1_BD questio brut'!Q449</f>
        <v>4; 6</v>
      </c>
      <c r="T449" s="191" t="str">
        <f>'1_BD questio brut'!R449</f>
        <v>Avant 1990</v>
      </c>
      <c r="U449" s="191" t="str">
        <f>'1_BD questio brut'!S449</f>
        <v>Bois bûche</v>
      </c>
      <c r="V449" s="191" t="str">
        <f>'1_BD questio brut'!T449</f>
        <v/>
      </c>
      <c r="W449" s="191" t="str">
        <f>'1_BD questio brut'!U449</f>
        <v>6</v>
      </c>
      <c r="X449" s="191" t="str">
        <f>'1_BD questio brut'!V449</f>
        <v>stère</v>
      </c>
      <c r="Y449" s="191" t="str">
        <f>'1_BD questio brut'!W449</f>
        <v>2</v>
      </c>
      <c r="Z449" s="191" t="str">
        <f>'1_BD questio brut'!X449</f>
        <v/>
      </c>
      <c r="AA449" s="191" t="str">
        <f t="array" ref="AA449">INDEX('Données 1_BD questio'!C:C,MATCH('1_BD questio brut'!$Y$1&amp;'1_BD questio brut'!Y449,'Données 1_BD questio'!A:A&amp;'Données 1_BD questio'!B:B,0))</f>
        <v>Rhône-Alpes hors RA2B</v>
      </c>
      <c r="AB449" s="191" t="str">
        <f>'1_BD questio brut'!Z449</f>
        <v>1</v>
      </c>
      <c r="AC449" s="191" t="str">
        <f>'1_BD questio brut'!AA449</f>
        <v>&gt; 2 ans</v>
      </c>
      <c r="AD449" s="191" t="str">
        <f>'1_BD questio brut'!AB449</f>
        <v>Feuillus</v>
      </c>
      <c r="AE449" s="191" t="str">
        <f t="array" ref="AE449">INDEX('Données 1_BD questio'!C:C,MATCH('1_BD questio brut'!$AC$1&amp;'1_BD questio brut'!AC449,'Données 1_BD questio'!A:A&amp;'Données 1_BD questio'!B:B,0))</f>
        <v>un professionnel</v>
      </c>
      <c r="AF449" s="191" t="str">
        <f>'1_BD questio brut'!AD449</f>
        <v>1 fois par an</v>
      </c>
      <c r="AG449" s="191" t="str">
        <f>'1_BD questio brut'!AE449</f>
        <v/>
      </c>
      <c r="AH449" s="191" t="str">
        <f>'1_BD questio brut'!AF449</f>
        <v>Cuisinière</v>
      </c>
      <c r="AI449" s="191" t="str">
        <f>'1_BD questio brut'!AG449</f>
        <v>1</v>
      </c>
      <c r="AJ449" s="191" t="str">
        <f>'1_BD questio brut'!AH449</f>
        <v/>
      </c>
      <c r="AK449" s="191" t="str">
        <f>'1_BD questio brut'!AI449</f>
        <v>Chauffage de base</v>
      </c>
      <c r="AL449" s="191" t="str">
        <f>'1_BD questio brut'!AJ449</f>
        <v>Pas de réponse</v>
      </c>
      <c r="AM449" s="191" t="str">
        <f>'1_BD questio brut'!AK449</f>
        <v>1; 4; 5</v>
      </c>
      <c r="AN449" s="191" t="str">
        <f>'1_BD questio brut'!AL449</f>
        <v/>
      </c>
      <c r="AO449" s="191" t="str">
        <f>'1_BD questio brut'!AM449</f>
        <v>5</v>
      </c>
      <c r="AP449" s="191" t="str">
        <f>'1_BD questio brut'!AN449</f>
        <v>Métro</v>
      </c>
      <c r="AQ449" s="191" t="str">
        <f>'1_BD questio brut'!AO449</f>
        <v/>
      </c>
    </row>
    <row r="450" spans="1:43" ht="43.5" hidden="1">
      <c r="A450" s="98">
        <f>INDEX('3_BD instruction total'!A:A,MATCH(C450,'3_BD instruction total'!F:F,0))</f>
        <v>2022</v>
      </c>
      <c r="B450" s="98" t="str">
        <f>INDEX('3_BD instruction total'!C:C,MATCH(C450,'3_BD instruction total'!F:F,0))</f>
        <v>non</v>
      </c>
      <c r="C450" s="191" t="str">
        <f>'1_BD questio brut'!A450</f>
        <v>VRB0486</v>
      </c>
      <c r="D450" s="191" t="str">
        <f t="array" ref="D450">INDEX('Données 1_BD questio'!C:C,MATCH('1_BD questio brut'!$B$1&amp;'1_BD questio brut'!B450,'Données 1_BD questio'!A:A&amp;'Données 1_BD questio'!B:B,0))</f>
        <v>CAPV</v>
      </c>
      <c r="E450" s="191" t="str">
        <f t="array" ref="E450">INDEX('Données 1_BD questio'!C:C,MATCH('1_BD questio brut'!$C$1&amp;'1_BD questio brut'!C450,'Données 1_BD questio'!A:A&amp;'Données 1_BD questio'!B:B,0))</f>
        <v>Employé</v>
      </c>
      <c r="F450" s="191" t="str">
        <f t="array" ref="F450">INDEX('Données 1_BD questio'!C:C,MATCH('1_BD questio brut'!$D$1&amp;'1_BD questio brut'!D450,'Données 1_BD questio'!A:A&amp;'Données 1_BD questio'!B:B,0))</f>
        <v>Employé</v>
      </c>
      <c r="G450" s="191" t="str">
        <f>'1_BD questio brut'!E450</f>
        <v>35 à 49 ans</v>
      </c>
      <c r="H450" s="191">
        <f>'1_BD questio brut'!F450</f>
        <v>3</v>
      </c>
      <c r="I450" s="191" t="str">
        <f>'1_BD questio brut'!G450</f>
        <v>Moins de 20 000 €</v>
      </c>
      <c r="J450" s="191" t="str">
        <f t="array" ref="J450">INDEX('Données 1_BD questio'!C:C,MATCH('1_BD questio brut'!$H$1&amp;'1_BD questio brut'!H450,'Données 1_BD questio'!A:A&amp;'Données 1_BD questio'!B:B,0))</f>
        <v>Maison sans jardin</v>
      </c>
      <c r="K450" s="191">
        <f>'1_BD questio brut'!I450</f>
        <v>180</v>
      </c>
      <c r="L450" s="191" t="str">
        <f>'1_BD questio brut'!J450</f>
        <v>Avant 1949</v>
      </c>
      <c r="M450" s="191" t="str">
        <f>'1_BD questio brut'!K450</f>
        <v>6</v>
      </c>
      <c r="N450" s="191" t="str">
        <f>'1_BD questio brut'!L450</f>
        <v>D</v>
      </c>
      <c r="O450" s="191" t="str">
        <f>'1_BD questio brut'!M450</f>
        <v>Propriétaire occupant</v>
      </c>
      <c r="P450" s="191" t="str">
        <f>'1_BD questio brut'!N450</f>
        <v>Poêle</v>
      </c>
      <c r="Q450" s="191" t="str">
        <f>'1_BD questio brut'!O450</f>
        <v>Chauffage de base</v>
      </c>
      <c r="R450" s="191" t="str">
        <f>'1_BD questio brut'!P450</f>
        <v>Tous les jours</v>
      </c>
      <c r="S450" s="191" t="str">
        <f>'1_BD questio brut'!Q450</f>
        <v>1; 2; 4; 6</v>
      </c>
      <c r="T450" s="191" t="str">
        <f>'1_BD questio brut'!R450</f>
        <v>1996-2002</v>
      </c>
      <c r="U450" s="191" t="str">
        <f>'1_BD questio brut'!S450</f>
        <v>Bois bûche</v>
      </c>
      <c r="V450" s="191" t="str">
        <f>'1_BD questio brut'!T450</f>
        <v/>
      </c>
      <c r="W450" s="191" t="str">
        <f>'1_BD questio brut'!U450</f>
        <v>14</v>
      </c>
      <c r="X450" s="191" t="str">
        <f>'1_BD questio brut'!V450</f>
        <v>Stère</v>
      </c>
      <c r="Y450" s="191" t="str">
        <f>'1_BD questio brut'!W450</f>
        <v>2</v>
      </c>
      <c r="Z450" s="191" t="str">
        <f>'1_BD questio brut'!X450</f>
        <v/>
      </c>
      <c r="AA450" s="191" t="str">
        <f t="array" ref="AA450">INDEX('Données 1_BD questio'!C:C,MATCH('1_BD questio brut'!$Y$1&amp;'1_BD questio brut'!Y450,'Données 1_BD questio'!A:A&amp;'Données 1_BD questio'!B:B,0))</f>
        <v>Ne sait pas</v>
      </c>
      <c r="AB450" s="191" t="str">
        <f>'1_BD questio brut'!Z450</f>
        <v>2</v>
      </c>
      <c r="AC450" s="191" t="str">
        <f>'1_BD questio brut'!AA450</f>
        <v>1 à 2 ans</v>
      </c>
      <c r="AD450" s="191" t="str">
        <f>'1_BD questio brut'!AB450</f>
        <v>Feuillus</v>
      </c>
      <c r="AE450" s="191" t="str">
        <f t="array" ref="AE450">INDEX('Données 1_BD questio'!C:C,MATCH('1_BD questio brut'!$AC$1&amp;'1_BD questio brut'!AC450,'Données 1_BD questio'!A:A&amp;'Données 1_BD questio'!B:B,0))</f>
        <v>un professionnel</v>
      </c>
      <c r="AF450" s="191" t="str">
        <f>'1_BD questio brut'!AD450</f>
        <v>1 fois par an</v>
      </c>
      <c r="AG450" s="191" t="str">
        <f>'1_BD questio brut'!AE450</f>
        <v/>
      </c>
      <c r="AH450" s="191" t="str">
        <f>'1_BD questio brut'!AF450</f>
        <v>Poêle</v>
      </c>
      <c r="AI450" s="191" t="str">
        <f>'1_BD questio brut'!AG450</f>
        <v>2</v>
      </c>
      <c r="AJ450" s="191" t="str">
        <f>'1_BD questio brut'!AH450</f>
        <v/>
      </c>
      <c r="AK450" s="191" t="str">
        <f>'1_BD questio brut'!AI450</f>
        <v>Chauffage de base</v>
      </c>
      <c r="AL450" s="191" t="str">
        <f>'1_BD questio brut'!AJ450</f>
        <v>Pas de réponse</v>
      </c>
      <c r="AM450" s="191" t="str">
        <f>'1_BD questio brut'!AK450</f>
        <v>2; 4; 5</v>
      </c>
      <c r="AN450" s="191" t="str">
        <f>'1_BD questio brut'!AL450</f>
        <v/>
      </c>
      <c r="AO450" s="191" t="str">
        <f>'1_BD questio brut'!AM450</f>
        <v>5</v>
      </c>
      <c r="AP450" s="191" t="str">
        <f>'1_BD questio brut'!AN450</f>
        <v/>
      </c>
      <c r="AQ450" s="191" t="str">
        <f>'1_BD questio brut'!AO450</f>
        <v/>
      </c>
    </row>
    <row r="451" spans="1:43" ht="43.5" hidden="1">
      <c r="A451" s="98">
        <f>INDEX('3_BD instruction total'!A:A,MATCH(C451,'3_BD instruction total'!F:F,0))</f>
        <v>2022</v>
      </c>
      <c r="B451" s="98" t="str">
        <f>INDEX('3_BD instruction total'!C:C,MATCH(C451,'3_BD instruction total'!F:F,0))</f>
        <v>non</v>
      </c>
      <c r="C451" s="191" t="str">
        <f>'1_BD questio brut'!A451</f>
        <v>VRB0487</v>
      </c>
      <c r="D451" s="191" t="str">
        <f t="array" ref="D451">INDEX('Données 1_BD questio'!C:C,MATCH('1_BD questio brut'!$B$1&amp;'1_BD questio brut'!B451,'Données 1_BD questio'!A:A&amp;'Données 1_BD questio'!B:B,0))</f>
        <v>CAPV</v>
      </c>
      <c r="E451" s="191" t="str">
        <f t="array" ref="E451">INDEX('Données 1_BD questio'!C:C,MATCH('1_BD questio brut'!$C$1&amp;'1_BD questio brut'!C451,'Données 1_BD questio'!A:A&amp;'Données 1_BD questio'!B:B,0))</f>
        <v>Cadre</v>
      </c>
      <c r="F451" s="191" t="str">
        <f t="array" ref="F451">INDEX('Données 1_BD questio'!C:C,MATCH('1_BD questio brut'!$D$1&amp;'1_BD questio brut'!D451,'Données 1_BD questio'!A:A&amp;'Données 1_BD questio'!B:B,0))</f>
        <v>Cadre</v>
      </c>
      <c r="G451" s="191" t="str">
        <f>'1_BD questio brut'!E451</f>
        <v>35 à 49 ans</v>
      </c>
      <c r="H451" s="191">
        <f>'1_BD questio brut'!F451</f>
        <v>4</v>
      </c>
      <c r="I451" s="191" t="str">
        <f>'1_BD questio brut'!G451</f>
        <v>70 000 à 80 000 €</v>
      </c>
      <c r="J451" s="191" t="str">
        <f t="array" ref="J451">INDEX('Données 1_BD questio'!C:C,MATCH('1_BD questio brut'!$H$1&amp;'1_BD questio brut'!H451,'Données 1_BD questio'!A:A&amp;'Données 1_BD questio'!B:B,0))</f>
        <v>Maison avec jardin</v>
      </c>
      <c r="K451" s="191">
        <f>'1_BD questio brut'!I451</f>
        <v>158</v>
      </c>
      <c r="L451" s="191" t="str">
        <f>'1_BD questio brut'!J451</f>
        <v>Avant 1949</v>
      </c>
      <c r="M451" s="191" t="str">
        <f>'1_BD questio brut'!K451</f>
        <v>1; 2; 3</v>
      </c>
      <c r="N451" s="191" t="str">
        <f>'1_BD questio brut'!L451</f>
        <v>C</v>
      </c>
      <c r="O451" s="191" t="str">
        <f>'1_BD questio brut'!M451</f>
        <v>Propriétaire occupant</v>
      </c>
      <c r="P451" s="191" t="str">
        <f>'1_BD questio brut'!N451</f>
        <v>Insert / foyer fermé</v>
      </c>
      <c r="Q451" s="191" t="str">
        <f>'1_BD questio brut'!O451</f>
        <v>Chauffage d'apoint</v>
      </c>
      <c r="R451" s="191" t="str">
        <f>'1_BD questio brut'!P451</f>
        <v>Tous les jours</v>
      </c>
      <c r="S451" s="191" t="str">
        <f>'1_BD questio brut'!Q451</f>
        <v>2; 3</v>
      </c>
      <c r="T451" s="191" t="str">
        <f>'1_BD questio brut'!R451</f>
        <v>1996-2002</v>
      </c>
      <c r="U451" s="191" t="str">
        <f>'1_BD questio brut'!S451</f>
        <v>Bois bûche</v>
      </c>
      <c r="V451" s="191" t="str">
        <f>'1_BD questio brut'!T451</f>
        <v/>
      </c>
      <c r="W451" s="191" t="str">
        <f>'1_BD questio brut'!U451</f>
        <v/>
      </c>
      <c r="X451" s="191" t="str">
        <f>'1_BD questio brut'!V451</f>
        <v/>
      </c>
      <c r="Y451" s="191" t="str">
        <f>'1_BD questio brut'!W451</f>
        <v>1; 3</v>
      </c>
      <c r="Z451" s="191" t="str">
        <f>'1_BD questio brut'!X451</f>
        <v/>
      </c>
      <c r="AA451" s="191" t="str">
        <f t="array" ref="AA451">INDEX('Données 1_BD questio'!C:C,MATCH('1_BD questio brut'!$Y$1&amp;'1_BD questio brut'!Y451,'Données 1_BD questio'!A:A&amp;'Données 1_BD questio'!B:B,0))</f>
        <v>Ne sait pas</v>
      </c>
      <c r="AB451" s="191" t="str">
        <f>'1_BD questio brut'!Z451</f>
        <v>2</v>
      </c>
      <c r="AC451" s="191" t="str">
        <f>'1_BD questio brut'!AA451</f>
        <v>1 à 2 ans</v>
      </c>
      <c r="AD451" s="191" t="str">
        <f>'1_BD questio brut'!AB451</f>
        <v>Feuillus</v>
      </c>
      <c r="AE451" s="191" t="str">
        <f t="array" ref="AE451">INDEX('Données 1_BD questio'!C:C,MATCH('1_BD questio brut'!$AC$1&amp;'1_BD questio brut'!AC451,'Données 1_BD questio'!A:A&amp;'Données 1_BD questio'!B:B,0))</f>
        <v>un professionnel</v>
      </c>
      <c r="AF451" s="191" t="str">
        <f>'1_BD questio brut'!AD451</f>
        <v>1 fois par an</v>
      </c>
      <c r="AG451" s="191" t="str">
        <f>'1_BD questio brut'!AE451</f>
        <v/>
      </c>
      <c r="AH451" s="191" t="str">
        <f>'1_BD questio brut'!AF451</f>
        <v>Poêle</v>
      </c>
      <c r="AI451" s="191" t="str">
        <f>'1_BD questio brut'!AG451</f>
        <v>1</v>
      </c>
      <c r="AJ451" s="191" t="str">
        <f>'1_BD questio brut'!AH451</f>
        <v/>
      </c>
      <c r="AK451" s="191" t="str">
        <f>'1_BD questio brut'!AI451</f>
        <v>Chauffage d'appoint</v>
      </c>
      <c r="AL451" s="191" t="str">
        <f>'1_BD questio brut'!AJ451</f>
        <v>Pas de réponse</v>
      </c>
      <c r="AM451" s="191" t="str">
        <f>'1_BD questio brut'!AK451</f>
        <v>2; 4; 5</v>
      </c>
      <c r="AN451" s="191" t="str">
        <f>'1_BD questio brut'!AL451</f>
        <v/>
      </c>
      <c r="AO451" s="191" t="str">
        <f>'1_BD questio brut'!AM451</f>
        <v>2; 5</v>
      </c>
      <c r="AP451" s="191" t="str">
        <f>'1_BD questio brut'!AN451</f>
        <v/>
      </c>
      <c r="AQ451" s="191" t="str">
        <f>'1_BD questio brut'!AO451</f>
        <v/>
      </c>
    </row>
    <row r="452" spans="1:43" ht="43.5" hidden="1">
      <c r="A452" s="98">
        <f>INDEX('3_BD instruction total'!A:A,MATCH(C452,'3_BD instruction total'!F:F,0))</f>
        <v>2022</v>
      </c>
      <c r="B452" s="98" t="str">
        <f>INDEX('3_BD instruction total'!C:C,MATCH(C452,'3_BD instruction total'!F:F,0))</f>
        <v>non</v>
      </c>
      <c r="C452" s="191" t="str">
        <f>'1_BD questio brut'!A452</f>
        <v>VRB0488</v>
      </c>
      <c r="D452" s="191" t="str">
        <f t="array" ref="D452">INDEX('Données 1_BD questio'!C:C,MATCH('1_BD questio brut'!$B$1&amp;'1_BD questio brut'!B452,'Données 1_BD questio'!A:A&amp;'Données 1_BD questio'!B:B,0))</f>
        <v>CAPV</v>
      </c>
      <c r="E452" s="191" t="str">
        <f t="array" ref="E452">INDEX('Données 1_BD questio'!C:C,MATCH('1_BD questio brut'!$C$1&amp;'1_BD questio brut'!C452,'Données 1_BD questio'!A:A&amp;'Données 1_BD questio'!B:B,0))</f>
        <v>Retraité</v>
      </c>
      <c r="F452" s="191" t="str">
        <f t="array" ref="F452">INDEX('Données 1_BD questio'!C:C,MATCH('1_BD questio brut'!$D$1&amp;'1_BD questio brut'!D452,'Données 1_BD questio'!A:A&amp;'Données 1_BD questio'!B:B,0))</f>
        <v>Retraité</v>
      </c>
      <c r="G452" s="191" t="str">
        <f>'1_BD questio brut'!E452</f>
        <v>65 ans et plus</v>
      </c>
      <c r="H452" s="191">
        <f>'1_BD questio brut'!F452</f>
        <v>2</v>
      </c>
      <c r="I452" s="191" t="str">
        <f>'1_BD questio brut'!G452</f>
        <v>40 000 à 50 000 €</v>
      </c>
      <c r="J452" s="191" t="str">
        <f t="array" ref="J452">INDEX('Données 1_BD questio'!C:C,MATCH('1_BD questio brut'!$H$1&amp;'1_BD questio brut'!H452,'Données 1_BD questio'!A:A&amp;'Données 1_BD questio'!B:B,0))</f>
        <v>Maison avec jardin</v>
      </c>
      <c r="K452" s="191">
        <f>'1_BD questio brut'!I452</f>
        <v>150</v>
      </c>
      <c r="L452" s="191" t="str">
        <f>'1_BD questio brut'!J452</f>
        <v>1975-1990</v>
      </c>
      <c r="M452" s="191" t="str">
        <f>'1_BD questio brut'!K452</f>
        <v>6</v>
      </c>
      <c r="N452" s="191" t="str">
        <f>'1_BD questio brut'!L452</f>
        <v>Pas de réponse</v>
      </c>
      <c r="O452" s="191" t="str">
        <f>'1_BD questio brut'!M452</f>
        <v>Propriétaire occupant</v>
      </c>
      <c r="P452" s="191" t="str">
        <f>'1_BD questio brut'!N452</f>
        <v>Foyer ouvert</v>
      </c>
      <c r="Q452" s="191" t="str">
        <f>'1_BD questio brut'!O452</f>
        <v>Chauffage d'apoint</v>
      </c>
      <c r="R452" s="191" t="str">
        <f>'1_BD questio brut'!P452</f>
        <v>1 à 2 jours/semaine</v>
      </c>
      <c r="S452" s="191" t="str">
        <f>'1_BD questio brut'!Q452</f>
        <v>2</v>
      </c>
      <c r="T452" s="191" t="str">
        <f>'1_BD questio brut'!R452</f>
        <v>Avant 1990</v>
      </c>
      <c r="U452" s="191" t="str">
        <f>'1_BD questio brut'!S452</f>
        <v>Bois bûche</v>
      </c>
      <c r="V452" s="191" t="str">
        <f>'1_BD questio brut'!T452</f>
        <v/>
      </c>
      <c r="W452" s="191" t="str">
        <f>'1_BD questio brut'!U452</f>
        <v>2-3</v>
      </c>
      <c r="X452" s="191" t="str">
        <f>'1_BD questio brut'!V452</f>
        <v>Stère</v>
      </c>
      <c r="Y452" s="191" t="str">
        <f>'1_BD questio brut'!W452</f>
        <v>1</v>
      </c>
      <c r="Z452" s="191" t="str">
        <f>'1_BD questio brut'!X452</f>
        <v/>
      </c>
      <c r="AA452" s="191" t="str">
        <f t="array" ref="AA452">INDEX('Données 1_BD questio'!C:C,MATCH('1_BD questio brut'!$Y$1&amp;'1_BD questio brut'!Y452,'Données 1_BD questio'!A:A&amp;'Données 1_BD questio'!B:B,0))</f>
        <v>Ne sait pas</v>
      </c>
      <c r="AB452" s="191" t="str">
        <f>'1_BD questio brut'!Z452</f>
        <v>2</v>
      </c>
      <c r="AC452" s="191" t="str">
        <f>'1_BD questio brut'!AA452</f>
        <v>&gt; 2 ans</v>
      </c>
      <c r="AD452" s="191" t="str">
        <f>'1_BD questio brut'!AB452</f>
        <v>Les deux</v>
      </c>
      <c r="AE452" s="191" t="str">
        <f t="array" ref="AE452">INDEX('Données 1_BD questio'!C:C,MATCH('1_BD questio brut'!$AC$1&amp;'1_BD questio brut'!AC452,'Données 1_BD questio'!A:A&amp;'Données 1_BD questio'!B:B,0))</f>
        <v>vous-même</v>
      </c>
      <c r="AF452" s="191" t="str">
        <f>'1_BD questio brut'!AD452</f>
        <v>1 fois par an</v>
      </c>
      <c r="AG452" s="191" t="str">
        <f>'1_BD questio brut'!AE452</f>
        <v/>
      </c>
      <c r="AH452" s="191" t="str">
        <f>'1_BD questio brut'!AF452</f>
        <v>Insert cheminée</v>
      </c>
      <c r="AI452" s="191" t="str">
        <f>'1_BD questio brut'!AG452</f>
        <v>1</v>
      </c>
      <c r="AJ452" s="191" t="str">
        <f>'1_BD questio brut'!AH452</f>
        <v/>
      </c>
      <c r="AK452" s="191" t="str">
        <f>'1_BD questio brut'!AI452</f>
        <v>Chauffage d'appoint</v>
      </c>
      <c r="AL452" s="191" t="str">
        <f>'1_BD questio brut'!AJ452</f>
        <v>Pas de réponse</v>
      </c>
      <c r="AM452" s="191" t="str">
        <f>'1_BD questio brut'!AK452</f>
        <v>2</v>
      </c>
      <c r="AN452" s="191" t="str">
        <f>'1_BD questio brut'!AL452</f>
        <v/>
      </c>
      <c r="AO452" s="191" t="str">
        <f>'1_BD questio brut'!AM452</f>
        <v>1; 5; 7</v>
      </c>
      <c r="AP452" s="191" t="str">
        <f>'1_BD questio brut'!AN452</f>
        <v/>
      </c>
      <c r="AQ452" s="191" t="str">
        <f>'1_BD questio brut'!AO452</f>
        <v/>
      </c>
    </row>
    <row r="453" spans="1:43" ht="43.5" hidden="1">
      <c r="A453" s="98">
        <f>INDEX('3_BD instruction total'!A:A,MATCH(C453,'3_BD instruction total'!F:F,0))</f>
        <v>1900</v>
      </c>
      <c r="B453" s="98" t="str">
        <f>INDEX('3_BD instruction total'!C:C,MATCH(C453,'3_BD instruction total'!F:F,0))</f>
        <v>non</v>
      </c>
      <c r="C453" s="191" t="str">
        <f>'1_BD questio brut'!A453</f>
        <v>VRB0490</v>
      </c>
      <c r="D453" s="191" t="str">
        <f t="array" ref="D453">INDEX('Données 1_BD questio'!C:C,MATCH('1_BD questio brut'!$B$1&amp;'1_BD questio brut'!B453,'Données 1_BD questio'!A:A&amp;'Données 1_BD questio'!B:B,0))</f>
        <v>CAPV</v>
      </c>
      <c r="E453" s="191" t="str">
        <f t="array" ref="E453">INDEX('Données 1_BD questio'!C:C,MATCH('1_BD questio brut'!$C$1&amp;'1_BD questio brut'!C453,'Données 1_BD questio'!A:A&amp;'Données 1_BD questio'!B:B,0))</f>
        <v>Retraité</v>
      </c>
      <c r="F453" s="191" t="str">
        <f t="array" ref="F453">INDEX('Données 1_BD questio'!C:C,MATCH('1_BD questio brut'!$D$1&amp;'1_BD questio brut'!D453,'Données 1_BD questio'!A:A&amp;'Données 1_BD questio'!B:B,0))</f>
        <v>Pas de réponse</v>
      </c>
      <c r="G453" s="191" t="str">
        <f>'1_BD questio brut'!E453</f>
        <v>65 ans et plus</v>
      </c>
      <c r="H453" s="191">
        <f>'1_BD questio brut'!F453</f>
        <v>1</v>
      </c>
      <c r="I453" s="191" t="str">
        <f>'1_BD questio brut'!G453</f>
        <v>Moins de 20 000 €</v>
      </c>
      <c r="J453" s="191" t="str">
        <f t="array" ref="J453">INDEX('Données 1_BD questio'!C:C,MATCH('1_BD questio brut'!$H$1&amp;'1_BD questio brut'!H453,'Données 1_BD questio'!A:A&amp;'Données 1_BD questio'!B:B,0))</f>
        <v>Maison avec jardin</v>
      </c>
      <c r="K453" s="191">
        <f>'1_BD questio brut'!I453</f>
        <v>50</v>
      </c>
      <c r="L453" s="191" t="str">
        <f>'1_BD questio brut'!J453</f>
        <v>Avant 1949</v>
      </c>
      <c r="M453" s="191" t="str">
        <f>'1_BD questio brut'!K453</f>
        <v>6</v>
      </c>
      <c r="N453" s="191" t="str">
        <f>'1_BD questio brut'!L453</f>
        <v>Pas de réponse</v>
      </c>
      <c r="O453" s="191" t="str">
        <f>'1_BD questio brut'!M453</f>
        <v>Propriétaire occupant</v>
      </c>
      <c r="P453" s="191" t="str">
        <f>'1_BD questio brut'!N453</f>
        <v>Poêle</v>
      </c>
      <c r="Q453" s="191" t="str">
        <f>'1_BD questio brut'!O453</f>
        <v>Chauffage de base</v>
      </c>
      <c r="R453" s="191" t="str">
        <f>'1_BD questio brut'!P453</f>
        <v>Tous les jours</v>
      </c>
      <c r="S453" s="191" t="str">
        <f>'1_BD questio brut'!Q453</f>
        <v>4</v>
      </c>
      <c r="T453" s="191" t="str">
        <f>'1_BD questio brut'!R453</f>
        <v>Avant 1990</v>
      </c>
      <c r="U453" s="191" t="str">
        <f>'1_BD questio brut'!S453</f>
        <v>Bois bûche</v>
      </c>
      <c r="V453" s="191" t="str">
        <f>'1_BD questio brut'!T453</f>
        <v/>
      </c>
      <c r="W453" s="191" t="str">
        <f>'1_BD questio brut'!U453</f>
        <v>4</v>
      </c>
      <c r="X453" s="191" t="str">
        <f>'1_BD questio brut'!V453</f>
        <v>Stères</v>
      </c>
      <c r="Y453" s="191" t="str">
        <f>'1_BD questio brut'!W453</f>
        <v>5</v>
      </c>
      <c r="Z453" s="191" t="str">
        <f>'1_BD questio brut'!X453</f>
        <v/>
      </c>
      <c r="AA453" s="191" t="str">
        <f t="array" ref="AA453">INDEX('Données 1_BD questio'!C:C,MATCH('1_BD questio brut'!$Y$1&amp;'1_BD questio brut'!Y453,'Données 1_BD questio'!A:A&amp;'Données 1_BD questio'!B:B,0))</f>
        <v>RA2B</v>
      </c>
      <c r="AB453" s="191" t="str">
        <f>'1_BD questio brut'!Z453</f>
        <v>2</v>
      </c>
      <c r="AC453" s="191" t="str">
        <f>'1_BD questio brut'!AA453</f>
        <v>Pas de réponse</v>
      </c>
      <c r="AD453" s="191" t="str">
        <f>'1_BD questio brut'!AB453</f>
        <v>Feuillus</v>
      </c>
      <c r="AE453" s="191" t="str">
        <f t="array" ref="AE453">INDEX('Données 1_BD questio'!C:C,MATCH('1_BD questio brut'!$AC$1&amp;'1_BD questio brut'!AC453,'Données 1_BD questio'!A:A&amp;'Données 1_BD questio'!B:B,0))</f>
        <v>un professionnel</v>
      </c>
      <c r="AF453" s="191" t="str">
        <f>'1_BD questio brut'!AD453</f>
        <v>1 fois par an</v>
      </c>
      <c r="AG453" s="191" t="str">
        <f>'1_BD questio brut'!AE453</f>
        <v/>
      </c>
      <c r="AH453" s="191" t="str">
        <f>'1_BD questio brut'!AF453</f>
        <v>Poêle</v>
      </c>
      <c r="AI453" s="191" t="str">
        <f>'1_BD questio brut'!AG453</f>
        <v>1</v>
      </c>
      <c r="AJ453" s="191" t="str">
        <f>'1_BD questio brut'!AH453</f>
        <v/>
      </c>
      <c r="AK453" s="191" t="str">
        <f>'1_BD questio brut'!AI453</f>
        <v>Chauffage de base</v>
      </c>
      <c r="AL453" s="191" t="str">
        <f>'1_BD questio brut'!AJ453</f>
        <v>Pas de réponse</v>
      </c>
      <c r="AM453" s="191" t="str">
        <f>'1_BD questio brut'!AK453</f>
        <v>2; 4</v>
      </c>
      <c r="AN453" s="191" t="str">
        <f>'1_BD questio brut'!AL453</f>
        <v/>
      </c>
      <c r="AO453" s="191" t="str">
        <f>'1_BD questio brut'!AM453</f>
        <v>8</v>
      </c>
      <c r="AP453" s="191" t="str">
        <f>'1_BD questio brut'!AN453</f>
        <v/>
      </c>
      <c r="AQ453" s="191" t="str">
        <f>'1_BD questio brut'!AO453</f>
        <v/>
      </c>
    </row>
    <row r="454" spans="1:43" ht="43.5" hidden="1">
      <c r="A454" s="98">
        <f>INDEX('3_BD instruction total'!A:A,MATCH(C454,'3_BD instruction total'!F:F,0))</f>
        <v>2022</v>
      </c>
      <c r="B454" s="98" t="str">
        <f>INDEX('3_BD instruction total'!C:C,MATCH(C454,'3_BD instruction total'!F:F,0))</f>
        <v>non</v>
      </c>
      <c r="C454" s="191" t="str">
        <f>'1_BD questio brut'!A454</f>
        <v>VRB0491</v>
      </c>
      <c r="D454" s="191" t="str">
        <f t="array" ref="D454">INDEX('Données 1_BD questio'!C:C,MATCH('1_BD questio brut'!$B$1&amp;'1_BD questio brut'!B454,'Données 1_BD questio'!A:A&amp;'Données 1_BD questio'!B:B,0))</f>
        <v>CAPV</v>
      </c>
      <c r="E454" s="191" t="str">
        <f t="array" ref="E454">INDEX('Données 1_BD questio'!C:C,MATCH('1_BD questio brut'!$C$1&amp;'1_BD questio brut'!C454,'Données 1_BD questio'!A:A&amp;'Données 1_BD questio'!B:B,0))</f>
        <v>Employé</v>
      </c>
      <c r="F454" s="191" t="str">
        <f t="array" ref="F454">INDEX('Données 1_BD questio'!C:C,MATCH('1_BD questio brut'!$D$1&amp;'1_BD questio brut'!D454,'Données 1_BD questio'!A:A&amp;'Données 1_BD questio'!B:B,0))</f>
        <v>Employé</v>
      </c>
      <c r="G454" s="191" t="str">
        <f>'1_BD questio brut'!E454</f>
        <v>35 à 49 ans</v>
      </c>
      <c r="H454" s="191">
        <f>'1_BD questio brut'!F454</f>
        <v>5</v>
      </c>
      <c r="I454" s="191" t="str">
        <f>'1_BD questio brut'!G454</f>
        <v>40 000 à 50 000 €</v>
      </c>
      <c r="J454" s="191" t="str">
        <f t="array" ref="J454">INDEX('Données 1_BD questio'!C:C,MATCH('1_BD questio brut'!$H$1&amp;'1_BD questio brut'!H454,'Données 1_BD questio'!A:A&amp;'Données 1_BD questio'!B:B,0))</f>
        <v>Maison avec jardin</v>
      </c>
      <c r="K454" s="191">
        <f>'1_BD questio brut'!I454</f>
        <v>95</v>
      </c>
      <c r="L454" s="191" t="str">
        <f>'1_BD questio brut'!J454</f>
        <v>1975-1990</v>
      </c>
      <c r="M454" s="191" t="str">
        <f>'1_BD questio brut'!K454</f>
        <v>4</v>
      </c>
      <c r="N454" s="191" t="str">
        <f>'1_BD questio brut'!L454</f>
        <v>F</v>
      </c>
      <c r="O454" s="191" t="str">
        <f>'1_BD questio brut'!M454</f>
        <v>Propriétaire occupant</v>
      </c>
      <c r="P454" s="191" t="str">
        <f>'1_BD questio brut'!N454</f>
        <v>Foyer ouvert</v>
      </c>
      <c r="Q454" s="191" t="str">
        <f>'1_BD questio brut'!O454</f>
        <v>Chauffage d'apoint</v>
      </c>
      <c r="R454" s="191" t="str">
        <f>'1_BD questio brut'!P454</f>
        <v>1 à 3 jours/mois</v>
      </c>
      <c r="S454" s="191" t="str">
        <f>'1_BD questio brut'!Q454</f>
        <v>2</v>
      </c>
      <c r="T454" s="191" t="str">
        <f>'1_BD questio brut'!R454</f>
        <v>Avant 1990</v>
      </c>
      <c r="U454" s="191" t="str">
        <f>'1_BD questio brut'!S454</f>
        <v>Bois bûche</v>
      </c>
      <c r="V454" s="191" t="str">
        <f>'1_BD questio brut'!T454</f>
        <v/>
      </c>
      <c r="W454" s="191" t="str">
        <f>'1_BD questio brut'!U454</f>
        <v>4</v>
      </c>
      <c r="X454" s="191" t="str">
        <f>'1_BD questio brut'!V454</f>
        <v>Stère</v>
      </c>
      <c r="Y454" s="191" t="str">
        <f>'1_BD questio brut'!W454</f>
        <v>2</v>
      </c>
      <c r="Z454" s="191" t="str">
        <f>'1_BD questio brut'!X454</f>
        <v/>
      </c>
      <c r="AA454" s="191" t="str">
        <f t="array" ref="AA454">INDEX('Données 1_BD questio'!C:C,MATCH('1_BD questio brut'!$Y$1&amp;'1_BD questio brut'!Y454,'Données 1_BD questio'!A:A&amp;'Données 1_BD questio'!B:B,0))</f>
        <v>Ne sait pas</v>
      </c>
      <c r="AB454" s="191" t="str">
        <f>'1_BD questio brut'!Z454</f>
        <v>2</v>
      </c>
      <c r="AC454" s="191" t="str">
        <f>'1_BD questio brut'!AA454</f>
        <v>&gt; 2 ans</v>
      </c>
      <c r="AD454" s="191" t="str">
        <f>'1_BD questio brut'!AB454</f>
        <v>Feuillus</v>
      </c>
      <c r="AE454" s="191" t="str">
        <f t="array" ref="AE454">INDEX('Données 1_BD questio'!C:C,MATCH('1_BD questio brut'!$AC$1&amp;'1_BD questio brut'!AC454,'Données 1_BD questio'!A:A&amp;'Données 1_BD questio'!B:B,0))</f>
        <v>un professionnel</v>
      </c>
      <c r="AF454" s="191" t="str">
        <f>'1_BD questio brut'!AD454</f>
        <v>1 fois par an</v>
      </c>
      <c r="AG454" s="191" t="str">
        <f>'1_BD questio brut'!AE454</f>
        <v/>
      </c>
      <c r="AH454" s="191" t="str">
        <f>'1_BD questio brut'!AF454</f>
        <v>Poêle</v>
      </c>
      <c r="AI454" s="191" t="str">
        <f>'1_BD questio brut'!AG454</f>
        <v>1</v>
      </c>
      <c r="AJ454" s="191" t="str">
        <f>'1_BD questio brut'!AH454</f>
        <v/>
      </c>
      <c r="AK454" s="191" t="str">
        <f>'1_BD questio brut'!AI454</f>
        <v>Chauffage de base</v>
      </c>
      <c r="AL454" s="191" t="str">
        <f>'1_BD questio brut'!AJ454</f>
        <v>Pas de réponse</v>
      </c>
      <c r="AM454" s="191" t="str">
        <f>'1_BD questio brut'!AK454</f>
        <v>2; 3; 4</v>
      </c>
      <c r="AN454" s="191" t="str">
        <f>'1_BD questio brut'!AL454</f>
        <v/>
      </c>
      <c r="AO454" s="191" t="str">
        <f>'1_BD questio brut'!AM454</f>
        <v>7</v>
      </c>
      <c r="AP454" s="191" t="str">
        <f>'1_BD questio brut'!AN454</f>
        <v/>
      </c>
      <c r="AQ454" s="191" t="str">
        <f>'1_BD questio brut'!AO454</f>
        <v/>
      </c>
    </row>
    <row r="455" spans="1:43" ht="43.5" hidden="1">
      <c r="A455" s="98">
        <f>INDEX('3_BD instruction total'!A:A,MATCH(C455,'3_BD instruction total'!F:F,0))</f>
        <v>2022</v>
      </c>
      <c r="B455" s="98" t="str">
        <f>INDEX('3_BD instruction total'!C:C,MATCH(C455,'3_BD instruction total'!F:F,0))</f>
        <v>non</v>
      </c>
      <c r="C455" s="191" t="str">
        <f>'1_BD questio brut'!A455</f>
        <v>VRB0492</v>
      </c>
      <c r="D455" s="191" t="str">
        <f t="array" ref="D455">INDEX('Données 1_BD questio'!C:C,MATCH('1_BD questio brut'!$B$1&amp;'1_BD questio brut'!B455,'Données 1_BD questio'!A:A&amp;'Données 1_BD questio'!B:B,0))</f>
        <v>CAPV</v>
      </c>
      <c r="E455" s="191" t="str">
        <f t="array" ref="E455">INDEX('Données 1_BD questio'!C:C,MATCH('1_BD questio brut'!$C$1&amp;'1_BD questio brut'!C455,'Données 1_BD questio'!A:A&amp;'Données 1_BD questio'!B:B,0))</f>
        <v>Employé</v>
      </c>
      <c r="F455" s="191" t="str">
        <f t="array" ref="F455">INDEX('Données 1_BD questio'!C:C,MATCH('1_BD questio brut'!$D$1&amp;'1_BD questio brut'!D455,'Données 1_BD questio'!A:A&amp;'Données 1_BD questio'!B:B,0))</f>
        <v>Artisan,commerçant,chef d'entreprise</v>
      </c>
      <c r="G455" s="191" t="str">
        <f>'1_BD questio brut'!E455</f>
        <v>35 à 49 ans</v>
      </c>
      <c r="H455" s="191">
        <f>'1_BD questio brut'!F455</f>
        <v>5</v>
      </c>
      <c r="I455" s="191" t="str">
        <f>'1_BD questio brut'!G455</f>
        <v>Plus de 100 000 €</v>
      </c>
      <c r="J455" s="191" t="str">
        <f t="array" ref="J455">INDEX('Données 1_BD questio'!C:C,MATCH('1_BD questio brut'!$H$1&amp;'1_BD questio brut'!H455,'Données 1_BD questio'!A:A&amp;'Données 1_BD questio'!B:B,0))</f>
        <v>Maison avec jardin</v>
      </c>
      <c r="K455" s="191">
        <f>'1_BD questio brut'!I455</f>
        <v>240</v>
      </c>
      <c r="L455" s="191" t="str">
        <f>'1_BD questio brut'!J455</f>
        <v>Avant 1949</v>
      </c>
      <c r="M455" s="191" t="str">
        <f>'1_BD questio brut'!K455</f>
        <v>6</v>
      </c>
      <c r="N455" s="191" t="str">
        <f>'1_BD questio brut'!L455</f>
        <v>C</v>
      </c>
      <c r="O455" s="191" t="str">
        <f>'1_BD questio brut'!M455</f>
        <v>Propriétaire occupant</v>
      </c>
      <c r="P455" s="191" t="str">
        <f>'1_BD questio brut'!N455</f>
        <v>Foyer ouvert</v>
      </c>
      <c r="Q455" s="191" t="str">
        <f>'1_BD questio brut'!O455</f>
        <v>Chauffage d'apoint</v>
      </c>
      <c r="R455" s="191" t="str">
        <f>'1_BD questio brut'!P455</f>
        <v>1 à 3 jours/mois</v>
      </c>
      <c r="S455" s="191" t="str">
        <f>'1_BD questio brut'!Q455</f>
        <v>6</v>
      </c>
      <c r="T455" s="191" t="str">
        <f>'1_BD questio brut'!R455</f>
        <v>Avant 1990</v>
      </c>
      <c r="U455" s="191" t="str">
        <f>'1_BD questio brut'!S455</f>
        <v>Bois bûche</v>
      </c>
      <c r="V455" s="191" t="str">
        <f>'1_BD questio brut'!T455</f>
        <v/>
      </c>
      <c r="W455" s="191" t="str">
        <f>'1_BD questio brut'!U455</f>
        <v>1</v>
      </c>
      <c r="X455" s="191" t="str">
        <f>'1_BD questio brut'!V455</f>
        <v>Stère</v>
      </c>
      <c r="Y455" s="191" t="str">
        <f>'1_BD questio brut'!W455</f>
        <v>1</v>
      </c>
      <c r="Z455" s="191" t="str">
        <f>'1_BD questio brut'!X455</f>
        <v/>
      </c>
      <c r="AA455" s="191" t="str">
        <f t="array" ref="AA455">INDEX('Données 1_BD questio'!C:C,MATCH('1_BD questio brut'!$Y$1&amp;'1_BD questio brut'!Y455,'Données 1_BD questio'!A:A&amp;'Données 1_BD questio'!B:B,0))</f>
        <v>Ne sait pas</v>
      </c>
      <c r="AB455" s="191" t="str">
        <f>'1_BD questio brut'!Z455</f>
        <v>2</v>
      </c>
      <c r="AC455" s="191" t="str">
        <f>'1_BD questio brut'!AA455</f>
        <v>&gt; 2 ans</v>
      </c>
      <c r="AD455" s="191" t="str">
        <f>'1_BD questio brut'!AB455</f>
        <v>Feuillus</v>
      </c>
      <c r="AE455" s="191" t="str">
        <f t="array" ref="AE455">INDEX('Données 1_BD questio'!C:C,MATCH('1_BD questio brut'!$AC$1&amp;'1_BD questio brut'!AC455,'Données 1_BD questio'!A:A&amp;'Données 1_BD questio'!B:B,0))</f>
        <v>un professionnel</v>
      </c>
      <c r="AF455" s="191" t="str">
        <f>'1_BD questio brut'!AD455</f>
        <v>1 fois par an</v>
      </c>
      <c r="AG455" s="191" t="str">
        <f>'1_BD questio brut'!AE455</f>
        <v/>
      </c>
      <c r="AH455" s="191" t="str">
        <f>'1_BD questio brut'!AF455</f>
        <v>poêle de masse</v>
      </c>
      <c r="AI455" s="191" t="str">
        <f>'1_BD questio brut'!AG455</f>
        <v>1</v>
      </c>
      <c r="AJ455" s="191" t="str">
        <f>'1_BD questio brut'!AH455</f>
        <v/>
      </c>
      <c r="AK455" s="191" t="str">
        <f>'1_BD questio brut'!AI455</f>
        <v>Chauffage de base</v>
      </c>
      <c r="AL455" s="191" t="str">
        <f>'1_BD questio brut'!AJ455</f>
        <v>Tous les jours</v>
      </c>
      <c r="AM455" s="191" t="str">
        <f>'1_BD questio brut'!AK455</f>
        <v>4; 5</v>
      </c>
      <c r="AN455" s="191" t="str">
        <f>'1_BD questio brut'!AL455</f>
        <v/>
      </c>
      <c r="AO455" s="191" t="str">
        <f>'1_BD questio brut'!AM455</f>
        <v>1</v>
      </c>
      <c r="AP455" s="191" t="str">
        <f>'1_BD questio brut'!AN455</f>
        <v/>
      </c>
      <c r="AQ455" s="191" t="str">
        <f>'1_BD questio brut'!AO455</f>
        <v/>
      </c>
    </row>
    <row r="456" spans="1:43" ht="43.5" hidden="1">
      <c r="A456" s="98">
        <f>INDEX('3_BD instruction total'!A:A,MATCH(C456,'3_BD instruction total'!F:F,0))</f>
        <v>2022</v>
      </c>
      <c r="B456" s="98" t="str">
        <f>INDEX('3_BD instruction total'!C:C,MATCH(C456,'3_BD instruction total'!F:F,0))</f>
        <v>non</v>
      </c>
      <c r="C456" s="191" t="str">
        <f>'1_BD questio brut'!A456</f>
        <v>VRB0493</v>
      </c>
      <c r="D456" s="191" t="str">
        <f t="array" ref="D456">INDEX('Données 1_BD questio'!C:C,MATCH('1_BD questio brut'!$B$1&amp;'1_BD questio brut'!B456,'Données 1_BD questio'!A:A&amp;'Données 1_BD questio'!B:B,0))</f>
        <v>CAPV</v>
      </c>
      <c r="E456" s="191" t="str">
        <f t="array" ref="E456">INDEX('Données 1_BD questio'!C:C,MATCH('1_BD questio brut'!$C$1&amp;'1_BD questio brut'!C456,'Données 1_BD questio'!A:A&amp;'Données 1_BD questio'!B:B,0))</f>
        <v>Cadre</v>
      </c>
      <c r="F456" s="191" t="str">
        <f t="array" ref="F456">INDEX('Données 1_BD questio'!C:C,MATCH('1_BD questio brut'!$D$1&amp;'1_BD questio brut'!D456,'Données 1_BD questio'!A:A&amp;'Données 1_BD questio'!B:B,0))</f>
        <v>Ouvrier</v>
      </c>
      <c r="G456" s="191" t="str">
        <f>'1_BD questio brut'!E456</f>
        <v>35 à 49 ans</v>
      </c>
      <c r="H456" s="191">
        <f>'1_BD questio brut'!F456</f>
        <v>2</v>
      </c>
      <c r="I456" s="191" t="str">
        <f>'1_BD questio brut'!G456</f>
        <v>40 000 à 50 000 €</v>
      </c>
      <c r="J456" s="191" t="str">
        <f t="array" ref="J456">INDEX('Données 1_BD questio'!C:C,MATCH('1_BD questio brut'!$H$1&amp;'1_BD questio brut'!H456,'Données 1_BD questio'!A:A&amp;'Données 1_BD questio'!B:B,0))</f>
        <v>Maison avec jardin</v>
      </c>
      <c r="K456" s="191">
        <f>'1_BD questio brut'!I456</f>
        <v>100</v>
      </c>
      <c r="L456" s="191" t="str">
        <f>'1_BD questio brut'!J456</f>
        <v>1975-1990</v>
      </c>
      <c r="M456" s="191" t="str">
        <f>'1_BD questio brut'!K456</f>
        <v>1; 4</v>
      </c>
      <c r="N456" s="191" t="str">
        <f>'1_BD questio brut'!L456</f>
        <v>E</v>
      </c>
      <c r="O456" s="191" t="str">
        <f>'1_BD questio brut'!M456</f>
        <v>Propriétaire occupant</v>
      </c>
      <c r="P456" s="191" t="str">
        <f>'1_BD questio brut'!N456</f>
        <v>Insert / foyer fermé</v>
      </c>
      <c r="Q456" s="191" t="str">
        <f>'1_BD questio brut'!O456</f>
        <v>Chauffage d'apoint</v>
      </c>
      <c r="R456" s="191" t="str">
        <f>'1_BD questio brut'!P456</f>
        <v>3 à 4 jours/semaine</v>
      </c>
      <c r="S456" s="191" t="str">
        <f>'1_BD questio brut'!Q456</f>
        <v>7</v>
      </c>
      <c r="T456" s="191" t="str">
        <f>'1_BD questio brut'!R456</f>
        <v>1990-1995</v>
      </c>
      <c r="U456" s="191" t="str">
        <f>'1_BD questio brut'!S456</f>
        <v>Bois bûche</v>
      </c>
      <c r="V456" s="191" t="str">
        <f>'1_BD questio brut'!T456</f>
        <v/>
      </c>
      <c r="W456" s="191" t="str">
        <f>'1_BD questio brut'!U456</f>
        <v/>
      </c>
      <c r="X456" s="191" t="str">
        <f>'1_BD questio brut'!V456</f>
        <v/>
      </c>
      <c r="Y456" s="191" t="str">
        <f>'1_BD questio brut'!W456</f>
        <v>1</v>
      </c>
      <c r="Z456" s="191" t="str">
        <f>'1_BD questio brut'!X456</f>
        <v/>
      </c>
      <c r="AA456" s="191" t="str">
        <f t="array" ref="AA456">INDEX('Données 1_BD questio'!C:C,MATCH('1_BD questio brut'!$Y$1&amp;'1_BD questio brut'!Y456,'Données 1_BD questio'!A:A&amp;'Données 1_BD questio'!B:B,0))</f>
        <v>Pas de réponse</v>
      </c>
      <c r="AB456" s="191" t="str">
        <f>'1_BD questio brut'!Z456</f>
        <v>2</v>
      </c>
      <c r="AC456" s="191" t="str">
        <f>'1_BD questio brut'!AA456</f>
        <v>Pas de réponse</v>
      </c>
      <c r="AD456" s="191" t="str">
        <f>'1_BD questio brut'!AB456</f>
        <v>Pas de réponse</v>
      </c>
      <c r="AE456" s="191" t="str">
        <f t="array" ref="AE456">INDEX('Données 1_BD questio'!C:C,MATCH('1_BD questio brut'!$AC$1&amp;'1_BD questio brut'!AC456,'Données 1_BD questio'!A:A&amp;'Données 1_BD questio'!B:B,0))</f>
        <v>Pas de réponse</v>
      </c>
      <c r="AF456" s="191" t="str">
        <f>'1_BD questio brut'!AD456</f>
        <v>Pas de réponse</v>
      </c>
      <c r="AG456" s="191" t="str">
        <f>'1_BD questio brut'!AE456</f>
        <v/>
      </c>
      <c r="AH456" s="191" t="str">
        <f>'1_BD questio brut'!AF456</f>
        <v>Poêle</v>
      </c>
      <c r="AI456" s="191" t="str">
        <f>'1_BD questio brut'!AG456</f>
        <v>1</v>
      </c>
      <c r="AJ456" s="191" t="str">
        <f>'1_BD questio brut'!AH456</f>
        <v/>
      </c>
      <c r="AK456" s="191" t="str">
        <f>'1_BD questio brut'!AI456</f>
        <v>Chauffage de base</v>
      </c>
      <c r="AL456" s="191" t="str">
        <f>'1_BD questio brut'!AJ456</f>
        <v>Pas de réponse</v>
      </c>
      <c r="AM456" s="191" t="str">
        <f>'1_BD questio brut'!AK456</f>
        <v>4; 5</v>
      </c>
      <c r="AN456" s="191" t="str">
        <f>'1_BD questio brut'!AL456</f>
        <v/>
      </c>
      <c r="AO456" s="191" t="str">
        <f>'1_BD questio brut'!AM456</f>
        <v>7</v>
      </c>
      <c r="AP456" s="191" t="str">
        <f>'1_BD questio brut'!AN456</f>
        <v/>
      </c>
      <c r="AQ456" s="191" t="str">
        <f>'1_BD questio brut'!AO456</f>
        <v/>
      </c>
    </row>
    <row r="457" spans="1:43" ht="43.5" hidden="1">
      <c r="A457" s="98">
        <f>INDEX('3_BD instruction total'!A:A,MATCH(C457,'3_BD instruction total'!F:F,0))</f>
        <v>2022</v>
      </c>
      <c r="B457" s="98" t="str">
        <f>INDEX('3_BD instruction total'!C:C,MATCH(C457,'3_BD instruction total'!F:F,0))</f>
        <v>non</v>
      </c>
      <c r="C457" s="191" t="str">
        <f>'1_BD questio brut'!A457</f>
        <v>VRB0494</v>
      </c>
      <c r="D457" s="191" t="str">
        <f t="array" ref="D457">INDEX('Données 1_BD questio'!C:C,MATCH('1_BD questio brut'!$B$1&amp;'1_BD questio brut'!B457,'Données 1_BD questio'!A:A&amp;'Données 1_BD questio'!B:B,0))</f>
        <v>CAPV</v>
      </c>
      <c r="E457" s="191" t="str">
        <f t="array" ref="E457">INDEX('Données 1_BD questio'!C:C,MATCH('1_BD questio brut'!$C$1&amp;'1_BD questio brut'!C457,'Données 1_BD questio'!A:A&amp;'Données 1_BD questio'!B:B,0))</f>
        <v>Artisan,commerçant,chef d'entreprise</v>
      </c>
      <c r="F457" s="191" t="str">
        <f t="array" ref="F457">INDEX('Données 1_BD questio'!C:C,MATCH('1_BD questio brut'!$D$1&amp;'1_BD questio brut'!D457,'Données 1_BD questio'!A:A&amp;'Données 1_BD questio'!B:B,0))</f>
        <v>Cadre</v>
      </c>
      <c r="G457" s="191" t="str">
        <f>'1_BD questio brut'!E457</f>
        <v>50 à 64 ans</v>
      </c>
      <c r="H457" s="191">
        <f>'1_BD questio brut'!F457</f>
        <v>3</v>
      </c>
      <c r="I457" s="191" t="str">
        <f>'1_BD questio brut'!G457</f>
        <v>Moins de 20 000 €</v>
      </c>
      <c r="J457" s="191" t="str">
        <f t="array" ref="J457">INDEX('Données 1_BD questio'!C:C,MATCH('1_BD questio brut'!$H$1&amp;'1_BD questio brut'!H457,'Données 1_BD questio'!A:A&amp;'Données 1_BD questio'!B:B,0))</f>
        <v>Maison avec jardin</v>
      </c>
      <c r="K457" s="191">
        <f>'1_BD questio brut'!I457</f>
        <v>120</v>
      </c>
      <c r="L457" s="191" t="str">
        <f>'1_BD questio brut'!J457</f>
        <v>1990-2005</v>
      </c>
      <c r="M457" s="191" t="str">
        <f>'1_BD questio brut'!K457</f>
        <v>1</v>
      </c>
      <c r="N457" s="191" t="str">
        <f>'1_BD questio brut'!L457</f>
        <v>Pas de réponse</v>
      </c>
      <c r="O457" s="191" t="str">
        <f>'1_BD questio brut'!M457</f>
        <v>Propriétaire occupant</v>
      </c>
      <c r="P457" s="191" t="str">
        <f>'1_BD questio brut'!N457</f>
        <v>Insert / foyer fermé</v>
      </c>
      <c r="Q457" s="191" t="str">
        <f>'1_BD questio brut'!O457</f>
        <v>Chauffage d'apoint</v>
      </c>
      <c r="R457" s="191" t="str">
        <f>'1_BD questio brut'!P457</f>
        <v>Tous les jours</v>
      </c>
      <c r="S457" s="191" t="str">
        <f>'1_BD questio brut'!Q457</f>
        <v>3; 4; 5</v>
      </c>
      <c r="T457" s="191" t="str">
        <f>'1_BD questio brut'!R457</f>
        <v>1990-1995</v>
      </c>
      <c r="U457" s="191" t="str">
        <f>'1_BD questio brut'!S457</f>
        <v>Bois bûche</v>
      </c>
      <c r="V457" s="191" t="str">
        <f>'1_BD questio brut'!T457</f>
        <v/>
      </c>
      <c r="W457" s="191" t="str">
        <f>'1_BD questio brut'!U457</f>
        <v>7</v>
      </c>
      <c r="X457" s="191" t="str">
        <f>'1_BD questio brut'!V457</f>
        <v>Stères</v>
      </c>
      <c r="Y457" s="191" t="str">
        <f>'1_BD questio brut'!W457</f>
        <v>2</v>
      </c>
      <c r="Z457" s="191" t="str">
        <f>'1_BD questio brut'!X457</f>
        <v/>
      </c>
      <c r="AA457" s="191" t="str">
        <f t="array" ref="AA457">INDEX('Données 1_BD questio'!C:C,MATCH('1_BD questio brut'!$Y$1&amp;'1_BD questio brut'!Y457,'Données 1_BD questio'!A:A&amp;'Données 1_BD questio'!B:B,0))</f>
        <v>RA2B</v>
      </c>
      <c r="AB457" s="191" t="str">
        <f>'1_BD questio brut'!Z457</f>
        <v>2</v>
      </c>
      <c r="AC457" s="191" t="str">
        <f>'1_BD questio brut'!AA457</f>
        <v>&gt; 2 ans</v>
      </c>
      <c r="AD457" s="191" t="str">
        <f>'1_BD questio brut'!AB457</f>
        <v>Feuillus</v>
      </c>
      <c r="AE457" s="191" t="str">
        <f t="array" ref="AE457">INDEX('Données 1_BD questio'!C:C,MATCH('1_BD questio brut'!$AC$1&amp;'1_BD questio brut'!AC457,'Données 1_BD questio'!A:A&amp;'Données 1_BD questio'!B:B,0))</f>
        <v>un professionnel</v>
      </c>
      <c r="AF457" s="191" t="str">
        <f>'1_BD questio brut'!AD457</f>
        <v>1 fois par an</v>
      </c>
      <c r="AG457" s="191" t="str">
        <f>'1_BD questio brut'!AE457</f>
        <v/>
      </c>
      <c r="AH457" s="191" t="str">
        <f>'1_BD questio brut'!AF457</f>
        <v>Poêle</v>
      </c>
      <c r="AI457" s="191" t="str">
        <f>'1_BD questio brut'!AG457</f>
        <v>1</v>
      </c>
      <c r="AJ457" s="191" t="str">
        <f>'1_BD questio brut'!AH457</f>
        <v/>
      </c>
      <c r="AK457" s="191" t="str">
        <f>'1_BD questio brut'!AI457</f>
        <v>Chauffage d'appoint</v>
      </c>
      <c r="AL457" s="191" t="str">
        <f>'1_BD questio brut'!AJ457</f>
        <v>Pas de réponse</v>
      </c>
      <c r="AM457" s="191" t="str">
        <f>'1_BD questio brut'!AK457</f>
        <v>1; 2; 4; 5</v>
      </c>
      <c r="AN457" s="191" t="str">
        <f>'1_BD questio brut'!AL457</f>
        <v/>
      </c>
      <c r="AO457" s="191" t="str">
        <f>'1_BD questio brut'!AM457</f>
        <v>5</v>
      </c>
      <c r="AP457" s="191" t="str">
        <f>'1_BD questio brut'!AN457</f>
        <v/>
      </c>
      <c r="AQ457" s="191" t="str">
        <f>'1_BD questio brut'!AO457</f>
        <v/>
      </c>
    </row>
    <row r="458" spans="1:43" ht="43.5" hidden="1">
      <c r="A458" s="98">
        <f>INDEX('3_BD instruction total'!A:A,MATCH(C458,'3_BD instruction total'!F:F,0))</f>
        <v>2022</v>
      </c>
      <c r="B458" s="98" t="str">
        <f>INDEX('3_BD instruction total'!C:C,MATCH(C458,'3_BD instruction total'!F:F,0))</f>
        <v>non</v>
      </c>
      <c r="C458" s="191" t="str">
        <f>'1_BD questio brut'!A458</f>
        <v>VRB0495</v>
      </c>
      <c r="D458" s="191" t="str">
        <f t="array" ref="D458">INDEX('Données 1_BD questio'!C:C,MATCH('1_BD questio brut'!$B$1&amp;'1_BD questio brut'!B458,'Données 1_BD questio'!A:A&amp;'Données 1_BD questio'!B:B,0))</f>
        <v>CAPV</v>
      </c>
      <c r="E458" s="191" t="str">
        <f t="array" ref="E458">INDEX('Données 1_BD questio'!C:C,MATCH('1_BD questio brut'!$C$1&amp;'1_BD questio brut'!C458,'Données 1_BD questio'!A:A&amp;'Données 1_BD questio'!B:B,0))</f>
        <v>Cadre</v>
      </c>
      <c r="F458" s="191" t="str">
        <f t="array" ref="F458">INDEX('Données 1_BD questio'!C:C,MATCH('1_BD questio brut'!$D$1&amp;'1_BD questio brut'!D458,'Données 1_BD questio'!A:A&amp;'Données 1_BD questio'!B:B,0))</f>
        <v>Cadre</v>
      </c>
      <c r="G458" s="191" t="str">
        <f>'1_BD questio brut'!E458</f>
        <v>35 à 49 ans</v>
      </c>
      <c r="H458" s="191">
        <f>'1_BD questio brut'!F458</f>
        <v>3</v>
      </c>
      <c r="I458" s="191" t="str">
        <f>'1_BD questio brut'!G458</f>
        <v>80 000 à 90 000 €</v>
      </c>
      <c r="J458" s="191" t="str">
        <f t="array" ref="J458">INDEX('Données 1_BD questio'!C:C,MATCH('1_BD questio brut'!$H$1&amp;'1_BD questio brut'!H458,'Données 1_BD questio'!A:A&amp;'Données 1_BD questio'!B:B,0))</f>
        <v>Maison avec jardin</v>
      </c>
      <c r="K458" s="191">
        <f>'1_BD questio brut'!I458</f>
        <v>95</v>
      </c>
      <c r="L458" s="191" t="str">
        <f>'1_BD questio brut'!J458</f>
        <v>Avant 1949</v>
      </c>
      <c r="M458" s="191" t="str">
        <f>'1_BD questio brut'!K458</f>
        <v>1</v>
      </c>
      <c r="N458" s="191" t="str">
        <f>'1_BD questio brut'!L458</f>
        <v>Pas de réponse</v>
      </c>
      <c r="O458" s="191" t="str">
        <f>'1_BD questio brut'!M458</f>
        <v>Propriétaire occupant</v>
      </c>
      <c r="P458" s="191" t="str">
        <f>'1_BD questio brut'!N458</f>
        <v>Foyer ouvert</v>
      </c>
      <c r="Q458" s="191" t="str">
        <f>'1_BD questio brut'!O458</f>
        <v>Chauffage d'apoint</v>
      </c>
      <c r="R458" s="191" t="str">
        <f>'1_BD questio brut'!P458</f>
        <v>1 à 2 jours/semaine</v>
      </c>
      <c r="S458" s="191" t="str">
        <f>'1_BD questio brut'!Q458</f>
        <v>2; 3</v>
      </c>
      <c r="T458" s="191" t="str">
        <f>'1_BD questio brut'!R458</f>
        <v>Avant 1990</v>
      </c>
      <c r="U458" s="191" t="str">
        <f>'1_BD questio brut'!S458</f>
        <v>Bois bûche</v>
      </c>
      <c r="V458" s="191" t="str">
        <f>'1_BD questio brut'!T458</f>
        <v/>
      </c>
      <c r="W458" s="191" t="str">
        <f>'1_BD questio brut'!U458</f>
        <v>4</v>
      </c>
      <c r="X458" s="191" t="str">
        <f>'1_BD questio brut'!V458</f>
        <v/>
      </c>
      <c r="Y458" s="191" t="str">
        <f>'1_BD questio brut'!W458</f>
        <v>2</v>
      </c>
      <c r="Z458" s="191" t="str">
        <f>'1_BD questio brut'!X458</f>
        <v/>
      </c>
      <c r="AA458" s="191" t="str">
        <f t="array" ref="AA458">INDEX('Données 1_BD questio'!C:C,MATCH('1_BD questio brut'!$Y$1&amp;'1_BD questio brut'!Y458,'Données 1_BD questio'!A:A&amp;'Données 1_BD questio'!B:B,0))</f>
        <v>Rhône-Alpes hors RA2B</v>
      </c>
      <c r="AB458" s="191" t="str">
        <f>'1_BD questio brut'!Z458</f>
        <v>2</v>
      </c>
      <c r="AC458" s="191" t="str">
        <f>'1_BD questio brut'!AA458</f>
        <v>&gt; 2 ans</v>
      </c>
      <c r="AD458" s="191" t="str">
        <f>'1_BD questio brut'!AB458</f>
        <v>Feuillus</v>
      </c>
      <c r="AE458" s="191" t="str">
        <f t="array" ref="AE458">INDEX('Données 1_BD questio'!C:C,MATCH('1_BD questio brut'!$AC$1&amp;'1_BD questio brut'!AC458,'Données 1_BD questio'!A:A&amp;'Données 1_BD questio'!B:B,0))</f>
        <v>vous-même</v>
      </c>
      <c r="AF458" s="191" t="str">
        <f>'1_BD questio brut'!AD458</f>
        <v>2 fois par an</v>
      </c>
      <c r="AG458" s="191" t="str">
        <f>'1_BD questio brut'!AE458</f>
        <v/>
      </c>
      <c r="AH458" s="191" t="str">
        <f>'1_BD questio brut'!AF458</f>
        <v>Poêle</v>
      </c>
      <c r="AI458" s="191" t="str">
        <f>'1_BD questio brut'!AG458</f>
        <v>1</v>
      </c>
      <c r="AJ458" s="191" t="str">
        <f>'1_BD questio brut'!AH458</f>
        <v/>
      </c>
      <c r="AK458" s="191" t="str">
        <f>'1_BD questio brut'!AI458</f>
        <v>Chauffage d'appoint</v>
      </c>
      <c r="AL458" s="191" t="str">
        <f>'1_BD questio brut'!AJ458</f>
        <v>Pas de réponse</v>
      </c>
      <c r="AM458" s="191" t="str">
        <f>'1_BD questio brut'!AK458</f>
        <v>1; 2; 4; 5</v>
      </c>
      <c r="AN458" s="191" t="str">
        <f>'1_BD questio brut'!AL458</f>
        <v>Diminuer la conso de gaz et bois</v>
      </c>
      <c r="AO458" s="191" t="str">
        <f>'1_BD questio brut'!AM458</f>
        <v>5</v>
      </c>
      <c r="AP458" s="191" t="str">
        <f>'1_BD questio brut'!AN458</f>
        <v/>
      </c>
      <c r="AQ458" s="191" t="str">
        <f>'1_BD questio brut'!AO458</f>
        <v/>
      </c>
    </row>
    <row r="459" spans="1:43" ht="43.5" hidden="1">
      <c r="A459" s="98">
        <f>INDEX('3_BD instruction total'!A:A,MATCH(C459,'3_BD instruction total'!F:F,0))</f>
        <v>2022</v>
      </c>
      <c r="B459" s="98" t="str">
        <f>INDEX('3_BD instruction total'!C:C,MATCH(C459,'3_BD instruction total'!F:F,0))</f>
        <v>non</v>
      </c>
      <c r="C459" s="191" t="str">
        <f>'1_BD questio brut'!A459</f>
        <v>VRB0496</v>
      </c>
      <c r="D459" s="191" t="str">
        <f t="array" ref="D459">INDEX('Données 1_BD questio'!C:C,MATCH('1_BD questio brut'!$B$1&amp;'1_BD questio brut'!B459,'Données 1_BD questio'!A:A&amp;'Données 1_BD questio'!B:B,0))</f>
        <v>CAPV</v>
      </c>
      <c r="E459" s="191" t="str">
        <f t="array" ref="E459">INDEX('Données 1_BD questio'!C:C,MATCH('1_BD questio brut'!$C$1&amp;'1_BD questio brut'!C459,'Données 1_BD questio'!A:A&amp;'Données 1_BD questio'!B:B,0))</f>
        <v>Cadre</v>
      </c>
      <c r="F459" s="191" t="str">
        <f t="array" ref="F459">INDEX('Données 1_BD questio'!C:C,MATCH('1_BD questio brut'!$D$1&amp;'1_BD questio brut'!D459,'Données 1_BD questio'!A:A&amp;'Données 1_BD questio'!B:B,0))</f>
        <v>Retraité</v>
      </c>
      <c r="G459" s="191" t="str">
        <f>'1_BD questio brut'!E459</f>
        <v>50 à 64 ans</v>
      </c>
      <c r="H459" s="191">
        <f>'1_BD questio brut'!F459</f>
        <v>2</v>
      </c>
      <c r="I459" s="191" t="str">
        <f>'1_BD questio brut'!G459</f>
        <v>70 000 à 80 000 €</v>
      </c>
      <c r="J459" s="191" t="str">
        <f t="array" ref="J459">INDEX('Données 1_BD questio'!C:C,MATCH('1_BD questio brut'!$H$1&amp;'1_BD questio brut'!H459,'Données 1_BD questio'!A:A&amp;'Données 1_BD questio'!B:B,0))</f>
        <v>Maison avec jardin</v>
      </c>
      <c r="K459" s="191">
        <f>'1_BD questio brut'!I459</f>
        <v>160</v>
      </c>
      <c r="L459" s="191" t="str">
        <f>'1_BD questio brut'!J459</f>
        <v>Avant 1949</v>
      </c>
      <c r="M459" s="191" t="str">
        <f>'1_BD questio brut'!K459</f>
        <v>4</v>
      </c>
      <c r="N459" s="191" t="str">
        <f>'1_BD questio brut'!L459</f>
        <v>Pas de réponse</v>
      </c>
      <c r="O459" s="191" t="str">
        <f>'1_BD questio brut'!M459</f>
        <v>Propriétaire occupant</v>
      </c>
      <c r="P459" s="191" t="str">
        <f>'1_BD questio brut'!N459</f>
        <v>Poêle</v>
      </c>
      <c r="Q459" s="191" t="str">
        <f>'1_BD questio brut'!O459</f>
        <v>Chauffage d'apoint</v>
      </c>
      <c r="R459" s="191" t="str">
        <f>'1_BD questio brut'!P459</f>
        <v>1 à 2 jours/semaine</v>
      </c>
      <c r="S459" s="191" t="str">
        <f>'1_BD questio brut'!Q459</f>
        <v>1; 2; 4</v>
      </c>
      <c r="T459" s="191" t="str">
        <f>'1_BD questio brut'!R459</f>
        <v>Avant 1990</v>
      </c>
      <c r="U459" s="191" t="str">
        <f>'1_BD questio brut'!S459</f>
        <v>Bois bûche</v>
      </c>
      <c r="V459" s="191" t="str">
        <f>'1_BD questio brut'!T459</f>
        <v/>
      </c>
      <c r="W459" s="191" t="str">
        <f>'1_BD questio brut'!U459</f>
        <v>7</v>
      </c>
      <c r="X459" s="191" t="str">
        <f>'1_BD questio brut'!V459</f>
        <v>Stères</v>
      </c>
      <c r="Y459" s="191" t="str">
        <f>'1_BD questio brut'!W459</f>
        <v>2</v>
      </c>
      <c r="Z459" s="191" t="str">
        <f>'1_BD questio brut'!X459</f>
        <v/>
      </c>
      <c r="AA459" s="191" t="e">
        <f t="array" ref="AA459">INDEX('Données 1_BD questio'!C:C,MATCH('1_BD questio brut'!$Y$1&amp;'1_BD questio brut'!Y459,'Données 1_BD questio'!A:A&amp;'Données 1_BD questio'!B:B,0))</f>
        <v>#N/A</v>
      </c>
      <c r="AB459" s="191" t="str">
        <f>'1_BD questio brut'!Z459</f>
        <v>1</v>
      </c>
      <c r="AC459" s="191" t="str">
        <f>'1_BD questio brut'!AA459</f>
        <v>1 à 2 ans</v>
      </c>
      <c r="AD459" s="191" t="str">
        <f>'1_BD questio brut'!AB459</f>
        <v>Feuillus</v>
      </c>
      <c r="AE459" s="191" t="str">
        <f t="array" ref="AE459">INDEX('Données 1_BD questio'!C:C,MATCH('1_BD questio brut'!$AC$1&amp;'1_BD questio brut'!AC459,'Données 1_BD questio'!A:A&amp;'Données 1_BD questio'!B:B,0))</f>
        <v>un professionnel</v>
      </c>
      <c r="AF459" s="191" t="str">
        <f>'1_BD questio brut'!AD459</f>
        <v>1 fois par an</v>
      </c>
      <c r="AG459" s="191" t="str">
        <f>'1_BD questio brut'!AE459</f>
        <v/>
      </c>
      <c r="AH459" s="191" t="str">
        <f>'1_BD questio brut'!AF459</f>
        <v>Poêle</v>
      </c>
      <c r="AI459" s="191" t="str">
        <f>'1_BD questio brut'!AG459</f>
        <v>1</v>
      </c>
      <c r="AJ459" s="191" t="str">
        <f>'1_BD questio brut'!AH459</f>
        <v/>
      </c>
      <c r="AK459" s="191" t="str">
        <f>'1_BD questio brut'!AI459</f>
        <v>Chauffage d'appoint</v>
      </c>
      <c r="AL459" s="191" t="str">
        <f>'1_BD questio brut'!AJ459</f>
        <v>Pas de réponse</v>
      </c>
      <c r="AM459" s="191" t="str">
        <f>'1_BD questio brut'!AK459</f>
        <v>2; 4; 5</v>
      </c>
      <c r="AN459" s="191" t="str">
        <f>'1_BD questio brut'!AL459</f>
        <v/>
      </c>
      <c r="AO459" s="191" t="str">
        <f>'1_BD questio brut'!AM459</f>
        <v>2; 5; 7; 11</v>
      </c>
      <c r="AP459" s="191" t="str">
        <f>'1_BD questio brut'!AN459</f>
        <v/>
      </c>
      <c r="AQ459" s="191" t="str">
        <f>'1_BD questio brut'!AO459</f>
        <v/>
      </c>
    </row>
    <row r="460" spans="1:43" ht="43.5" hidden="1">
      <c r="A460" s="98">
        <f>INDEX('3_BD instruction total'!A:A,MATCH(C460,'3_BD instruction total'!F:F,0))</f>
        <v>2022</v>
      </c>
      <c r="B460" s="98" t="str">
        <f>INDEX('3_BD instruction total'!C:C,MATCH(C460,'3_BD instruction total'!F:F,0))</f>
        <v>non</v>
      </c>
      <c r="C460" s="191" t="str">
        <f>'1_BD questio brut'!A460</f>
        <v>VRB0497</v>
      </c>
      <c r="D460" s="191" t="str">
        <f t="array" ref="D460">INDEX('Données 1_BD questio'!C:C,MATCH('1_BD questio brut'!$B$1&amp;'1_BD questio brut'!B460,'Données 1_BD questio'!A:A&amp;'Données 1_BD questio'!B:B,0))</f>
        <v>CAPV</v>
      </c>
      <c r="E460" s="191" t="str">
        <f t="array" ref="E460">INDEX('Données 1_BD questio'!C:C,MATCH('1_BD questio brut'!$C$1&amp;'1_BD questio brut'!C460,'Données 1_BD questio'!A:A&amp;'Données 1_BD questio'!B:B,0))</f>
        <v>Profession intermédiaire</v>
      </c>
      <c r="F460" s="191" t="str">
        <f t="array" ref="F460">INDEX('Données 1_BD questio'!C:C,MATCH('1_BD questio brut'!$D$1&amp;'1_BD questio brut'!D460,'Données 1_BD questio'!A:A&amp;'Données 1_BD questio'!B:B,0))</f>
        <v>Profession intermédiaire</v>
      </c>
      <c r="G460" s="191" t="str">
        <f>'1_BD questio brut'!E460</f>
        <v>35 à 49 ans</v>
      </c>
      <c r="H460" s="191">
        <f>'1_BD questio brut'!F460</f>
        <v>4</v>
      </c>
      <c r="I460" s="191" t="str">
        <f>'1_BD questio brut'!G460</f>
        <v>30 000 à 40 000 €</v>
      </c>
      <c r="J460" s="191" t="str">
        <f t="array" ref="J460">INDEX('Données 1_BD questio'!C:C,MATCH('1_BD questio brut'!$H$1&amp;'1_BD questio brut'!H460,'Données 1_BD questio'!A:A&amp;'Données 1_BD questio'!B:B,0))</f>
        <v>Maison avec jardin</v>
      </c>
      <c r="K460" s="191">
        <f>'1_BD questio brut'!I460</f>
        <v>90</v>
      </c>
      <c r="L460" s="191" t="str">
        <f>'1_BD questio brut'!J460</f>
        <v>1975-1990</v>
      </c>
      <c r="M460" s="191" t="str">
        <f>'1_BD questio brut'!K460</f>
        <v>1; 3; 4</v>
      </c>
      <c r="N460" s="191" t="str">
        <f>'1_BD questio brut'!L460</f>
        <v>F</v>
      </c>
      <c r="O460" s="191" t="str">
        <f>'1_BD questio brut'!M460</f>
        <v>Propriétaire occupant</v>
      </c>
      <c r="P460" s="191" t="str">
        <f>'1_BD questio brut'!N460</f>
        <v>Poêle</v>
      </c>
      <c r="Q460" s="191" t="str">
        <f>'1_BD questio brut'!O460</f>
        <v>Chauffage de base</v>
      </c>
      <c r="R460" s="191" t="str">
        <f>'1_BD questio brut'!P460</f>
        <v>Tous les jours</v>
      </c>
      <c r="S460" s="191" t="str">
        <f>'1_BD questio brut'!Q460</f>
        <v>2; 4; 6</v>
      </c>
      <c r="T460" s="191" t="str">
        <f>'1_BD questio brut'!R460</f>
        <v>Pas de réponse</v>
      </c>
      <c r="U460" s="191" t="str">
        <f>'1_BD questio brut'!S460</f>
        <v>Bois bûche</v>
      </c>
      <c r="V460" s="191" t="str">
        <f>'1_BD questio brut'!T460</f>
        <v/>
      </c>
      <c r="W460" s="191" t="str">
        <f>'1_BD questio brut'!U460</f>
        <v>4</v>
      </c>
      <c r="X460" s="191" t="str">
        <f>'1_BD questio brut'!V460</f>
        <v>Stères</v>
      </c>
      <c r="Y460" s="191" t="str">
        <f>'1_BD questio brut'!W460</f>
        <v>2</v>
      </c>
      <c r="Z460" s="191" t="str">
        <f>'1_BD questio brut'!X460</f>
        <v/>
      </c>
      <c r="AA460" s="191" t="str">
        <f t="array" ref="AA460">INDEX('Données 1_BD questio'!C:C,MATCH('1_BD questio brut'!$Y$1&amp;'1_BD questio brut'!Y460,'Données 1_BD questio'!A:A&amp;'Données 1_BD questio'!B:B,0))</f>
        <v>Ne sait pas</v>
      </c>
      <c r="AB460" s="191" t="str">
        <f>'1_BD questio brut'!Z460</f>
        <v>1</v>
      </c>
      <c r="AC460" s="191" t="str">
        <f>'1_BD questio brut'!AA460</f>
        <v>&gt; 2 ans</v>
      </c>
      <c r="AD460" s="191" t="str">
        <f>'1_BD questio brut'!AB460</f>
        <v>Les deux</v>
      </c>
      <c r="AE460" s="191" t="str">
        <f t="array" ref="AE460">INDEX('Données 1_BD questio'!C:C,MATCH('1_BD questio brut'!$AC$1&amp;'1_BD questio brut'!AC460,'Données 1_BD questio'!A:A&amp;'Données 1_BD questio'!B:B,0))</f>
        <v>un professionnel</v>
      </c>
      <c r="AF460" s="191" t="str">
        <f>'1_BD questio brut'!AD460</f>
        <v>1 fois par an</v>
      </c>
      <c r="AG460" s="191" t="str">
        <f>'1_BD questio brut'!AE460</f>
        <v/>
      </c>
      <c r="AH460" s="191" t="str">
        <f>'1_BD questio brut'!AF460</f>
        <v>Poêle</v>
      </c>
      <c r="AI460" s="191" t="str">
        <f>'1_BD questio brut'!AG460</f>
        <v>2</v>
      </c>
      <c r="AJ460" s="191" t="str">
        <f>'1_BD questio brut'!AH460</f>
        <v/>
      </c>
      <c r="AK460" s="191" t="str">
        <f>'1_BD questio brut'!AI460</f>
        <v>Chauffage de base</v>
      </c>
      <c r="AL460" s="191" t="str">
        <f>'1_BD questio brut'!AJ460</f>
        <v>Pas de réponse</v>
      </c>
      <c r="AM460" s="191" t="str">
        <f>'1_BD questio brut'!AK460</f>
        <v>2; 4; 5</v>
      </c>
      <c r="AN460" s="191" t="str">
        <f>'1_BD questio brut'!AL460</f>
        <v/>
      </c>
      <c r="AO460" s="191" t="str">
        <f>'1_BD questio brut'!AM460</f>
        <v>2</v>
      </c>
      <c r="AP460" s="191" t="str">
        <f>'1_BD questio brut'!AN460</f>
        <v/>
      </c>
      <c r="AQ460" s="191" t="str">
        <f>'1_BD questio brut'!AO460</f>
        <v/>
      </c>
    </row>
    <row r="461" spans="1:43" ht="43.5" hidden="1">
      <c r="A461" s="98">
        <f>INDEX('3_BD instruction total'!A:A,MATCH(C461,'3_BD instruction total'!F:F,0))</f>
        <v>2022</v>
      </c>
      <c r="B461" s="98" t="str">
        <f>INDEX('3_BD instruction total'!C:C,MATCH(C461,'3_BD instruction total'!F:F,0))</f>
        <v>non</v>
      </c>
      <c r="C461" s="191" t="str">
        <f>'1_BD questio brut'!A461</f>
        <v>VRB0498</v>
      </c>
      <c r="D461" s="191" t="str">
        <f t="array" ref="D461">INDEX('Données 1_BD questio'!C:C,MATCH('1_BD questio brut'!$B$1&amp;'1_BD questio brut'!B461,'Données 1_BD questio'!A:A&amp;'Données 1_BD questio'!B:B,0))</f>
        <v>CCLG</v>
      </c>
      <c r="E461" s="191" t="str">
        <f t="array" ref="E461">INDEX('Données 1_BD questio'!C:C,MATCH('1_BD questio brut'!$C$1&amp;'1_BD questio brut'!C461,'Données 1_BD questio'!A:A&amp;'Données 1_BD questio'!B:B,0))</f>
        <v>Retraité</v>
      </c>
      <c r="F461" s="191" t="str">
        <f t="array" ref="F461">INDEX('Données 1_BD questio'!C:C,MATCH('1_BD questio brut'!$D$1&amp;'1_BD questio brut'!D461,'Données 1_BD questio'!A:A&amp;'Données 1_BD questio'!B:B,0))</f>
        <v>Retraité</v>
      </c>
      <c r="G461" s="191" t="str">
        <f>'1_BD questio brut'!E461</f>
        <v>65 ans et plus</v>
      </c>
      <c r="H461" s="191">
        <f>'1_BD questio brut'!F461</f>
        <v>2</v>
      </c>
      <c r="I461" s="191" t="str">
        <f>'1_BD questio brut'!G461</f>
        <v>30 000 à 40 000 €</v>
      </c>
      <c r="J461" s="191" t="str">
        <f t="array" ref="J461">INDEX('Données 1_BD questio'!C:C,MATCH('1_BD questio brut'!$H$1&amp;'1_BD questio brut'!H461,'Données 1_BD questio'!A:A&amp;'Données 1_BD questio'!B:B,0))</f>
        <v>Maison avec jardin</v>
      </c>
      <c r="K461" s="191">
        <f>'1_BD questio brut'!I461</f>
        <v>100</v>
      </c>
      <c r="L461" s="191" t="str">
        <f>'1_BD questio brut'!J461</f>
        <v>1949-1975</v>
      </c>
      <c r="M461" s="191" t="str">
        <f>'1_BD questio brut'!K461</f>
        <v>1; 2; 3; 4</v>
      </c>
      <c r="N461" s="191" t="str">
        <f>'1_BD questio brut'!L461</f>
        <v>Pas de réponse</v>
      </c>
      <c r="O461" s="191" t="str">
        <f>'1_BD questio brut'!M461</f>
        <v>Propriétaire occupant</v>
      </c>
      <c r="P461" s="191" t="str">
        <f>'1_BD questio brut'!N461</f>
        <v>Foyer ouvert</v>
      </c>
      <c r="Q461" s="191" t="str">
        <f>'1_BD questio brut'!O461</f>
        <v>Chauffage d'apoint</v>
      </c>
      <c r="R461" s="191" t="str">
        <f>'1_BD questio brut'!P461</f>
        <v>Tous les jours</v>
      </c>
      <c r="S461" s="191" t="str">
        <f>'1_BD questio brut'!Q461</f>
        <v>2; 3; 4</v>
      </c>
      <c r="T461" s="191" t="str">
        <f>'1_BD questio brut'!R461</f>
        <v>Avant 1990</v>
      </c>
      <c r="U461" s="191" t="str">
        <f>'1_BD questio brut'!S461</f>
        <v>Bois bûche</v>
      </c>
      <c r="V461" s="191" t="str">
        <f>'1_BD questio brut'!T461</f>
        <v/>
      </c>
      <c r="W461" s="191" t="str">
        <f>'1_BD questio brut'!U461</f>
        <v/>
      </c>
      <c r="X461" s="191" t="str">
        <f>'1_BD questio brut'!V461</f>
        <v/>
      </c>
      <c r="Y461" s="191" t="str">
        <f>'1_BD questio brut'!W461</f>
        <v>1</v>
      </c>
      <c r="Z461" s="191" t="str">
        <f>'1_BD questio brut'!X461</f>
        <v/>
      </c>
      <c r="AA461" s="191" t="str">
        <f t="array" ref="AA461">INDEX('Données 1_BD questio'!C:C,MATCH('1_BD questio brut'!$Y$1&amp;'1_BD questio brut'!Y461,'Données 1_BD questio'!A:A&amp;'Données 1_BD questio'!B:B,0))</f>
        <v>Pas de réponse</v>
      </c>
      <c r="AB461" s="191" t="str">
        <f>'1_BD questio brut'!Z461</f>
        <v>2</v>
      </c>
      <c r="AC461" s="191" t="str">
        <f>'1_BD questio brut'!AA461</f>
        <v>&gt; 2 ans</v>
      </c>
      <c r="AD461" s="191" t="str">
        <f>'1_BD questio brut'!AB461</f>
        <v>Les deux</v>
      </c>
      <c r="AE461" s="191" t="str">
        <f t="array" ref="AE461">INDEX('Données 1_BD questio'!C:C,MATCH('1_BD questio brut'!$AC$1&amp;'1_BD questio brut'!AC461,'Données 1_BD questio'!A:A&amp;'Données 1_BD questio'!B:B,0))</f>
        <v>un professionnel</v>
      </c>
      <c r="AF461" s="191" t="str">
        <f>'1_BD questio brut'!AD461</f>
        <v>1 fois tous les 2 ans</v>
      </c>
      <c r="AG461" s="191" t="str">
        <f>'1_BD questio brut'!AE461</f>
        <v/>
      </c>
      <c r="AH461" s="191" t="str">
        <f>'1_BD questio brut'!AF461</f>
        <v>Poêle</v>
      </c>
      <c r="AI461" s="191" t="str">
        <f>'1_BD questio brut'!AG461</f>
        <v>2</v>
      </c>
      <c r="AJ461" s="191" t="str">
        <f>'1_BD questio brut'!AH461</f>
        <v/>
      </c>
      <c r="AK461" s="191" t="str">
        <f>'1_BD questio brut'!AI461</f>
        <v>Chauffage de base</v>
      </c>
      <c r="AL461" s="191" t="str">
        <f>'1_BD questio brut'!AJ461</f>
        <v>Pas de réponse</v>
      </c>
      <c r="AM461" s="191" t="str">
        <f>'1_BD questio brut'!AK461</f>
        <v>1; 4</v>
      </c>
      <c r="AN461" s="191" t="str">
        <f>'1_BD questio brut'!AL461</f>
        <v/>
      </c>
      <c r="AO461" s="191" t="str">
        <f>'1_BD questio brut'!AM461</f>
        <v>8</v>
      </c>
      <c r="AP461" s="191" t="str">
        <f>'1_BD questio brut'!AN461</f>
        <v/>
      </c>
      <c r="AQ461" s="191" t="str">
        <f>'1_BD questio brut'!AO461</f>
        <v/>
      </c>
    </row>
    <row r="462" spans="1:43" ht="43.5" hidden="1">
      <c r="A462" s="98">
        <f>INDEX('3_BD instruction total'!A:A,MATCH(C462,'3_BD instruction total'!F:F,0))</f>
        <v>2022</v>
      </c>
      <c r="B462" s="98" t="str">
        <f>INDEX('3_BD instruction total'!C:C,MATCH(C462,'3_BD instruction total'!F:F,0))</f>
        <v>non</v>
      </c>
      <c r="C462" s="191" t="str">
        <f>'1_BD questio brut'!A462</f>
        <v>VRB0499</v>
      </c>
      <c r="D462" s="191" t="str">
        <f t="array" ref="D462">INDEX('Données 1_BD questio'!C:C,MATCH('1_BD questio brut'!$B$1&amp;'1_BD questio brut'!B462,'Données 1_BD questio'!A:A&amp;'Données 1_BD questio'!B:B,0))</f>
        <v>CAPV</v>
      </c>
      <c r="E462" s="191" t="str">
        <f t="array" ref="E462">INDEX('Données 1_BD questio'!C:C,MATCH('1_BD questio brut'!$C$1&amp;'1_BD questio brut'!C462,'Données 1_BD questio'!A:A&amp;'Données 1_BD questio'!B:B,0))</f>
        <v>Retraité</v>
      </c>
      <c r="F462" s="191" t="str">
        <f t="array" ref="F462">INDEX('Données 1_BD questio'!C:C,MATCH('1_BD questio brut'!$D$1&amp;'1_BD questio brut'!D462,'Données 1_BD questio'!A:A&amp;'Données 1_BD questio'!B:B,0))</f>
        <v>Retraité</v>
      </c>
      <c r="G462" s="191" t="str">
        <f>'1_BD questio brut'!E462</f>
        <v>50 à 64 ans</v>
      </c>
      <c r="H462" s="191">
        <f>'1_BD questio brut'!F462</f>
        <v>3</v>
      </c>
      <c r="I462" s="191" t="str">
        <f>'1_BD questio brut'!G462</f>
        <v>50 000 à 60 000 €</v>
      </c>
      <c r="J462" s="191" t="str">
        <f t="array" ref="J462">INDEX('Données 1_BD questio'!C:C,MATCH('1_BD questio brut'!$H$1&amp;'1_BD questio brut'!H462,'Données 1_BD questio'!A:A&amp;'Données 1_BD questio'!B:B,0))</f>
        <v>Maison avec jardin</v>
      </c>
      <c r="K462" s="191">
        <f>'1_BD questio brut'!I462</f>
        <v>140</v>
      </c>
      <c r="L462" s="191" t="str">
        <f>'1_BD questio brut'!J462</f>
        <v>1949-1975</v>
      </c>
      <c r="M462" s="191" t="str">
        <f>'1_BD questio brut'!K462</f>
        <v>5</v>
      </c>
      <c r="N462" s="191" t="str">
        <f>'1_BD questio brut'!L462</f>
        <v>Pas de réponse</v>
      </c>
      <c r="O462" s="191" t="str">
        <f>'1_BD questio brut'!M462</f>
        <v>Propriétaire occupant</v>
      </c>
      <c r="P462" s="191" t="str">
        <f>'1_BD questio brut'!N462</f>
        <v>Foyer ouvert</v>
      </c>
      <c r="Q462" s="191" t="str">
        <f>'1_BD questio brut'!O462</f>
        <v>Chauffage d'apoint</v>
      </c>
      <c r="R462" s="191" t="str">
        <f>'1_BD questio brut'!P462</f>
        <v>1 à 3 jours/mois</v>
      </c>
      <c r="S462" s="191" t="str">
        <f>'1_BD questio brut'!Q462</f>
        <v>2; 3; 6</v>
      </c>
      <c r="T462" s="191" t="str">
        <f>'1_BD questio brut'!R462</f>
        <v>Après 2002</v>
      </c>
      <c r="U462" s="191" t="str">
        <f>'1_BD questio brut'!S462</f>
        <v>Bois bûche</v>
      </c>
      <c r="V462" s="191" t="str">
        <f>'1_BD questio brut'!T462</f>
        <v/>
      </c>
      <c r="W462" s="191" t="str">
        <f>'1_BD questio brut'!U462</f>
        <v>0,75</v>
      </c>
      <c r="X462" s="191" t="str">
        <f>'1_BD questio brut'!V462</f>
        <v>Stères</v>
      </c>
      <c r="Y462" s="191" t="str">
        <f>'1_BD questio brut'!W462</f>
        <v>1; 2</v>
      </c>
      <c r="Z462" s="191" t="str">
        <f>'1_BD questio brut'!X462</f>
        <v/>
      </c>
      <c r="AA462" s="191" t="str">
        <f t="array" ref="AA462">INDEX('Données 1_BD questio'!C:C,MATCH('1_BD questio brut'!$Y$1&amp;'1_BD questio brut'!Y462,'Données 1_BD questio'!A:A&amp;'Données 1_BD questio'!B:B,0))</f>
        <v>Rhône-Alpes hors RA2B</v>
      </c>
      <c r="AB462" s="191" t="str">
        <f>'1_BD questio brut'!Z462</f>
        <v>2</v>
      </c>
      <c r="AC462" s="191" t="str">
        <f>'1_BD questio brut'!AA462</f>
        <v>&gt; 2 ans</v>
      </c>
      <c r="AD462" s="191" t="str">
        <f>'1_BD questio brut'!AB462</f>
        <v>Feuillus</v>
      </c>
      <c r="AE462" s="191" t="str">
        <f t="array" ref="AE462">INDEX('Données 1_BD questio'!C:C,MATCH('1_BD questio brut'!$AC$1&amp;'1_BD questio brut'!AC462,'Données 1_BD questio'!A:A&amp;'Données 1_BD questio'!B:B,0))</f>
        <v>un professionnel</v>
      </c>
      <c r="AF462" s="191" t="str">
        <f>'1_BD questio brut'!AD462</f>
        <v>1 fois par an</v>
      </c>
      <c r="AG462" s="191" t="str">
        <f>'1_BD questio brut'!AE462</f>
        <v/>
      </c>
      <c r="AH462" s="191" t="str">
        <f>'1_BD questio brut'!AF462</f>
        <v>Poêle</v>
      </c>
      <c r="AI462" s="191" t="str">
        <f>'1_BD questio brut'!AG462</f>
        <v>1</v>
      </c>
      <c r="AJ462" s="191" t="str">
        <f>'1_BD questio brut'!AH462</f>
        <v/>
      </c>
      <c r="AK462" s="191" t="str">
        <f>'1_BD questio brut'!AI462</f>
        <v>Chauffage d'appoint</v>
      </c>
      <c r="AL462" s="191" t="str">
        <f>'1_BD questio brut'!AJ462</f>
        <v>Pas de réponse</v>
      </c>
      <c r="AM462" s="191" t="str">
        <f>'1_BD questio brut'!AK462</f>
        <v>4; 5</v>
      </c>
      <c r="AN462" s="191" t="str">
        <f>'1_BD questio brut'!AL462</f>
        <v/>
      </c>
      <c r="AO462" s="191" t="str">
        <f>'1_BD questio brut'!AM462</f>
        <v>5</v>
      </c>
      <c r="AP462" s="191" t="str">
        <f>'1_BD questio brut'!AN462</f>
        <v/>
      </c>
      <c r="AQ462" s="191" t="str">
        <f>'1_BD questio brut'!AO462</f>
        <v/>
      </c>
    </row>
    <row r="463" spans="1:43" ht="43.5" hidden="1">
      <c r="A463" s="98">
        <f>INDEX('3_BD instruction total'!A:A,MATCH(C463,'3_BD instruction total'!F:F,0))</f>
        <v>2022</v>
      </c>
      <c r="B463" s="98" t="str">
        <f>INDEX('3_BD instruction total'!C:C,MATCH(C463,'3_BD instruction total'!F:F,0))</f>
        <v>non</v>
      </c>
      <c r="C463" s="191" t="str">
        <f>'1_BD questio brut'!A463</f>
        <v>VRB0500</v>
      </c>
      <c r="D463" s="191" t="str">
        <f t="array" ref="D463">INDEX('Données 1_BD questio'!C:C,MATCH('1_BD questio brut'!$B$1&amp;'1_BD questio brut'!B463,'Données 1_BD questio'!A:A&amp;'Données 1_BD questio'!B:B,0))</f>
        <v>CAPV</v>
      </c>
      <c r="E463" s="191" t="str">
        <f t="array" ref="E463">INDEX('Données 1_BD questio'!C:C,MATCH('1_BD questio brut'!$C$1&amp;'1_BD questio brut'!C463,'Données 1_BD questio'!A:A&amp;'Données 1_BD questio'!B:B,0))</f>
        <v>Cadre</v>
      </c>
      <c r="F463" s="191" t="str">
        <f t="array" ref="F463">INDEX('Données 1_BD questio'!C:C,MATCH('1_BD questio brut'!$D$1&amp;'1_BD questio brut'!D463,'Données 1_BD questio'!A:A&amp;'Données 1_BD questio'!B:B,0))</f>
        <v>Employé</v>
      </c>
      <c r="G463" s="191" t="str">
        <f>'1_BD questio brut'!E463</f>
        <v>35 à 49 ans</v>
      </c>
      <c r="H463" s="191">
        <f>'1_BD questio brut'!F463</f>
        <v>4</v>
      </c>
      <c r="I463" s="191" t="str">
        <f>'1_BD questio brut'!G463</f>
        <v>30 000 à 40 000 €</v>
      </c>
      <c r="J463" s="191" t="str">
        <f t="array" ref="J463">INDEX('Données 1_BD questio'!C:C,MATCH('1_BD questio brut'!$H$1&amp;'1_BD questio brut'!H463,'Données 1_BD questio'!A:A&amp;'Données 1_BD questio'!B:B,0))</f>
        <v>Maison avec jardin</v>
      </c>
      <c r="K463" s="191">
        <f>'1_BD questio brut'!I463</f>
        <v>90</v>
      </c>
      <c r="L463" s="191" t="str">
        <f>'1_BD questio brut'!J463</f>
        <v>1949-1975</v>
      </c>
      <c r="M463" s="191" t="str">
        <f>'1_BD questio brut'!K463</f>
        <v>4</v>
      </c>
      <c r="N463" s="191" t="str">
        <f>'1_BD questio brut'!L463</f>
        <v>D</v>
      </c>
      <c r="O463" s="191" t="str">
        <f>'1_BD questio brut'!M463</f>
        <v>Propriétaire occupant</v>
      </c>
      <c r="P463" s="191" t="str">
        <f>'1_BD questio brut'!N463</f>
        <v>Insert / foyer fermé</v>
      </c>
      <c r="Q463" s="191" t="str">
        <f>'1_BD questio brut'!O463</f>
        <v>Chauffage d'apoint</v>
      </c>
      <c r="R463" s="191" t="str">
        <f>'1_BD questio brut'!P463</f>
        <v>Tous les jours</v>
      </c>
      <c r="S463" s="191" t="str">
        <f>'1_BD questio brut'!Q463</f>
        <v>2; 6</v>
      </c>
      <c r="T463" s="191" t="str">
        <f>'1_BD questio brut'!R463</f>
        <v>Avant 1990</v>
      </c>
      <c r="U463" s="191" t="str">
        <f>'1_BD questio brut'!S463</f>
        <v>Bois bûche</v>
      </c>
      <c r="V463" s="191" t="str">
        <f>'1_BD questio brut'!T463</f>
        <v/>
      </c>
      <c r="W463" s="191" t="str">
        <f>'1_BD questio brut'!U463</f>
        <v>4</v>
      </c>
      <c r="X463" s="191" t="str">
        <f>'1_BD questio brut'!V463</f>
        <v>Stères</v>
      </c>
      <c r="Y463" s="191" t="str">
        <f>'1_BD questio brut'!W463</f>
        <v>2</v>
      </c>
      <c r="Z463" s="191" t="str">
        <f>'1_BD questio brut'!X463</f>
        <v/>
      </c>
      <c r="AA463" s="191" t="str">
        <f t="array" ref="AA463">INDEX('Données 1_BD questio'!C:C,MATCH('1_BD questio brut'!$Y$1&amp;'1_BD questio brut'!Y463,'Données 1_BD questio'!A:A&amp;'Données 1_BD questio'!B:B,0))</f>
        <v>Ne sait pas</v>
      </c>
      <c r="AB463" s="191" t="str">
        <f>'1_BD questio brut'!Z463</f>
        <v>2</v>
      </c>
      <c r="AC463" s="191" t="str">
        <f>'1_BD questio brut'!AA463</f>
        <v>&gt; 2 ans</v>
      </c>
      <c r="AD463" s="191" t="str">
        <f>'1_BD questio brut'!AB463</f>
        <v>Les deux</v>
      </c>
      <c r="AE463" s="191" t="str">
        <f t="array" ref="AE463">INDEX('Données 1_BD questio'!C:C,MATCH('1_BD questio brut'!$AC$1&amp;'1_BD questio brut'!AC463,'Données 1_BD questio'!A:A&amp;'Données 1_BD questio'!B:B,0))</f>
        <v>un professionnel</v>
      </c>
      <c r="AF463" s="191" t="str">
        <f>'1_BD questio brut'!AD463</f>
        <v>1 fois par an</v>
      </c>
      <c r="AG463" s="191" t="str">
        <f>'1_BD questio brut'!AE463</f>
        <v/>
      </c>
      <c r="AH463" s="191" t="str">
        <f>'1_BD questio brut'!AF463</f>
        <v>Poêle</v>
      </c>
      <c r="AI463" s="191" t="str">
        <f>'1_BD questio brut'!AG463</f>
        <v>2</v>
      </c>
      <c r="AJ463" s="191" t="str">
        <f>'1_BD questio brut'!AH463</f>
        <v/>
      </c>
      <c r="AK463" s="191" t="str">
        <f>'1_BD questio brut'!AI463</f>
        <v>Chauffage de base</v>
      </c>
      <c r="AL463" s="191" t="str">
        <f>'1_BD questio brut'!AJ463</f>
        <v>Pas de réponse</v>
      </c>
      <c r="AM463" s="191" t="str">
        <f>'1_BD questio brut'!AK463</f>
        <v>2; 4; 5</v>
      </c>
      <c r="AN463" s="191" t="str">
        <f>'1_BD questio brut'!AL463</f>
        <v/>
      </c>
      <c r="AO463" s="191" t="str">
        <f>'1_BD questio brut'!AM463</f>
        <v>7</v>
      </c>
      <c r="AP463" s="191" t="str">
        <f>'1_BD questio brut'!AN463</f>
        <v/>
      </c>
      <c r="AQ463" s="191" t="str">
        <f>'1_BD questio brut'!AO463</f>
        <v/>
      </c>
    </row>
    <row r="464" spans="1:43" ht="29" hidden="1">
      <c r="A464" s="98">
        <f>INDEX('3_BD instruction total'!A:A,MATCH(C464,'3_BD instruction total'!F:F,0))</f>
        <v>2022</v>
      </c>
      <c r="B464" s="98" t="str">
        <f>INDEX('3_BD instruction total'!C:C,MATCH(C464,'3_BD instruction total'!F:F,0))</f>
        <v>non</v>
      </c>
      <c r="C464" s="191" t="str">
        <f>'1_BD questio brut'!A464</f>
        <v>VRB0501</v>
      </c>
      <c r="D464" s="191" t="str">
        <f t="array" ref="D464">INDEX('Données 1_BD questio'!C:C,MATCH('1_BD questio brut'!$B$1&amp;'1_BD questio brut'!B464,'Données 1_BD questio'!A:A&amp;'Données 1_BD questio'!B:B,0))</f>
        <v>CAPV</v>
      </c>
      <c r="E464" s="191" t="str">
        <f t="array" ref="E464">INDEX('Données 1_BD questio'!C:C,MATCH('1_BD questio brut'!$C$1&amp;'1_BD questio brut'!C464,'Données 1_BD questio'!A:A&amp;'Données 1_BD questio'!B:B,0))</f>
        <v>Employé</v>
      </c>
      <c r="F464" s="191" t="str">
        <f t="array" ref="F464">INDEX('Données 1_BD questio'!C:C,MATCH('1_BD questio brut'!$D$1&amp;'1_BD questio brut'!D464,'Données 1_BD questio'!A:A&amp;'Données 1_BD questio'!B:B,0))</f>
        <v>Employé</v>
      </c>
      <c r="G464" s="191" t="str">
        <f>'1_BD questio brut'!E464</f>
        <v>35 à 49 ans</v>
      </c>
      <c r="H464" s="191">
        <f>'1_BD questio brut'!F464</f>
        <v>4</v>
      </c>
      <c r="I464" s="191" t="str">
        <f>'1_BD questio brut'!G464</f>
        <v>30 000 à 40 000 €</v>
      </c>
      <c r="J464" s="191" t="str">
        <f t="array" ref="J464">INDEX('Données 1_BD questio'!C:C,MATCH('1_BD questio brut'!$H$1&amp;'1_BD questio brut'!H464,'Données 1_BD questio'!A:A&amp;'Données 1_BD questio'!B:B,0))</f>
        <v>Maison avec jardin</v>
      </c>
      <c r="K464" s="191">
        <f>'1_BD questio brut'!I464</f>
        <v>96</v>
      </c>
      <c r="L464" s="191" t="str">
        <f>'1_BD questio brut'!J464</f>
        <v>1949-1975</v>
      </c>
      <c r="M464" s="191" t="str">
        <f>'1_BD questio brut'!K464</f>
        <v>6</v>
      </c>
      <c r="N464" s="191" t="str">
        <f>'1_BD questio brut'!L464</f>
        <v>G</v>
      </c>
      <c r="O464" s="191" t="str">
        <f>'1_BD questio brut'!M464</f>
        <v>Propriétaire occupant</v>
      </c>
      <c r="P464" s="191" t="str">
        <f>'1_BD questio brut'!N464</f>
        <v>Insert / foyer fermé</v>
      </c>
      <c r="Q464" s="191" t="str">
        <f>'1_BD questio brut'!O464</f>
        <v>Chauffage de base</v>
      </c>
      <c r="R464" s="191" t="str">
        <f>'1_BD questio brut'!P464</f>
        <v>Pas de réponse</v>
      </c>
      <c r="S464" s="191" t="str">
        <f>'1_BD questio brut'!Q464</f>
        <v>7</v>
      </c>
      <c r="T464" s="191" t="str">
        <f>'1_BD questio brut'!R464</f>
        <v>Avant 1990</v>
      </c>
      <c r="U464" s="191" t="str">
        <f>'1_BD questio brut'!S464</f>
        <v>Bois bûche</v>
      </c>
      <c r="V464" s="191" t="str">
        <f>'1_BD questio brut'!T464</f>
        <v/>
      </c>
      <c r="W464" s="191" t="str">
        <f>'1_BD questio brut'!U464</f>
        <v/>
      </c>
      <c r="X464" s="191" t="str">
        <f>'1_BD questio brut'!V464</f>
        <v/>
      </c>
      <c r="Y464" s="191" t="str">
        <f>'1_BD questio brut'!W464</f>
        <v>5</v>
      </c>
      <c r="Z464" s="191" t="str">
        <f>'1_BD questio brut'!X464</f>
        <v/>
      </c>
      <c r="AA464" s="191" t="str">
        <f t="array" ref="AA464">INDEX('Données 1_BD questio'!C:C,MATCH('1_BD questio brut'!$Y$1&amp;'1_BD questio brut'!Y464,'Données 1_BD questio'!A:A&amp;'Données 1_BD questio'!B:B,0))</f>
        <v>Pas de réponse</v>
      </c>
      <c r="AB464" s="191" t="str">
        <f>'1_BD questio brut'!Z464</f>
        <v>4</v>
      </c>
      <c r="AC464" s="191" t="str">
        <f>'1_BD questio brut'!AA464</f>
        <v>Pas de réponse</v>
      </c>
      <c r="AD464" s="191" t="str">
        <f>'1_BD questio brut'!AB464</f>
        <v>Pas de réponse</v>
      </c>
      <c r="AE464" s="191" t="str">
        <f t="array" ref="AE464">INDEX('Données 1_BD questio'!C:C,MATCH('1_BD questio brut'!$AC$1&amp;'1_BD questio brut'!AC464,'Données 1_BD questio'!A:A&amp;'Données 1_BD questio'!B:B,0))</f>
        <v>Pas de réponse</v>
      </c>
      <c r="AF464" s="191" t="str">
        <f>'1_BD questio brut'!AD464</f>
        <v>Pas de réponse</v>
      </c>
      <c r="AG464" s="191" t="str">
        <f>'1_BD questio brut'!AE464</f>
        <v/>
      </c>
      <c r="AH464" s="191" t="str">
        <f>'1_BD questio brut'!AF464</f>
        <v>Poêle</v>
      </c>
      <c r="AI464" s="191" t="str">
        <f>'1_BD questio brut'!AG464</f>
        <v>1</v>
      </c>
      <c r="AJ464" s="191" t="str">
        <f>'1_BD questio brut'!AH464</f>
        <v/>
      </c>
      <c r="AK464" s="191" t="str">
        <f>'1_BD questio brut'!AI464</f>
        <v>Chauffage de base</v>
      </c>
      <c r="AL464" s="191" t="str">
        <f>'1_BD questio brut'!AJ464</f>
        <v>Pas de réponse</v>
      </c>
      <c r="AM464" s="191" t="str">
        <f>'1_BD questio brut'!AK464</f>
        <v>1; 2; 4; 5</v>
      </c>
      <c r="AN464" s="191" t="str">
        <f>'1_BD questio brut'!AL464</f>
        <v/>
      </c>
      <c r="AO464" s="191" t="str">
        <f>'1_BD questio brut'!AM464</f>
        <v>5</v>
      </c>
      <c r="AP464" s="191" t="str">
        <f>'1_BD questio brut'!AN464</f>
        <v/>
      </c>
      <c r="AQ464" s="191" t="str">
        <f>'1_BD questio brut'!AO464</f>
        <v/>
      </c>
    </row>
    <row r="465" spans="1:43" ht="43.5" hidden="1">
      <c r="A465" s="98">
        <f>INDEX('3_BD instruction total'!A:A,MATCH(C465,'3_BD instruction total'!F:F,0))</f>
        <v>1900</v>
      </c>
      <c r="B465" s="98" t="str">
        <f>INDEX('3_BD instruction total'!C:C,MATCH(C465,'3_BD instruction total'!F:F,0))</f>
        <v>non</v>
      </c>
      <c r="C465" s="191" t="str">
        <f>'1_BD questio brut'!A465</f>
        <v>VRB0502</v>
      </c>
      <c r="D465" s="191" t="str">
        <f t="array" ref="D465">INDEX('Données 1_BD questio'!C:C,MATCH('1_BD questio brut'!$B$1&amp;'1_BD questio brut'!B465,'Données 1_BD questio'!A:A&amp;'Données 1_BD questio'!B:B,0))</f>
        <v>GAM</v>
      </c>
      <c r="E465" s="191" t="str">
        <f t="array" ref="E465">INDEX('Données 1_BD questio'!C:C,MATCH('1_BD questio brut'!$C$1&amp;'1_BD questio brut'!C465,'Données 1_BD questio'!A:A&amp;'Données 1_BD questio'!B:B,0))</f>
        <v>Profession intermédiaire</v>
      </c>
      <c r="F465" s="191" t="str">
        <f t="array" ref="F465">INDEX('Données 1_BD questio'!C:C,MATCH('1_BD questio brut'!$D$1&amp;'1_BD questio brut'!D465,'Données 1_BD questio'!A:A&amp;'Données 1_BD questio'!B:B,0))</f>
        <v>Autre,sans activité</v>
      </c>
      <c r="G465" s="191" t="str">
        <f>'1_BD questio brut'!E465</f>
        <v>25 à 34 ans</v>
      </c>
      <c r="H465" s="191">
        <f>'1_BD questio brut'!F465</f>
        <v>5</v>
      </c>
      <c r="I465" s="191" t="str">
        <f>'1_BD questio brut'!G465</f>
        <v>40 000 à 50 000 €</v>
      </c>
      <c r="J465" s="191" t="str">
        <f t="array" ref="J465">INDEX('Données 1_BD questio'!C:C,MATCH('1_BD questio brut'!$H$1&amp;'1_BD questio brut'!H465,'Données 1_BD questio'!A:A&amp;'Données 1_BD questio'!B:B,0))</f>
        <v>Maison avec jardin</v>
      </c>
      <c r="K465" s="191">
        <f>'1_BD questio brut'!I465</f>
        <v>160</v>
      </c>
      <c r="L465" s="191" t="str">
        <f>'1_BD questio brut'!J465</f>
        <v>1949-1975</v>
      </c>
      <c r="M465" s="191" t="str">
        <f>'1_BD questio brut'!K465</f>
        <v>1</v>
      </c>
      <c r="N465" s="191" t="str">
        <f>'1_BD questio brut'!L465</f>
        <v>Pas de réponse</v>
      </c>
      <c r="O465" s="191" t="str">
        <f>'1_BD questio brut'!M465</f>
        <v>Propriétaire occupant</v>
      </c>
      <c r="P465" s="191" t="str">
        <f>'1_BD questio brut'!N465</f>
        <v>Insert / foyer fermé</v>
      </c>
      <c r="Q465" s="191" t="str">
        <f>'1_BD questio brut'!O465</f>
        <v>Chauffage d'apoint</v>
      </c>
      <c r="R465" s="191" t="str">
        <f>'1_BD questio brut'!P465</f>
        <v>Tous les jours</v>
      </c>
      <c r="S465" s="191" t="str">
        <f>'1_BD questio brut'!Q465</f>
        <v>2; 3</v>
      </c>
      <c r="T465" s="191" t="str">
        <f>'1_BD questio brut'!R465</f>
        <v>Avant 1990</v>
      </c>
      <c r="U465" s="191" t="str">
        <f>'1_BD questio brut'!S465</f>
        <v>Bois bûche</v>
      </c>
      <c r="V465" s="191" t="str">
        <f>'1_BD questio brut'!T465</f>
        <v>Branchage jardin</v>
      </c>
      <c r="W465" s="191" t="str">
        <f>'1_BD questio brut'!U465</f>
        <v>2</v>
      </c>
      <c r="X465" s="191" t="str">
        <f>'1_BD questio brut'!V465</f>
        <v>stère</v>
      </c>
      <c r="Y465" s="191" t="str">
        <f>'1_BD questio brut'!W465</f>
        <v>1; 2</v>
      </c>
      <c r="Z465" s="191" t="str">
        <f>'1_BD questio brut'!X465</f>
        <v/>
      </c>
      <c r="AA465" s="191" t="str">
        <f t="array" ref="AA465">INDEX('Données 1_BD questio'!C:C,MATCH('1_BD questio brut'!$Y$1&amp;'1_BD questio brut'!Y465,'Données 1_BD questio'!A:A&amp;'Données 1_BD questio'!B:B,0))</f>
        <v>Rhône-Alpes hors RA2B</v>
      </c>
      <c r="AB465" s="191" t="str">
        <f>'1_BD questio brut'!Z465</f>
        <v>2</v>
      </c>
      <c r="AC465" s="191" t="str">
        <f>'1_BD questio brut'!AA465</f>
        <v>&gt; 2 ans</v>
      </c>
      <c r="AD465" s="191" t="str">
        <f>'1_BD questio brut'!AB465</f>
        <v>Feuillus</v>
      </c>
      <c r="AE465" s="191" t="str">
        <f t="array" ref="AE465">INDEX('Données 1_BD questio'!C:C,MATCH('1_BD questio brut'!$AC$1&amp;'1_BD questio brut'!AC465,'Données 1_BD questio'!A:A&amp;'Données 1_BD questio'!B:B,0))</f>
        <v>un professionnel</v>
      </c>
      <c r="AF465" s="191" t="str">
        <f>'1_BD questio brut'!AD465</f>
        <v>1 fois par an</v>
      </c>
      <c r="AG465" s="191" t="str">
        <f>'1_BD questio brut'!AE465</f>
        <v/>
      </c>
      <c r="AH465" s="191" t="str">
        <f>'1_BD questio brut'!AF465</f>
        <v>Poêle</v>
      </c>
      <c r="AI465" s="191" t="str">
        <f>'1_BD questio brut'!AG465</f>
        <v>1</v>
      </c>
      <c r="AJ465" s="191" t="str">
        <f>'1_BD questio brut'!AH465</f>
        <v/>
      </c>
      <c r="AK465" s="191" t="str">
        <f>'1_BD questio brut'!AI465</f>
        <v>Chauffage de base</v>
      </c>
      <c r="AL465" s="191" t="str">
        <f>'1_BD questio brut'!AJ465</f>
        <v>Pas de réponse</v>
      </c>
      <c r="AM465" s="191" t="str">
        <f>'1_BD questio brut'!AK465</f>
        <v>1; 2; 4; 5</v>
      </c>
      <c r="AN465" s="191" t="str">
        <f>'1_BD questio brut'!AL465</f>
        <v/>
      </c>
      <c r="AO465" s="191" t="str">
        <f>'1_BD questio brut'!AM465</f>
        <v>2; 5; 7</v>
      </c>
      <c r="AP465" s="191" t="str">
        <f>'1_BD questio brut'!AN465</f>
        <v/>
      </c>
      <c r="AQ465" s="191" t="str">
        <f>'1_BD questio brut'!AO465</f>
        <v/>
      </c>
    </row>
    <row r="466" spans="1:43" ht="43.5" hidden="1">
      <c r="A466" s="98">
        <f>INDEX('3_BD instruction total'!A:A,MATCH(C466,'3_BD instruction total'!F:F,0))</f>
        <v>2022</v>
      </c>
      <c r="B466" s="98" t="str">
        <f>INDEX('3_BD instruction total'!C:C,MATCH(C466,'3_BD instruction total'!F:F,0))</f>
        <v>non</v>
      </c>
      <c r="C466" s="191" t="str">
        <f>'1_BD questio brut'!A466</f>
        <v>VRB0503</v>
      </c>
      <c r="D466" s="191" t="str">
        <f t="array" ref="D466">INDEX('Données 1_BD questio'!C:C,MATCH('1_BD questio brut'!$B$1&amp;'1_BD questio brut'!B466,'Données 1_BD questio'!A:A&amp;'Données 1_BD questio'!B:B,0))</f>
        <v>CAPV</v>
      </c>
      <c r="E466" s="191" t="str">
        <f t="array" ref="E466">INDEX('Données 1_BD questio'!C:C,MATCH('1_BD questio brut'!$C$1&amp;'1_BD questio brut'!C466,'Données 1_BD questio'!A:A&amp;'Données 1_BD questio'!B:B,0))</f>
        <v>Retraité</v>
      </c>
      <c r="F466" s="191" t="str">
        <f t="array" ref="F466">INDEX('Données 1_BD questio'!C:C,MATCH('1_BD questio brut'!$D$1&amp;'1_BD questio brut'!D466,'Données 1_BD questio'!A:A&amp;'Données 1_BD questio'!B:B,0))</f>
        <v>Pas de réponse</v>
      </c>
      <c r="G466" s="191" t="str">
        <f>'1_BD questio brut'!E466</f>
        <v>65 ans et plus</v>
      </c>
      <c r="H466" s="191">
        <f>'1_BD questio brut'!F466</f>
        <v>1</v>
      </c>
      <c r="I466" s="191" t="str">
        <f>'1_BD questio brut'!G466</f>
        <v>Moins de 20 000 €</v>
      </c>
      <c r="J466" s="191" t="str">
        <f t="array" ref="J466">INDEX('Données 1_BD questio'!C:C,MATCH('1_BD questio brut'!$H$1&amp;'1_BD questio brut'!H466,'Données 1_BD questio'!A:A&amp;'Données 1_BD questio'!B:B,0))</f>
        <v>Maison avec jardin</v>
      </c>
      <c r="K466" s="191">
        <f>'1_BD questio brut'!I466</f>
        <v>100</v>
      </c>
      <c r="L466" s="191" t="str">
        <f>'1_BD questio brut'!J466</f>
        <v>1975-1990</v>
      </c>
      <c r="M466" s="191" t="str">
        <f>'1_BD questio brut'!K466</f>
        <v>6</v>
      </c>
      <c r="N466" s="191" t="str">
        <f>'1_BD questio brut'!L466</f>
        <v>Pas de réponse</v>
      </c>
      <c r="O466" s="191" t="str">
        <f>'1_BD questio brut'!M466</f>
        <v>Propriétaire occupant</v>
      </c>
      <c r="P466" s="191" t="str">
        <f>'1_BD questio brut'!N466</f>
        <v>Insert / foyer fermé</v>
      </c>
      <c r="Q466" s="191" t="str">
        <f>'1_BD questio brut'!O466</f>
        <v>Chauffage de base</v>
      </c>
      <c r="R466" s="191" t="str">
        <f>'1_BD questio brut'!P466</f>
        <v>Tous les jours</v>
      </c>
      <c r="S466" s="191" t="str">
        <f>'1_BD questio brut'!Q466</f>
        <v>1; 3; 4; 5</v>
      </c>
      <c r="T466" s="191" t="str">
        <f>'1_BD questio brut'!R466</f>
        <v>Avant 1990</v>
      </c>
      <c r="U466" s="191" t="str">
        <f>'1_BD questio brut'!S466</f>
        <v>Bois bûche</v>
      </c>
      <c r="V466" s="191" t="str">
        <f>'1_BD questio brut'!T466</f>
        <v/>
      </c>
      <c r="W466" s="191" t="str">
        <f>'1_BD questio brut'!U466</f>
        <v>15</v>
      </c>
      <c r="X466" s="191" t="str">
        <f>'1_BD questio brut'!V466</f>
        <v/>
      </c>
      <c r="Y466" s="191" t="str">
        <f>'1_BD questio brut'!W466</f>
        <v>2</v>
      </c>
      <c r="Z466" s="191" t="str">
        <f>'1_BD questio brut'!X466</f>
        <v/>
      </c>
      <c r="AA466" s="191" t="str">
        <f t="array" ref="AA466">INDEX('Données 1_BD questio'!C:C,MATCH('1_BD questio brut'!$Y$1&amp;'1_BD questio brut'!Y466,'Données 1_BD questio'!A:A&amp;'Données 1_BD questio'!B:B,0))</f>
        <v>Ne sait pas</v>
      </c>
      <c r="AB466" s="191" t="str">
        <f>'1_BD questio brut'!Z466</f>
        <v>2</v>
      </c>
      <c r="AC466" s="191" t="str">
        <f>'1_BD questio brut'!AA466</f>
        <v>1 à 2 ans</v>
      </c>
      <c r="AD466" s="191" t="str">
        <f>'1_BD questio brut'!AB466</f>
        <v>Feuillus</v>
      </c>
      <c r="AE466" s="191" t="str">
        <f t="array" ref="AE466">INDEX('Données 1_BD questio'!C:C,MATCH('1_BD questio brut'!$AC$1&amp;'1_BD questio brut'!AC466,'Données 1_BD questio'!A:A&amp;'Données 1_BD questio'!B:B,0))</f>
        <v>un professionnel</v>
      </c>
      <c r="AF466" s="191" t="str">
        <f>'1_BD questio brut'!AD466</f>
        <v>1 fois par an</v>
      </c>
      <c r="AG466" s="191" t="str">
        <f>'1_BD questio brut'!AE466</f>
        <v/>
      </c>
      <c r="AH466" s="191" t="str">
        <f>'1_BD questio brut'!AF466</f>
        <v>Poêle</v>
      </c>
      <c r="AI466" s="191" t="str">
        <f>'1_BD questio brut'!AG466</f>
        <v>1</v>
      </c>
      <c r="AJ466" s="191" t="str">
        <f>'1_BD questio brut'!AH466</f>
        <v/>
      </c>
      <c r="AK466" s="191" t="str">
        <f>'1_BD questio brut'!AI466</f>
        <v>Chauffage de base</v>
      </c>
      <c r="AL466" s="191" t="str">
        <f>'1_BD questio brut'!AJ466</f>
        <v>Pas de réponse</v>
      </c>
      <c r="AM466" s="191" t="str">
        <f>'1_BD questio brut'!AK466</f>
        <v>2</v>
      </c>
      <c r="AN466" s="191" t="str">
        <f>'1_BD questio brut'!AL466</f>
        <v/>
      </c>
      <c r="AO466" s="191" t="str">
        <f>'1_BD questio brut'!AM466</f>
        <v>5</v>
      </c>
      <c r="AP466" s="191" t="str">
        <f>'1_BD questio brut'!AN466</f>
        <v/>
      </c>
      <c r="AQ466" s="191" t="str">
        <f>'1_BD questio brut'!AO466</f>
        <v/>
      </c>
    </row>
    <row r="467" spans="1:43" ht="29" hidden="1">
      <c r="A467" s="98">
        <f>INDEX('3_BD instruction total'!A:A,MATCH(C467,'3_BD instruction total'!F:F,0))</f>
        <v>2022</v>
      </c>
      <c r="B467" s="98" t="str">
        <f>INDEX('3_BD instruction total'!C:C,MATCH(C467,'3_BD instruction total'!F:F,0))</f>
        <v>non</v>
      </c>
      <c r="C467" s="191" t="str">
        <f>'1_BD questio brut'!A467</f>
        <v>VRB0504</v>
      </c>
      <c r="D467" s="191" t="str">
        <f t="array" ref="D467">INDEX('Données 1_BD questio'!C:C,MATCH('1_BD questio brut'!$B$1&amp;'1_BD questio brut'!B467,'Données 1_BD questio'!A:A&amp;'Données 1_BD questio'!B:B,0))</f>
        <v>CAPV</v>
      </c>
      <c r="E467" s="191" t="str">
        <f t="array" ref="E467">INDEX('Données 1_BD questio'!C:C,MATCH('1_BD questio brut'!$C$1&amp;'1_BD questio brut'!C467,'Données 1_BD questio'!A:A&amp;'Données 1_BD questio'!B:B,0))</f>
        <v>Retraité</v>
      </c>
      <c r="F467" s="191" t="str">
        <f t="array" ref="F467">INDEX('Données 1_BD questio'!C:C,MATCH('1_BD questio brut'!$D$1&amp;'1_BD questio brut'!D467,'Données 1_BD questio'!A:A&amp;'Données 1_BD questio'!B:B,0))</f>
        <v>Pas de réponse</v>
      </c>
      <c r="G467" s="191" t="str">
        <f>'1_BD questio brut'!E467</f>
        <v>65 ans et plus</v>
      </c>
      <c r="H467" s="191">
        <f>'1_BD questio brut'!F467</f>
        <v>1</v>
      </c>
      <c r="I467" s="191" t="str">
        <f>'1_BD questio brut'!G467</f>
        <v>20 000 à 30 000 €</v>
      </c>
      <c r="J467" s="191" t="str">
        <f t="array" ref="J467">INDEX('Données 1_BD questio'!C:C,MATCH('1_BD questio brut'!$H$1&amp;'1_BD questio brut'!H467,'Données 1_BD questio'!A:A&amp;'Données 1_BD questio'!B:B,0))</f>
        <v>Maison avec jardin</v>
      </c>
      <c r="K467" s="191">
        <f>'1_BD questio brut'!I467</f>
        <v>130</v>
      </c>
      <c r="L467" s="191" t="str">
        <f>'1_BD questio brut'!J467</f>
        <v>Avant 1949</v>
      </c>
      <c r="M467" s="191" t="str">
        <f>'1_BD questio brut'!K467</f>
        <v>6</v>
      </c>
      <c r="N467" s="191" t="str">
        <f>'1_BD questio brut'!L467</f>
        <v>Ne sait pas</v>
      </c>
      <c r="O467" s="191" t="str">
        <f>'1_BD questio brut'!M467</f>
        <v>Propriétaire bailleur</v>
      </c>
      <c r="P467" s="191" t="str">
        <f>'1_BD questio brut'!N467</f>
        <v>Poêle</v>
      </c>
      <c r="Q467" s="191" t="str">
        <f>'1_BD questio brut'!O467</f>
        <v>Chauffage de base</v>
      </c>
      <c r="R467" s="191" t="str">
        <f>'1_BD questio brut'!P467</f>
        <v>Tous les jours</v>
      </c>
      <c r="S467" s="191" t="str">
        <f>'1_BD questio brut'!Q467</f>
        <v>1; 2</v>
      </c>
      <c r="T467" s="191" t="str">
        <f>'1_BD questio brut'!R467</f>
        <v>1996-2002</v>
      </c>
      <c r="U467" s="191" t="str">
        <f>'1_BD questio brut'!S467</f>
        <v>Bois bûche</v>
      </c>
      <c r="V467" s="191" t="str">
        <f>'1_BD questio brut'!T467</f>
        <v/>
      </c>
      <c r="W467" s="191" t="str">
        <f>'1_BD questio brut'!U467</f>
        <v>12</v>
      </c>
      <c r="X467" s="191" t="str">
        <f>'1_BD questio brut'!V467</f>
        <v>Stères</v>
      </c>
      <c r="Y467" s="191" t="str">
        <f>'1_BD questio brut'!W467</f>
        <v>1</v>
      </c>
      <c r="Z467" s="191" t="str">
        <f>'1_BD questio brut'!X467</f>
        <v/>
      </c>
      <c r="AA467" s="191" t="str">
        <f t="array" ref="AA467">INDEX('Données 1_BD questio'!C:C,MATCH('1_BD questio brut'!$Y$1&amp;'1_BD questio brut'!Y467,'Données 1_BD questio'!A:A&amp;'Données 1_BD questio'!B:B,0))</f>
        <v>Rhône-Alpes hors RA2B</v>
      </c>
      <c r="AB467" s="191" t="str">
        <f>'1_BD questio brut'!Z467</f>
        <v>2</v>
      </c>
      <c r="AC467" s="191" t="str">
        <f>'1_BD questio brut'!AA467</f>
        <v>1 à 2 ans</v>
      </c>
      <c r="AD467" s="191" t="str">
        <f>'1_BD questio brut'!AB467</f>
        <v>Feuillus</v>
      </c>
      <c r="AE467" s="191" t="str">
        <f t="array" ref="AE467">INDEX('Données 1_BD questio'!C:C,MATCH('1_BD questio brut'!$AC$1&amp;'1_BD questio brut'!AC467,'Données 1_BD questio'!A:A&amp;'Données 1_BD questio'!B:B,0))</f>
        <v>vous-même</v>
      </c>
      <c r="AF467" s="191" t="str">
        <f>'1_BD questio brut'!AD467</f>
        <v>1 fois par an</v>
      </c>
      <c r="AG467" s="191" t="str">
        <f>'1_BD questio brut'!AE467</f>
        <v/>
      </c>
      <c r="AH467" s="191" t="str">
        <f>'1_BD questio brut'!AF467</f>
        <v>Pôele hydro</v>
      </c>
      <c r="AI467" s="191" t="str">
        <f>'1_BD questio brut'!AG467</f>
        <v>2</v>
      </c>
      <c r="AJ467" s="191" t="str">
        <f>'1_BD questio brut'!AH467</f>
        <v/>
      </c>
      <c r="AK467" s="191" t="str">
        <f>'1_BD questio brut'!AI467</f>
        <v>Chauffage de base</v>
      </c>
      <c r="AL467" s="191" t="str">
        <f>'1_BD questio brut'!AJ467</f>
        <v>Pas de réponse</v>
      </c>
      <c r="AM467" s="191" t="str">
        <f>'1_BD questio brut'!AK467</f>
        <v>2; 4</v>
      </c>
      <c r="AN467" s="191" t="str">
        <f>'1_BD questio brut'!AL467</f>
        <v/>
      </c>
      <c r="AO467" s="191" t="str">
        <f>'1_BD questio brut'!AM467</f>
        <v>5</v>
      </c>
      <c r="AP467" s="191" t="str">
        <f>'1_BD questio brut'!AN467</f>
        <v/>
      </c>
      <c r="AQ467" s="191" t="str">
        <f>'1_BD questio brut'!AO467</f>
        <v/>
      </c>
    </row>
    <row r="468" spans="1:43" ht="43.5" hidden="1">
      <c r="A468" s="98">
        <f>INDEX('3_BD instruction total'!A:A,MATCH(C468,'3_BD instruction total'!F:F,0))</f>
        <v>2022</v>
      </c>
      <c r="B468" s="98" t="str">
        <f>INDEX('3_BD instruction total'!C:C,MATCH(C468,'3_BD instruction total'!F:F,0))</f>
        <v>non</v>
      </c>
      <c r="C468" s="191" t="str">
        <f>'1_BD questio brut'!A468</f>
        <v>VRB0505</v>
      </c>
      <c r="D468" s="191" t="str">
        <f t="array" ref="D468">INDEX('Données 1_BD questio'!C:C,MATCH('1_BD questio brut'!$B$1&amp;'1_BD questio brut'!B468,'Données 1_BD questio'!A:A&amp;'Données 1_BD questio'!B:B,0))</f>
        <v>CAPV</v>
      </c>
      <c r="E468" s="191" t="str">
        <f t="array" ref="E468">INDEX('Données 1_BD questio'!C:C,MATCH('1_BD questio brut'!$C$1&amp;'1_BD questio brut'!C468,'Données 1_BD questio'!A:A&amp;'Données 1_BD questio'!B:B,0))</f>
        <v>Cadre</v>
      </c>
      <c r="F468" s="191" t="str">
        <f t="array" ref="F468">INDEX('Données 1_BD questio'!C:C,MATCH('1_BD questio brut'!$D$1&amp;'1_BD questio brut'!D468,'Données 1_BD questio'!A:A&amp;'Données 1_BD questio'!B:B,0))</f>
        <v>Profession intermédiaire</v>
      </c>
      <c r="G468" s="191" t="str">
        <f>'1_BD questio brut'!E468</f>
        <v>35 à 49 ans</v>
      </c>
      <c r="H468" s="191">
        <f>'1_BD questio brut'!F468</f>
        <v>5</v>
      </c>
      <c r="I468" s="191" t="str">
        <f>'1_BD questio brut'!G468</f>
        <v>30 000 à 40 000 €</v>
      </c>
      <c r="J468" s="191" t="str">
        <f t="array" ref="J468">INDEX('Données 1_BD questio'!C:C,MATCH('1_BD questio brut'!$H$1&amp;'1_BD questio brut'!H468,'Données 1_BD questio'!A:A&amp;'Données 1_BD questio'!B:B,0))</f>
        <v>Maison avec jardin</v>
      </c>
      <c r="K468" s="191">
        <f>'1_BD questio brut'!I468</f>
        <v>190</v>
      </c>
      <c r="L468" s="191" t="str">
        <f>'1_BD questio brut'!J468</f>
        <v>Avant 1949</v>
      </c>
      <c r="M468" s="191" t="str">
        <f>'1_BD questio brut'!K468</f>
        <v>6</v>
      </c>
      <c r="N468" s="191" t="str">
        <f>'1_BD questio brut'!L468</f>
        <v>D</v>
      </c>
      <c r="O468" s="191" t="str">
        <f>'1_BD questio brut'!M468</f>
        <v>Propriétaire occupant</v>
      </c>
      <c r="P468" s="191" t="str">
        <f>'1_BD questio brut'!N468</f>
        <v>Insert / foyer fermé</v>
      </c>
      <c r="Q468" s="191" t="str">
        <f>'1_BD questio brut'!O468</f>
        <v>Chauffage de base</v>
      </c>
      <c r="R468" s="191" t="str">
        <f>'1_BD questio brut'!P468</f>
        <v>1 à 3 jours/mois</v>
      </c>
      <c r="S468" s="191" t="str">
        <f>'1_BD questio brut'!Q468</f>
        <v>4; 6</v>
      </c>
      <c r="T468" s="191" t="str">
        <f>'1_BD questio brut'!R468</f>
        <v>Pas de réponse</v>
      </c>
      <c r="U468" s="191" t="str">
        <f>'1_BD questio brut'!S468</f>
        <v>Bois bûche</v>
      </c>
      <c r="V468" s="191" t="str">
        <f>'1_BD questio brut'!T468</f>
        <v/>
      </c>
      <c r="W468" s="191" t="str">
        <f>'1_BD questio brut'!U468</f>
        <v>1</v>
      </c>
      <c r="X468" s="191" t="str">
        <f>'1_BD questio brut'!V468</f>
        <v>Stères</v>
      </c>
      <c r="Y468" s="191" t="str">
        <f>'1_BD questio brut'!W468</f>
        <v>1</v>
      </c>
      <c r="Z468" s="191" t="str">
        <f>'1_BD questio brut'!X468</f>
        <v/>
      </c>
      <c r="AA468" s="191" t="str">
        <f t="array" ref="AA468">INDEX('Données 1_BD questio'!C:C,MATCH('1_BD questio brut'!$Y$1&amp;'1_BD questio brut'!Y468,'Données 1_BD questio'!A:A&amp;'Données 1_BD questio'!B:B,0))</f>
        <v>Pas de réponse</v>
      </c>
      <c r="AB468" s="191" t="str">
        <f>'1_BD questio brut'!Z468</f>
        <v>1</v>
      </c>
      <c r="AC468" s="191" t="str">
        <f>'1_BD questio brut'!AA468</f>
        <v>1 à 2 ans</v>
      </c>
      <c r="AD468" s="191" t="str">
        <f>'1_BD questio brut'!AB468</f>
        <v>Les deux</v>
      </c>
      <c r="AE468" s="191" t="str">
        <f t="array" ref="AE468">INDEX('Données 1_BD questio'!C:C,MATCH('1_BD questio brut'!$AC$1&amp;'1_BD questio brut'!AC468,'Données 1_BD questio'!A:A&amp;'Données 1_BD questio'!B:B,0))</f>
        <v>un professionnel</v>
      </c>
      <c r="AF468" s="191" t="str">
        <f>'1_BD questio brut'!AD468</f>
        <v>1 fois tous les 2 ans</v>
      </c>
      <c r="AG468" s="191" t="str">
        <f>'1_BD questio brut'!AE468</f>
        <v/>
      </c>
      <c r="AH468" s="191" t="str">
        <f>'1_BD questio brut'!AF468</f>
        <v>Insert cheminée</v>
      </c>
      <c r="AI468" s="191" t="str">
        <f>'1_BD questio brut'!AG468</f>
        <v>1</v>
      </c>
      <c r="AJ468" s="191" t="str">
        <f>'1_BD questio brut'!AH468</f>
        <v/>
      </c>
      <c r="AK468" s="191" t="str">
        <f>'1_BD questio brut'!AI468</f>
        <v>Chauffage d'appoint</v>
      </c>
      <c r="AL468" s="191" t="str">
        <f>'1_BD questio brut'!AJ468</f>
        <v>Pas de réponse</v>
      </c>
      <c r="AM468" s="191" t="str">
        <f>'1_BD questio brut'!AK468</f>
        <v>4</v>
      </c>
      <c r="AN468" s="191" t="str">
        <f>'1_BD questio brut'!AL468</f>
        <v/>
      </c>
      <c r="AO468" s="191" t="str">
        <f>'1_BD questio brut'!AM468</f>
        <v>5</v>
      </c>
      <c r="AP468" s="191" t="str">
        <f>'1_BD questio brut'!AN468</f>
        <v/>
      </c>
      <c r="AQ468" s="191" t="str">
        <f>'1_BD questio brut'!AO468</f>
        <v/>
      </c>
    </row>
    <row r="469" spans="1:43" ht="43.5" hidden="1">
      <c r="A469" s="98">
        <f>INDEX('3_BD instruction total'!A:A,MATCH(C469,'3_BD instruction total'!F:F,0))</f>
        <v>2022</v>
      </c>
      <c r="B469" s="98" t="str">
        <f>INDEX('3_BD instruction total'!C:C,MATCH(C469,'3_BD instruction total'!F:F,0))</f>
        <v>non</v>
      </c>
      <c r="C469" s="191" t="str">
        <f>'1_BD questio brut'!A469</f>
        <v>VRB0506</v>
      </c>
      <c r="D469" s="191" t="str">
        <f t="array" ref="D469">INDEX('Données 1_BD questio'!C:C,MATCH('1_BD questio brut'!$B$1&amp;'1_BD questio brut'!B469,'Données 1_BD questio'!A:A&amp;'Données 1_BD questio'!B:B,0))</f>
        <v>CAPV</v>
      </c>
      <c r="E469" s="191" t="str">
        <f t="array" ref="E469">INDEX('Données 1_BD questio'!C:C,MATCH('1_BD questio brut'!$C$1&amp;'1_BD questio brut'!C469,'Données 1_BD questio'!A:A&amp;'Données 1_BD questio'!B:B,0))</f>
        <v>Cadre</v>
      </c>
      <c r="F469" s="191" t="str">
        <f t="array" ref="F469">INDEX('Données 1_BD questio'!C:C,MATCH('1_BD questio brut'!$D$1&amp;'1_BD questio brut'!D469,'Données 1_BD questio'!A:A&amp;'Données 1_BD questio'!B:B,0))</f>
        <v>Employé</v>
      </c>
      <c r="G469" s="191" t="str">
        <f>'1_BD questio brut'!E469</f>
        <v>25 à 34 ans</v>
      </c>
      <c r="H469" s="191">
        <f>'1_BD questio brut'!F469</f>
        <v>3</v>
      </c>
      <c r="I469" s="191" t="str">
        <f>'1_BD questio brut'!G469</f>
        <v>30 000 à 40 000 €</v>
      </c>
      <c r="J469" s="191" t="str">
        <f t="array" ref="J469">INDEX('Données 1_BD questio'!C:C,MATCH('1_BD questio brut'!$H$1&amp;'1_BD questio brut'!H469,'Données 1_BD questio'!A:A&amp;'Données 1_BD questio'!B:B,0))</f>
        <v>Maison avec jardin</v>
      </c>
      <c r="K469" s="191">
        <f>'1_BD questio brut'!I469</f>
        <v>115</v>
      </c>
      <c r="L469" s="191" t="str">
        <f>'1_BD questio brut'!J469</f>
        <v>Avant 1949</v>
      </c>
      <c r="M469" s="191" t="str">
        <f>'1_BD questio brut'!K469</f>
        <v>3; 4</v>
      </c>
      <c r="N469" s="191" t="str">
        <f>'1_BD questio brut'!L469</f>
        <v>Pas de réponse</v>
      </c>
      <c r="O469" s="191" t="str">
        <f>'1_BD questio brut'!M469</f>
        <v>Propriétaire occupant</v>
      </c>
      <c r="P469" s="191" t="str">
        <f>'1_BD questio brut'!N469</f>
        <v>Poêle</v>
      </c>
      <c r="Q469" s="191" t="str">
        <f>'1_BD questio brut'!O469</f>
        <v>Chauffage de base</v>
      </c>
      <c r="R469" s="191" t="str">
        <f>'1_BD questio brut'!P469</f>
        <v>Tous les jours</v>
      </c>
      <c r="S469" s="191" t="str">
        <f>'1_BD questio brut'!Q469</f>
        <v>1; 2; 4</v>
      </c>
      <c r="T469" s="191" t="str">
        <f>'1_BD questio brut'!R469</f>
        <v>Avant 1990</v>
      </c>
      <c r="U469" s="191" t="str">
        <f>'1_BD questio brut'!S469</f>
        <v>Bois bûche</v>
      </c>
      <c r="V469" s="191" t="str">
        <f>'1_BD questio brut'!T469</f>
        <v/>
      </c>
      <c r="W469" s="191" t="str">
        <f>'1_BD questio brut'!U469</f>
        <v>6</v>
      </c>
      <c r="X469" s="191" t="str">
        <f>'1_BD questio brut'!V469</f>
        <v>Stères</v>
      </c>
      <c r="Y469" s="191" t="str">
        <f>'1_BD questio brut'!W469</f>
        <v>2</v>
      </c>
      <c r="Z469" s="191" t="str">
        <f>'1_BD questio brut'!X469</f>
        <v/>
      </c>
      <c r="AA469" s="191" t="str">
        <f t="array" ref="AA469">INDEX('Données 1_BD questio'!C:C,MATCH('1_BD questio brut'!$Y$1&amp;'1_BD questio brut'!Y469,'Données 1_BD questio'!A:A&amp;'Données 1_BD questio'!B:B,0))</f>
        <v>Ne sait pas</v>
      </c>
      <c r="AB469" s="191" t="str">
        <f>'1_BD questio brut'!Z469</f>
        <v>1</v>
      </c>
      <c r="AC469" s="191" t="str">
        <f>'1_BD questio brut'!AA469</f>
        <v>&lt; 1 an</v>
      </c>
      <c r="AD469" s="191" t="str">
        <f>'1_BD questio brut'!AB469</f>
        <v>Feuillus</v>
      </c>
      <c r="AE469" s="191" t="str">
        <f t="array" ref="AE469">INDEX('Données 1_BD questio'!C:C,MATCH('1_BD questio brut'!$AC$1&amp;'1_BD questio brut'!AC469,'Données 1_BD questio'!A:A&amp;'Données 1_BD questio'!B:B,0))</f>
        <v>un professionnel</v>
      </c>
      <c r="AF469" s="191" t="str">
        <f>'1_BD questio brut'!AD469</f>
        <v>1 fois par an</v>
      </c>
      <c r="AG469" s="191" t="str">
        <f>'1_BD questio brut'!AE469</f>
        <v/>
      </c>
      <c r="AH469" s="191" t="str">
        <f>'1_BD questio brut'!AF469</f>
        <v>Poêle</v>
      </c>
      <c r="AI469" s="191" t="str">
        <f>'1_BD questio brut'!AG469</f>
        <v>2</v>
      </c>
      <c r="AJ469" s="191" t="str">
        <f>'1_BD questio brut'!AH469</f>
        <v/>
      </c>
      <c r="AK469" s="191" t="str">
        <f>'1_BD questio brut'!AI469</f>
        <v>Chauffage de base</v>
      </c>
      <c r="AL469" s="191" t="str">
        <f>'1_BD questio brut'!AJ469</f>
        <v>Pas de réponse</v>
      </c>
      <c r="AM469" s="191" t="str">
        <f>'1_BD questio brut'!AK469</f>
        <v>2; 4; 6</v>
      </c>
      <c r="AN469" s="191" t="str">
        <f>'1_BD questio brut'!AL469</f>
        <v>Mise en conformité</v>
      </c>
      <c r="AO469" s="191" t="str">
        <f>'1_BD questio brut'!AM469</f>
        <v>5</v>
      </c>
      <c r="AP469" s="191" t="str">
        <f>'1_BD questio brut'!AN469</f>
        <v/>
      </c>
      <c r="AQ469" s="191" t="str">
        <f>'1_BD questio brut'!AO469</f>
        <v/>
      </c>
    </row>
    <row r="470" spans="1:43" ht="29" hidden="1">
      <c r="A470" s="98">
        <f>INDEX('3_BD instruction total'!A:A,MATCH(C470,'3_BD instruction total'!F:F,0))</f>
        <v>2022</v>
      </c>
      <c r="B470" s="98" t="str">
        <f>INDEX('3_BD instruction total'!C:C,MATCH(C470,'3_BD instruction total'!F:F,0))</f>
        <v>non</v>
      </c>
      <c r="C470" s="191" t="str">
        <f>'1_BD questio brut'!A470</f>
        <v>VRB0507</v>
      </c>
      <c r="D470" s="191" t="str">
        <f t="array" ref="D470">INDEX('Données 1_BD questio'!C:C,MATCH('1_BD questio brut'!$B$1&amp;'1_BD questio brut'!B470,'Données 1_BD questio'!A:A&amp;'Données 1_BD questio'!B:B,0))</f>
        <v>GAM</v>
      </c>
      <c r="E470" s="191" t="str">
        <f t="array" ref="E470">INDEX('Données 1_BD questio'!C:C,MATCH('1_BD questio brut'!$C$1&amp;'1_BD questio brut'!C470,'Données 1_BD questio'!A:A&amp;'Données 1_BD questio'!B:B,0))</f>
        <v>Cadre</v>
      </c>
      <c r="F470" s="191" t="str">
        <f t="array" ref="F470">INDEX('Données 1_BD questio'!C:C,MATCH('1_BD questio brut'!$D$1&amp;'1_BD questio brut'!D470,'Données 1_BD questio'!A:A&amp;'Données 1_BD questio'!B:B,0))</f>
        <v>Profession intermédiaire</v>
      </c>
      <c r="G470" s="191" t="str">
        <f>'1_BD questio brut'!E470</f>
        <v>35 à 49 ans</v>
      </c>
      <c r="H470" s="191">
        <f>'1_BD questio brut'!F470</f>
        <v>3</v>
      </c>
      <c r="I470" s="191" t="str">
        <f>'1_BD questio brut'!G470</f>
        <v>60 000 à 70 000 €</v>
      </c>
      <c r="J470" s="191" t="str">
        <f t="array" ref="J470">INDEX('Données 1_BD questio'!C:C,MATCH('1_BD questio brut'!$H$1&amp;'1_BD questio brut'!H470,'Données 1_BD questio'!A:A&amp;'Données 1_BD questio'!B:B,0))</f>
        <v>Maison avec jardin</v>
      </c>
      <c r="K470" s="191">
        <f>'1_BD questio brut'!I470</f>
        <v>180</v>
      </c>
      <c r="L470" s="191" t="str">
        <f>'1_BD questio brut'!J470</f>
        <v>1975-1990</v>
      </c>
      <c r="M470" s="191" t="str">
        <f>'1_BD questio brut'!K470</f>
        <v>3; 4</v>
      </c>
      <c r="N470" s="191" t="str">
        <f>'1_BD questio brut'!L470</f>
        <v>C</v>
      </c>
      <c r="O470" s="191" t="str">
        <f>'1_BD questio brut'!M470</f>
        <v>Propriétaire occupant</v>
      </c>
      <c r="P470" s="191" t="str">
        <f>'1_BD questio brut'!N470</f>
        <v>Insert / foyer fermé</v>
      </c>
      <c r="Q470" s="191" t="str">
        <f>'1_BD questio brut'!O470</f>
        <v>Chauffage d'apoint</v>
      </c>
      <c r="R470" s="191" t="str">
        <f>'1_BD questio brut'!P470</f>
        <v>1 à 3 jours/mois</v>
      </c>
      <c r="S470" s="191" t="str">
        <f>'1_BD questio brut'!Q470</f>
        <v>6</v>
      </c>
      <c r="T470" s="191" t="str">
        <f>'1_BD questio brut'!R470</f>
        <v>Avant 1990</v>
      </c>
      <c r="U470" s="191" t="str">
        <f>'1_BD questio brut'!S470</f>
        <v>Bois bûche</v>
      </c>
      <c r="V470" s="191" t="str">
        <f>'1_BD questio brut'!T470</f>
        <v/>
      </c>
      <c r="W470" s="191" t="str">
        <f>'1_BD questio brut'!U470</f>
        <v>2</v>
      </c>
      <c r="X470" s="191" t="str">
        <f>'1_BD questio brut'!V470</f>
        <v>Stères</v>
      </c>
      <c r="Y470" s="191" t="str">
        <f>'1_BD questio brut'!W470</f>
        <v>1</v>
      </c>
      <c r="Z470" s="191" t="str">
        <f>'1_BD questio brut'!X470</f>
        <v/>
      </c>
      <c r="AA470" s="191" t="str">
        <f t="array" ref="AA470">INDEX('Données 1_BD questio'!C:C,MATCH('1_BD questio brut'!$Y$1&amp;'1_BD questio brut'!Y470,'Données 1_BD questio'!A:A&amp;'Données 1_BD questio'!B:B,0))</f>
        <v>Ne sait pas</v>
      </c>
      <c r="AB470" s="191" t="str">
        <f>'1_BD questio brut'!Z470</f>
        <v>2</v>
      </c>
      <c r="AC470" s="191" t="str">
        <f>'1_BD questio brut'!AA470</f>
        <v>&gt; 2 ans</v>
      </c>
      <c r="AD470" s="191" t="str">
        <f>'1_BD questio brut'!AB470</f>
        <v>Les deux</v>
      </c>
      <c r="AE470" s="191" t="str">
        <f t="array" ref="AE470">INDEX('Données 1_BD questio'!C:C,MATCH('1_BD questio brut'!$AC$1&amp;'1_BD questio brut'!AC470,'Données 1_BD questio'!A:A&amp;'Données 1_BD questio'!B:B,0))</f>
        <v>vous-même</v>
      </c>
      <c r="AF470" s="191" t="str">
        <f>'1_BD questio brut'!AD470</f>
        <v>2 fois par an</v>
      </c>
      <c r="AG470" s="191" t="str">
        <f>'1_BD questio brut'!AE470</f>
        <v/>
      </c>
      <c r="AH470" s="191" t="str">
        <f>'1_BD questio brut'!AF470</f>
        <v>Poêle</v>
      </c>
      <c r="AI470" s="191" t="str">
        <f>'1_BD questio brut'!AG470</f>
        <v>1</v>
      </c>
      <c r="AJ470" s="191" t="str">
        <f>'1_BD questio brut'!AH470</f>
        <v/>
      </c>
      <c r="AK470" s="191" t="str">
        <f>'1_BD questio brut'!AI470</f>
        <v>Chauffage d'appoint</v>
      </c>
      <c r="AL470" s="191" t="str">
        <f>'1_BD questio brut'!AJ470</f>
        <v>Pas de réponse</v>
      </c>
      <c r="AM470" s="191" t="str">
        <f>'1_BD questio brut'!AK470</f>
        <v>1; 2; 4; 5</v>
      </c>
      <c r="AN470" s="191" t="str">
        <f>'1_BD questio brut'!AL470</f>
        <v/>
      </c>
      <c r="AO470" s="191" t="str">
        <f>'1_BD questio brut'!AM470</f>
        <v>5; 11</v>
      </c>
      <c r="AP470" s="191" t="str">
        <f>'1_BD questio brut'!AN470</f>
        <v/>
      </c>
      <c r="AQ470" s="191" t="str">
        <f>'1_BD questio brut'!AO470</f>
        <v/>
      </c>
    </row>
    <row r="471" spans="1:43" ht="43.5" hidden="1">
      <c r="A471" s="98">
        <f>INDEX('3_BD instruction total'!A:A,MATCH(C471,'3_BD instruction total'!F:F,0))</f>
        <v>2022</v>
      </c>
      <c r="B471" s="98" t="str">
        <f>INDEX('3_BD instruction total'!C:C,MATCH(C471,'3_BD instruction total'!F:F,0))</f>
        <v>non</v>
      </c>
      <c r="C471" s="191" t="str">
        <f>'1_BD questio brut'!A471</f>
        <v>VRB0508</v>
      </c>
      <c r="D471" s="191" t="str">
        <f t="array" ref="D471">INDEX('Données 1_BD questio'!C:C,MATCH('1_BD questio brut'!$B$1&amp;'1_BD questio brut'!B471,'Données 1_BD questio'!A:A&amp;'Données 1_BD questio'!B:B,0))</f>
        <v>CAPV</v>
      </c>
      <c r="E471" s="191" t="str">
        <f t="array" ref="E471">INDEX('Données 1_BD questio'!C:C,MATCH('1_BD questio brut'!$C$1&amp;'1_BD questio brut'!C471,'Données 1_BD questio'!A:A&amp;'Données 1_BD questio'!B:B,0))</f>
        <v>Retraité</v>
      </c>
      <c r="F471" s="191" t="str">
        <f t="array" ref="F471">INDEX('Données 1_BD questio'!C:C,MATCH('1_BD questio brut'!$D$1&amp;'1_BD questio brut'!D471,'Données 1_BD questio'!A:A&amp;'Données 1_BD questio'!B:B,0))</f>
        <v>Pas de réponse</v>
      </c>
      <c r="G471" s="191" t="str">
        <f>'1_BD questio brut'!E471</f>
        <v>65 ans et plus</v>
      </c>
      <c r="H471" s="191">
        <f>'1_BD questio brut'!F471</f>
        <v>1</v>
      </c>
      <c r="I471" s="191" t="str">
        <f>'1_BD questio brut'!G471</f>
        <v>30 000 à 40 000 €</v>
      </c>
      <c r="J471" s="191" t="str">
        <f t="array" ref="J471">INDEX('Données 1_BD questio'!C:C,MATCH('1_BD questio brut'!$H$1&amp;'1_BD questio brut'!H471,'Données 1_BD questio'!A:A&amp;'Données 1_BD questio'!B:B,0))</f>
        <v>Maison avec jardin</v>
      </c>
      <c r="K471" s="191">
        <f>'1_BD questio brut'!I471</f>
        <v>130</v>
      </c>
      <c r="L471" s="191" t="str">
        <f>'1_BD questio brut'!J471</f>
        <v>1949-1975</v>
      </c>
      <c r="M471" s="191" t="str">
        <f>'1_BD questio brut'!K471</f>
        <v>3; 4</v>
      </c>
      <c r="N471" s="191" t="str">
        <f>'1_BD questio brut'!L471</f>
        <v>Pas de réponse</v>
      </c>
      <c r="O471" s="191" t="str">
        <f>'1_BD questio brut'!M471</f>
        <v>Propriétaire occupant</v>
      </c>
      <c r="P471" s="191" t="str">
        <f>'1_BD questio brut'!N471</f>
        <v>Insert / foyer fermé</v>
      </c>
      <c r="Q471" s="191" t="str">
        <f>'1_BD questio brut'!O471</f>
        <v>Chauffage d'apoint</v>
      </c>
      <c r="R471" s="191" t="str">
        <f>'1_BD questio brut'!P471</f>
        <v>Tous les jours</v>
      </c>
      <c r="S471" s="191" t="str">
        <f>'1_BD questio brut'!Q471</f>
        <v>4</v>
      </c>
      <c r="T471" s="191" t="str">
        <f>'1_BD questio brut'!R471</f>
        <v>1990-1995</v>
      </c>
      <c r="U471" s="191" t="str">
        <f>'1_BD questio brut'!S471</f>
        <v>Bois bûche</v>
      </c>
      <c r="V471" s="191" t="str">
        <f>'1_BD questio brut'!T471</f>
        <v/>
      </c>
      <c r="W471" s="191" t="str">
        <f>'1_BD questio brut'!U471</f>
        <v>2/3</v>
      </c>
      <c r="X471" s="191" t="str">
        <f>'1_BD questio brut'!V471</f>
        <v>Stères</v>
      </c>
      <c r="Y471" s="191" t="str">
        <f>'1_BD questio brut'!W471</f>
        <v>2</v>
      </c>
      <c r="Z471" s="191" t="str">
        <f>'1_BD questio brut'!X471</f>
        <v/>
      </c>
      <c r="AA471" s="191" t="str">
        <f t="array" ref="AA471">INDEX('Données 1_BD questio'!C:C,MATCH('1_BD questio brut'!$Y$1&amp;'1_BD questio brut'!Y471,'Données 1_BD questio'!A:A&amp;'Données 1_BD questio'!B:B,0))</f>
        <v>Rhône-Alpes hors RA2B</v>
      </c>
      <c r="AB471" s="191" t="str">
        <f>'1_BD questio brut'!Z471</f>
        <v>1</v>
      </c>
      <c r="AC471" s="191" t="str">
        <f>'1_BD questio brut'!AA471</f>
        <v>&lt; 1 an</v>
      </c>
      <c r="AD471" s="191" t="str">
        <f>'1_BD questio brut'!AB471</f>
        <v>Feuillus</v>
      </c>
      <c r="AE471" s="191" t="str">
        <f t="array" ref="AE471">INDEX('Données 1_BD questio'!C:C,MATCH('1_BD questio brut'!$AC$1&amp;'1_BD questio brut'!AC471,'Données 1_BD questio'!A:A&amp;'Données 1_BD questio'!B:B,0))</f>
        <v>un professionnel</v>
      </c>
      <c r="AF471" s="191" t="str">
        <f>'1_BD questio brut'!AD471</f>
        <v>2 fois par an</v>
      </c>
      <c r="AG471" s="191" t="str">
        <f>'1_BD questio brut'!AE471</f>
        <v/>
      </c>
      <c r="AH471" s="191" t="str">
        <f>'1_BD questio brut'!AF471</f>
        <v>Insert cheminée</v>
      </c>
      <c r="AI471" s="191" t="str">
        <f>'1_BD questio brut'!AG471</f>
        <v>1</v>
      </c>
      <c r="AJ471" s="191" t="str">
        <f>'1_BD questio brut'!AH471</f>
        <v/>
      </c>
      <c r="AK471" s="191" t="str">
        <f>'1_BD questio brut'!AI471</f>
        <v>Chauffage de base</v>
      </c>
      <c r="AL471" s="191" t="str">
        <f>'1_BD questio brut'!AJ471</f>
        <v>Pas de réponse</v>
      </c>
      <c r="AM471" s="191" t="str">
        <f>'1_BD questio brut'!AK471</f>
        <v>2; 4; 5</v>
      </c>
      <c r="AN471" s="191" t="str">
        <f>'1_BD questio brut'!AL471</f>
        <v/>
      </c>
      <c r="AO471" s="191" t="str">
        <f>'1_BD questio brut'!AM471</f>
        <v>5</v>
      </c>
      <c r="AP471" s="191" t="str">
        <f>'1_BD questio brut'!AN471</f>
        <v/>
      </c>
      <c r="AQ471" s="191" t="str">
        <f>'1_BD questio brut'!AO471</f>
        <v/>
      </c>
    </row>
    <row r="472" spans="1:43" ht="43.5" hidden="1">
      <c r="A472" s="98">
        <f>INDEX('3_BD instruction total'!A:A,MATCH(C472,'3_BD instruction total'!F:F,0))</f>
        <v>2022</v>
      </c>
      <c r="B472" s="98" t="str">
        <f>INDEX('3_BD instruction total'!C:C,MATCH(C472,'3_BD instruction total'!F:F,0))</f>
        <v>non</v>
      </c>
      <c r="C472" s="191" t="str">
        <f>'1_BD questio brut'!A472</f>
        <v>VRB0509</v>
      </c>
      <c r="D472" s="191" t="str">
        <f t="array" ref="D472">INDEX('Données 1_BD questio'!C:C,MATCH('1_BD questio brut'!$B$1&amp;'1_BD questio brut'!B472,'Données 1_BD questio'!A:A&amp;'Données 1_BD questio'!B:B,0))</f>
        <v>CAPV</v>
      </c>
      <c r="E472" s="191" t="str">
        <f t="array" ref="E472">INDEX('Données 1_BD questio'!C:C,MATCH('1_BD questio brut'!$C$1&amp;'1_BD questio brut'!C472,'Données 1_BD questio'!A:A&amp;'Données 1_BD questio'!B:B,0))</f>
        <v>Retraité</v>
      </c>
      <c r="F472" s="191" t="str">
        <f t="array" ref="F472">INDEX('Données 1_BD questio'!C:C,MATCH('1_BD questio brut'!$D$1&amp;'1_BD questio brut'!D472,'Données 1_BD questio'!A:A&amp;'Données 1_BD questio'!B:B,0))</f>
        <v>Pas de réponse</v>
      </c>
      <c r="G472" s="191" t="str">
        <f>'1_BD questio brut'!E472</f>
        <v>65 ans et plus</v>
      </c>
      <c r="H472" s="191">
        <f>'1_BD questio brut'!F472</f>
        <v>1</v>
      </c>
      <c r="I472" s="191" t="str">
        <f>'1_BD questio brut'!G472</f>
        <v>30 000 à 40 000 €</v>
      </c>
      <c r="J472" s="191" t="str">
        <f t="array" ref="J472">INDEX('Données 1_BD questio'!C:C,MATCH('1_BD questio brut'!$H$1&amp;'1_BD questio brut'!H472,'Données 1_BD questio'!A:A&amp;'Données 1_BD questio'!B:B,0))</f>
        <v>Maison avec jardin</v>
      </c>
      <c r="K472" s="191">
        <f>'1_BD questio brut'!I472</f>
        <v>120</v>
      </c>
      <c r="L472" s="191" t="str">
        <f>'1_BD questio brut'!J472</f>
        <v>Avant 1949</v>
      </c>
      <c r="M472" s="191" t="str">
        <f>'1_BD questio brut'!K472</f>
        <v>1</v>
      </c>
      <c r="N472" s="191" t="str">
        <f>'1_BD questio brut'!L472</f>
        <v>Ne sait pas</v>
      </c>
      <c r="O472" s="191" t="str">
        <f>'1_BD questio brut'!M472</f>
        <v>Occupant à titre gratuit</v>
      </c>
      <c r="P472" s="191" t="str">
        <f>'1_BD questio brut'!N472</f>
        <v>Insert / foyer fermé</v>
      </c>
      <c r="Q472" s="191" t="str">
        <f>'1_BD questio brut'!O472</f>
        <v>Chauffage de base</v>
      </c>
      <c r="R472" s="191" t="str">
        <f>'1_BD questio brut'!P472</f>
        <v>Tous les jours</v>
      </c>
      <c r="S472" s="191" t="str">
        <f>'1_BD questio brut'!Q472</f>
        <v>4</v>
      </c>
      <c r="T472" s="191" t="str">
        <f>'1_BD questio brut'!R472</f>
        <v>Après 2002</v>
      </c>
      <c r="U472" s="191" t="str">
        <f>'1_BD questio brut'!S472</f>
        <v>Bois bûche</v>
      </c>
      <c r="V472" s="191" t="str">
        <f>'1_BD questio brut'!T472</f>
        <v/>
      </c>
      <c r="W472" s="191" t="str">
        <f>'1_BD questio brut'!U472</f>
        <v>10</v>
      </c>
      <c r="X472" s="191" t="str">
        <f>'1_BD questio brut'!V472</f>
        <v>Stères</v>
      </c>
      <c r="Y472" s="191" t="str">
        <f>'1_BD questio brut'!W472</f>
        <v>2</v>
      </c>
      <c r="Z472" s="191" t="str">
        <f>'1_BD questio brut'!X472</f>
        <v/>
      </c>
      <c r="AA472" s="191" t="str">
        <f t="array" ref="AA472">INDEX('Données 1_BD questio'!C:C,MATCH('1_BD questio brut'!$Y$1&amp;'1_BD questio brut'!Y472,'Données 1_BD questio'!A:A&amp;'Données 1_BD questio'!B:B,0))</f>
        <v>Ne sait pas</v>
      </c>
      <c r="AB472" s="191" t="str">
        <f>'1_BD questio brut'!Z472</f>
        <v>1</v>
      </c>
      <c r="AC472" s="191" t="str">
        <f>'1_BD questio brut'!AA472</f>
        <v>&gt; 2 ans</v>
      </c>
      <c r="AD472" s="191" t="str">
        <f>'1_BD questio brut'!AB472</f>
        <v>Feuillus</v>
      </c>
      <c r="AE472" s="191" t="str">
        <f t="array" ref="AE472">INDEX('Données 1_BD questio'!C:C,MATCH('1_BD questio brut'!$AC$1&amp;'1_BD questio brut'!AC472,'Données 1_BD questio'!A:A&amp;'Données 1_BD questio'!B:B,0))</f>
        <v>un professionnel</v>
      </c>
      <c r="AF472" s="191" t="str">
        <f>'1_BD questio brut'!AD472</f>
        <v>1 fois par an</v>
      </c>
      <c r="AG472" s="191" t="str">
        <f>'1_BD questio brut'!AE472</f>
        <v/>
      </c>
      <c r="AH472" s="191" t="str">
        <f>'1_BD questio brut'!AF472</f>
        <v>Poêle</v>
      </c>
      <c r="AI472" s="191" t="str">
        <f>'1_BD questio brut'!AG472</f>
        <v>1</v>
      </c>
      <c r="AJ472" s="191" t="str">
        <f>'1_BD questio brut'!AH472</f>
        <v/>
      </c>
      <c r="AK472" s="191" t="str">
        <f>'1_BD questio brut'!AI472</f>
        <v>Chauffage de base</v>
      </c>
      <c r="AL472" s="191" t="str">
        <f>'1_BD questio brut'!AJ472</f>
        <v>Pas de réponse</v>
      </c>
      <c r="AM472" s="191" t="str">
        <f>'1_BD questio brut'!AK472</f>
        <v>2; 5; 6</v>
      </c>
      <c r="AN472" s="191" t="str">
        <f>'1_BD questio brut'!AL472</f>
        <v/>
      </c>
      <c r="AO472" s="191" t="str">
        <f>'1_BD questio brut'!AM472</f>
        <v>1; 5; 7</v>
      </c>
      <c r="AP472" s="191" t="str">
        <f>'1_BD questio brut'!AN472</f>
        <v/>
      </c>
      <c r="AQ472" s="191" t="str">
        <f>'1_BD questio brut'!AO472</f>
        <v/>
      </c>
    </row>
    <row r="473" spans="1:43" ht="29" hidden="1">
      <c r="A473" s="98">
        <f>INDEX('3_BD instruction total'!A:A,MATCH(C473,'3_BD instruction total'!F:F,0))</f>
        <v>2022</v>
      </c>
      <c r="B473" s="98" t="str">
        <f>INDEX('3_BD instruction total'!C:C,MATCH(C473,'3_BD instruction total'!F:F,0))</f>
        <v>non</v>
      </c>
      <c r="C473" s="191" t="str">
        <f>'1_BD questio brut'!A473</f>
        <v>VRB0510</v>
      </c>
      <c r="D473" s="191" t="str">
        <f t="array" ref="D473">INDEX('Données 1_BD questio'!C:C,MATCH('1_BD questio brut'!$B$1&amp;'1_BD questio brut'!B473,'Données 1_BD questio'!A:A&amp;'Données 1_BD questio'!B:B,0))</f>
        <v>CAPV</v>
      </c>
      <c r="E473" s="191" t="str">
        <f t="array" ref="E473">INDEX('Données 1_BD questio'!C:C,MATCH('1_BD questio brut'!$C$1&amp;'1_BD questio brut'!C473,'Données 1_BD questio'!A:A&amp;'Données 1_BD questio'!B:B,0))</f>
        <v>Cadre</v>
      </c>
      <c r="F473" s="191" t="str">
        <f t="array" ref="F473">INDEX('Données 1_BD questio'!C:C,MATCH('1_BD questio brut'!$D$1&amp;'1_BD questio brut'!D473,'Données 1_BD questio'!A:A&amp;'Données 1_BD questio'!B:B,0))</f>
        <v>Profession intermédiaire</v>
      </c>
      <c r="G473" s="191" t="str">
        <f>'1_BD questio brut'!E473</f>
        <v>50 à 64 ans</v>
      </c>
      <c r="H473" s="191">
        <f>'1_BD questio brut'!F473</f>
        <v>3</v>
      </c>
      <c r="I473" s="191" t="str">
        <f>'1_BD questio brut'!G473</f>
        <v>80 000 à 90 000 €</v>
      </c>
      <c r="J473" s="191" t="str">
        <f t="array" ref="J473">INDEX('Données 1_BD questio'!C:C,MATCH('1_BD questio brut'!$H$1&amp;'1_BD questio brut'!H473,'Données 1_BD questio'!A:A&amp;'Données 1_BD questio'!B:B,0))</f>
        <v>Maison avec jardin</v>
      </c>
      <c r="K473" s="191">
        <f>'1_BD questio brut'!I473</f>
        <v>135</v>
      </c>
      <c r="L473" s="191" t="str">
        <f>'1_BD questio brut'!J473</f>
        <v>1975-1990</v>
      </c>
      <c r="M473" s="191" t="str">
        <f>'1_BD questio brut'!K473</f>
        <v>4</v>
      </c>
      <c r="N473" s="191" t="str">
        <f>'1_BD questio brut'!L473</f>
        <v>Pas de réponse</v>
      </c>
      <c r="O473" s="191" t="str">
        <f>'1_BD questio brut'!M473</f>
        <v>Propriétaire occupant</v>
      </c>
      <c r="P473" s="191" t="str">
        <f>'1_BD questio brut'!N473</f>
        <v>Poêle</v>
      </c>
      <c r="Q473" s="191" t="str">
        <f>'1_BD questio brut'!O473</f>
        <v>Chauffage de base</v>
      </c>
      <c r="R473" s="191" t="str">
        <f>'1_BD questio brut'!P473</f>
        <v>Tous les jours</v>
      </c>
      <c r="S473" s="191" t="str">
        <f>'1_BD questio brut'!Q473</f>
        <v>2; 4; 6</v>
      </c>
      <c r="T473" s="191" t="str">
        <f>'1_BD questio brut'!R473</f>
        <v>1996-2002</v>
      </c>
      <c r="U473" s="191" t="str">
        <f>'1_BD questio brut'!S473</f>
        <v>Bois bûche</v>
      </c>
      <c r="V473" s="191" t="str">
        <f>'1_BD questio brut'!T473</f>
        <v/>
      </c>
      <c r="W473" s="191" t="str">
        <f>'1_BD questio brut'!U473</f>
        <v>7</v>
      </c>
      <c r="X473" s="191" t="str">
        <f>'1_BD questio brut'!V473</f>
        <v>Stères</v>
      </c>
      <c r="Y473" s="191" t="str">
        <f>'1_BD questio brut'!W473</f>
        <v>2</v>
      </c>
      <c r="Z473" s="191" t="str">
        <f>'1_BD questio brut'!X473</f>
        <v/>
      </c>
      <c r="AA473" s="191" t="str">
        <f t="array" ref="AA473">INDEX('Données 1_BD questio'!C:C,MATCH('1_BD questio brut'!$Y$1&amp;'1_BD questio brut'!Y473,'Données 1_BD questio'!A:A&amp;'Données 1_BD questio'!B:B,0))</f>
        <v>Rhône-Alpes hors RA2B</v>
      </c>
      <c r="AB473" s="191" t="str">
        <f>'1_BD questio brut'!Z473</f>
        <v>2</v>
      </c>
      <c r="AC473" s="191" t="str">
        <f>'1_BD questio brut'!AA473</f>
        <v>&gt; 2 ans</v>
      </c>
      <c r="AD473" s="191" t="str">
        <f>'1_BD questio brut'!AB473</f>
        <v>Feuillus</v>
      </c>
      <c r="AE473" s="191" t="str">
        <f t="array" ref="AE473">INDEX('Données 1_BD questio'!C:C,MATCH('1_BD questio brut'!$AC$1&amp;'1_BD questio brut'!AC473,'Données 1_BD questio'!A:A&amp;'Données 1_BD questio'!B:B,0))</f>
        <v>vous-même</v>
      </c>
      <c r="AF473" s="191" t="str">
        <f>'1_BD questio brut'!AD473</f>
        <v>2 fois par an</v>
      </c>
      <c r="AG473" s="191" t="str">
        <f>'1_BD questio brut'!AE473</f>
        <v/>
      </c>
      <c r="AH473" s="191" t="str">
        <f>'1_BD questio brut'!AF473</f>
        <v>Poêle</v>
      </c>
      <c r="AI473" s="191" t="str">
        <f>'1_BD questio brut'!AG473</f>
        <v>1</v>
      </c>
      <c r="AJ473" s="191" t="str">
        <f>'1_BD questio brut'!AH473</f>
        <v/>
      </c>
      <c r="AK473" s="191" t="str">
        <f>'1_BD questio brut'!AI473</f>
        <v>Chauffage de base</v>
      </c>
      <c r="AL473" s="191" t="str">
        <f>'1_BD questio brut'!AJ473</f>
        <v>Pas de réponse</v>
      </c>
      <c r="AM473" s="191" t="str">
        <f>'1_BD questio brut'!AK473</f>
        <v>2; 4; 5</v>
      </c>
      <c r="AN473" s="191" t="str">
        <f>'1_BD questio brut'!AL473</f>
        <v/>
      </c>
      <c r="AO473" s="191" t="str">
        <f>'1_BD questio brut'!AM473</f>
        <v>5</v>
      </c>
      <c r="AP473" s="191" t="str">
        <f>'1_BD questio brut'!AN473</f>
        <v/>
      </c>
      <c r="AQ473" s="191" t="str">
        <f>'1_BD questio brut'!AO473</f>
        <v/>
      </c>
    </row>
    <row r="474" spans="1:43" ht="29" hidden="1">
      <c r="A474" s="98">
        <f>INDEX('3_BD instruction total'!A:A,MATCH(C474,'3_BD instruction total'!F:F,0))</f>
        <v>1900</v>
      </c>
      <c r="B474" s="98" t="str">
        <f>INDEX('3_BD instruction total'!C:C,MATCH(C474,'3_BD instruction total'!F:F,0))</f>
        <v>non</v>
      </c>
      <c r="C474" s="191" t="str">
        <f>'1_BD questio brut'!A474</f>
        <v>VRB0511</v>
      </c>
      <c r="D474" s="191" t="str">
        <f t="array" ref="D474">INDEX('Données 1_BD questio'!C:C,MATCH('1_BD questio brut'!$B$1&amp;'1_BD questio brut'!B474,'Données 1_BD questio'!A:A&amp;'Données 1_BD questio'!B:B,0))</f>
        <v>CAPV</v>
      </c>
      <c r="E474" s="191" t="str">
        <f t="array" ref="E474">INDEX('Données 1_BD questio'!C:C,MATCH('1_BD questio brut'!$C$1&amp;'1_BD questio brut'!C474,'Données 1_BD questio'!A:A&amp;'Données 1_BD questio'!B:B,0))</f>
        <v>Employé</v>
      </c>
      <c r="F474" s="191" t="str">
        <f t="array" ref="F474">INDEX('Données 1_BD questio'!C:C,MATCH('1_BD questio brut'!$D$1&amp;'1_BD questio brut'!D474,'Données 1_BD questio'!A:A&amp;'Données 1_BD questio'!B:B,0))</f>
        <v>Artisan,commerçant,chef d'entreprise</v>
      </c>
      <c r="G474" s="191" t="str">
        <f>'1_BD questio brut'!E474</f>
        <v>50 à 64 ans</v>
      </c>
      <c r="H474" s="191">
        <f>'1_BD questio brut'!F474</f>
        <v>2</v>
      </c>
      <c r="I474" s="191" t="str">
        <f>'1_BD questio brut'!G474</f>
        <v>20 000 à 30 000 €</v>
      </c>
      <c r="J474" s="191" t="str">
        <f t="array" ref="J474">INDEX('Données 1_BD questio'!C:C,MATCH('1_BD questio brut'!$H$1&amp;'1_BD questio brut'!H474,'Données 1_BD questio'!A:A&amp;'Données 1_BD questio'!B:B,0))</f>
        <v>Maison avec jardin</v>
      </c>
      <c r="K474" s="191">
        <f>'1_BD questio brut'!I474</f>
        <v>110</v>
      </c>
      <c r="L474" s="191" t="str">
        <f>'1_BD questio brut'!J474</f>
        <v>1949-1975</v>
      </c>
      <c r="M474" s="191" t="str">
        <f>'1_BD questio brut'!K474</f>
        <v>6</v>
      </c>
      <c r="N474" s="191" t="str">
        <f>'1_BD questio brut'!L474</f>
        <v>Pas de réponse</v>
      </c>
      <c r="O474" s="191" t="str">
        <f>'1_BD questio brut'!M474</f>
        <v>Propriétaire occupant</v>
      </c>
      <c r="P474" s="191" t="str">
        <f>'1_BD questio brut'!N474</f>
        <v>Insert / foyer fermé</v>
      </c>
      <c r="Q474" s="191" t="str">
        <f>'1_BD questio brut'!O474</f>
        <v>Chauffage de base</v>
      </c>
      <c r="R474" s="191" t="str">
        <f>'1_BD questio brut'!P474</f>
        <v>Tous les jours</v>
      </c>
      <c r="S474" s="191" t="str">
        <f>'1_BD questio brut'!Q474</f>
        <v>4</v>
      </c>
      <c r="T474" s="191" t="str">
        <f>'1_BD questio brut'!R474</f>
        <v>Avant 1990</v>
      </c>
      <c r="U474" s="191" t="str">
        <f>'1_BD questio brut'!S474</f>
        <v>Bois bûche</v>
      </c>
      <c r="V474" s="191" t="str">
        <f>'1_BD questio brut'!T474</f>
        <v/>
      </c>
      <c r="W474" s="191" t="str">
        <f>'1_BD questio brut'!U474</f>
        <v>2</v>
      </c>
      <c r="X474" s="191" t="str">
        <f>'1_BD questio brut'!V474</f>
        <v>stère</v>
      </c>
      <c r="Y474" s="191" t="str">
        <f>'1_BD questio brut'!W474</f>
        <v>3</v>
      </c>
      <c r="Z474" s="191" t="str">
        <f>'1_BD questio brut'!X474</f>
        <v/>
      </c>
      <c r="AA474" s="191" t="str">
        <f t="array" ref="AA474">INDEX('Données 1_BD questio'!C:C,MATCH('1_BD questio brut'!$Y$1&amp;'1_BD questio brut'!Y474,'Données 1_BD questio'!A:A&amp;'Données 1_BD questio'!B:B,0))</f>
        <v>Ne sait pas</v>
      </c>
      <c r="AB474" s="191" t="str">
        <f>'1_BD questio brut'!Z474</f>
        <v>4</v>
      </c>
      <c r="AC474" s="191" t="str">
        <f>'1_BD questio brut'!AA474</f>
        <v>Pas de réponse</v>
      </c>
      <c r="AD474" s="191" t="str">
        <f>'1_BD questio brut'!AB474</f>
        <v>Pas de réponse</v>
      </c>
      <c r="AE474" s="191" t="str">
        <f t="array" ref="AE474">INDEX('Données 1_BD questio'!C:C,MATCH('1_BD questio brut'!$AC$1&amp;'1_BD questio brut'!AC474,'Données 1_BD questio'!A:A&amp;'Données 1_BD questio'!B:B,0))</f>
        <v>Pas de réponse</v>
      </c>
      <c r="AF474" s="191" t="str">
        <f>'1_BD questio brut'!AD474</f>
        <v>Pas de réponse</v>
      </c>
      <c r="AG474" s="191" t="str">
        <f>'1_BD questio brut'!AE474</f>
        <v/>
      </c>
      <c r="AH474" s="191" t="str">
        <f>'1_BD questio brut'!AF474</f>
        <v>Poêle</v>
      </c>
      <c r="AI474" s="191" t="str">
        <f>'1_BD questio brut'!AG474</f>
        <v>2</v>
      </c>
      <c r="AJ474" s="191" t="str">
        <f>'1_BD questio brut'!AH474</f>
        <v/>
      </c>
      <c r="AK474" s="191" t="str">
        <f>'1_BD questio brut'!AI474</f>
        <v>Chauffage de base</v>
      </c>
      <c r="AL474" s="191" t="str">
        <f>'1_BD questio brut'!AJ474</f>
        <v>Pas de réponse</v>
      </c>
      <c r="AM474" s="191" t="str">
        <f>'1_BD questio brut'!AK474</f>
        <v>1; 4; 5</v>
      </c>
      <c r="AN474" s="191" t="str">
        <f>'1_BD questio brut'!AL474</f>
        <v/>
      </c>
      <c r="AO474" s="191" t="str">
        <f>'1_BD questio brut'!AM474</f>
        <v>7</v>
      </c>
      <c r="AP474" s="191" t="str">
        <f>'1_BD questio brut'!AN474</f>
        <v/>
      </c>
      <c r="AQ474" s="191" t="str">
        <f>'1_BD questio brut'!AO474</f>
        <v/>
      </c>
    </row>
    <row r="475" spans="1:43" ht="43.5" hidden="1">
      <c r="A475" s="98">
        <f>INDEX('3_BD instruction total'!A:A,MATCH(C475,'3_BD instruction total'!F:F,0))</f>
        <v>2022</v>
      </c>
      <c r="B475" s="98" t="str">
        <f>INDEX('3_BD instruction total'!C:C,MATCH(C475,'3_BD instruction total'!F:F,0))</f>
        <v>non</v>
      </c>
      <c r="C475" s="191" t="str">
        <f>'1_BD questio brut'!A475</f>
        <v>VRB0512</v>
      </c>
      <c r="D475" s="191" t="str">
        <f t="array" ref="D475">INDEX('Données 1_BD questio'!C:C,MATCH('1_BD questio brut'!$B$1&amp;'1_BD questio brut'!B475,'Données 1_BD questio'!A:A&amp;'Données 1_BD questio'!B:B,0))</f>
        <v>CAPV</v>
      </c>
      <c r="E475" s="191" t="str">
        <f t="array" ref="E475">INDEX('Données 1_BD questio'!C:C,MATCH('1_BD questio brut'!$C$1&amp;'1_BD questio brut'!C475,'Données 1_BD questio'!A:A&amp;'Données 1_BD questio'!B:B,0))</f>
        <v>Autre,sans activité</v>
      </c>
      <c r="F475" s="191" t="str">
        <f t="array" ref="F475">INDEX('Données 1_BD questio'!C:C,MATCH('1_BD questio brut'!$D$1&amp;'1_BD questio brut'!D475,'Données 1_BD questio'!A:A&amp;'Données 1_BD questio'!B:B,0))</f>
        <v>Pas de réponse</v>
      </c>
      <c r="G475" s="191" t="str">
        <f>'1_BD questio brut'!E475</f>
        <v>50 à 64 ans</v>
      </c>
      <c r="H475" s="191">
        <f>'1_BD questio brut'!F475</f>
        <v>3</v>
      </c>
      <c r="I475" s="191" t="str">
        <f>'1_BD questio brut'!G475</f>
        <v>30 000 à 40 000 €</v>
      </c>
      <c r="J475" s="191" t="str">
        <f t="array" ref="J475">INDEX('Données 1_BD questio'!C:C,MATCH('1_BD questio brut'!$H$1&amp;'1_BD questio brut'!H475,'Données 1_BD questio'!A:A&amp;'Données 1_BD questio'!B:B,0))</f>
        <v>Maison avec jardin</v>
      </c>
      <c r="K475" s="191">
        <f>'1_BD questio brut'!I475</f>
        <v>180</v>
      </c>
      <c r="L475" s="191" t="str">
        <f>'1_BD questio brut'!J475</f>
        <v>Avant 1949</v>
      </c>
      <c r="M475" s="191" t="str">
        <f>'1_BD questio brut'!K475</f>
        <v>6</v>
      </c>
      <c r="N475" s="191" t="str">
        <f>'1_BD questio brut'!L475</f>
        <v>Pas de réponse</v>
      </c>
      <c r="O475" s="191" t="str">
        <f>'1_BD questio brut'!M475</f>
        <v>Propriétaire occupant</v>
      </c>
      <c r="P475" s="191" t="str">
        <f>'1_BD questio brut'!N475</f>
        <v>Foyer ouvert</v>
      </c>
      <c r="Q475" s="191" t="str">
        <f>'1_BD questio brut'!O475</f>
        <v>Chauffage d'apoint</v>
      </c>
      <c r="R475" s="191" t="str">
        <f>'1_BD questio brut'!P475</f>
        <v>3 à 4 jours/semaine</v>
      </c>
      <c r="S475" s="191" t="str">
        <f>'1_BD questio brut'!Q475</f>
        <v>2; 3</v>
      </c>
      <c r="T475" s="191" t="str">
        <f>'1_BD questio brut'!R475</f>
        <v>Avant 1990</v>
      </c>
      <c r="U475" s="191" t="str">
        <f>'1_BD questio brut'!S475</f>
        <v>Bois bûche</v>
      </c>
      <c r="V475" s="191" t="str">
        <f>'1_BD questio brut'!T475</f>
        <v/>
      </c>
      <c r="W475" s="191" t="str">
        <f>'1_BD questio brut'!U475</f>
        <v>6</v>
      </c>
      <c r="X475" s="191" t="str">
        <f>'1_BD questio brut'!V475</f>
        <v>Stères</v>
      </c>
      <c r="Y475" s="191" t="str">
        <f>'1_BD questio brut'!W475</f>
        <v>1; 2</v>
      </c>
      <c r="Z475" s="191" t="str">
        <f>'1_BD questio brut'!X475</f>
        <v/>
      </c>
      <c r="AA475" s="191" t="str">
        <f t="array" ref="AA475">INDEX('Données 1_BD questio'!C:C,MATCH('1_BD questio brut'!$Y$1&amp;'1_BD questio brut'!Y475,'Données 1_BD questio'!A:A&amp;'Données 1_BD questio'!B:B,0))</f>
        <v>Rhône-Alpes hors RA2B</v>
      </c>
      <c r="AB475" s="191" t="str">
        <f>'1_BD questio brut'!Z475</f>
        <v>2</v>
      </c>
      <c r="AC475" s="191" t="str">
        <f>'1_BD questio brut'!AA475</f>
        <v>&gt; 2 ans</v>
      </c>
      <c r="AD475" s="191" t="str">
        <f>'1_BD questio brut'!AB475</f>
        <v>Feuillus</v>
      </c>
      <c r="AE475" s="191" t="str">
        <f t="array" ref="AE475">INDEX('Données 1_BD questio'!C:C,MATCH('1_BD questio brut'!$AC$1&amp;'1_BD questio brut'!AC475,'Données 1_BD questio'!A:A&amp;'Données 1_BD questio'!B:B,0))</f>
        <v>un professionnel</v>
      </c>
      <c r="AF475" s="191" t="str">
        <f>'1_BD questio brut'!AD475</f>
        <v>1 fois tous les 2 ans</v>
      </c>
      <c r="AG475" s="191" t="str">
        <f>'1_BD questio brut'!AE475</f>
        <v/>
      </c>
      <c r="AH475" s="191" t="str">
        <f>'1_BD questio brut'!AF475</f>
        <v>Poêle</v>
      </c>
      <c r="AI475" s="191" t="str">
        <f>'1_BD questio brut'!AG475</f>
        <v>1</v>
      </c>
      <c r="AJ475" s="191" t="str">
        <f>'1_BD questio brut'!AH475</f>
        <v/>
      </c>
      <c r="AK475" s="191" t="str">
        <f>'1_BD questio brut'!AI475</f>
        <v>Chauffage d'appoint</v>
      </c>
      <c r="AL475" s="191" t="str">
        <f>'1_BD questio brut'!AJ475</f>
        <v>Pas de réponse</v>
      </c>
      <c r="AM475" s="191" t="str">
        <f>'1_BD questio brut'!AK475</f>
        <v>2; 4; 5</v>
      </c>
      <c r="AN475" s="191" t="str">
        <f>'1_BD questio brut'!AL475</f>
        <v/>
      </c>
      <c r="AO475" s="191" t="str">
        <f>'1_BD questio brut'!AM475</f>
        <v>5</v>
      </c>
      <c r="AP475" s="191" t="str">
        <f>'1_BD questio brut'!AN475</f>
        <v/>
      </c>
      <c r="AQ475" s="191" t="str">
        <f>'1_BD questio brut'!AO475</f>
        <v/>
      </c>
    </row>
    <row r="476" spans="1:43" ht="43.5" hidden="1">
      <c r="A476" s="98">
        <f>INDEX('3_BD instruction total'!A:A,MATCH(C476,'3_BD instruction total'!F:F,0))</f>
        <v>2022</v>
      </c>
      <c r="B476" s="98" t="str">
        <f>INDEX('3_BD instruction total'!C:C,MATCH(C476,'3_BD instruction total'!F:F,0))</f>
        <v>non</v>
      </c>
      <c r="C476" s="191" t="str">
        <f>'1_BD questio brut'!A476</f>
        <v>VRB0513</v>
      </c>
      <c r="D476" s="191" t="str">
        <f t="array" ref="D476">INDEX('Données 1_BD questio'!C:C,MATCH('1_BD questio brut'!$B$1&amp;'1_BD questio brut'!B476,'Données 1_BD questio'!A:A&amp;'Données 1_BD questio'!B:B,0))</f>
        <v>CAPV</v>
      </c>
      <c r="E476" s="191" t="str">
        <f t="array" ref="E476">INDEX('Données 1_BD questio'!C:C,MATCH('1_BD questio brut'!$C$1&amp;'1_BD questio brut'!C476,'Données 1_BD questio'!A:A&amp;'Données 1_BD questio'!B:B,0))</f>
        <v>Artisan,commerçant,chef d'entreprise</v>
      </c>
      <c r="F476" s="191" t="str">
        <f t="array" ref="F476">INDEX('Données 1_BD questio'!C:C,MATCH('1_BD questio brut'!$D$1&amp;'1_BD questio brut'!D476,'Données 1_BD questio'!A:A&amp;'Données 1_BD questio'!B:B,0))</f>
        <v>Autre,sans activité</v>
      </c>
      <c r="G476" s="191" t="str">
        <f>'1_BD questio brut'!E476</f>
        <v>50 à 64 ans</v>
      </c>
      <c r="H476" s="191">
        <f>'1_BD questio brut'!F476</f>
        <v>2</v>
      </c>
      <c r="I476" s="191" t="str">
        <f>'1_BD questio brut'!G476</f>
        <v>80 000 à 90 000 €</v>
      </c>
      <c r="J476" s="191" t="str">
        <f t="array" ref="J476">INDEX('Données 1_BD questio'!C:C,MATCH('1_BD questio brut'!$H$1&amp;'1_BD questio brut'!H476,'Données 1_BD questio'!A:A&amp;'Données 1_BD questio'!B:B,0))</f>
        <v>Maison avec jardin</v>
      </c>
      <c r="K476" s="191">
        <f>'1_BD questio brut'!I476</f>
        <v>150</v>
      </c>
      <c r="L476" s="191" t="str">
        <f>'1_BD questio brut'!J476</f>
        <v>Avant 1949</v>
      </c>
      <c r="M476" s="191" t="str">
        <f>'1_BD questio brut'!K476</f>
        <v>1; 4</v>
      </c>
      <c r="N476" s="191" t="str">
        <f>'1_BD questio brut'!L476</f>
        <v>Ne sait pas</v>
      </c>
      <c r="O476" s="191" t="str">
        <f>'1_BD questio brut'!M476</f>
        <v>Propriétaire occupant</v>
      </c>
      <c r="P476" s="191" t="str">
        <f>'1_BD questio brut'!N476</f>
        <v>Foyer ouvert</v>
      </c>
      <c r="Q476" s="191" t="str">
        <f>'1_BD questio brut'!O476</f>
        <v>Chauffage d'apoint</v>
      </c>
      <c r="R476" s="191" t="str">
        <f>'1_BD questio brut'!P476</f>
        <v>3 à 4 jours/semaine</v>
      </c>
      <c r="S476" s="191" t="str">
        <f>'1_BD questio brut'!Q476</f>
        <v>2</v>
      </c>
      <c r="T476" s="191" t="str">
        <f>'1_BD questio brut'!R476</f>
        <v>1996-2002</v>
      </c>
      <c r="U476" s="191" t="str">
        <f>'1_BD questio brut'!S476</f>
        <v>Bois bûche</v>
      </c>
      <c r="V476" s="191" t="str">
        <f>'1_BD questio brut'!T476</f>
        <v/>
      </c>
      <c r="W476" s="191" t="str">
        <f>'1_BD questio brut'!U476</f>
        <v>10</v>
      </c>
      <c r="X476" s="191" t="str">
        <f>'1_BD questio brut'!V476</f>
        <v>Stères</v>
      </c>
      <c r="Y476" s="191" t="str">
        <f>'1_BD questio brut'!W476</f>
        <v>2</v>
      </c>
      <c r="Z476" s="191" t="str">
        <f>'1_BD questio brut'!X476</f>
        <v/>
      </c>
      <c r="AA476" s="191" t="str">
        <f t="array" ref="AA476">INDEX('Données 1_BD questio'!C:C,MATCH('1_BD questio brut'!$Y$1&amp;'1_BD questio brut'!Y476,'Données 1_BD questio'!A:A&amp;'Données 1_BD questio'!B:B,0))</f>
        <v>Ne sait pas</v>
      </c>
      <c r="AB476" s="191" t="str">
        <f>'1_BD questio brut'!Z476</f>
        <v>2</v>
      </c>
      <c r="AC476" s="191" t="str">
        <f>'1_BD questio brut'!AA476</f>
        <v>&gt; 2 ans</v>
      </c>
      <c r="AD476" s="191" t="str">
        <f>'1_BD questio brut'!AB476</f>
        <v>Feuillus</v>
      </c>
      <c r="AE476" s="191" t="str">
        <f t="array" ref="AE476">INDEX('Données 1_BD questio'!C:C,MATCH('1_BD questio brut'!$AC$1&amp;'1_BD questio brut'!AC476,'Données 1_BD questio'!A:A&amp;'Données 1_BD questio'!B:B,0))</f>
        <v>un professionnel</v>
      </c>
      <c r="AF476" s="191" t="str">
        <f>'1_BD questio brut'!AD476</f>
        <v>1 fois par an</v>
      </c>
      <c r="AG476" s="191" t="str">
        <f>'1_BD questio brut'!AE476</f>
        <v/>
      </c>
      <c r="AH476" s="191" t="str">
        <f>'1_BD questio brut'!AF476</f>
        <v>Poêle</v>
      </c>
      <c r="AI476" s="191" t="str">
        <f>'1_BD questio brut'!AG476</f>
        <v>1</v>
      </c>
      <c r="AJ476" s="191" t="str">
        <f>'1_BD questio brut'!AH476</f>
        <v/>
      </c>
      <c r="AK476" s="191" t="str">
        <f>'1_BD questio brut'!AI476</f>
        <v>Chauffage de base</v>
      </c>
      <c r="AL476" s="191" t="str">
        <f>'1_BD questio brut'!AJ476</f>
        <v>Pas de réponse</v>
      </c>
      <c r="AM476" s="191" t="str">
        <f>'1_BD questio brut'!AK476</f>
        <v>2; 5</v>
      </c>
      <c r="AN476" s="191" t="str">
        <f>'1_BD questio brut'!AL476</f>
        <v/>
      </c>
      <c r="AO476" s="191" t="str">
        <f>'1_BD questio brut'!AM476</f>
        <v>5</v>
      </c>
      <c r="AP476" s="191" t="str">
        <f>'1_BD questio brut'!AN476</f>
        <v/>
      </c>
      <c r="AQ476" s="191" t="str">
        <f>'1_BD questio brut'!AO476</f>
        <v/>
      </c>
    </row>
    <row r="477" spans="1:43" ht="58" hidden="1">
      <c r="A477" s="98">
        <f>INDEX('3_BD instruction total'!A:A,MATCH(C477,'3_BD instruction total'!F:F,0))</f>
        <v>2022</v>
      </c>
      <c r="B477" s="98" t="str">
        <f>INDEX('3_BD instruction total'!C:C,MATCH(C477,'3_BD instruction total'!F:F,0))</f>
        <v>non</v>
      </c>
      <c r="C477" s="191" t="str">
        <f>'1_BD questio brut'!A477</f>
        <v>VRB0514</v>
      </c>
      <c r="D477" s="191" t="str">
        <f t="array" ref="D477">INDEX('Données 1_BD questio'!C:C,MATCH('1_BD questio brut'!$B$1&amp;'1_BD questio brut'!B477,'Données 1_BD questio'!A:A&amp;'Données 1_BD questio'!B:B,0))</f>
        <v>CAPV</v>
      </c>
      <c r="E477" s="191" t="str">
        <f t="array" ref="E477">INDEX('Données 1_BD questio'!C:C,MATCH('1_BD questio brut'!$C$1&amp;'1_BD questio brut'!C477,'Données 1_BD questio'!A:A&amp;'Données 1_BD questio'!B:B,0))</f>
        <v>Employé</v>
      </c>
      <c r="F477" s="191" t="str">
        <f t="array" ref="F477">INDEX('Données 1_BD questio'!C:C,MATCH('1_BD questio brut'!$D$1&amp;'1_BD questio brut'!D477,'Données 1_BD questio'!A:A&amp;'Données 1_BD questio'!B:B,0))</f>
        <v>Pas de réponse</v>
      </c>
      <c r="G477" s="191" t="str">
        <f>'1_BD questio brut'!E477</f>
        <v>35 à 49 ans</v>
      </c>
      <c r="H477" s="191">
        <f>'1_BD questio brut'!F477</f>
        <v>1</v>
      </c>
      <c r="I477" s="191" t="str">
        <f>'1_BD questio brut'!G477</f>
        <v>Moins de 20 000 €</v>
      </c>
      <c r="J477" s="191" t="str">
        <f t="array" ref="J477">INDEX('Données 1_BD questio'!C:C,MATCH('1_BD questio brut'!$H$1&amp;'1_BD questio brut'!H477,'Données 1_BD questio'!A:A&amp;'Données 1_BD questio'!B:B,0))</f>
        <v>Maison avec jardin</v>
      </c>
      <c r="K477" s="191">
        <f>'1_BD questio brut'!I477</f>
        <v>90</v>
      </c>
      <c r="L477" s="191" t="str">
        <f>'1_BD questio brut'!J477</f>
        <v>1949-1975</v>
      </c>
      <c r="M477" s="191" t="str">
        <f>'1_BD questio brut'!K477</f>
        <v>1; 3; 4</v>
      </c>
      <c r="N477" s="191" t="str">
        <f>'1_BD questio brut'!L477</f>
        <v>Ne sait pas</v>
      </c>
      <c r="O477" s="191" t="str">
        <f>'1_BD questio brut'!M477</f>
        <v>Propriétaire occupant</v>
      </c>
      <c r="P477" s="191" t="str">
        <f>'1_BD questio brut'!N477</f>
        <v>Poêle</v>
      </c>
      <c r="Q477" s="191" t="str">
        <f>'1_BD questio brut'!O477</f>
        <v>Plaisir/agrément</v>
      </c>
      <c r="R477" s="191" t="str">
        <f>'1_BD questio brut'!P477</f>
        <v>Moins de 15 fois par an</v>
      </c>
      <c r="S477" s="191" t="str">
        <f>'1_BD questio brut'!Q477</f>
        <v>2; 6</v>
      </c>
      <c r="T477" s="191" t="str">
        <f>'1_BD questio brut'!R477</f>
        <v>Pas de réponse</v>
      </c>
      <c r="U477" s="191" t="str">
        <f>'1_BD questio brut'!S477</f>
        <v>Bois bûche</v>
      </c>
      <c r="V477" s="191" t="str">
        <f>'1_BD questio brut'!T477</f>
        <v/>
      </c>
      <c r="W477" s="191" t="str">
        <f>'1_BD questio brut'!U477</f>
        <v>8</v>
      </c>
      <c r="X477" s="191" t="str">
        <f>'1_BD questio brut'!V477</f>
        <v>Stères</v>
      </c>
      <c r="Y477" s="191" t="str">
        <f>'1_BD questio brut'!W477</f>
        <v>2</v>
      </c>
      <c r="Z477" s="191" t="str">
        <f>'1_BD questio brut'!X477</f>
        <v/>
      </c>
      <c r="AA477" s="191" t="str">
        <f t="array" ref="AA477">INDEX('Données 1_BD questio'!C:C,MATCH('1_BD questio brut'!$Y$1&amp;'1_BD questio brut'!Y477,'Données 1_BD questio'!A:A&amp;'Données 1_BD questio'!B:B,0))</f>
        <v>Ne sait pas</v>
      </c>
      <c r="AB477" s="191" t="str">
        <f>'1_BD questio brut'!Z477</f>
        <v>3</v>
      </c>
      <c r="AC477" s="191" t="str">
        <f>'1_BD questio brut'!AA477</f>
        <v>Pas de réponse</v>
      </c>
      <c r="AD477" s="191" t="str">
        <f>'1_BD questio brut'!AB477</f>
        <v>Feuillus</v>
      </c>
      <c r="AE477" s="191" t="str">
        <f t="array" ref="AE477">INDEX('Données 1_BD questio'!C:C,MATCH('1_BD questio brut'!$AC$1&amp;'1_BD questio brut'!AC477,'Données 1_BD questio'!A:A&amp;'Données 1_BD questio'!B:B,0))</f>
        <v>un professionnel</v>
      </c>
      <c r="AF477" s="191" t="str">
        <f>'1_BD questio brut'!AD477</f>
        <v>Autre, à préciser</v>
      </c>
      <c r="AG477" s="191" t="str">
        <f>'1_BD questio brut'!AE477</f>
        <v>Fait l'année dernière</v>
      </c>
      <c r="AH477" s="191" t="str">
        <f>'1_BD questio brut'!AF477</f>
        <v>Poêle</v>
      </c>
      <c r="AI477" s="191" t="str">
        <f>'1_BD questio brut'!AG477</f>
        <v>1</v>
      </c>
      <c r="AJ477" s="191" t="str">
        <f>'1_BD questio brut'!AH477</f>
        <v/>
      </c>
      <c r="AK477" s="191" t="str">
        <f>'1_BD questio brut'!AI477</f>
        <v>Chauffage de base</v>
      </c>
      <c r="AL477" s="191" t="str">
        <f>'1_BD questio brut'!AJ477</f>
        <v>Pas de réponse</v>
      </c>
      <c r="AM477" s="191" t="str">
        <f>'1_BD questio brut'!AK477</f>
        <v>4</v>
      </c>
      <c r="AN477" s="191" t="str">
        <f>'1_BD questio brut'!AL477</f>
        <v>pr ne pas utilisé la chaudière fioul</v>
      </c>
      <c r="AO477" s="191" t="str">
        <f>'1_BD questio brut'!AM477</f>
        <v>5</v>
      </c>
      <c r="AP477" s="191" t="str">
        <f>'1_BD questio brut'!AN477</f>
        <v/>
      </c>
      <c r="AQ477" s="191" t="str">
        <f>'1_BD questio brut'!AO477</f>
        <v/>
      </c>
    </row>
    <row r="478" spans="1:43" ht="43.5" hidden="1">
      <c r="A478" s="98">
        <f>INDEX('3_BD instruction total'!A:A,MATCH(C478,'3_BD instruction total'!F:F,0))</f>
        <v>2022</v>
      </c>
      <c r="B478" s="98" t="str">
        <f>INDEX('3_BD instruction total'!C:C,MATCH(C478,'3_BD instruction total'!F:F,0))</f>
        <v>non</v>
      </c>
      <c r="C478" s="191" t="str">
        <f>'1_BD questio brut'!A478</f>
        <v>VRB0515</v>
      </c>
      <c r="D478" s="191" t="str">
        <f t="array" ref="D478">INDEX('Données 1_BD questio'!C:C,MATCH('1_BD questio brut'!$B$1&amp;'1_BD questio brut'!B478,'Données 1_BD questio'!A:A&amp;'Données 1_BD questio'!B:B,0))</f>
        <v>CAPV</v>
      </c>
      <c r="E478" s="191" t="str">
        <f t="array" ref="E478">INDEX('Données 1_BD questio'!C:C,MATCH('1_BD questio brut'!$C$1&amp;'1_BD questio brut'!C478,'Données 1_BD questio'!A:A&amp;'Données 1_BD questio'!B:B,0))</f>
        <v>Employé</v>
      </c>
      <c r="F478" s="191" t="str">
        <f t="array" ref="F478">INDEX('Données 1_BD questio'!C:C,MATCH('1_BD questio brut'!$D$1&amp;'1_BD questio brut'!D478,'Données 1_BD questio'!A:A&amp;'Données 1_BD questio'!B:B,0))</f>
        <v>Pas de réponse</v>
      </c>
      <c r="G478" s="191" t="str">
        <f>'1_BD questio brut'!E478</f>
        <v>35 à 49 ans</v>
      </c>
      <c r="H478" s="191">
        <f>'1_BD questio brut'!F478</f>
        <v>1</v>
      </c>
      <c r="I478" s="191" t="str">
        <f>'1_BD questio brut'!G478</f>
        <v>40 000 à 50 000 €</v>
      </c>
      <c r="J478" s="191" t="str">
        <f t="array" ref="J478">INDEX('Données 1_BD questio'!C:C,MATCH('1_BD questio brut'!$H$1&amp;'1_BD questio brut'!H478,'Données 1_BD questio'!A:A&amp;'Données 1_BD questio'!B:B,0))</f>
        <v>Maison avec jardin</v>
      </c>
      <c r="K478" s="191">
        <f>'1_BD questio brut'!I478</f>
        <v>100</v>
      </c>
      <c r="L478" s="191" t="str">
        <f>'1_BD questio brut'!J478</f>
        <v>Avant 1949</v>
      </c>
      <c r="M478" s="191" t="str">
        <f>'1_BD questio brut'!K478</f>
        <v>1; 3</v>
      </c>
      <c r="N478" s="191" t="str">
        <f>'1_BD questio brut'!L478</f>
        <v>Pas de réponse</v>
      </c>
      <c r="O478" s="191" t="str">
        <f>'1_BD questio brut'!M478</f>
        <v>Propriétaire bailleur</v>
      </c>
      <c r="P478" s="191" t="str">
        <f>'1_BD questio brut'!N478</f>
        <v>Foyer ouvert</v>
      </c>
      <c r="Q478" s="191" t="str">
        <f>'1_BD questio brut'!O478</f>
        <v>Plaisir/agrément</v>
      </c>
      <c r="R478" s="191" t="str">
        <f>'1_BD questio brut'!P478</f>
        <v>Moins de 15 fois par an</v>
      </c>
      <c r="S478" s="191" t="str">
        <f>'1_BD questio brut'!Q478</f>
        <v>7</v>
      </c>
      <c r="T478" s="191" t="str">
        <f>'1_BD questio brut'!R478</f>
        <v>Avant 1990</v>
      </c>
      <c r="U478" s="191" t="str">
        <f>'1_BD questio brut'!S478</f>
        <v>Bois bûche</v>
      </c>
      <c r="V478" s="191" t="str">
        <f>'1_BD questio brut'!T478</f>
        <v/>
      </c>
      <c r="W478" s="191" t="str">
        <f>'1_BD questio brut'!U478</f>
        <v/>
      </c>
      <c r="X478" s="191" t="str">
        <f>'1_BD questio brut'!V478</f>
        <v/>
      </c>
      <c r="Y478" s="191" t="str">
        <f>'1_BD questio brut'!W478</f>
        <v>1</v>
      </c>
      <c r="Z478" s="191" t="str">
        <f>'1_BD questio brut'!X478</f>
        <v/>
      </c>
      <c r="AA478" s="191" t="str">
        <f t="array" ref="AA478">INDEX('Données 1_BD questio'!C:C,MATCH('1_BD questio brut'!$Y$1&amp;'1_BD questio brut'!Y478,'Données 1_BD questio'!A:A&amp;'Données 1_BD questio'!B:B,0))</f>
        <v>Pas de réponse</v>
      </c>
      <c r="AB478" s="191" t="str">
        <f>'1_BD questio brut'!Z478</f>
        <v>3</v>
      </c>
      <c r="AC478" s="191" t="str">
        <f>'1_BD questio brut'!AA478</f>
        <v>&gt; 2 ans</v>
      </c>
      <c r="AD478" s="191" t="str">
        <f>'1_BD questio brut'!AB478</f>
        <v>Feuillus</v>
      </c>
      <c r="AE478" s="191" t="str">
        <f t="array" ref="AE478">INDEX('Données 1_BD questio'!C:C,MATCH('1_BD questio brut'!$AC$1&amp;'1_BD questio brut'!AC478,'Données 1_BD questio'!A:A&amp;'Données 1_BD questio'!B:B,0))</f>
        <v>un professionnel</v>
      </c>
      <c r="AF478" s="191" t="str">
        <f>'1_BD questio brut'!AD478</f>
        <v>1 fois par an</v>
      </c>
      <c r="AG478" s="191" t="str">
        <f>'1_BD questio brut'!AE478</f>
        <v/>
      </c>
      <c r="AH478" s="191" t="str">
        <f>'1_BD questio brut'!AF478</f>
        <v>Poêle</v>
      </c>
      <c r="AI478" s="191" t="str">
        <f>'1_BD questio brut'!AG478</f>
        <v>1</v>
      </c>
      <c r="AJ478" s="191" t="str">
        <f>'1_BD questio brut'!AH478</f>
        <v/>
      </c>
      <c r="AK478" s="191" t="str">
        <f>'1_BD questio brut'!AI478</f>
        <v>Chauffage de base</v>
      </c>
      <c r="AL478" s="191" t="str">
        <f>'1_BD questio brut'!AJ478</f>
        <v>Pas de réponse</v>
      </c>
      <c r="AM478" s="191" t="str">
        <f>'1_BD questio brut'!AK478</f>
        <v>1; 4</v>
      </c>
      <c r="AN478" s="191" t="str">
        <f>'1_BD questio brut'!AL478</f>
        <v/>
      </c>
      <c r="AO478" s="191" t="str">
        <f>'1_BD questio brut'!AM478</f>
        <v>5; 11</v>
      </c>
      <c r="AP478" s="191" t="str">
        <f>'1_BD questio brut'!AN478</f>
        <v/>
      </c>
      <c r="AQ478" s="191" t="str">
        <f>'1_BD questio brut'!AO478</f>
        <v/>
      </c>
    </row>
    <row r="479" spans="1:43" ht="43.5" hidden="1">
      <c r="A479" s="98">
        <f>INDEX('3_BD instruction total'!A:A,MATCH(C479,'3_BD instruction total'!F:F,0))</f>
        <v>2022</v>
      </c>
      <c r="B479" s="98" t="str">
        <f>INDEX('3_BD instruction total'!C:C,MATCH(C479,'3_BD instruction total'!F:F,0))</f>
        <v>non</v>
      </c>
      <c r="C479" s="191" t="str">
        <f>'1_BD questio brut'!A479</f>
        <v>VRB0516</v>
      </c>
      <c r="D479" s="191" t="str">
        <f t="array" ref="D479">INDEX('Données 1_BD questio'!C:C,MATCH('1_BD questio brut'!$B$1&amp;'1_BD questio brut'!B479,'Données 1_BD questio'!A:A&amp;'Données 1_BD questio'!B:B,0))</f>
        <v>CAPV</v>
      </c>
      <c r="E479" s="191" t="str">
        <f t="array" ref="E479">INDEX('Données 1_BD questio'!C:C,MATCH('1_BD questio brut'!$C$1&amp;'1_BD questio brut'!C479,'Données 1_BD questio'!A:A&amp;'Données 1_BD questio'!B:B,0))</f>
        <v>Cadre</v>
      </c>
      <c r="F479" s="191" t="str">
        <f t="array" ref="F479">INDEX('Données 1_BD questio'!C:C,MATCH('1_BD questio brut'!$D$1&amp;'1_BD questio brut'!D479,'Données 1_BD questio'!A:A&amp;'Données 1_BD questio'!B:B,0))</f>
        <v>Cadre</v>
      </c>
      <c r="G479" s="191" t="str">
        <f>'1_BD questio brut'!E479</f>
        <v>50 à 64 ans</v>
      </c>
      <c r="H479" s="191">
        <f>'1_BD questio brut'!F479</f>
        <v>3</v>
      </c>
      <c r="I479" s="191" t="str">
        <f>'1_BD questio brut'!G479</f>
        <v>70 000 à 80 000 €</v>
      </c>
      <c r="J479" s="191" t="str">
        <f t="array" ref="J479">INDEX('Données 1_BD questio'!C:C,MATCH('1_BD questio brut'!$H$1&amp;'1_BD questio brut'!H479,'Données 1_BD questio'!A:A&amp;'Données 1_BD questio'!B:B,0))</f>
        <v>Maison avec jardin</v>
      </c>
      <c r="K479" s="191">
        <f>'1_BD questio brut'!I479</f>
        <v>120</v>
      </c>
      <c r="L479" s="191" t="str">
        <f>'1_BD questio brut'!J479</f>
        <v>1990-2005</v>
      </c>
      <c r="M479" s="191" t="str">
        <f>'1_BD questio brut'!K479</f>
        <v>6</v>
      </c>
      <c r="N479" s="191" t="str">
        <f>'1_BD questio brut'!L479</f>
        <v>Pas de réponse</v>
      </c>
      <c r="O479" s="191" t="str">
        <f>'1_BD questio brut'!M479</f>
        <v>Propriétaire occupant</v>
      </c>
      <c r="P479" s="191" t="str">
        <f>'1_BD questio brut'!N479</f>
        <v>Poêle</v>
      </c>
      <c r="Q479" s="191" t="str">
        <f>'1_BD questio brut'!O479</f>
        <v>Chauffage d'apoint</v>
      </c>
      <c r="R479" s="191" t="str">
        <f>'1_BD questio brut'!P479</f>
        <v>3 à 4 jours/semaine</v>
      </c>
      <c r="S479" s="191" t="str">
        <f>'1_BD questio brut'!Q479</f>
        <v>2; 4; 6</v>
      </c>
      <c r="T479" s="191" t="str">
        <f>'1_BD questio brut'!R479</f>
        <v>Après 2002</v>
      </c>
      <c r="U479" s="191" t="str">
        <f>'1_BD questio brut'!S479</f>
        <v>Bois bûche</v>
      </c>
      <c r="V479" s="191" t="str">
        <f>'1_BD questio brut'!T479</f>
        <v/>
      </c>
      <c r="W479" s="191" t="str">
        <f>'1_BD questio brut'!U479</f>
        <v>4</v>
      </c>
      <c r="X479" s="191" t="str">
        <f>'1_BD questio brut'!V479</f>
        <v>Stères</v>
      </c>
      <c r="Y479" s="191" t="str">
        <f>'1_BD questio brut'!W479</f>
        <v>2</v>
      </c>
      <c r="Z479" s="191" t="str">
        <f>'1_BD questio brut'!X479</f>
        <v/>
      </c>
      <c r="AA479" s="191" t="str">
        <f t="array" ref="AA479">INDEX('Données 1_BD questio'!C:C,MATCH('1_BD questio brut'!$Y$1&amp;'1_BD questio brut'!Y479,'Données 1_BD questio'!A:A&amp;'Données 1_BD questio'!B:B,0))</f>
        <v>Ne sait pas</v>
      </c>
      <c r="AB479" s="191" t="str">
        <f>'1_BD questio brut'!Z479</f>
        <v>2</v>
      </c>
      <c r="AC479" s="191" t="str">
        <f>'1_BD questio brut'!AA479</f>
        <v>1 à 2 ans</v>
      </c>
      <c r="AD479" s="191" t="str">
        <f>'1_BD questio brut'!AB479</f>
        <v>Feuillus</v>
      </c>
      <c r="AE479" s="191" t="str">
        <f t="array" ref="AE479">INDEX('Données 1_BD questio'!C:C,MATCH('1_BD questio brut'!$AC$1&amp;'1_BD questio brut'!AC479,'Données 1_BD questio'!A:A&amp;'Données 1_BD questio'!B:B,0))</f>
        <v>vous-même</v>
      </c>
      <c r="AF479" s="191" t="str">
        <f>'1_BD questio brut'!AD479</f>
        <v>1 fois par an</v>
      </c>
      <c r="AG479" s="191" t="str">
        <f>'1_BD questio brut'!AE479</f>
        <v/>
      </c>
      <c r="AH479" s="191" t="str">
        <f>'1_BD questio brut'!AF479</f>
        <v>Poêle</v>
      </c>
      <c r="AI479" s="191" t="str">
        <f>'1_BD questio brut'!AG479</f>
        <v>1</v>
      </c>
      <c r="AJ479" s="191" t="str">
        <f>'1_BD questio brut'!AH479</f>
        <v/>
      </c>
      <c r="AK479" s="191" t="str">
        <f>'1_BD questio brut'!AI479</f>
        <v>Chauffage d'appoint</v>
      </c>
      <c r="AL479" s="191" t="str">
        <f>'1_BD questio brut'!AJ479</f>
        <v>Pas de réponse</v>
      </c>
      <c r="AM479" s="191" t="str">
        <f>'1_BD questio brut'!AK479</f>
        <v>1; 2; 5</v>
      </c>
      <c r="AN479" s="191" t="str">
        <f>'1_BD questio brut'!AL479</f>
        <v/>
      </c>
      <c r="AO479" s="191" t="str">
        <f>'1_BD questio brut'!AM479</f>
        <v>7</v>
      </c>
      <c r="AP479" s="191" t="str">
        <f>'1_BD questio brut'!AN479</f>
        <v/>
      </c>
      <c r="AQ479" s="191" t="str">
        <f>'1_BD questio brut'!AO479</f>
        <v/>
      </c>
    </row>
    <row r="480" spans="1:43" ht="43.5" hidden="1">
      <c r="A480" s="98">
        <f>INDEX('3_BD instruction total'!A:A,MATCH(C480,'3_BD instruction total'!F:F,0))</f>
        <v>2022</v>
      </c>
      <c r="B480" s="98" t="str">
        <f>INDEX('3_BD instruction total'!C:C,MATCH(C480,'3_BD instruction total'!F:F,0))</f>
        <v>non</v>
      </c>
      <c r="C480" s="191" t="str">
        <f>'1_BD questio brut'!A480</f>
        <v>VRB0517</v>
      </c>
      <c r="D480" s="191" t="str">
        <f t="array" ref="D480">INDEX('Données 1_BD questio'!C:C,MATCH('1_BD questio brut'!$B$1&amp;'1_BD questio brut'!B480,'Données 1_BD questio'!A:A&amp;'Données 1_BD questio'!B:B,0))</f>
        <v>CAPV</v>
      </c>
      <c r="E480" s="191" t="str">
        <f t="array" ref="E480">INDEX('Données 1_BD questio'!C:C,MATCH('1_BD questio brut'!$C$1&amp;'1_BD questio brut'!C480,'Données 1_BD questio'!A:A&amp;'Données 1_BD questio'!B:B,0))</f>
        <v>Retraité</v>
      </c>
      <c r="F480" s="191" t="str">
        <f t="array" ref="F480">INDEX('Données 1_BD questio'!C:C,MATCH('1_BD questio brut'!$D$1&amp;'1_BD questio brut'!D480,'Données 1_BD questio'!A:A&amp;'Données 1_BD questio'!B:B,0))</f>
        <v>Retraité</v>
      </c>
      <c r="G480" s="191" t="str">
        <f>'1_BD questio brut'!E480</f>
        <v>65 ans et plus</v>
      </c>
      <c r="H480" s="191">
        <f>'1_BD questio brut'!F480</f>
        <v>2</v>
      </c>
      <c r="I480" s="191" t="str">
        <f>'1_BD questio brut'!G480</f>
        <v>30 000 à 40 000 €</v>
      </c>
      <c r="J480" s="191" t="str">
        <f t="array" ref="J480">INDEX('Données 1_BD questio'!C:C,MATCH('1_BD questio brut'!$H$1&amp;'1_BD questio brut'!H480,'Données 1_BD questio'!A:A&amp;'Données 1_BD questio'!B:B,0))</f>
        <v>Maison avec jardin</v>
      </c>
      <c r="K480" s="191">
        <f>'1_BD questio brut'!I480</f>
        <v>150</v>
      </c>
      <c r="L480" s="191" t="str">
        <f>'1_BD questio brut'!J480</f>
        <v>Avant 1949</v>
      </c>
      <c r="M480" s="191" t="str">
        <f>'1_BD questio brut'!K480</f>
        <v>4</v>
      </c>
      <c r="N480" s="191" t="str">
        <f>'1_BD questio brut'!L480</f>
        <v>Pas de réponse</v>
      </c>
      <c r="O480" s="191" t="str">
        <f>'1_BD questio brut'!M480</f>
        <v>Propriétaire occupant</v>
      </c>
      <c r="P480" s="191" t="str">
        <f>'1_BD questio brut'!N480</f>
        <v>Foyer ouvert</v>
      </c>
      <c r="Q480" s="191" t="str">
        <f>'1_BD questio brut'!O480</f>
        <v>Chauffage d'apoint</v>
      </c>
      <c r="R480" s="191" t="str">
        <f>'1_BD questio brut'!P480</f>
        <v>1 à 2 jours/semaine</v>
      </c>
      <c r="S480" s="191" t="str">
        <f>'1_BD questio brut'!Q480</f>
        <v>3; 4; 6</v>
      </c>
      <c r="T480" s="191" t="str">
        <f>'1_BD questio brut'!R480</f>
        <v>Avant 1990</v>
      </c>
      <c r="U480" s="191" t="str">
        <f>'1_BD questio brut'!S480</f>
        <v>Bois bûche</v>
      </c>
      <c r="V480" s="191" t="str">
        <f>'1_BD questio brut'!T480</f>
        <v/>
      </c>
      <c r="W480" s="191" t="str">
        <f>'1_BD questio brut'!U480</f>
        <v>6</v>
      </c>
      <c r="X480" s="191" t="str">
        <f>'1_BD questio brut'!V480</f>
        <v>Stères</v>
      </c>
      <c r="Y480" s="191" t="str">
        <f>'1_BD questio brut'!W480</f>
        <v>1</v>
      </c>
      <c r="Z480" s="191" t="str">
        <f>'1_BD questio brut'!X480</f>
        <v/>
      </c>
      <c r="AA480" s="191" t="str">
        <f t="array" ref="AA480">INDEX('Données 1_BD questio'!C:C,MATCH('1_BD questio brut'!$Y$1&amp;'1_BD questio brut'!Y480,'Données 1_BD questio'!A:A&amp;'Données 1_BD questio'!B:B,0))</f>
        <v>RA2B</v>
      </c>
      <c r="AB480" s="191" t="str">
        <f>'1_BD questio brut'!Z480</f>
        <v>2</v>
      </c>
      <c r="AC480" s="191" t="str">
        <f>'1_BD questio brut'!AA480</f>
        <v>&gt; 2 ans</v>
      </c>
      <c r="AD480" s="191" t="str">
        <f>'1_BD questio brut'!AB480</f>
        <v>Feuillus</v>
      </c>
      <c r="AE480" s="191" t="str">
        <f t="array" ref="AE480">INDEX('Données 1_BD questio'!C:C,MATCH('1_BD questio brut'!$AC$1&amp;'1_BD questio brut'!AC480,'Données 1_BD questio'!A:A&amp;'Données 1_BD questio'!B:B,0))</f>
        <v>vous-même</v>
      </c>
      <c r="AF480" s="191" t="str">
        <f>'1_BD questio brut'!AD480</f>
        <v>1 fois par an</v>
      </c>
      <c r="AG480" s="191" t="str">
        <f>'1_BD questio brut'!AE480</f>
        <v/>
      </c>
      <c r="AH480" s="191" t="str">
        <f>'1_BD questio brut'!AF480</f>
        <v>Insert cheminée</v>
      </c>
      <c r="AI480" s="191" t="str">
        <f>'1_BD questio brut'!AG480</f>
        <v>1</v>
      </c>
      <c r="AJ480" s="191" t="str">
        <f>'1_BD questio brut'!AH480</f>
        <v/>
      </c>
      <c r="AK480" s="191" t="str">
        <f>'1_BD questio brut'!AI480</f>
        <v>Chauffage de base</v>
      </c>
      <c r="AL480" s="191" t="str">
        <f>'1_BD questio brut'!AJ480</f>
        <v>Pas de réponse</v>
      </c>
      <c r="AM480" s="191" t="str">
        <f>'1_BD questio brut'!AK480</f>
        <v>2; 4; 5</v>
      </c>
      <c r="AN480" s="191" t="str">
        <f>'1_BD questio brut'!AL480</f>
        <v/>
      </c>
      <c r="AO480" s="191" t="str">
        <f>'1_BD questio brut'!AM480</f>
        <v>7</v>
      </c>
      <c r="AP480" s="191" t="str">
        <f>'1_BD questio brut'!AN480</f>
        <v/>
      </c>
      <c r="AQ480" s="191" t="str">
        <f>'1_BD questio brut'!AO480</f>
        <v/>
      </c>
    </row>
    <row r="481" spans="1:43" ht="58" hidden="1">
      <c r="A481" s="98">
        <f>INDEX('3_BD instruction total'!A:A,MATCH(C481,'3_BD instruction total'!F:F,0))</f>
        <v>2022</v>
      </c>
      <c r="B481" s="98" t="str">
        <f>INDEX('3_BD instruction total'!C:C,MATCH(C481,'3_BD instruction total'!F:F,0))</f>
        <v>non</v>
      </c>
      <c r="C481" s="191" t="str">
        <f>'1_BD questio brut'!A481</f>
        <v>VRB0518</v>
      </c>
      <c r="D481" s="191" t="str">
        <f t="array" ref="D481">INDEX('Données 1_BD questio'!C:C,MATCH('1_BD questio brut'!$B$1&amp;'1_BD questio brut'!B481,'Données 1_BD questio'!A:A&amp;'Données 1_BD questio'!B:B,0))</f>
        <v>CAPV</v>
      </c>
      <c r="E481" s="191" t="str">
        <f t="array" ref="E481">INDEX('Données 1_BD questio'!C:C,MATCH('1_BD questio brut'!$C$1&amp;'1_BD questio brut'!C481,'Données 1_BD questio'!A:A&amp;'Données 1_BD questio'!B:B,0))</f>
        <v>Retraité</v>
      </c>
      <c r="F481" s="191" t="str">
        <f t="array" ref="F481">INDEX('Données 1_BD questio'!C:C,MATCH('1_BD questio brut'!$D$1&amp;'1_BD questio brut'!D481,'Données 1_BD questio'!A:A&amp;'Données 1_BD questio'!B:B,0))</f>
        <v>Retraité</v>
      </c>
      <c r="G481" s="191" t="str">
        <f>'1_BD questio brut'!E481</f>
        <v>65 ans et plus</v>
      </c>
      <c r="H481" s="191">
        <f>'1_BD questio brut'!F481</f>
        <v>2</v>
      </c>
      <c r="I481" s="191" t="str">
        <f>'1_BD questio brut'!G481</f>
        <v>30 000 à 40 000 €</v>
      </c>
      <c r="J481" s="191" t="str">
        <f t="array" ref="J481">INDEX('Données 1_BD questio'!C:C,MATCH('1_BD questio brut'!$H$1&amp;'1_BD questio brut'!H481,'Données 1_BD questio'!A:A&amp;'Données 1_BD questio'!B:B,0))</f>
        <v>Maison avec jardin</v>
      </c>
      <c r="K481" s="191">
        <f>'1_BD questio brut'!I481</f>
        <v>110</v>
      </c>
      <c r="L481" s="191" t="str">
        <f>'1_BD questio brut'!J481</f>
        <v>Après 2005</v>
      </c>
      <c r="M481" s="191" t="str">
        <f>'1_BD questio brut'!K481</f>
        <v>4</v>
      </c>
      <c r="N481" s="191" t="str">
        <f>'1_BD questio brut'!L481</f>
        <v>Pas de réponse</v>
      </c>
      <c r="O481" s="191" t="str">
        <f>'1_BD questio brut'!M481</f>
        <v>Propriétaire bailleur</v>
      </c>
      <c r="P481" s="191" t="str">
        <f>'1_BD questio brut'!N481</f>
        <v>Insert / foyer fermé</v>
      </c>
      <c r="Q481" s="191" t="str">
        <f>'1_BD questio brut'!O481</f>
        <v>Chauffage d'apoint</v>
      </c>
      <c r="R481" s="191" t="str">
        <f>'1_BD questio brut'!P481</f>
        <v>Tous les jours</v>
      </c>
      <c r="S481" s="191" t="str">
        <f>'1_BD questio brut'!Q481</f>
        <v>3; 6</v>
      </c>
      <c r="T481" s="191" t="str">
        <f>'1_BD questio brut'!R481</f>
        <v>1996-2002</v>
      </c>
      <c r="U481" s="191" t="str">
        <f>'1_BD questio brut'!S481</f>
        <v>Bois bûche</v>
      </c>
      <c r="V481" s="191" t="str">
        <f>'1_BD questio brut'!T481</f>
        <v/>
      </c>
      <c r="W481" s="191" t="str">
        <f>'1_BD questio brut'!U481</f>
        <v>5/6</v>
      </c>
      <c r="X481" s="191" t="str">
        <f>'1_BD questio brut'!V481</f>
        <v>Stères</v>
      </c>
      <c r="Y481" s="191" t="str">
        <f>'1_BD questio brut'!W481</f>
        <v>1</v>
      </c>
      <c r="Z481" s="191" t="str">
        <f>'1_BD questio brut'!X481</f>
        <v/>
      </c>
      <c r="AA481" s="191" t="str">
        <f t="array" ref="AA481">INDEX('Données 1_BD questio'!C:C,MATCH('1_BD questio brut'!$Y$1&amp;'1_BD questio brut'!Y481,'Données 1_BD questio'!A:A&amp;'Données 1_BD questio'!B:B,0))</f>
        <v>Ne sait pas</v>
      </c>
      <c r="AB481" s="191" t="str">
        <f>'1_BD questio brut'!Z481</f>
        <v>2</v>
      </c>
      <c r="AC481" s="191" t="str">
        <f>'1_BD questio brut'!AA481</f>
        <v>1 à 2 ans</v>
      </c>
      <c r="AD481" s="191" t="str">
        <f>'1_BD questio brut'!AB481</f>
        <v>Feuillus</v>
      </c>
      <c r="AE481" s="191" t="str">
        <f t="array" ref="AE481">INDEX('Données 1_BD questio'!C:C,MATCH('1_BD questio brut'!$AC$1&amp;'1_BD questio brut'!AC481,'Données 1_BD questio'!A:A&amp;'Données 1_BD questio'!B:B,0))</f>
        <v>vous-même</v>
      </c>
      <c r="AF481" s="191" t="str">
        <f>'1_BD questio brut'!AD481</f>
        <v>1 fois par an</v>
      </c>
      <c r="AG481" s="191" t="str">
        <f>'1_BD questio brut'!AE481</f>
        <v/>
      </c>
      <c r="AH481" s="191" t="str">
        <f>'1_BD questio brut'!AF481</f>
        <v>Poêle</v>
      </c>
      <c r="AI481" s="191" t="str">
        <f>'1_BD questio brut'!AG481</f>
        <v>1</v>
      </c>
      <c r="AJ481" s="191" t="str">
        <f>'1_BD questio brut'!AH481</f>
        <v/>
      </c>
      <c r="AK481" s="191" t="str">
        <f>'1_BD questio brut'!AI481</f>
        <v>Chauffage de base</v>
      </c>
      <c r="AL481" s="191" t="str">
        <f>'1_BD questio brut'!AJ481</f>
        <v>Pas de réponse</v>
      </c>
      <c r="AM481" s="191" t="str">
        <f>'1_BD questio brut'!AK481</f>
        <v>4; 5; 6</v>
      </c>
      <c r="AN481" s="191" t="str">
        <f>'1_BD questio brut'!AL481</f>
        <v>Diminuer l'utilisation de chaudère fioul</v>
      </c>
      <c r="AO481" s="191" t="str">
        <f>'1_BD questio brut'!AM481</f>
        <v>1; 7</v>
      </c>
      <c r="AP481" s="191" t="str">
        <f>'1_BD questio brut'!AN481</f>
        <v/>
      </c>
      <c r="AQ481" s="191" t="str">
        <f>'1_BD questio brut'!AO481</f>
        <v/>
      </c>
    </row>
    <row r="482" spans="1:43" ht="43.5" hidden="1">
      <c r="A482" s="98">
        <f>INDEX('3_BD instruction total'!A:A,MATCH(C482,'3_BD instruction total'!F:F,0))</f>
        <v>2022</v>
      </c>
      <c r="B482" s="98" t="str">
        <f>INDEX('3_BD instruction total'!C:C,MATCH(C482,'3_BD instruction total'!F:F,0))</f>
        <v>non</v>
      </c>
      <c r="C482" s="191" t="str">
        <f>'1_BD questio brut'!A482</f>
        <v>VRB0519</v>
      </c>
      <c r="D482" s="191" t="str">
        <f t="array" ref="D482">INDEX('Données 1_BD questio'!C:C,MATCH('1_BD questio brut'!$B$1&amp;'1_BD questio brut'!B482,'Données 1_BD questio'!A:A&amp;'Données 1_BD questio'!B:B,0))</f>
        <v>CAPV</v>
      </c>
      <c r="E482" s="191" t="str">
        <f t="array" ref="E482">INDEX('Données 1_BD questio'!C:C,MATCH('1_BD questio brut'!$C$1&amp;'1_BD questio brut'!C482,'Données 1_BD questio'!A:A&amp;'Données 1_BD questio'!B:B,0))</f>
        <v>Ouvrier</v>
      </c>
      <c r="F482" s="191" t="str">
        <f t="array" ref="F482">INDEX('Données 1_BD questio'!C:C,MATCH('1_BD questio brut'!$D$1&amp;'1_BD questio brut'!D482,'Données 1_BD questio'!A:A&amp;'Données 1_BD questio'!B:B,0))</f>
        <v>Cadre</v>
      </c>
      <c r="G482" s="191" t="str">
        <f>'1_BD questio brut'!E482</f>
        <v>35 à 49 ans</v>
      </c>
      <c r="H482" s="191">
        <f>'1_BD questio brut'!F482</f>
        <v>4</v>
      </c>
      <c r="I482" s="191" t="str">
        <f>'1_BD questio brut'!G482</f>
        <v>30 000 à 40 000 €</v>
      </c>
      <c r="J482" s="191" t="str">
        <f t="array" ref="J482">INDEX('Données 1_BD questio'!C:C,MATCH('1_BD questio brut'!$H$1&amp;'1_BD questio brut'!H482,'Données 1_BD questio'!A:A&amp;'Données 1_BD questio'!B:B,0))</f>
        <v>Maison avec jardin</v>
      </c>
      <c r="K482" s="191">
        <f>'1_BD questio brut'!I482</f>
        <v>101</v>
      </c>
      <c r="L482" s="191" t="str">
        <f>'1_BD questio brut'!J482</f>
        <v>1975-1990</v>
      </c>
      <c r="M482" s="191" t="str">
        <f>'1_BD questio brut'!K482</f>
        <v>4</v>
      </c>
      <c r="N482" s="191" t="str">
        <f>'1_BD questio brut'!L482</f>
        <v>Ne sait pas</v>
      </c>
      <c r="O482" s="191" t="str">
        <f>'1_BD questio brut'!M482</f>
        <v>Propriétaire occupant</v>
      </c>
      <c r="P482" s="191" t="str">
        <f>'1_BD questio brut'!N482</f>
        <v>Insert / foyer fermé</v>
      </c>
      <c r="Q482" s="191" t="str">
        <f>'1_BD questio brut'!O482</f>
        <v>Chauffage de base</v>
      </c>
      <c r="R482" s="191" t="str">
        <f>'1_BD questio brut'!P482</f>
        <v>Tous les jours</v>
      </c>
      <c r="S482" s="191" t="str">
        <f>'1_BD questio brut'!Q482</f>
        <v>1; 2; 3; 4; 5; 6</v>
      </c>
      <c r="T482" s="191" t="str">
        <f>'1_BD questio brut'!R482</f>
        <v>1996-2002</v>
      </c>
      <c r="U482" s="191" t="str">
        <f>'1_BD questio brut'!S482</f>
        <v>Bois bûche</v>
      </c>
      <c r="V482" s="191" t="str">
        <f>'1_BD questio brut'!T482</f>
        <v/>
      </c>
      <c r="W482" s="191" t="str">
        <f>'1_BD questio brut'!U482</f>
        <v>14</v>
      </c>
      <c r="X482" s="191" t="str">
        <f>'1_BD questio brut'!V482</f>
        <v>Stères</v>
      </c>
      <c r="Y482" s="191" t="str">
        <f>'1_BD questio brut'!W482</f>
        <v>2</v>
      </c>
      <c r="Z482" s="191" t="str">
        <f>'1_BD questio brut'!X482</f>
        <v/>
      </c>
      <c r="AA482" s="191" t="str">
        <f t="array" ref="AA482">INDEX('Données 1_BD questio'!C:C,MATCH('1_BD questio brut'!$Y$1&amp;'1_BD questio brut'!Y482,'Données 1_BD questio'!A:A&amp;'Données 1_BD questio'!B:B,0))</f>
        <v>Rhône-Alpes hors RA2B</v>
      </c>
      <c r="AB482" s="191" t="str">
        <f>'1_BD questio brut'!Z482</f>
        <v>2</v>
      </c>
      <c r="AC482" s="191" t="str">
        <f>'1_BD questio brut'!AA482</f>
        <v>&gt; 2 ans</v>
      </c>
      <c r="AD482" s="191" t="str">
        <f>'1_BD questio brut'!AB482</f>
        <v>Feuillus</v>
      </c>
      <c r="AE482" s="191" t="str">
        <f t="array" ref="AE482">INDEX('Données 1_BD questio'!C:C,MATCH('1_BD questio brut'!$AC$1&amp;'1_BD questio brut'!AC482,'Données 1_BD questio'!A:A&amp;'Données 1_BD questio'!B:B,0))</f>
        <v>un professionnel</v>
      </c>
      <c r="AF482" s="191" t="str">
        <f>'1_BD questio brut'!AD482</f>
        <v>1 fois par an</v>
      </c>
      <c r="AG482" s="191" t="str">
        <f>'1_BD questio brut'!AE482</f>
        <v/>
      </c>
      <c r="AH482" s="191" t="str">
        <f>'1_BD questio brut'!AF482</f>
        <v>Insert cheminée</v>
      </c>
      <c r="AI482" s="191" t="str">
        <f>'1_BD questio brut'!AG482</f>
        <v>1</v>
      </c>
      <c r="AJ482" s="191" t="str">
        <f>'1_BD questio brut'!AH482</f>
        <v/>
      </c>
      <c r="AK482" s="191" t="str">
        <f>'1_BD questio brut'!AI482</f>
        <v>Chauffage de base</v>
      </c>
      <c r="AL482" s="191" t="str">
        <f>'1_BD questio brut'!AJ482</f>
        <v>Pas de réponse</v>
      </c>
      <c r="AM482" s="191" t="str">
        <f>'1_BD questio brut'!AK482</f>
        <v>2; 4; 5</v>
      </c>
      <c r="AN482" s="191" t="str">
        <f>'1_BD questio brut'!AL482</f>
        <v/>
      </c>
      <c r="AO482" s="191" t="str">
        <f>'1_BD questio brut'!AM482</f>
        <v>5</v>
      </c>
      <c r="AP482" s="191" t="str">
        <f>'1_BD questio brut'!AN482</f>
        <v/>
      </c>
      <c r="AQ482" s="191" t="str">
        <f>'1_BD questio brut'!AO482</f>
        <v/>
      </c>
    </row>
    <row r="483" spans="1:43" ht="29" hidden="1">
      <c r="A483" s="98">
        <f>INDEX('3_BD instruction total'!A:A,MATCH(C483,'3_BD instruction total'!F:F,0))</f>
        <v>2022</v>
      </c>
      <c r="B483" s="98" t="str">
        <f>INDEX('3_BD instruction total'!C:C,MATCH(C483,'3_BD instruction total'!F:F,0))</f>
        <v>non</v>
      </c>
      <c r="C483" s="191" t="str">
        <f>'1_BD questio brut'!A483</f>
        <v>VRB0520</v>
      </c>
      <c r="D483" s="191" t="str">
        <f t="array" ref="D483">INDEX('Données 1_BD questio'!C:C,MATCH('1_BD questio brut'!$B$1&amp;'1_BD questio brut'!B483,'Données 1_BD questio'!A:A&amp;'Données 1_BD questio'!B:B,0))</f>
        <v>CAPV</v>
      </c>
      <c r="E483" s="191" t="str">
        <f t="array" ref="E483">INDEX('Données 1_BD questio'!C:C,MATCH('1_BD questio brut'!$C$1&amp;'1_BD questio brut'!C483,'Données 1_BD questio'!A:A&amp;'Données 1_BD questio'!B:B,0))</f>
        <v>Artisan,commerçant,chef d'entreprise</v>
      </c>
      <c r="F483" s="191" t="str">
        <f t="array" ref="F483">INDEX('Données 1_BD questio'!C:C,MATCH('1_BD questio brut'!$D$1&amp;'1_BD questio brut'!D483,'Données 1_BD questio'!A:A&amp;'Données 1_BD questio'!B:B,0))</f>
        <v>Employé</v>
      </c>
      <c r="G483" s="191" t="str">
        <f>'1_BD questio brut'!E483</f>
        <v>35 à 49 ans</v>
      </c>
      <c r="H483" s="191">
        <f>'1_BD questio brut'!F483</f>
        <v>5</v>
      </c>
      <c r="I483" s="191" t="str">
        <f>'1_BD questio brut'!G483</f>
        <v>40 000 à 50 000 €</v>
      </c>
      <c r="J483" s="191" t="str">
        <f t="array" ref="J483">INDEX('Données 1_BD questio'!C:C,MATCH('1_BD questio brut'!$H$1&amp;'1_BD questio brut'!H483,'Données 1_BD questio'!A:A&amp;'Données 1_BD questio'!B:B,0))</f>
        <v>Maison avec jardin</v>
      </c>
      <c r="K483" s="191">
        <f>'1_BD questio brut'!I483</f>
        <v>122</v>
      </c>
      <c r="L483" s="191" t="str">
        <f>'1_BD questio brut'!J483</f>
        <v>1949-1975</v>
      </c>
      <c r="M483" s="191" t="str">
        <f>'1_BD questio brut'!K483</f>
        <v>4</v>
      </c>
      <c r="N483" s="191" t="str">
        <f>'1_BD questio brut'!L483</f>
        <v>Pas de réponse</v>
      </c>
      <c r="O483" s="191" t="str">
        <f>'1_BD questio brut'!M483</f>
        <v>Propriétaire occupant</v>
      </c>
      <c r="P483" s="191" t="str">
        <f>'1_BD questio brut'!N483</f>
        <v>Insert / foyer fermé</v>
      </c>
      <c r="Q483" s="191" t="str">
        <f>'1_BD questio brut'!O483</f>
        <v>Chauffage de base</v>
      </c>
      <c r="R483" s="191" t="str">
        <f>'1_BD questio brut'!P483</f>
        <v>Tous les jours</v>
      </c>
      <c r="S483" s="191" t="str">
        <f>'1_BD questio brut'!Q483</f>
        <v>4; 5</v>
      </c>
      <c r="T483" s="191" t="str">
        <f>'1_BD questio brut'!R483</f>
        <v>1996-2002</v>
      </c>
      <c r="U483" s="191" t="str">
        <f>'1_BD questio brut'!S483</f>
        <v>Bois bûche</v>
      </c>
      <c r="V483" s="191" t="str">
        <f>'1_BD questio brut'!T483</f>
        <v/>
      </c>
      <c r="W483" s="191" t="str">
        <f>'1_BD questio brut'!U483</f>
        <v>10</v>
      </c>
      <c r="X483" s="191" t="str">
        <f>'1_BD questio brut'!V483</f>
        <v>Stères</v>
      </c>
      <c r="Y483" s="191" t="str">
        <f>'1_BD questio brut'!W483</f>
        <v>2</v>
      </c>
      <c r="Z483" s="191" t="str">
        <f>'1_BD questio brut'!X483</f>
        <v/>
      </c>
      <c r="AA483" s="191" t="str">
        <f t="array" ref="AA483">INDEX('Données 1_BD questio'!C:C,MATCH('1_BD questio brut'!$Y$1&amp;'1_BD questio brut'!Y483,'Données 1_BD questio'!A:A&amp;'Données 1_BD questio'!B:B,0))</f>
        <v>Pas de réponse</v>
      </c>
      <c r="AB483" s="191" t="str">
        <f>'1_BD questio brut'!Z483</f>
        <v>2</v>
      </c>
      <c r="AC483" s="191" t="str">
        <f>'1_BD questio brut'!AA483</f>
        <v>&gt; 2 ans</v>
      </c>
      <c r="AD483" s="191" t="str">
        <f>'1_BD questio brut'!AB483</f>
        <v>Feuillus</v>
      </c>
      <c r="AE483" s="191" t="str">
        <f t="array" ref="AE483">INDEX('Données 1_BD questio'!C:C,MATCH('1_BD questio brut'!$AC$1&amp;'1_BD questio brut'!AC483,'Données 1_BD questio'!A:A&amp;'Données 1_BD questio'!B:B,0))</f>
        <v>vous-même</v>
      </c>
      <c r="AF483" s="191" t="str">
        <f>'1_BD questio brut'!AD483</f>
        <v>2 fois par an</v>
      </c>
      <c r="AG483" s="191" t="str">
        <f>'1_BD questio brut'!AE483</f>
        <v/>
      </c>
      <c r="AH483" s="191" t="str">
        <f>'1_BD questio brut'!AF483</f>
        <v>Poêle</v>
      </c>
      <c r="AI483" s="191" t="str">
        <f>'1_BD questio brut'!AG483</f>
        <v>2</v>
      </c>
      <c r="AJ483" s="191" t="str">
        <f>'1_BD questio brut'!AH483</f>
        <v/>
      </c>
      <c r="AK483" s="191" t="str">
        <f>'1_BD questio brut'!AI483</f>
        <v>Chauffage de base</v>
      </c>
      <c r="AL483" s="191" t="str">
        <f>'1_BD questio brut'!AJ483</f>
        <v>Pas de réponse</v>
      </c>
      <c r="AM483" s="191" t="str">
        <f>'1_BD questio brut'!AK483</f>
        <v>1; 2; 5</v>
      </c>
      <c r="AN483" s="191" t="str">
        <f>'1_BD questio brut'!AL483</f>
        <v/>
      </c>
      <c r="AO483" s="191" t="str">
        <f>'1_BD questio brut'!AM483</f>
        <v>5</v>
      </c>
      <c r="AP483" s="191" t="str">
        <f>'1_BD questio brut'!AN483</f>
        <v/>
      </c>
      <c r="AQ483" s="191" t="str">
        <f>'1_BD questio brut'!AO483</f>
        <v/>
      </c>
    </row>
    <row r="484" spans="1:43" ht="29" hidden="1">
      <c r="A484" s="98">
        <f>INDEX('3_BD instruction total'!A:A,MATCH(C484,'3_BD instruction total'!F:F,0))</f>
        <v>2022</v>
      </c>
      <c r="B484" s="98" t="str">
        <f>INDEX('3_BD instruction total'!C:C,MATCH(C484,'3_BD instruction total'!F:F,0))</f>
        <v>non</v>
      </c>
      <c r="C484" s="191" t="str">
        <f>'1_BD questio brut'!A484</f>
        <v>VRB0521</v>
      </c>
      <c r="D484" s="191" t="str">
        <f t="array" ref="D484">INDEX('Données 1_BD questio'!C:C,MATCH('1_BD questio brut'!$B$1&amp;'1_BD questio brut'!B484,'Données 1_BD questio'!A:A&amp;'Données 1_BD questio'!B:B,0))</f>
        <v>CAPV</v>
      </c>
      <c r="E484" s="191" t="str">
        <f t="array" ref="E484">INDEX('Données 1_BD questio'!C:C,MATCH('1_BD questio brut'!$C$1&amp;'1_BD questio brut'!C484,'Données 1_BD questio'!A:A&amp;'Données 1_BD questio'!B:B,0))</f>
        <v>Employé</v>
      </c>
      <c r="F484" s="191" t="str">
        <f t="array" ref="F484">INDEX('Données 1_BD questio'!C:C,MATCH('1_BD questio brut'!$D$1&amp;'1_BD questio brut'!D484,'Données 1_BD questio'!A:A&amp;'Données 1_BD questio'!B:B,0))</f>
        <v>Cadre</v>
      </c>
      <c r="G484" s="191" t="str">
        <f>'1_BD questio brut'!E484</f>
        <v>50 à 64 ans</v>
      </c>
      <c r="H484" s="191">
        <f>'1_BD questio brut'!F484</f>
        <v>5</v>
      </c>
      <c r="I484" s="191" t="str">
        <f>'1_BD questio brut'!G484</f>
        <v>50 000 à 60 000 €</v>
      </c>
      <c r="J484" s="191" t="str">
        <f t="array" ref="J484">INDEX('Données 1_BD questio'!C:C,MATCH('1_BD questio brut'!$H$1&amp;'1_BD questio brut'!H484,'Données 1_BD questio'!A:A&amp;'Données 1_BD questio'!B:B,0))</f>
        <v>Maison avec jardin</v>
      </c>
      <c r="K484" s="191">
        <f>'1_BD questio brut'!I484</f>
        <v>50</v>
      </c>
      <c r="L484" s="191" t="str">
        <f>'1_BD questio brut'!J484</f>
        <v>1949-1975</v>
      </c>
      <c r="M484" s="191" t="str">
        <f>'1_BD questio brut'!K484</f>
        <v>6</v>
      </c>
      <c r="N484" s="191" t="str">
        <f>'1_BD questio brut'!L484</f>
        <v>D</v>
      </c>
      <c r="O484" s="191" t="str">
        <f>'1_BD questio brut'!M484</f>
        <v>Propriétaire occupant</v>
      </c>
      <c r="P484" s="191" t="str">
        <f>'1_BD questio brut'!N484</f>
        <v>Foyer ouvert</v>
      </c>
      <c r="Q484" s="191" t="str">
        <f>'1_BD questio brut'!O484</f>
        <v>Plaisir/agrément</v>
      </c>
      <c r="R484" s="191" t="str">
        <f>'1_BD questio brut'!P484</f>
        <v>Moins de 15 fois par an</v>
      </c>
      <c r="S484" s="191" t="str">
        <f>'1_BD questio brut'!Q484</f>
        <v>6</v>
      </c>
      <c r="T484" s="191" t="str">
        <f>'1_BD questio brut'!R484</f>
        <v>Avant 1990</v>
      </c>
      <c r="U484" s="191" t="str">
        <f>'1_BD questio brut'!S484</f>
        <v>Bois bûche</v>
      </c>
      <c r="V484" s="191" t="str">
        <f>'1_BD questio brut'!T484</f>
        <v/>
      </c>
      <c r="W484" s="191" t="str">
        <f>'1_BD questio brut'!U484</f>
        <v/>
      </c>
      <c r="X484" s="191" t="str">
        <f>'1_BD questio brut'!V484</f>
        <v/>
      </c>
      <c r="Y484" s="191" t="str">
        <f>'1_BD questio brut'!W484</f>
        <v>1</v>
      </c>
      <c r="Z484" s="191" t="str">
        <f>'1_BD questio brut'!X484</f>
        <v/>
      </c>
      <c r="AA484" s="191" t="str">
        <f t="array" ref="AA484">INDEX('Données 1_BD questio'!C:C,MATCH('1_BD questio brut'!$Y$1&amp;'1_BD questio brut'!Y484,'Données 1_BD questio'!A:A&amp;'Données 1_BD questio'!B:B,0))</f>
        <v>Rhône-Alpes hors RA2B</v>
      </c>
      <c r="AB484" s="191" t="str">
        <f>'1_BD questio brut'!Z484</f>
        <v>2</v>
      </c>
      <c r="AC484" s="191" t="str">
        <f>'1_BD questio brut'!AA484</f>
        <v>&gt; 2 ans</v>
      </c>
      <c r="AD484" s="191" t="str">
        <f>'1_BD questio brut'!AB484</f>
        <v>Les deux</v>
      </c>
      <c r="AE484" s="191" t="str">
        <f t="array" ref="AE484">INDEX('Données 1_BD questio'!C:C,MATCH('1_BD questio brut'!$AC$1&amp;'1_BD questio brut'!AC484,'Données 1_BD questio'!A:A&amp;'Données 1_BD questio'!B:B,0))</f>
        <v>vous-même</v>
      </c>
      <c r="AF484" s="191" t="str">
        <f>'1_BD questio brut'!AD484</f>
        <v>1 fois tous les 2 ans</v>
      </c>
      <c r="AG484" s="191" t="str">
        <f>'1_BD questio brut'!AE484</f>
        <v/>
      </c>
      <c r="AH484" s="191" t="str">
        <f>'1_BD questio brut'!AF484</f>
        <v>Poêle</v>
      </c>
      <c r="AI484" s="191" t="str">
        <f>'1_BD questio brut'!AG484</f>
        <v>1</v>
      </c>
      <c r="AJ484" s="191" t="str">
        <f>'1_BD questio brut'!AH484</f>
        <v/>
      </c>
      <c r="AK484" s="191" t="str">
        <f>'1_BD questio brut'!AI484</f>
        <v>Chauffage de base</v>
      </c>
      <c r="AL484" s="191" t="str">
        <f>'1_BD questio brut'!AJ484</f>
        <v>Pas de réponse</v>
      </c>
      <c r="AM484" s="191" t="str">
        <f>'1_BD questio brut'!AK484</f>
        <v>2; 4; 5</v>
      </c>
      <c r="AN484" s="191" t="str">
        <f>'1_BD questio brut'!AL484</f>
        <v/>
      </c>
      <c r="AO484" s="191" t="str">
        <f>'1_BD questio brut'!AM484</f>
        <v>5</v>
      </c>
      <c r="AP484" s="191" t="str">
        <f>'1_BD questio brut'!AN484</f>
        <v/>
      </c>
      <c r="AQ484" s="191" t="str">
        <f>'1_BD questio brut'!AO484</f>
        <v/>
      </c>
    </row>
    <row r="485" spans="1:43" ht="43.5" hidden="1">
      <c r="A485" s="98">
        <f>INDEX('3_BD instruction total'!A:A,MATCH(C485,'3_BD instruction total'!F:F,0))</f>
        <v>2022</v>
      </c>
      <c r="B485" s="98" t="str">
        <f>INDEX('3_BD instruction total'!C:C,MATCH(C485,'3_BD instruction total'!F:F,0))</f>
        <v>non</v>
      </c>
      <c r="C485" s="191" t="str">
        <f>'1_BD questio brut'!A485</f>
        <v>VRB0522</v>
      </c>
      <c r="D485" s="191" t="str">
        <f t="array" ref="D485">INDEX('Données 1_BD questio'!C:C,MATCH('1_BD questio brut'!$B$1&amp;'1_BD questio brut'!B485,'Données 1_BD questio'!A:A&amp;'Données 1_BD questio'!B:B,0))</f>
        <v>CAPV</v>
      </c>
      <c r="E485" s="191" t="str">
        <f t="array" ref="E485">INDEX('Données 1_BD questio'!C:C,MATCH('1_BD questio brut'!$C$1&amp;'1_BD questio brut'!C485,'Données 1_BD questio'!A:A&amp;'Données 1_BD questio'!B:B,0))</f>
        <v>Employé</v>
      </c>
      <c r="F485" s="191" t="str">
        <f t="array" ref="F485">INDEX('Données 1_BD questio'!C:C,MATCH('1_BD questio brut'!$D$1&amp;'1_BD questio brut'!D485,'Données 1_BD questio'!A:A&amp;'Données 1_BD questio'!B:B,0))</f>
        <v>Autre,sans activité</v>
      </c>
      <c r="G485" s="191" t="str">
        <f>'1_BD questio brut'!E485</f>
        <v>25 à 34 ans</v>
      </c>
      <c r="H485" s="191">
        <f>'1_BD questio brut'!F485</f>
        <v>3</v>
      </c>
      <c r="I485" s="191" t="str">
        <f>'1_BD questio brut'!G485</f>
        <v>Moins de 20 000 €</v>
      </c>
      <c r="J485" s="191" t="str">
        <f t="array" ref="J485">INDEX('Données 1_BD questio'!C:C,MATCH('1_BD questio brut'!$H$1&amp;'1_BD questio brut'!H485,'Données 1_BD questio'!A:A&amp;'Données 1_BD questio'!B:B,0))</f>
        <v>Maison avec jardin</v>
      </c>
      <c r="K485" s="191">
        <f>'1_BD questio brut'!I485</f>
        <v>80</v>
      </c>
      <c r="L485" s="191" t="str">
        <f>'1_BD questio brut'!J485</f>
        <v>1975-1990</v>
      </c>
      <c r="M485" s="191" t="str">
        <f>'1_BD questio brut'!K485</f>
        <v>6</v>
      </c>
      <c r="N485" s="191" t="str">
        <f>'1_BD questio brut'!L485</f>
        <v>E</v>
      </c>
      <c r="O485" s="191" t="str">
        <f>'1_BD questio brut'!M485</f>
        <v>Propriétaire occupant</v>
      </c>
      <c r="P485" s="191" t="str">
        <f>'1_BD questio brut'!N485</f>
        <v>Insert / foyer fermé</v>
      </c>
      <c r="Q485" s="191" t="str">
        <f>'1_BD questio brut'!O485</f>
        <v>Chauffage de base</v>
      </c>
      <c r="R485" s="191" t="str">
        <f>'1_BD questio brut'!P485</f>
        <v>3 à 4 jours/semaine</v>
      </c>
      <c r="S485" s="191" t="str">
        <f>'1_BD questio brut'!Q485</f>
        <v>6</v>
      </c>
      <c r="T485" s="191" t="str">
        <f>'1_BD questio brut'!R485</f>
        <v>Avant 1990</v>
      </c>
      <c r="U485" s="191" t="str">
        <f>'1_BD questio brut'!S485</f>
        <v>Bois bûche</v>
      </c>
      <c r="V485" s="191" t="str">
        <f>'1_BD questio brut'!T485</f>
        <v/>
      </c>
      <c r="W485" s="191" t="str">
        <f>'1_BD questio brut'!U485</f>
        <v/>
      </c>
      <c r="X485" s="191" t="str">
        <f>'1_BD questio brut'!V485</f>
        <v/>
      </c>
      <c r="Y485" s="191" t="str">
        <f>'1_BD questio brut'!W485</f>
        <v>4</v>
      </c>
      <c r="Z485" s="191" t="str">
        <f>'1_BD questio brut'!X485</f>
        <v/>
      </c>
      <c r="AA485" s="191" t="str">
        <f t="array" ref="AA485">INDEX('Données 1_BD questio'!C:C,MATCH('1_BD questio brut'!$Y$1&amp;'1_BD questio brut'!Y485,'Données 1_BD questio'!A:A&amp;'Données 1_BD questio'!B:B,0))</f>
        <v>Ne sait pas</v>
      </c>
      <c r="AB485" s="191" t="str">
        <f>'1_BD questio brut'!Z485</f>
        <v>2</v>
      </c>
      <c r="AC485" s="191" t="str">
        <f>'1_BD questio brut'!AA485</f>
        <v>&lt; 1 an</v>
      </c>
      <c r="AD485" s="191" t="str">
        <f>'1_BD questio brut'!AB485</f>
        <v>Les deux</v>
      </c>
      <c r="AE485" s="191" t="str">
        <f t="array" ref="AE485">INDEX('Données 1_BD questio'!C:C,MATCH('1_BD questio brut'!$AC$1&amp;'1_BD questio brut'!AC485,'Données 1_BD questio'!A:A&amp;'Données 1_BD questio'!B:B,0))</f>
        <v>un professionnel</v>
      </c>
      <c r="AF485" s="191" t="str">
        <f>'1_BD questio brut'!AD485</f>
        <v>1 fois par an</v>
      </c>
      <c r="AG485" s="191" t="str">
        <f>'1_BD questio brut'!AE485</f>
        <v/>
      </c>
      <c r="AH485" s="191" t="str">
        <f>'1_BD questio brut'!AF485</f>
        <v>Poêle</v>
      </c>
      <c r="AI485" s="191" t="str">
        <f>'1_BD questio brut'!AG485</f>
        <v>2</v>
      </c>
      <c r="AJ485" s="191" t="str">
        <f>'1_BD questio brut'!AH485</f>
        <v/>
      </c>
      <c r="AK485" s="191" t="str">
        <f>'1_BD questio brut'!AI485</f>
        <v>Chauffage de base</v>
      </c>
      <c r="AL485" s="191" t="str">
        <f>'1_BD questio brut'!AJ485</f>
        <v>Pas de réponse</v>
      </c>
      <c r="AM485" s="191" t="str">
        <f>'1_BD questio brut'!AK485</f>
        <v>1; 2; 4; 5</v>
      </c>
      <c r="AN485" s="191" t="str">
        <f>'1_BD questio brut'!AL485</f>
        <v/>
      </c>
      <c r="AO485" s="191" t="str">
        <f>'1_BD questio brut'!AM485</f>
        <v>5; 7</v>
      </c>
      <c r="AP485" s="191" t="str">
        <f>'1_BD questio brut'!AN485</f>
        <v/>
      </c>
      <c r="AQ485" s="191" t="str">
        <f>'1_BD questio brut'!AO485</f>
        <v/>
      </c>
    </row>
    <row r="486" spans="1:43" ht="43.5" hidden="1">
      <c r="A486" s="98">
        <f>INDEX('3_BD instruction total'!A:A,MATCH(C486,'3_BD instruction total'!F:F,0))</f>
        <v>2022</v>
      </c>
      <c r="B486" s="98" t="str">
        <f>INDEX('3_BD instruction total'!C:C,MATCH(C486,'3_BD instruction total'!F:F,0))</f>
        <v>non</v>
      </c>
      <c r="C486" s="191" t="str">
        <f>'1_BD questio brut'!A486</f>
        <v>VRB0523</v>
      </c>
      <c r="D486" s="191" t="str">
        <f t="array" ref="D486">INDEX('Données 1_BD questio'!C:C,MATCH('1_BD questio brut'!$B$1&amp;'1_BD questio brut'!B486,'Données 1_BD questio'!A:A&amp;'Données 1_BD questio'!B:B,0))</f>
        <v>CAPV</v>
      </c>
      <c r="E486" s="191" t="str">
        <f t="array" ref="E486">INDEX('Données 1_BD questio'!C:C,MATCH('1_BD questio brut'!$C$1&amp;'1_BD questio brut'!C486,'Données 1_BD questio'!A:A&amp;'Données 1_BD questio'!B:B,0))</f>
        <v>Retraité</v>
      </c>
      <c r="F486" s="191" t="str">
        <f t="array" ref="F486">INDEX('Données 1_BD questio'!C:C,MATCH('1_BD questio brut'!$D$1&amp;'1_BD questio brut'!D486,'Données 1_BD questio'!A:A&amp;'Données 1_BD questio'!B:B,0))</f>
        <v>Retraité</v>
      </c>
      <c r="G486" s="191" t="str">
        <f>'1_BD questio brut'!E486</f>
        <v>65 ans et plus</v>
      </c>
      <c r="H486" s="191">
        <f>'1_BD questio brut'!F486</f>
        <v>2</v>
      </c>
      <c r="I486" s="191" t="str">
        <f>'1_BD questio brut'!G486</f>
        <v>30 000 à 40 000 €</v>
      </c>
      <c r="J486" s="191" t="str">
        <f t="array" ref="J486">INDEX('Données 1_BD questio'!C:C,MATCH('1_BD questio brut'!$H$1&amp;'1_BD questio brut'!H486,'Données 1_BD questio'!A:A&amp;'Données 1_BD questio'!B:B,0))</f>
        <v>Maison avec jardin</v>
      </c>
      <c r="K486" s="191">
        <f>'1_BD questio brut'!I486</f>
        <v>90</v>
      </c>
      <c r="L486" s="191" t="str">
        <f>'1_BD questio brut'!J486</f>
        <v>1975-1990</v>
      </c>
      <c r="M486" s="191" t="str">
        <f>'1_BD questio brut'!K486</f>
        <v>1</v>
      </c>
      <c r="N486" s="191" t="str">
        <f>'1_BD questio brut'!L486</f>
        <v>Pas de réponse</v>
      </c>
      <c r="O486" s="191" t="str">
        <f>'1_BD questio brut'!M486</f>
        <v>Propriétaire occupant</v>
      </c>
      <c r="P486" s="191" t="str">
        <f>'1_BD questio brut'!N486</f>
        <v>Insert / foyer fermé</v>
      </c>
      <c r="Q486" s="191" t="str">
        <f>'1_BD questio brut'!O486</f>
        <v>Chauffage de base</v>
      </c>
      <c r="R486" s="191" t="str">
        <f>'1_BD questio brut'!P486</f>
        <v>Tous les jours</v>
      </c>
      <c r="S486" s="191" t="str">
        <f>'1_BD questio brut'!Q486</f>
        <v>4; 5</v>
      </c>
      <c r="T486" s="191" t="str">
        <f>'1_BD questio brut'!R486</f>
        <v>Avant 1990</v>
      </c>
      <c r="U486" s="191" t="str">
        <f>'1_BD questio brut'!S486</f>
        <v>Bois bûche</v>
      </c>
      <c r="V486" s="191" t="str">
        <f>'1_BD questio brut'!T486</f>
        <v/>
      </c>
      <c r="W486" s="191" t="str">
        <f>'1_BD questio brut'!U486</f>
        <v>15</v>
      </c>
      <c r="X486" s="191" t="str">
        <f>'1_BD questio brut'!V486</f>
        <v>Stères</v>
      </c>
      <c r="Y486" s="191" t="str">
        <f>'1_BD questio brut'!W486</f>
        <v>2</v>
      </c>
      <c r="Z486" s="191" t="str">
        <f>'1_BD questio brut'!X486</f>
        <v/>
      </c>
      <c r="AA486" s="191" t="str">
        <f t="array" ref="AA486">INDEX('Données 1_BD questio'!C:C,MATCH('1_BD questio brut'!$Y$1&amp;'1_BD questio brut'!Y486,'Données 1_BD questio'!A:A&amp;'Données 1_BD questio'!B:B,0))</f>
        <v>RA2B</v>
      </c>
      <c r="AB486" s="191" t="str">
        <f>'1_BD questio brut'!Z486</f>
        <v>2</v>
      </c>
      <c r="AC486" s="191" t="str">
        <f>'1_BD questio brut'!AA486</f>
        <v>1 à 2 ans</v>
      </c>
      <c r="AD486" s="191" t="str">
        <f>'1_BD questio brut'!AB486</f>
        <v>Feuillus</v>
      </c>
      <c r="AE486" s="191" t="str">
        <f t="array" ref="AE486">INDEX('Données 1_BD questio'!C:C,MATCH('1_BD questio brut'!$AC$1&amp;'1_BD questio brut'!AC486,'Données 1_BD questio'!A:A&amp;'Données 1_BD questio'!B:B,0))</f>
        <v>un professionnel</v>
      </c>
      <c r="AF486" s="191" t="str">
        <f>'1_BD questio brut'!AD486</f>
        <v>1 fois par an</v>
      </c>
      <c r="AG486" s="191" t="str">
        <f>'1_BD questio brut'!AE486</f>
        <v/>
      </c>
      <c r="AH486" s="191" t="str">
        <f>'1_BD questio brut'!AF486</f>
        <v>Poêle</v>
      </c>
      <c r="AI486" s="191" t="str">
        <f>'1_BD questio brut'!AG486</f>
        <v>1; 2</v>
      </c>
      <c r="AJ486" s="191" t="str">
        <f>'1_BD questio brut'!AH486</f>
        <v>POELE MIXTE</v>
      </c>
      <c r="AK486" s="191" t="str">
        <f>'1_BD questio brut'!AI486</f>
        <v>Chauffage de base</v>
      </c>
      <c r="AL486" s="191" t="str">
        <f>'1_BD questio brut'!AJ486</f>
        <v>Pas de réponse</v>
      </c>
      <c r="AM486" s="191" t="str">
        <f>'1_BD questio brut'!AK486</f>
        <v>2; 4; 5</v>
      </c>
      <c r="AN486" s="191" t="str">
        <f>'1_BD questio brut'!AL486</f>
        <v/>
      </c>
      <c r="AO486" s="191" t="str">
        <f>'1_BD questio brut'!AM486</f>
        <v>5</v>
      </c>
      <c r="AP486" s="191" t="str">
        <f>'1_BD questio brut'!AN486</f>
        <v/>
      </c>
      <c r="AQ486" s="191" t="str">
        <f>'1_BD questio brut'!AO486</f>
        <v/>
      </c>
    </row>
    <row r="487" spans="1:43" ht="43.5" hidden="1">
      <c r="A487" s="98">
        <f>INDEX('3_BD instruction total'!A:A,MATCH(C487,'3_BD instruction total'!F:F,0))</f>
        <v>2022</v>
      </c>
      <c r="B487" s="98" t="str">
        <f>INDEX('3_BD instruction total'!C:C,MATCH(C487,'3_BD instruction total'!F:F,0))</f>
        <v>non</v>
      </c>
      <c r="C487" s="191" t="str">
        <f>'1_BD questio brut'!A487</f>
        <v>VRB0524</v>
      </c>
      <c r="D487" s="191" t="str">
        <f t="array" ref="D487">INDEX('Données 1_BD questio'!C:C,MATCH('1_BD questio brut'!$B$1&amp;'1_BD questio brut'!B487,'Données 1_BD questio'!A:A&amp;'Données 1_BD questio'!B:B,0))</f>
        <v>CAPV</v>
      </c>
      <c r="E487" s="191" t="str">
        <f t="array" ref="E487">INDEX('Données 1_BD questio'!C:C,MATCH('1_BD questio brut'!$C$1&amp;'1_BD questio brut'!C487,'Données 1_BD questio'!A:A&amp;'Données 1_BD questio'!B:B,0))</f>
        <v>Ouvrier</v>
      </c>
      <c r="F487" s="191" t="str">
        <f t="array" ref="F487">INDEX('Données 1_BD questio'!C:C,MATCH('1_BD questio brut'!$D$1&amp;'1_BD questio brut'!D487,'Données 1_BD questio'!A:A&amp;'Données 1_BD questio'!B:B,0))</f>
        <v>Autre,sans activité</v>
      </c>
      <c r="G487" s="191" t="str">
        <f>'1_BD questio brut'!E487</f>
        <v>35 à 49 ans</v>
      </c>
      <c r="H487" s="191">
        <f>'1_BD questio brut'!F487</f>
        <v>5</v>
      </c>
      <c r="I487" s="191" t="str">
        <f>'1_BD questio brut'!G487</f>
        <v>40 000 à 50 000 €</v>
      </c>
      <c r="J487" s="191" t="str">
        <f t="array" ref="J487">INDEX('Données 1_BD questio'!C:C,MATCH('1_BD questio brut'!$H$1&amp;'1_BD questio brut'!H487,'Données 1_BD questio'!A:A&amp;'Données 1_BD questio'!B:B,0))</f>
        <v>Maison avec jardin</v>
      </c>
      <c r="K487" s="191">
        <f>'1_BD questio brut'!I487</f>
        <v>100</v>
      </c>
      <c r="L487" s="191" t="str">
        <f>'1_BD questio brut'!J487</f>
        <v>Avant 1949</v>
      </c>
      <c r="M487" s="191" t="str">
        <f>'1_BD questio brut'!K487</f>
        <v>1; 3</v>
      </c>
      <c r="N487" s="191" t="str">
        <f>'1_BD questio brut'!L487</f>
        <v>Pas de réponse</v>
      </c>
      <c r="O487" s="191" t="str">
        <f>'1_BD questio brut'!M487</f>
        <v>Propriétaire occupant</v>
      </c>
      <c r="P487" s="191" t="str">
        <f>'1_BD questio brut'!N487</f>
        <v>Foyer ouvert</v>
      </c>
      <c r="Q487" s="191" t="str">
        <f>'1_BD questio brut'!O487</f>
        <v>Chauffage d'apoint</v>
      </c>
      <c r="R487" s="191" t="str">
        <f>'1_BD questio brut'!P487</f>
        <v>1 à 2 jours/semaine</v>
      </c>
      <c r="S487" s="191" t="str">
        <f>'1_BD questio brut'!Q487</f>
        <v>3</v>
      </c>
      <c r="T487" s="191" t="str">
        <f>'1_BD questio brut'!R487</f>
        <v>1996-2002</v>
      </c>
      <c r="U487" s="191" t="str">
        <f>'1_BD questio brut'!S487</f>
        <v>Bois bûche</v>
      </c>
      <c r="V487" s="191" t="str">
        <f>'1_BD questio brut'!T487</f>
        <v/>
      </c>
      <c r="W487" s="191" t="str">
        <f>'1_BD questio brut'!U487</f>
        <v>3</v>
      </c>
      <c r="X487" s="191" t="str">
        <f>'1_BD questio brut'!V487</f>
        <v>Stères</v>
      </c>
      <c r="Y487" s="191" t="str">
        <f>'1_BD questio brut'!W487</f>
        <v>2</v>
      </c>
      <c r="Z487" s="191" t="str">
        <f>'1_BD questio brut'!X487</f>
        <v/>
      </c>
      <c r="AA487" s="191" t="str">
        <f t="array" ref="AA487">INDEX('Données 1_BD questio'!C:C,MATCH('1_BD questio brut'!$Y$1&amp;'1_BD questio brut'!Y487,'Données 1_BD questio'!A:A&amp;'Données 1_BD questio'!B:B,0))</f>
        <v>Ne sait pas</v>
      </c>
      <c r="AB487" s="191" t="str">
        <f>'1_BD questio brut'!Z487</f>
        <v>2</v>
      </c>
      <c r="AC487" s="191" t="str">
        <f>'1_BD questio brut'!AA487</f>
        <v>1 à 2 ans</v>
      </c>
      <c r="AD487" s="191" t="str">
        <f>'1_BD questio brut'!AB487</f>
        <v>Les deux</v>
      </c>
      <c r="AE487" s="191" t="str">
        <f t="array" ref="AE487">INDEX('Données 1_BD questio'!C:C,MATCH('1_BD questio brut'!$AC$1&amp;'1_BD questio brut'!AC487,'Données 1_BD questio'!A:A&amp;'Données 1_BD questio'!B:B,0))</f>
        <v>un professionnel</v>
      </c>
      <c r="AF487" s="191" t="str">
        <f>'1_BD questio brut'!AD487</f>
        <v>1 fois par an</v>
      </c>
      <c r="AG487" s="191" t="str">
        <f>'1_BD questio brut'!AE487</f>
        <v/>
      </c>
      <c r="AH487" s="191" t="str">
        <f>'1_BD questio brut'!AF487</f>
        <v>Insert cheminée</v>
      </c>
      <c r="AI487" s="191" t="str">
        <f>'1_BD questio brut'!AG487</f>
        <v>1</v>
      </c>
      <c r="AJ487" s="191" t="str">
        <f>'1_BD questio brut'!AH487</f>
        <v/>
      </c>
      <c r="AK487" s="191" t="str">
        <f>'1_BD questio brut'!AI487</f>
        <v>Chauffage de base</v>
      </c>
      <c r="AL487" s="191" t="str">
        <f>'1_BD questio brut'!AJ487</f>
        <v>Pas de réponse</v>
      </c>
      <c r="AM487" s="191" t="str">
        <f>'1_BD questio brut'!AK487</f>
        <v>1; 2; 4; 5</v>
      </c>
      <c r="AN487" s="191" t="str">
        <f>'1_BD questio brut'!AL487</f>
        <v/>
      </c>
      <c r="AO487" s="191" t="str">
        <f>'1_BD questio brut'!AM487</f>
        <v>5</v>
      </c>
      <c r="AP487" s="191" t="str">
        <f>'1_BD questio brut'!AN487</f>
        <v/>
      </c>
      <c r="AQ487" s="191" t="str">
        <f>'1_BD questio brut'!AO487</f>
        <v/>
      </c>
    </row>
    <row r="488" spans="1:43" ht="43.5" hidden="1">
      <c r="A488" s="98">
        <f>INDEX('3_BD instruction total'!A:A,MATCH(C488,'3_BD instruction total'!F:F,0))</f>
        <v>2022</v>
      </c>
      <c r="B488" s="98" t="str">
        <f>INDEX('3_BD instruction total'!C:C,MATCH(C488,'3_BD instruction total'!F:F,0))</f>
        <v>non</v>
      </c>
      <c r="C488" s="191" t="str">
        <f>'1_BD questio brut'!A488</f>
        <v>VRB0525</v>
      </c>
      <c r="D488" s="191" t="str">
        <f t="array" ref="D488">INDEX('Données 1_BD questio'!C:C,MATCH('1_BD questio brut'!$B$1&amp;'1_BD questio brut'!B488,'Données 1_BD questio'!A:A&amp;'Données 1_BD questio'!B:B,0))</f>
        <v>CAPV</v>
      </c>
      <c r="E488" s="191" t="str">
        <f t="array" ref="E488">INDEX('Données 1_BD questio'!C:C,MATCH('1_BD questio brut'!$C$1&amp;'1_BD questio brut'!C488,'Données 1_BD questio'!A:A&amp;'Données 1_BD questio'!B:B,0))</f>
        <v>Retraité</v>
      </c>
      <c r="F488" s="191" t="str">
        <f t="array" ref="F488">INDEX('Données 1_BD questio'!C:C,MATCH('1_BD questio brut'!$D$1&amp;'1_BD questio brut'!D488,'Données 1_BD questio'!A:A&amp;'Données 1_BD questio'!B:B,0))</f>
        <v>Employé</v>
      </c>
      <c r="G488" s="191" t="str">
        <f>'1_BD questio brut'!E488</f>
        <v>50 à 64 ans</v>
      </c>
      <c r="H488" s="191">
        <f>'1_BD questio brut'!F488</f>
        <v>2</v>
      </c>
      <c r="I488" s="191" t="str">
        <f>'1_BD questio brut'!G488</f>
        <v>40 000 à 50 000 €</v>
      </c>
      <c r="J488" s="191" t="str">
        <f t="array" ref="J488">INDEX('Données 1_BD questio'!C:C,MATCH('1_BD questio brut'!$H$1&amp;'1_BD questio brut'!H488,'Données 1_BD questio'!A:A&amp;'Données 1_BD questio'!B:B,0))</f>
        <v>Maison avec jardin</v>
      </c>
      <c r="K488" s="191">
        <f>'1_BD questio brut'!I488</f>
        <v>109</v>
      </c>
      <c r="L488" s="191" t="str">
        <f>'1_BD questio brut'!J488</f>
        <v>1990-2005</v>
      </c>
      <c r="M488" s="191" t="str">
        <f>'1_BD questio brut'!K488</f>
        <v>5</v>
      </c>
      <c r="N488" s="191" t="str">
        <f>'1_BD questio brut'!L488</f>
        <v>Ne sait pas</v>
      </c>
      <c r="O488" s="191" t="str">
        <f>'1_BD questio brut'!M488</f>
        <v>Propriétaire occupant</v>
      </c>
      <c r="P488" s="191" t="str">
        <f>'1_BD questio brut'!N488</f>
        <v>Foyer ouvert</v>
      </c>
      <c r="Q488" s="191" t="str">
        <f>'1_BD questio brut'!O488</f>
        <v>Chauffage de base</v>
      </c>
      <c r="R488" s="191" t="str">
        <f>'1_BD questio brut'!P488</f>
        <v>Tous les jours</v>
      </c>
      <c r="S488" s="191" t="str">
        <f>'1_BD questio brut'!Q488</f>
        <v>2; 3; 4; 6</v>
      </c>
      <c r="T488" s="191" t="str">
        <f>'1_BD questio brut'!R488</f>
        <v>1996-2002</v>
      </c>
      <c r="U488" s="191" t="str">
        <f>'1_BD questio brut'!S488</f>
        <v>Bois bûche</v>
      </c>
      <c r="V488" s="191" t="str">
        <f>'1_BD questio brut'!T488</f>
        <v/>
      </c>
      <c r="W488" s="191" t="str">
        <f>'1_BD questio brut'!U488</f>
        <v>12</v>
      </c>
      <c r="X488" s="191" t="str">
        <f>'1_BD questio brut'!V488</f>
        <v>Stères</v>
      </c>
      <c r="Y488" s="191" t="str">
        <f>'1_BD questio brut'!W488</f>
        <v>1</v>
      </c>
      <c r="Z488" s="191" t="str">
        <f>'1_BD questio brut'!X488</f>
        <v/>
      </c>
      <c r="AA488" s="191" t="str">
        <f t="array" ref="AA488">INDEX('Données 1_BD questio'!C:C,MATCH('1_BD questio brut'!$Y$1&amp;'1_BD questio brut'!Y488,'Données 1_BD questio'!A:A&amp;'Données 1_BD questio'!B:B,0))</f>
        <v>RA2B</v>
      </c>
      <c r="AB488" s="191" t="str">
        <f>'1_BD questio brut'!Z488</f>
        <v>2</v>
      </c>
      <c r="AC488" s="191" t="str">
        <f>'1_BD questio brut'!AA488</f>
        <v>1 à 2 ans</v>
      </c>
      <c r="AD488" s="191" t="str">
        <f>'1_BD questio brut'!AB488</f>
        <v>Feuillus</v>
      </c>
      <c r="AE488" s="191" t="str">
        <f t="array" ref="AE488">INDEX('Données 1_BD questio'!C:C,MATCH('1_BD questio brut'!$AC$1&amp;'1_BD questio brut'!AC488,'Données 1_BD questio'!A:A&amp;'Données 1_BD questio'!B:B,0))</f>
        <v>un professionnel</v>
      </c>
      <c r="AF488" s="191" t="str">
        <f>'1_BD questio brut'!AD488</f>
        <v>1 fois par an</v>
      </c>
      <c r="AG488" s="191" t="str">
        <f>'1_BD questio brut'!AE488</f>
        <v/>
      </c>
      <c r="AH488" s="191" t="str">
        <f>'1_BD questio brut'!AF488</f>
        <v>Poêle</v>
      </c>
      <c r="AI488" s="191" t="str">
        <f>'1_BD questio brut'!AG488</f>
        <v>1</v>
      </c>
      <c r="AJ488" s="191" t="str">
        <f>'1_BD questio brut'!AH488</f>
        <v/>
      </c>
      <c r="AK488" s="191" t="str">
        <f>'1_BD questio brut'!AI488</f>
        <v>Chauffage de base</v>
      </c>
      <c r="AL488" s="191" t="str">
        <f>'1_BD questio brut'!AJ488</f>
        <v>Pas de réponse</v>
      </c>
      <c r="AM488" s="191" t="str">
        <f>'1_BD questio brut'!AK488</f>
        <v>2; 4</v>
      </c>
      <c r="AN488" s="191" t="str">
        <f>'1_BD questio brut'!AL488</f>
        <v/>
      </c>
      <c r="AO488" s="191" t="str">
        <f>'1_BD questio brut'!AM488</f>
        <v>5</v>
      </c>
      <c r="AP488" s="191" t="str">
        <f>'1_BD questio brut'!AN488</f>
        <v/>
      </c>
      <c r="AQ488" s="191" t="str">
        <f>'1_BD questio brut'!AO488</f>
        <v/>
      </c>
    </row>
    <row r="489" spans="1:43" hidden="1">
      <c r="C489" s="191"/>
      <c r="D489" s="191"/>
      <c r="E489" s="191"/>
      <c r="F489" s="191"/>
      <c r="G489" s="191"/>
      <c r="H489" s="191"/>
      <c r="I489" s="191"/>
      <c r="J489" s="191"/>
      <c r="K489" s="191"/>
      <c r="L489" s="191"/>
      <c r="M489" s="191"/>
      <c r="N489" s="191"/>
      <c r="O489" s="191"/>
      <c r="P489" s="191"/>
      <c r="Q489" s="191"/>
      <c r="R489" s="191"/>
      <c r="S489" s="191"/>
      <c r="T489" s="191"/>
      <c r="U489" s="191"/>
      <c r="V489" s="191"/>
      <c r="W489" s="191"/>
      <c r="X489" s="191"/>
      <c r="Y489" s="191"/>
      <c r="Z489" s="191"/>
      <c r="AA489" s="191"/>
      <c r="AB489" s="191"/>
      <c r="AC489" s="191"/>
      <c r="AD489" s="191"/>
      <c r="AE489" s="191"/>
      <c r="AF489" s="191"/>
      <c r="AG489" s="191"/>
      <c r="AH489" s="191"/>
      <c r="AI489" s="191"/>
      <c r="AJ489" s="191"/>
      <c r="AK489" s="191"/>
      <c r="AL489" s="191"/>
      <c r="AM489" s="191"/>
      <c r="AN489" s="191"/>
      <c r="AO489" s="191"/>
      <c r="AP489" s="191"/>
      <c r="AQ489" s="191"/>
    </row>
    <row r="490" spans="1:43" ht="43.5" hidden="1">
      <c r="A490" s="98">
        <f>INDEX('3_BD instruction total'!A:A,MATCH(C490,'3_BD instruction total'!F:F,0))</f>
        <v>2022</v>
      </c>
      <c r="B490" s="98" t="str">
        <f>INDEX('3_BD instruction total'!C:C,MATCH(C490,'3_BD instruction total'!F:F,0))</f>
        <v>non</v>
      </c>
      <c r="C490" s="191" t="str">
        <f>'1_BD questio brut'!A490</f>
        <v>VRB0527</v>
      </c>
      <c r="D490" s="191" t="str">
        <f t="array" ref="D490">INDEX('Données 1_BD questio'!C:C,MATCH('1_BD questio brut'!$B$1&amp;'1_BD questio brut'!B490,'Données 1_BD questio'!A:A&amp;'Données 1_BD questio'!B:B,0))</f>
        <v>CAPV</v>
      </c>
      <c r="E490" s="191" t="str">
        <f t="array" ref="E490">INDEX('Données 1_BD questio'!C:C,MATCH('1_BD questio brut'!$C$1&amp;'1_BD questio brut'!C490,'Données 1_BD questio'!A:A&amp;'Données 1_BD questio'!B:B,0))</f>
        <v>Retraité</v>
      </c>
      <c r="F490" s="191" t="str">
        <f t="array" ref="F490">INDEX('Données 1_BD questio'!C:C,MATCH('1_BD questio brut'!$D$1&amp;'1_BD questio brut'!D490,'Données 1_BD questio'!A:A&amp;'Données 1_BD questio'!B:B,0))</f>
        <v>Pas de réponse</v>
      </c>
      <c r="G490" s="191" t="str">
        <f>'1_BD questio brut'!E490</f>
        <v>65 ans et plus</v>
      </c>
      <c r="H490" s="191">
        <f>'1_BD questio brut'!F490</f>
        <v>1</v>
      </c>
      <c r="I490" s="191" t="str">
        <f>'1_BD questio brut'!G490</f>
        <v>Moins de 20 000 €</v>
      </c>
      <c r="J490" s="191" t="str">
        <f t="array" ref="J490">INDEX('Données 1_BD questio'!C:C,MATCH('1_BD questio brut'!$H$1&amp;'1_BD questio brut'!H490,'Données 1_BD questio'!A:A&amp;'Données 1_BD questio'!B:B,0))</f>
        <v>Maison avec jardin</v>
      </c>
      <c r="K490" s="191">
        <f>'1_BD questio brut'!I490</f>
        <v>140</v>
      </c>
      <c r="L490" s="191" t="str">
        <f>'1_BD questio brut'!J490</f>
        <v>1949-1975</v>
      </c>
      <c r="M490" s="191" t="str">
        <f>'1_BD questio brut'!K490</f>
        <v>6</v>
      </c>
      <c r="N490" s="191" t="str">
        <f>'1_BD questio brut'!L490</f>
        <v>Ne sait pas</v>
      </c>
      <c r="O490" s="191" t="str">
        <f>'1_BD questio brut'!M490</f>
        <v>Propriétaire occupant</v>
      </c>
      <c r="P490" s="191" t="str">
        <f>'1_BD questio brut'!N490</f>
        <v>Cuisinière</v>
      </c>
      <c r="Q490" s="191" t="str">
        <f>'1_BD questio brut'!O490</f>
        <v>Chauffage de base</v>
      </c>
      <c r="R490" s="191" t="str">
        <f>'1_BD questio brut'!P490</f>
        <v>3 à 4 jours/semaine</v>
      </c>
      <c r="S490" s="191" t="str">
        <f>'1_BD questio brut'!Q490</f>
        <v>3; 6</v>
      </c>
      <c r="T490" s="191" t="str">
        <f>'1_BD questio brut'!R490</f>
        <v>Avant 1990</v>
      </c>
      <c r="U490" s="191" t="str">
        <f>'1_BD questio brut'!S490</f>
        <v>Bois bûche</v>
      </c>
      <c r="V490" s="191" t="str">
        <f>'1_BD questio brut'!T490</f>
        <v/>
      </c>
      <c r="W490" s="191" t="str">
        <f>'1_BD questio brut'!U490</f>
        <v>7</v>
      </c>
      <c r="X490" s="191" t="str">
        <f>'1_BD questio brut'!V490</f>
        <v>Stères</v>
      </c>
      <c r="Y490" s="191" t="str">
        <f>'1_BD questio brut'!W490</f>
        <v>1</v>
      </c>
      <c r="Z490" s="191" t="str">
        <f>'1_BD questio brut'!X490</f>
        <v/>
      </c>
      <c r="AA490" s="191" t="str">
        <f t="array" ref="AA490">INDEX('Données 1_BD questio'!C:C,MATCH('1_BD questio brut'!$Y$1&amp;'1_BD questio brut'!Y490,'Données 1_BD questio'!A:A&amp;'Données 1_BD questio'!B:B,0))</f>
        <v>Rhône-Alpes hors RA2B</v>
      </c>
      <c r="AB490" s="191" t="str">
        <f>'1_BD questio brut'!Z490</f>
        <v>1</v>
      </c>
      <c r="AC490" s="191" t="str">
        <f>'1_BD questio brut'!AA490</f>
        <v>1 à 2 ans</v>
      </c>
      <c r="AD490" s="191" t="str">
        <f>'1_BD questio brut'!AB490</f>
        <v>Les deux</v>
      </c>
      <c r="AE490" s="191" t="str">
        <f t="array" ref="AE490">INDEX('Données 1_BD questio'!C:C,MATCH('1_BD questio brut'!$AC$1&amp;'1_BD questio brut'!AC490,'Données 1_BD questio'!A:A&amp;'Données 1_BD questio'!B:B,0))</f>
        <v>un professionnel</v>
      </c>
      <c r="AF490" s="191" t="str">
        <f>'1_BD questio brut'!AD490</f>
        <v>1 fois par an</v>
      </c>
      <c r="AG490" s="191" t="str">
        <f>'1_BD questio brut'!AE490</f>
        <v/>
      </c>
      <c r="AH490" s="191" t="str">
        <f>'1_BD questio brut'!AF490</f>
        <v>Poêle</v>
      </c>
      <c r="AI490" s="191" t="str">
        <f>'1_BD questio brut'!AG490</f>
        <v>2</v>
      </c>
      <c r="AJ490" s="191" t="str">
        <f>'1_BD questio brut'!AH490</f>
        <v/>
      </c>
      <c r="AK490" s="191" t="str">
        <f>'1_BD questio brut'!AI490</f>
        <v>Chauffage de base</v>
      </c>
      <c r="AL490" s="191" t="str">
        <f>'1_BD questio brut'!AJ490</f>
        <v>Pas de réponse</v>
      </c>
      <c r="AM490" s="191" t="str">
        <f>'1_BD questio brut'!AK490</f>
        <v>1; 2; 4; 5</v>
      </c>
      <c r="AN490" s="191" t="str">
        <f>'1_BD questio brut'!AL490</f>
        <v/>
      </c>
      <c r="AO490" s="191" t="str">
        <f>'1_BD questio brut'!AM490</f>
        <v>5</v>
      </c>
      <c r="AP490" s="191" t="str">
        <f>'1_BD questio brut'!AN490</f>
        <v/>
      </c>
      <c r="AQ490" s="191" t="str">
        <f>'1_BD questio brut'!AO490</f>
        <v/>
      </c>
    </row>
    <row r="491" spans="1:43" ht="43.5" hidden="1">
      <c r="A491" s="98">
        <f>INDEX('3_BD instruction total'!A:A,MATCH(C491,'3_BD instruction total'!F:F,0))</f>
        <v>2022</v>
      </c>
      <c r="B491" s="98" t="str">
        <f>INDEX('3_BD instruction total'!C:C,MATCH(C491,'3_BD instruction total'!F:F,0))</f>
        <v>non</v>
      </c>
      <c r="C491" s="191" t="str">
        <f>'1_BD questio brut'!A491</f>
        <v>VRB0528</v>
      </c>
      <c r="D491" s="191" t="str">
        <f t="array" ref="D491">INDEX('Données 1_BD questio'!C:C,MATCH('1_BD questio brut'!$B$1&amp;'1_BD questio brut'!B491,'Données 1_BD questio'!A:A&amp;'Données 1_BD questio'!B:B,0))</f>
        <v>CAPV</v>
      </c>
      <c r="E491" s="191" t="str">
        <f t="array" ref="E491">INDEX('Données 1_BD questio'!C:C,MATCH('1_BD questio brut'!$C$1&amp;'1_BD questio brut'!C491,'Données 1_BD questio'!A:A&amp;'Données 1_BD questio'!B:B,0))</f>
        <v>Retraité</v>
      </c>
      <c r="F491" s="191" t="str">
        <f t="array" ref="F491">INDEX('Données 1_BD questio'!C:C,MATCH('1_BD questio brut'!$D$1&amp;'1_BD questio brut'!D491,'Données 1_BD questio'!A:A&amp;'Données 1_BD questio'!B:B,0))</f>
        <v>Retraité</v>
      </c>
      <c r="G491" s="191" t="str">
        <f>'1_BD questio brut'!E491</f>
        <v>65 ans et plus</v>
      </c>
      <c r="H491" s="191">
        <f>'1_BD questio brut'!F491</f>
        <v>2</v>
      </c>
      <c r="I491" s="191" t="str">
        <f>'1_BD questio brut'!G491</f>
        <v>20 000 à 30 000 €</v>
      </c>
      <c r="J491" s="191" t="str">
        <f t="array" ref="J491">INDEX('Données 1_BD questio'!C:C,MATCH('1_BD questio brut'!$H$1&amp;'1_BD questio brut'!H491,'Données 1_BD questio'!A:A&amp;'Données 1_BD questio'!B:B,0))</f>
        <v>Maison avec jardin</v>
      </c>
      <c r="K491" s="191">
        <f>'1_BD questio brut'!I491</f>
        <v>91</v>
      </c>
      <c r="L491" s="191" t="str">
        <f>'1_BD questio brut'!J491</f>
        <v>1949-1975</v>
      </c>
      <c r="M491" s="191" t="str">
        <f>'1_BD questio brut'!K491</f>
        <v>1; 4</v>
      </c>
      <c r="N491" s="191" t="str">
        <f>'1_BD questio brut'!L491</f>
        <v>Pas de réponse</v>
      </c>
      <c r="O491" s="191" t="str">
        <f>'1_BD questio brut'!M491</f>
        <v>Propriétaire occupant</v>
      </c>
      <c r="P491" s="191" t="str">
        <f>'1_BD questio brut'!N491</f>
        <v>Foyer ouvert</v>
      </c>
      <c r="Q491" s="191" t="str">
        <f>'1_BD questio brut'!O491</f>
        <v>Chauffage d'apoint</v>
      </c>
      <c r="R491" s="191" t="str">
        <f>'1_BD questio brut'!P491</f>
        <v>3 à 4 jours/semaine</v>
      </c>
      <c r="S491" s="191" t="str">
        <f>'1_BD questio brut'!Q491</f>
        <v>1; 2; 3; 6</v>
      </c>
      <c r="T491" s="191" t="str">
        <f>'1_BD questio brut'!R491</f>
        <v>Avant 1990</v>
      </c>
      <c r="U491" s="191" t="str">
        <f>'1_BD questio brut'!S491</f>
        <v>Bois bûche</v>
      </c>
      <c r="V491" s="191" t="str">
        <f>'1_BD questio brut'!T491</f>
        <v/>
      </c>
      <c r="W491" s="191" t="str">
        <f>'1_BD questio brut'!U491</f>
        <v>10</v>
      </c>
      <c r="X491" s="191" t="str">
        <f>'1_BD questio brut'!V491</f>
        <v>Stères</v>
      </c>
      <c r="Y491" s="191" t="str">
        <f>'1_BD questio brut'!W491</f>
        <v>2</v>
      </c>
      <c r="Z491" s="191" t="str">
        <f>'1_BD questio brut'!X491</f>
        <v/>
      </c>
      <c r="AA491" s="191" t="str">
        <f t="array" ref="AA491">INDEX('Données 1_BD questio'!C:C,MATCH('1_BD questio brut'!$Y$1&amp;'1_BD questio brut'!Y491,'Données 1_BD questio'!A:A&amp;'Données 1_BD questio'!B:B,0))</f>
        <v>Rhône-Alpes hors RA2B</v>
      </c>
      <c r="AB491" s="191" t="str">
        <f>'1_BD questio brut'!Z491</f>
        <v>2</v>
      </c>
      <c r="AC491" s="191" t="str">
        <f>'1_BD questio brut'!AA491</f>
        <v>1 à 2 ans</v>
      </c>
      <c r="AD491" s="191" t="str">
        <f>'1_BD questio brut'!AB491</f>
        <v>Les deux</v>
      </c>
      <c r="AE491" s="191" t="str">
        <f t="array" ref="AE491">INDEX('Données 1_BD questio'!C:C,MATCH('1_BD questio brut'!$AC$1&amp;'1_BD questio brut'!AC491,'Données 1_BD questio'!A:A&amp;'Données 1_BD questio'!B:B,0))</f>
        <v>un professionnel</v>
      </c>
      <c r="AF491" s="191" t="str">
        <f>'1_BD questio brut'!AD491</f>
        <v>1 fois par an</v>
      </c>
      <c r="AG491" s="191" t="str">
        <f>'1_BD questio brut'!AE491</f>
        <v/>
      </c>
      <c r="AH491" s="191" t="str">
        <f>'1_BD questio brut'!AF491</f>
        <v>Poêle</v>
      </c>
      <c r="AI491" s="191" t="str">
        <f>'1_BD questio brut'!AG491</f>
        <v>1</v>
      </c>
      <c r="AJ491" s="191" t="str">
        <f>'1_BD questio brut'!AH491</f>
        <v/>
      </c>
      <c r="AK491" s="191" t="str">
        <f>'1_BD questio brut'!AI491</f>
        <v>Chauffage d'appoint</v>
      </c>
      <c r="AL491" s="191" t="str">
        <f>'1_BD questio brut'!AJ491</f>
        <v>Pas de réponse</v>
      </c>
      <c r="AM491" s="191" t="str">
        <f>'1_BD questio brut'!AK491</f>
        <v>1; 2; 5</v>
      </c>
      <c r="AN491" s="191" t="str">
        <f>'1_BD questio brut'!AL491</f>
        <v/>
      </c>
      <c r="AO491" s="191" t="str">
        <f>'1_BD questio brut'!AM491</f>
        <v>5</v>
      </c>
      <c r="AP491" s="191" t="str">
        <f>'1_BD questio brut'!AN491</f>
        <v/>
      </c>
      <c r="AQ491" s="191" t="str">
        <f>'1_BD questio brut'!AO491</f>
        <v/>
      </c>
    </row>
    <row r="492" spans="1:43" ht="43.5" hidden="1">
      <c r="A492" s="98">
        <f>INDEX('3_BD instruction total'!A:A,MATCH(C492,'3_BD instruction total'!F:F,0))</f>
        <v>2022</v>
      </c>
      <c r="B492" s="98" t="str">
        <f>INDEX('3_BD instruction total'!C:C,MATCH(C492,'3_BD instruction total'!F:F,0))</f>
        <v>non</v>
      </c>
      <c r="C492" s="191" t="str">
        <f>'1_BD questio brut'!A492</f>
        <v>VRB0529</v>
      </c>
      <c r="D492" s="191" t="str">
        <f t="array" ref="D492">INDEX('Données 1_BD questio'!C:C,MATCH('1_BD questio brut'!$B$1&amp;'1_BD questio brut'!B492,'Données 1_BD questio'!A:A&amp;'Données 1_BD questio'!B:B,0))</f>
        <v>CAPV</v>
      </c>
      <c r="E492" s="191" t="str">
        <f t="array" ref="E492">INDEX('Données 1_BD questio'!C:C,MATCH('1_BD questio brut'!$C$1&amp;'1_BD questio brut'!C492,'Données 1_BD questio'!A:A&amp;'Données 1_BD questio'!B:B,0))</f>
        <v>Cadre</v>
      </c>
      <c r="F492" s="191" t="str">
        <f t="array" ref="F492">INDEX('Données 1_BD questio'!C:C,MATCH('1_BD questio brut'!$D$1&amp;'1_BD questio brut'!D492,'Données 1_BD questio'!A:A&amp;'Données 1_BD questio'!B:B,0))</f>
        <v>Profession intermédiaire</v>
      </c>
      <c r="G492" s="191" t="str">
        <f>'1_BD questio brut'!E492</f>
        <v>35 à 49 ans</v>
      </c>
      <c r="H492" s="191">
        <f>'1_BD questio brut'!F492</f>
        <v>4</v>
      </c>
      <c r="I492" s="191" t="str">
        <f>'1_BD questio brut'!G492</f>
        <v>40 000 à 50 000 €</v>
      </c>
      <c r="J492" s="191" t="str">
        <f t="array" ref="J492">INDEX('Données 1_BD questio'!C:C,MATCH('1_BD questio brut'!$H$1&amp;'1_BD questio brut'!H492,'Données 1_BD questio'!A:A&amp;'Données 1_BD questio'!B:B,0))</f>
        <v>Maison avec jardin</v>
      </c>
      <c r="K492" s="191">
        <f>'1_BD questio brut'!I492</f>
        <v>120</v>
      </c>
      <c r="L492" s="191" t="str">
        <f>'1_BD questio brut'!J492</f>
        <v>1975-1990</v>
      </c>
      <c r="M492" s="191" t="str">
        <f>'1_BD questio brut'!K492</f>
        <v>4</v>
      </c>
      <c r="N492" s="191" t="str">
        <f>'1_BD questio brut'!L492</f>
        <v>Pas de réponse</v>
      </c>
      <c r="O492" s="191" t="str">
        <f>'1_BD questio brut'!M492</f>
        <v>Propriétaire occupant</v>
      </c>
      <c r="P492" s="191" t="str">
        <f>'1_BD questio brut'!N492</f>
        <v>Foyer ouvert</v>
      </c>
      <c r="Q492" s="191" t="str">
        <f>'1_BD questio brut'!O492</f>
        <v>Chauffage d'apoint</v>
      </c>
      <c r="R492" s="191" t="str">
        <f>'1_BD questio brut'!P492</f>
        <v>Jamais</v>
      </c>
      <c r="S492" s="191" t="str">
        <f>'1_BD questio brut'!Q492</f>
        <v>7</v>
      </c>
      <c r="T492" s="191" t="str">
        <f>'1_BD questio brut'!R492</f>
        <v>Avant 1990</v>
      </c>
      <c r="U492" s="191" t="str">
        <f>'1_BD questio brut'!S492</f>
        <v>Bois bûche</v>
      </c>
      <c r="V492" s="191" t="str">
        <f>'1_BD questio brut'!T492</f>
        <v/>
      </c>
      <c r="W492" s="191" t="str">
        <f>'1_BD questio brut'!U492</f>
        <v/>
      </c>
      <c r="X492" s="191" t="str">
        <f>'1_BD questio brut'!V492</f>
        <v/>
      </c>
      <c r="Y492" s="191" t="str">
        <f>'1_BD questio brut'!W492</f>
        <v>1</v>
      </c>
      <c r="Z492" s="191" t="str">
        <f>'1_BD questio brut'!X492</f>
        <v/>
      </c>
      <c r="AA492" s="191" t="str">
        <f t="array" ref="AA492">INDEX('Données 1_BD questio'!C:C,MATCH('1_BD questio brut'!$Y$1&amp;'1_BD questio brut'!Y492,'Données 1_BD questio'!A:A&amp;'Données 1_BD questio'!B:B,0))</f>
        <v>Pas de réponse</v>
      </c>
      <c r="AB492" s="191" t="str">
        <f>'1_BD questio brut'!Z492</f>
        <v>2</v>
      </c>
      <c r="AC492" s="191" t="str">
        <f>'1_BD questio brut'!AA492</f>
        <v>Pas de réponse</v>
      </c>
      <c r="AD492" s="191" t="str">
        <f>'1_BD questio brut'!AB492</f>
        <v>Pas de réponse</v>
      </c>
      <c r="AE492" s="191" t="str">
        <f t="array" ref="AE492">INDEX('Données 1_BD questio'!C:C,MATCH('1_BD questio brut'!$AC$1&amp;'1_BD questio brut'!AC492,'Données 1_BD questio'!A:A&amp;'Données 1_BD questio'!B:B,0))</f>
        <v>Pas de réponse</v>
      </c>
      <c r="AF492" s="191" t="str">
        <f>'1_BD questio brut'!AD492</f>
        <v>Autre, à préciser</v>
      </c>
      <c r="AG492" s="191" t="str">
        <f>'1_BD questio brut'!AE492</f>
        <v>peu utilisépour des raisons de secu et pollution</v>
      </c>
      <c r="AH492" s="191" t="str">
        <f>'1_BD questio brut'!AF492</f>
        <v>Poêle</v>
      </c>
      <c r="AI492" s="191" t="str">
        <f>'1_BD questio brut'!AG492</f>
        <v>1</v>
      </c>
      <c r="AJ492" s="191" t="str">
        <f>'1_BD questio brut'!AH492</f>
        <v/>
      </c>
      <c r="AK492" s="191" t="str">
        <f>'1_BD questio brut'!AI492</f>
        <v>Chauffage de base</v>
      </c>
      <c r="AL492" s="191" t="str">
        <f>'1_BD questio brut'!AJ492</f>
        <v>Pas de réponse</v>
      </c>
      <c r="AM492" s="191" t="str">
        <f>'1_BD questio brut'!AK492</f>
        <v>4; 5</v>
      </c>
      <c r="AN492" s="191" t="str">
        <f>'1_BD questio brut'!AL492</f>
        <v/>
      </c>
      <c r="AO492" s="191" t="str">
        <f>'1_BD questio brut'!AM492</f>
        <v>1</v>
      </c>
      <c r="AP492" s="191" t="str">
        <f>'1_BD questio brut'!AN492</f>
        <v/>
      </c>
      <c r="AQ492" s="191" t="str">
        <f>'1_BD questio brut'!AO492</f>
        <v/>
      </c>
    </row>
    <row r="493" spans="1:43" ht="43.5" hidden="1">
      <c r="A493" s="98">
        <f>INDEX('3_BD instruction total'!A:A,MATCH(C493,'3_BD instruction total'!F:F,0))</f>
        <v>2022</v>
      </c>
      <c r="B493" s="98" t="str">
        <f>INDEX('3_BD instruction total'!C:C,MATCH(C493,'3_BD instruction total'!F:F,0))</f>
        <v>non</v>
      </c>
      <c r="C493" s="191" t="str">
        <f>'1_BD questio brut'!A493</f>
        <v>VRB0530</v>
      </c>
      <c r="D493" s="191" t="str">
        <f t="array" ref="D493">INDEX('Données 1_BD questio'!C:C,MATCH('1_BD questio brut'!$B$1&amp;'1_BD questio brut'!B493,'Données 1_BD questio'!A:A&amp;'Données 1_BD questio'!B:B,0))</f>
        <v>CAPV</v>
      </c>
      <c r="E493" s="191" t="str">
        <f t="array" ref="E493">INDEX('Données 1_BD questio'!C:C,MATCH('1_BD questio brut'!$C$1&amp;'1_BD questio brut'!C493,'Données 1_BD questio'!A:A&amp;'Données 1_BD questio'!B:B,0))</f>
        <v>Cadre</v>
      </c>
      <c r="F493" s="191" t="str">
        <f t="array" ref="F493">INDEX('Données 1_BD questio'!C:C,MATCH('1_BD questio brut'!$D$1&amp;'1_BD questio brut'!D493,'Données 1_BD questio'!A:A&amp;'Données 1_BD questio'!B:B,0))</f>
        <v>Cadre</v>
      </c>
      <c r="G493" s="191" t="str">
        <f>'1_BD questio brut'!E493</f>
        <v>35 à 49 ans</v>
      </c>
      <c r="H493" s="191">
        <f>'1_BD questio brut'!F493</f>
        <v>3</v>
      </c>
      <c r="I493" s="191" t="str">
        <f>'1_BD questio brut'!G493</f>
        <v>50 000 à 60 000 €</v>
      </c>
      <c r="J493" s="191" t="str">
        <f t="array" ref="J493">INDEX('Données 1_BD questio'!C:C,MATCH('1_BD questio brut'!$H$1&amp;'1_BD questio brut'!H493,'Données 1_BD questio'!A:A&amp;'Données 1_BD questio'!B:B,0))</f>
        <v>Maison avec jardin</v>
      </c>
      <c r="K493" s="191">
        <f>'1_BD questio brut'!I493</f>
        <v>160</v>
      </c>
      <c r="L493" s="191" t="str">
        <f>'1_BD questio brut'!J493</f>
        <v>Avant 1949</v>
      </c>
      <c r="M493" s="191" t="str">
        <f>'1_BD questio brut'!K493</f>
        <v>6</v>
      </c>
      <c r="N493" s="191" t="str">
        <f>'1_BD questio brut'!L493</f>
        <v>G</v>
      </c>
      <c r="O493" s="191" t="str">
        <f>'1_BD questio brut'!M493</f>
        <v>Propriétaire occupant</v>
      </c>
      <c r="P493" s="191" t="str">
        <f>'1_BD questio brut'!N493</f>
        <v>Foyer ouvert</v>
      </c>
      <c r="Q493" s="191" t="str">
        <f>'1_BD questio brut'!O493</f>
        <v>Chauffage de base</v>
      </c>
      <c r="R493" s="191" t="str">
        <f>'1_BD questio brut'!P493</f>
        <v>Tous les jours</v>
      </c>
      <c r="S493" s="191" t="str">
        <f>'1_BD questio brut'!Q493</f>
        <v>2</v>
      </c>
      <c r="T493" s="191" t="str">
        <f>'1_BD questio brut'!R493</f>
        <v>Avant 1990</v>
      </c>
      <c r="U493" s="191" t="str">
        <f>'1_BD questio brut'!S493</f>
        <v>Bois bûche</v>
      </c>
      <c r="V493" s="191" t="str">
        <f>'1_BD questio brut'!T493</f>
        <v/>
      </c>
      <c r="W493" s="191" t="str">
        <f>'1_BD questio brut'!U493</f>
        <v>4</v>
      </c>
      <c r="X493" s="191" t="str">
        <f>'1_BD questio brut'!V493</f>
        <v/>
      </c>
      <c r="Y493" s="191" t="str">
        <f>'1_BD questio brut'!W493</f>
        <v>2</v>
      </c>
      <c r="Z493" s="191" t="str">
        <f>'1_BD questio brut'!X493</f>
        <v/>
      </c>
      <c r="AA493" s="191" t="str">
        <f t="array" ref="AA493">INDEX('Données 1_BD questio'!C:C,MATCH('1_BD questio brut'!$Y$1&amp;'1_BD questio brut'!Y493,'Données 1_BD questio'!A:A&amp;'Données 1_BD questio'!B:B,0))</f>
        <v>Ne sait pas</v>
      </c>
      <c r="AB493" s="191" t="str">
        <f>'1_BD questio brut'!Z493</f>
        <v>2</v>
      </c>
      <c r="AC493" s="191" t="str">
        <f>'1_BD questio brut'!AA493</f>
        <v>&lt; 1 an</v>
      </c>
      <c r="AD493" s="191" t="str">
        <f>'1_BD questio brut'!AB493</f>
        <v>Les deux</v>
      </c>
      <c r="AE493" s="191" t="str">
        <f t="array" ref="AE493">INDEX('Données 1_BD questio'!C:C,MATCH('1_BD questio brut'!$AC$1&amp;'1_BD questio brut'!AC493,'Données 1_BD questio'!A:A&amp;'Données 1_BD questio'!B:B,0))</f>
        <v>un professionnel</v>
      </c>
      <c r="AF493" s="191" t="str">
        <f>'1_BD questio brut'!AD493</f>
        <v>1 fois tous les 2 ans</v>
      </c>
      <c r="AG493" s="191" t="str">
        <f>'1_BD questio brut'!AE493</f>
        <v/>
      </c>
      <c r="AH493" s="191" t="str">
        <f>'1_BD questio brut'!AF493</f>
        <v>Poêle</v>
      </c>
      <c r="AI493" s="191" t="str">
        <f>'1_BD questio brut'!AG493</f>
        <v>1</v>
      </c>
      <c r="AJ493" s="191" t="str">
        <f>'1_BD questio brut'!AH493</f>
        <v/>
      </c>
      <c r="AK493" s="191" t="str">
        <f>'1_BD questio brut'!AI493</f>
        <v>Chauffage de base</v>
      </c>
      <c r="AL493" s="191" t="str">
        <f>'1_BD questio brut'!AJ493</f>
        <v>Pas de réponse</v>
      </c>
      <c r="AM493" s="191" t="str">
        <f>'1_BD questio brut'!AK493</f>
        <v>1; 2; 4; 5</v>
      </c>
      <c r="AN493" s="191" t="str">
        <f>'1_BD questio brut'!AL493</f>
        <v/>
      </c>
      <c r="AO493" s="191" t="str">
        <f>'1_BD questio brut'!AM493</f>
        <v>2</v>
      </c>
      <c r="AP493" s="191" t="str">
        <f>'1_BD questio brut'!AN493</f>
        <v/>
      </c>
      <c r="AQ493" s="191" t="str">
        <f>'1_BD questio brut'!AO493</f>
        <v/>
      </c>
    </row>
    <row r="494" spans="1:43" ht="29" hidden="1">
      <c r="A494" s="98">
        <f>INDEX('3_BD instruction total'!A:A,MATCH(C494,'3_BD instruction total'!F:F,0))</f>
        <v>2022</v>
      </c>
      <c r="B494" s="98" t="str">
        <f>INDEX('3_BD instruction total'!C:C,MATCH(C494,'3_BD instruction total'!F:F,0))</f>
        <v>non</v>
      </c>
      <c r="C494" s="191" t="str">
        <f>'1_BD questio brut'!A494</f>
        <v>VRB0531</v>
      </c>
      <c r="D494" s="191" t="str">
        <f t="array" ref="D494">INDEX('Données 1_BD questio'!C:C,MATCH('1_BD questio brut'!$B$1&amp;'1_BD questio brut'!B494,'Données 1_BD questio'!A:A&amp;'Données 1_BD questio'!B:B,0))</f>
        <v>CAPV</v>
      </c>
      <c r="E494" s="191" t="str">
        <f t="array" ref="E494">INDEX('Données 1_BD questio'!C:C,MATCH('1_BD questio brut'!$C$1&amp;'1_BD questio brut'!C494,'Données 1_BD questio'!A:A&amp;'Données 1_BD questio'!B:B,0))</f>
        <v>Cadre</v>
      </c>
      <c r="F494" s="191" t="str">
        <f t="array" ref="F494">INDEX('Données 1_BD questio'!C:C,MATCH('1_BD questio brut'!$D$1&amp;'1_BD questio brut'!D494,'Données 1_BD questio'!A:A&amp;'Données 1_BD questio'!B:B,0))</f>
        <v>Cadre</v>
      </c>
      <c r="G494" s="191" t="str">
        <f>'1_BD questio brut'!E494</f>
        <v>25 à 34 ans</v>
      </c>
      <c r="H494" s="191">
        <f>'1_BD questio brut'!F494</f>
        <v>3</v>
      </c>
      <c r="I494" s="191" t="str">
        <f>'1_BD questio brut'!G494</f>
        <v>50 000 à 60 000 €</v>
      </c>
      <c r="J494" s="191" t="str">
        <f t="array" ref="J494">INDEX('Données 1_BD questio'!C:C,MATCH('1_BD questio brut'!$H$1&amp;'1_BD questio brut'!H494,'Données 1_BD questio'!A:A&amp;'Données 1_BD questio'!B:B,0))</f>
        <v>Maison avec jardin</v>
      </c>
      <c r="K494" s="191">
        <f>'1_BD questio brut'!I494</f>
        <v>107</v>
      </c>
      <c r="L494" s="191" t="str">
        <f>'1_BD questio brut'!J494</f>
        <v>1975-1990</v>
      </c>
      <c r="M494" s="191" t="str">
        <f>'1_BD questio brut'!K494</f>
        <v>4</v>
      </c>
      <c r="N494" s="191" t="str">
        <f>'1_BD questio brut'!L494</f>
        <v>Pas de réponse</v>
      </c>
      <c r="O494" s="191" t="str">
        <f>'1_BD questio brut'!M494</f>
        <v>Propriétaire occupant</v>
      </c>
      <c r="P494" s="191" t="str">
        <f>'1_BD questio brut'!N494</f>
        <v>Foyer ouvert</v>
      </c>
      <c r="Q494" s="191" t="str">
        <f>'1_BD questio brut'!O494</f>
        <v>Plaisir/agrément</v>
      </c>
      <c r="R494" s="191" t="str">
        <f>'1_BD questio brut'!P494</f>
        <v>Pas de réponse</v>
      </c>
      <c r="S494" s="191" t="str">
        <f>'1_BD questio brut'!Q494</f>
        <v>7</v>
      </c>
      <c r="T494" s="191" t="str">
        <f>'1_BD questio brut'!R494</f>
        <v>Pas de réponse</v>
      </c>
      <c r="U494" s="191" t="str">
        <f>'1_BD questio brut'!S494</f>
        <v>Pas de réponse</v>
      </c>
      <c r="V494" s="191" t="str">
        <f>'1_BD questio brut'!T494</f>
        <v/>
      </c>
      <c r="W494" s="191" t="str">
        <f>'1_BD questio brut'!U494</f>
        <v/>
      </c>
      <c r="X494" s="191" t="str">
        <f>'1_BD questio brut'!V494</f>
        <v/>
      </c>
      <c r="Y494" s="191" t="str">
        <f>'1_BD questio brut'!W494</f>
        <v>5</v>
      </c>
      <c r="Z494" s="191" t="str">
        <f>'1_BD questio brut'!X494</f>
        <v/>
      </c>
      <c r="AA494" s="191" t="str">
        <f t="array" ref="AA494">INDEX('Données 1_BD questio'!C:C,MATCH('1_BD questio brut'!$Y$1&amp;'1_BD questio brut'!Y494,'Données 1_BD questio'!A:A&amp;'Données 1_BD questio'!B:B,0))</f>
        <v>Pas de réponse</v>
      </c>
      <c r="AB494" s="191" t="str">
        <f>'1_BD questio brut'!Z494</f>
        <v>4</v>
      </c>
      <c r="AC494" s="191" t="str">
        <f>'1_BD questio brut'!AA494</f>
        <v>Pas de réponse</v>
      </c>
      <c r="AD494" s="191" t="str">
        <f>'1_BD questio brut'!AB494</f>
        <v>Pas de réponse</v>
      </c>
      <c r="AE494" s="191" t="str">
        <f t="array" ref="AE494">INDEX('Données 1_BD questio'!C:C,MATCH('1_BD questio brut'!$AC$1&amp;'1_BD questio brut'!AC494,'Données 1_BD questio'!A:A&amp;'Données 1_BD questio'!B:B,0))</f>
        <v>Pas de réponse</v>
      </c>
      <c r="AF494" s="191" t="str">
        <f>'1_BD questio brut'!AD494</f>
        <v>Pas de réponse</v>
      </c>
      <c r="AG494" s="191" t="str">
        <f>'1_BD questio brut'!AE494</f>
        <v/>
      </c>
      <c r="AH494" s="191" t="str">
        <f>'1_BD questio brut'!AF494</f>
        <v>Poêle</v>
      </c>
      <c r="AI494" s="191" t="str">
        <f>'1_BD questio brut'!AG494</f>
        <v>2</v>
      </c>
      <c r="AJ494" s="191" t="str">
        <f>'1_BD questio brut'!AH494</f>
        <v/>
      </c>
      <c r="AK494" s="191" t="str">
        <f>'1_BD questio brut'!AI494</f>
        <v>Chauffage de base</v>
      </c>
      <c r="AL494" s="191" t="str">
        <f>'1_BD questio brut'!AJ494</f>
        <v>Pas de réponse</v>
      </c>
      <c r="AM494" s="191" t="str">
        <f>'1_BD questio brut'!AK494</f>
        <v>2; 4</v>
      </c>
      <c r="AN494" s="191" t="str">
        <f>'1_BD questio brut'!AL494</f>
        <v/>
      </c>
      <c r="AO494" s="191" t="str">
        <f>'1_BD questio brut'!AM494</f>
        <v>1</v>
      </c>
      <c r="AP494" s="191" t="str">
        <f>'1_BD questio brut'!AN494</f>
        <v/>
      </c>
      <c r="AQ494" s="191" t="str">
        <f>'1_BD questio brut'!AO494</f>
        <v/>
      </c>
    </row>
    <row r="495" spans="1:43" ht="43.5" hidden="1">
      <c r="A495" s="98">
        <f>INDEX('3_BD instruction total'!A:A,MATCH(C495,'3_BD instruction total'!F:F,0))</f>
        <v>2022</v>
      </c>
      <c r="B495" s="98" t="str">
        <f>INDEX('3_BD instruction total'!C:C,MATCH(C495,'3_BD instruction total'!F:F,0))</f>
        <v>non</v>
      </c>
      <c r="C495" s="191" t="str">
        <f>'1_BD questio brut'!A495</f>
        <v>VRB0532</v>
      </c>
      <c r="D495" s="191" t="str">
        <f t="array" ref="D495">INDEX('Données 1_BD questio'!C:C,MATCH('1_BD questio brut'!$B$1&amp;'1_BD questio brut'!B495,'Données 1_BD questio'!A:A&amp;'Données 1_BD questio'!B:B,0))</f>
        <v>CAPV</v>
      </c>
      <c r="E495" s="191" t="str">
        <f t="array" ref="E495">INDEX('Données 1_BD questio'!C:C,MATCH('1_BD questio brut'!$C$1&amp;'1_BD questio brut'!C495,'Données 1_BD questio'!A:A&amp;'Données 1_BD questio'!B:B,0))</f>
        <v>Artisan,commerçant,chef d'entreprise</v>
      </c>
      <c r="F495" s="191" t="str">
        <f t="array" ref="F495">INDEX('Données 1_BD questio'!C:C,MATCH('1_BD questio brut'!$D$1&amp;'1_BD questio brut'!D495,'Données 1_BD questio'!A:A&amp;'Données 1_BD questio'!B:B,0))</f>
        <v>Artisan,commerçant,chef d'entreprise</v>
      </c>
      <c r="G495" s="191" t="str">
        <f>'1_BD questio brut'!E495</f>
        <v>35 à 49 ans</v>
      </c>
      <c r="H495" s="191">
        <f>'1_BD questio brut'!F495</f>
        <v>6</v>
      </c>
      <c r="I495" s="191" t="str">
        <f>'1_BD questio brut'!G495</f>
        <v>Plus de 100 000 €</v>
      </c>
      <c r="J495" s="191" t="str">
        <f t="array" ref="J495">INDEX('Données 1_BD questio'!C:C,MATCH('1_BD questio brut'!$H$1&amp;'1_BD questio brut'!H495,'Données 1_BD questio'!A:A&amp;'Données 1_BD questio'!B:B,0))</f>
        <v>Maison avec jardin</v>
      </c>
      <c r="K495" s="191">
        <f>'1_BD questio brut'!I495</f>
        <v>140</v>
      </c>
      <c r="L495" s="191" t="str">
        <f>'1_BD questio brut'!J495</f>
        <v>Avant 1949</v>
      </c>
      <c r="M495" s="191" t="str">
        <f>'1_BD questio brut'!K495</f>
        <v>6</v>
      </c>
      <c r="N495" s="191" t="str">
        <f>'1_BD questio brut'!L495</f>
        <v>Pas de réponse</v>
      </c>
      <c r="O495" s="191" t="str">
        <f>'1_BD questio brut'!M495</f>
        <v>Propriétaire occupant</v>
      </c>
      <c r="P495" s="191" t="str">
        <f>'1_BD questio brut'!N495</f>
        <v>Foyer ouvert</v>
      </c>
      <c r="Q495" s="191" t="str">
        <f>'1_BD questio brut'!O495</f>
        <v>Chauffage d'apoint</v>
      </c>
      <c r="R495" s="191" t="str">
        <f>'1_BD questio brut'!P495</f>
        <v>3 à 4 jours/semaine</v>
      </c>
      <c r="S495" s="191" t="str">
        <f>'1_BD questio brut'!Q495</f>
        <v>3</v>
      </c>
      <c r="T495" s="191" t="str">
        <f>'1_BD questio brut'!R495</f>
        <v>1996-2002</v>
      </c>
      <c r="U495" s="191" t="str">
        <f>'1_BD questio brut'!S495</f>
        <v>Bois bûche</v>
      </c>
      <c r="V495" s="191" t="str">
        <f>'1_BD questio brut'!T495</f>
        <v/>
      </c>
      <c r="W495" s="191" t="str">
        <f>'1_BD questio brut'!U495</f>
        <v>4</v>
      </c>
      <c r="X495" s="191" t="str">
        <f>'1_BD questio brut'!V495</f>
        <v/>
      </c>
      <c r="Y495" s="191" t="str">
        <f>'1_BD questio brut'!W495</f>
        <v>1</v>
      </c>
      <c r="Z495" s="191" t="str">
        <f>'1_BD questio brut'!X495</f>
        <v/>
      </c>
      <c r="AA495" s="191" t="str">
        <f t="array" ref="AA495">INDEX('Données 1_BD questio'!C:C,MATCH('1_BD questio brut'!$Y$1&amp;'1_BD questio brut'!Y495,'Données 1_BD questio'!A:A&amp;'Données 1_BD questio'!B:B,0))</f>
        <v>Ne sait pas</v>
      </c>
      <c r="AB495" s="191" t="str">
        <f>'1_BD questio brut'!Z495</f>
        <v>2</v>
      </c>
      <c r="AC495" s="191" t="str">
        <f>'1_BD questio brut'!AA495</f>
        <v>&gt; 2 ans</v>
      </c>
      <c r="AD495" s="191" t="str">
        <f>'1_BD questio brut'!AB495</f>
        <v>Pas de réponse</v>
      </c>
      <c r="AE495" s="191" t="str">
        <f t="array" ref="AE495">INDEX('Données 1_BD questio'!C:C,MATCH('1_BD questio brut'!$AC$1&amp;'1_BD questio brut'!AC495,'Données 1_BD questio'!A:A&amp;'Données 1_BD questio'!B:B,0))</f>
        <v>un professionnel</v>
      </c>
      <c r="AF495" s="191" t="str">
        <f>'1_BD questio brut'!AD495</f>
        <v>1 fois par an</v>
      </c>
      <c r="AG495" s="191" t="str">
        <f>'1_BD questio brut'!AE495</f>
        <v/>
      </c>
      <c r="AH495" s="191" t="str">
        <f>'1_BD questio brut'!AF495</f>
        <v>Insert cheminée</v>
      </c>
      <c r="AI495" s="191" t="str">
        <f>'1_BD questio brut'!AG495</f>
        <v>1</v>
      </c>
      <c r="AJ495" s="191" t="str">
        <f>'1_BD questio brut'!AH495</f>
        <v/>
      </c>
      <c r="AK495" s="191" t="str">
        <f>'1_BD questio brut'!AI495</f>
        <v>Chauffage d'appoint</v>
      </c>
      <c r="AL495" s="191" t="str">
        <f>'1_BD questio brut'!AJ495</f>
        <v>Pas de réponse</v>
      </c>
      <c r="AM495" s="191" t="str">
        <f>'1_BD questio brut'!AK495</f>
        <v>1; 2</v>
      </c>
      <c r="AN495" s="191" t="str">
        <f>'1_BD questio brut'!AL495</f>
        <v/>
      </c>
      <c r="AO495" s="191" t="str">
        <f>'1_BD questio brut'!AM495</f>
        <v>5</v>
      </c>
      <c r="AP495" s="191" t="str">
        <f>'1_BD questio brut'!AN495</f>
        <v/>
      </c>
      <c r="AQ495" s="191" t="str">
        <f>'1_BD questio brut'!AO495</f>
        <v/>
      </c>
    </row>
    <row r="496" spans="1:43" ht="43.5" hidden="1">
      <c r="A496" s="98">
        <f>INDEX('3_BD instruction total'!A:A,MATCH(C496,'3_BD instruction total'!F:F,0))</f>
        <v>2022</v>
      </c>
      <c r="B496" s="98" t="str">
        <f>INDEX('3_BD instruction total'!C:C,MATCH(C496,'3_BD instruction total'!F:F,0))</f>
        <v>non</v>
      </c>
      <c r="C496" s="191" t="str">
        <f>'1_BD questio brut'!A496</f>
        <v>VRB0533</v>
      </c>
      <c r="D496" s="191" t="str">
        <f t="array" ref="D496">INDEX('Données 1_BD questio'!C:C,MATCH('1_BD questio brut'!$B$1&amp;'1_BD questio brut'!B496,'Données 1_BD questio'!A:A&amp;'Données 1_BD questio'!B:B,0))</f>
        <v>CAPV</v>
      </c>
      <c r="E496" s="191" t="str">
        <f t="array" ref="E496">INDEX('Données 1_BD questio'!C:C,MATCH('1_BD questio brut'!$C$1&amp;'1_BD questio brut'!C496,'Données 1_BD questio'!A:A&amp;'Données 1_BD questio'!B:B,0))</f>
        <v>Retraité</v>
      </c>
      <c r="F496" s="191" t="str">
        <f t="array" ref="F496">INDEX('Données 1_BD questio'!C:C,MATCH('1_BD questio brut'!$D$1&amp;'1_BD questio brut'!D496,'Données 1_BD questio'!A:A&amp;'Données 1_BD questio'!B:B,0))</f>
        <v>Retraité</v>
      </c>
      <c r="G496" s="191" t="str">
        <f>'1_BD questio brut'!E496</f>
        <v>65 ans et plus</v>
      </c>
      <c r="H496" s="191">
        <f>'1_BD questio brut'!F496</f>
        <v>2</v>
      </c>
      <c r="I496" s="191" t="str">
        <f>'1_BD questio brut'!G496</f>
        <v>70 000 à 80 000 €</v>
      </c>
      <c r="J496" s="191" t="str">
        <f t="array" ref="J496">INDEX('Données 1_BD questio'!C:C,MATCH('1_BD questio brut'!$H$1&amp;'1_BD questio brut'!H496,'Données 1_BD questio'!A:A&amp;'Données 1_BD questio'!B:B,0))</f>
        <v>Maison avec jardin</v>
      </c>
      <c r="K496" s="191">
        <f>'1_BD questio brut'!I496</f>
        <v>150</v>
      </c>
      <c r="L496" s="191" t="str">
        <f>'1_BD questio brut'!J496</f>
        <v>1975-1990</v>
      </c>
      <c r="M496" s="191" t="str">
        <f>'1_BD questio brut'!K496</f>
        <v>4</v>
      </c>
      <c r="N496" s="191" t="str">
        <f>'1_BD questio brut'!L496</f>
        <v>Pas de réponse</v>
      </c>
      <c r="O496" s="191" t="str">
        <f>'1_BD questio brut'!M496</f>
        <v>Propriétaire occupant</v>
      </c>
      <c r="P496" s="191" t="str">
        <f>'1_BD questio brut'!N496</f>
        <v>Foyer ouvert</v>
      </c>
      <c r="Q496" s="191" t="str">
        <f>'1_BD questio brut'!O496</f>
        <v>Chauffage d'apoint</v>
      </c>
      <c r="R496" s="191" t="str">
        <f>'1_BD questio brut'!P496</f>
        <v>1 à 3 jours/mois</v>
      </c>
      <c r="S496" s="191" t="str">
        <f>'1_BD questio brut'!Q496</f>
        <v>4; 6</v>
      </c>
      <c r="T496" s="191" t="str">
        <f>'1_BD questio brut'!R496</f>
        <v>Avant 1990</v>
      </c>
      <c r="U496" s="191" t="str">
        <f>'1_BD questio brut'!S496</f>
        <v>Bois bûche</v>
      </c>
      <c r="V496" s="191" t="str">
        <f>'1_BD questio brut'!T496</f>
        <v/>
      </c>
      <c r="W496" s="191" t="str">
        <f>'1_BD questio brut'!U496</f>
        <v>2</v>
      </c>
      <c r="X496" s="191" t="str">
        <f>'1_BD questio brut'!V496</f>
        <v>Stères</v>
      </c>
      <c r="Y496" s="191" t="str">
        <f>'1_BD questio brut'!W496</f>
        <v>2</v>
      </c>
      <c r="Z496" s="191" t="str">
        <f>'1_BD questio brut'!X496</f>
        <v/>
      </c>
      <c r="AA496" s="191" t="str">
        <f t="array" ref="AA496">INDEX('Données 1_BD questio'!C:C,MATCH('1_BD questio brut'!$Y$1&amp;'1_BD questio brut'!Y496,'Données 1_BD questio'!A:A&amp;'Données 1_BD questio'!B:B,0))</f>
        <v>Ne sait pas</v>
      </c>
      <c r="AB496" s="191" t="str">
        <f>'1_BD questio brut'!Z496</f>
        <v>2</v>
      </c>
      <c r="AC496" s="191" t="str">
        <f>'1_BD questio brut'!AA496</f>
        <v>&gt; 2 ans</v>
      </c>
      <c r="AD496" s="191" t="str">
        <f>'1_BD questio brut'!AB496</f>
        <v>Feuillus</v>
      </c>
      <c r="AE496" s="191" t="str">
        <f t="array" ref="AE496">INDEX('Données 1_BD questio'!C:C,MATCH('1_BD questio brut'!$AC$1&amp;'1_BD questio brut'!AC496,'Données 1_BD questio'!A:A&amp;'Données 1_BD questio'!B:B,0))</f>
        <v>un professionnel</v>
      </c>
      <c r="AF496" s="191" t="str">
        <f>'1_BD questio brut'!AD496</f>
        <v>1 fois par an</v>
      </c>
      <c r="AG496" s="191" t="str">
        <f>'1_BD questio brut'!AE496</f>
        <v/>
      </c>
      <c r="AH496" s="191" t="str">
        <f>'1_BD questio brut'!AF496</f>
        <v>Poêle</v>
      </c>
      <c r="AI496" s="191" t="str">
        <f>'1_BD questio brut'!AG496</f>
        <v>1</v>
      </c>
      <c r="AJ496" s="191" t="str">
        <f>'1_BD questio brut'!AH496</f>
        <v/>
      </c>
      <c r="AK496" s="191" t="str">
        <f>'1_BD questio brut'!AI496</f>
        <v>Chauffage d'appoint</v>
      </c>
      <c r="AL496" s="191" t="str">
        <f>'1_BD questio brut'!AJ496</f>
        <v>Pas de réponse</v>
      </c>
      <c r="AM496" s="191" t="str">
        <f>'1_BD questio brut'!AK496</f>
        <v>2; 4; 5</v>
      </c>
      <c r="AN496" s="191" t="str">
        <f>'1_BD questio brut'!AL496</f>
        <v/>
      </c>
      <c r="AO496" s="191" t="str">
        <f>'1_BD questio brut'!AM496</f>
        <v>5</v>
      </c>
      <c r="AP496" s="191" t="str">
        <f>'1_BD questio brut'!AN496</f>
        <v/>
      </c>
      <c r="AQ496" s="191" t="str">
        <f>'1_BD questio brut'!AO496</f>
        <v/>
      </c>
    </row>
    <row r="497" spans="1:43" ht="43.5" hidden="1">
      <c r="A497" s="98">
        <f>INDEX('3_BD instruction total'!A:A,MATCH(C497,'3_BD instruction total'!F:F,0))</f>
        <v>2022</v>
      </c>
      <c r="B497" s="98" t="str">
        <f>INDEX('3_BD instruction total'!C:C,MATCH(C497,'3_BD instruction total'!F:F,0))</f>
        <v>non</v>
      </c>
      <c r="C497" s="191" t="str">
        <f>'1_BD questio brut'!A497</f>
        <v>VRB0534</v>
      </c>
      <c r="D497" s="191" t="str">
        <f t="array" ref="D497">INDEX('Données 1_BD questio'!C:C,MATCH('1_BD questio brut'!$B$1&amp;'1_BD questio brut'!B497,'Données 1_BD questio'!A:A&amp;'Données 1_BD questio'!B:B,0))</f>
        <v>CCLG</v>
      </c>
      <c r="E497" s="191" t="str">
        <f t="array" ref="E497">INDEX('Données 1_BD questio'!C:C,MATCH('1_BD questio brut'!$C$1&amp;'1_BD questio brut'!C497,'Données 1_BD questio'!A:A&amp;'Données 1_BD questio'!B:B,0))</f>
        <v>Retraité</v>
      </c>
      <c r="F497" s="191" t="str">
        <f t="array" ref="F497">INDEX('Données 1_BD questio'!C:C,MATCH('1_BD questio brut'!$D$1&amp;'1_BD questio brut'!D497,'Données 1_BD questio'!A:A&amp;'Données 1_BD questio'!B:B,0))</f>
        <v>Retraité</v>
      </c>
      <c r="G497" s="191" t="str">
        <f>'1_BD questio brut'!E497</f>
        <v>65 ans et plus</v>
      </c>
      <c r="H497" s="191">
        <f>'1_BD questio brut'!F497</f>
        <v>2</v>
      </c>
      <c r="I497" s="191" t="str">
        <f>'1_BD questio brut'!G497</f>
        <v>80 000 à 90 000 €</v>
      </c>
      <c r="J497" s="191" t="str">
        <f t="array" ref="J497">INDEX('Données 1_BD questio'!C:C,MATCH('1_BD questio brut'!$H$1&amp;'1_BD questio brut'!H497,'Données 1_BD questio'!A:A&amp;'Données 1_BD questio'!B:B,0))</f>
        <v>Maison avec jardin</v>
      </c>
      <c r="K497" s="191">
        <f>'1_BD questio brut'!I497</f>
        <v>130</v>
      </c>
      <c r="L497" s="191" t="str">
        <f>'1_BD questio brut'!J497</f>
        <v>Avant 1949</v>
      </c>
      <c r="M497" s="191" t="str">
        <f>'1_BD questio brut'!K497</f>
        <v>1; 2</v>
      </c>
      <c r="N497" s="191" t="str">
        <f>'1_BD questio brut'!L497</f>
        <v>Pas de réponse</v>
      </c>
      <c r="O497" s="191" t="str">
        <f>'1_BD questio brut'!M497</f>
        <v>Propriétaire occupant</v>
      </c>
      <c r="P497" s="191" t="str">
        <f>'1_BD questio brut'!N497</f>
        <v>Foyer ouvert</v>
      </c>
      <c r="Q497" s="191" t="str">
        <f>'1_BD questio brut'!O497</f>
        <v>Chauffage d'apoint</v>
      </c>
      <c r="R497" s="191" t="str">
        <f>'1_BD questio brut'!P497</f>
        <v>1 à 2 jours/semaine</v>
      </c>
      <c r="S497" s="191" t="str">
        <f>'1_BD questio brut'!Q497</f>
        <v>4; 6</v>
      </c>
      <c r="T497" s="191" t="str">
        <f>'1_BD questio brut'!R497</f>
        <v>Avant 1990</v>
      </c>
      <c r="U497" s="191" t="str">
        <f>'1_BD questio brut'!S497</f>
        <v>Bois bûche</v>
      </c>
      <c r="V497" s="191" t="str">
        <f>'1_BD questio brut'!T497</f>
        <v/>
      </c>
      <c r="W497" s="191" t="str">
        <f>'1_BD questio brut'!U497</f>
        <v>6</v>
      </c>
      <c r="X497" s="191" t="str">
        <f>'1_BD questio brut'!V497</f>
        <v>Stères</v>
      </c>
      <c r="Y497" s="191" t="str">
        <f>'1_BD questio brut'!W497</f>
        <v>2</v>
      </c>
      <c r="Z497" s="191" t="str">
        <f>'1_BD questio brut'!X497</f>
        <v/>
      </c>
      <c r="AA497" s="191" t="str">
        <f t="array" ref="AA497">INDEX('Données 1_BD questio'!C:C,MATCH('1_BD questio brut'!$Y$1&amp;'1_BD questio brut'!Y497,'Données 1_BD questio'!A:A&amp;'Données 1_BD questio'!B:B,0))</f>
        <v>Rhône-Alpes hors RA2B</v>
      </c>
      <c r="AB497" s="191" t="str">
        <f>'1_BD questio brut'!Z497</f>
        <v>2</v>
      </c>
      <c r="AC497" s="191" t="str">
        <f>'1_BD questio brut'!AA497</f>
        <v>&gt; 2 ans</v>
      </c>
      <c r="AD497" s="191" t="str">
        <f>'1_BD questio brut'!AB497</f>
        <v>Feuillus</v>
      </c>
      <c r="AE497" s="191" t="str">
        <f t="array" ref="AE497">INDEX('Données 1_BD questio'!C:C,MATCH('1_BD questio brut'!$AC$1&amp;'1_BD questio brut'!AC497,'Données 1_BD questio'!A:A&amp;'Données 1_BD questio'!B:B,0))</f>
        <v>un professionnel</v>
      </c>
      <c r="AF497" s="191" t="str">
        <f>'1_BD questio brut'!AD497</f>
        <v>1 fois par an</v>
      </c>
      <c r="AG497" s="191" t="str">
        <f>'1_BD questio brut'!AE497</f>
        <v/>
      </c>
      <c r="AH497" s="191" t="str">
        <f>'1_BD questio brut'!AF497</f>
        <v>Insert cheminée</v>
      </c>
      <c r="AI497" s="191" t="str">
        <f>'1_BD questio brut'!AG497</f>
        <v>1</v>
      </c>
      <c r="AJ497" s="191" t="str">
        <f>'1_BD questio brut'!AH497</f>
        <v/>
      </c>
      <c r="AK497" s="191" t="str">
        <f>'1_BD questio brut'!AI497</f>
        <v>Chauffage d'appoint</v>
      </c>
      <c r="AL497" s="191" t="str">
        <f>'1_BD questio brut'!AJ497</f>
        <v>Pas de réponse</v>
      </c>
      <c r="AM497" s="191" t="str">
        <f>'1_BD questio brut'!AK497</f>
        <v>1; 2; 4; 5</v>
      </c>
      <c r="AN497" s="191" t="str">
        <f>'1_BD questio brut'!AL497</f>
        <v/>
      </c>
      <c r="AO497" s="191" t="str">
        <f>'1_BD questio brut'!AM497</f>
        <v>5</v>
      </c>
      <c r="AP497" s="191" t="str">
        <f>'1_BD questio brut'!AN497</f>
        <v/>
      </c>
      <c r="AQ497" s="191" t="str">
        <f>'1_BD questio brut'!AO497</f>
        <v/>
      </c>
    </row>
    <row r="498" spans="1:43" hidden="1">
      <c r="C498" s="191"/>
      <c r="D498" s="191"/>
      <c r="E498" s="191"/>
      <c r="F498" s="191"/>
      <c r="G498" s="191"/>
      <c r="H498" s="191"/>
      <c r="I498" s="191"/>
      <c r="J498" s="191"/>
      <c r="K498" s="191"/>
      <c r="L498" s="191"/>
      <c r="M498" s="191"/>
      <c r="N498" s="191"/>
      <c r="O498" s="191"/>
      <c r="P498" s="191"/>
      <c r="Q498" s="191"/>
      <c r="R498" s="191"/>
      <c r="S498" s="191"/>
      <c r="T498" s="191"/>
      <c r="U498" s="191"/>
      <c r="V498" s="191"/>
      <c r="W498" s="191"/>
      <c r="X498" s="191"/>
      <c r="Y498" s="191"/>
      <c r="Z498" s="191"/>
      <c r="AA498" s="191"/>
      <c r="AB498" s="191"/>
      <c r="AC498" s="191"/>
      <c r="AD498" s="191"/>
      <c r="AE498" s="191"/>
      <c r="AF498" s="191"/>
      <c r="AG498" s="191"/>
      <c r="AH498" s="191"/>
      <c r="AI498" s="191"/>
      <c r="AJ498" s="191"/>
      <c r="AK498" s="191"/>
      <c r="AL498" s="191"/>
      <c r="AM498" s="191"/>
      <c r="AN498" s="191"/>
      <c r="AO498" s="191"/>
      <c r="AP498" s="191"/>
      <c r="AQ498" s="191"/>
    </row>
    <row r="499" spans="1:43" ht="43.5" hidden="1">
      <c r="A499" s="98">
        <f>INDEX('3_BD instruction total'!A:A,MATCH(C499,'3_BD instruction total'!F:F,0))</f>
        <v>2022</v>
      </c>
      <c r="B499" s="98" t="str">
        <f>INDEX('3_BD instruction total'!C:C,MATCH(C499,'3_BD instruction total'!F:F,0))</f>
        <v>non</v>
      </c>
      <c r="C499" s="191" t="str">
        <f>'1_BD questio brut'!A499</f>
        <v>VRB0536</v>
      </c>
      <c r="D499" s="191" t="str">
        <f t="array" ref="D499">INDEX('Données 1_BD questio'!C:C,MATCH('1_BD questio brut'!$B$1&amp;'1_BD questio brut'!B499,'Données 1_BD questio'!A:A&amp;'Données 1_BD questio'!B:B,0))</f>
        <v>GAM</v>
      </c>
      <c r="E499" s="191" t="str">
        <f t="array" ref="E499">INDEX('Données 1_BD questio'!C:C,MATCH('1_BD questio brut'!$C$1&amp;'1_BD questio brut'!C499,'Données 1_BD questio'!A:A&amp;'Données 1_BD questio'!B:B,0))</f>
        <v>Retraité</v>
      </c>
      <c r="F499" s="191" t="str">
        <f t="array" ref="F499">INDEX('Données 1_BD questio'!C:C,MATCH('1_BD questio brut'!$D$1&amp;'1_BD questio brut'!D499,'Données 1_BD questio'!A:A&amp;'Données 1_BD questio'!B:B,0))</f>
        <v>Retraité</v>
      </c>
      <c r="G499" s="191" t="str">
        <f>'1_BD questio brut'!E499</f>
        <v>65 ans et plus</v>
      </c>
      <c r="H499" s="191">
        <f>'1_BD questio brut'!F499</f>
        <v>2</v>
      </c>
      <c r="I499" s="191" t="str">
        <f>'1_BD questio brut'!G499</f>
        <v>30 000 à 40 000 €</v>
      </c>
      <c r="J499" s="191" t="str">
        <f t="array" ref="J499">INDEX('Données 1_BD questio'!C:C,MATCH('1_BD questio brut'!$H$1&amp;'1_BD questio brut'!H499,'Données 1_BD questio'!A:A&amp;'Données 1_BD questio'!B:B,0))</f>
        <v>Maison avec jardin</v>
      </c>
      <c r="K499" s="191">
        <f>'1_BD questio brut'!I499</f>
        <v>125</v>
      </c>
      <c r="L499" s="191" t="str">
        <f>'1_BD questio brut'!J499</f>
        <v>1975-1990</v>
      </c>
      <c r="M499" s="191" t="str">
        <f>'1_BD questio brut'!K499</f>
        <v>6</v>
      </c>
      <c r="N499" s="191" t="str">
        <f>'1_BD questio brut'!L499</f>
        <v>Pas de réponse</v>
      </c>
      <c r="O499" s="191" t="str">
        <f>'1_BD questio brut'!M499</f>
        <v>Propriétaire occupant</v>
      </c>
      <c r="P499" s="191" t="str">
        <f>'1_BD questio brut'!N499</f>
        <v>Insert / foyer fermé</v>
      </c>
      <c r="Q499" s="191" t="str">
        <f>'1_BD questio brut'!O499</f>
        <v>Chauffage de base</v>
      </c>
      <c r="R499" s="191" t="str">
        <f>'1_BD questio brut'!P499</f>
        <v>3 à 4 jours/semaine</v>
      </c>
      <c r="S499" s="191" t="str">
        <f>'1_BD questio brut'!Q499</f>
        <v>4; 5</v>
      </c>
      <c r="T499" s="191" t="str">
        <f>'1_BD questio brut'!R499</f>
        <v>1996-2002</v>
      </c>
      <c r="U499" s="191" t="str">
        <f>'1_BD questio brut'!S499</f>
        <v>Bois bûche</v>
      </c>
      <c r="V499" s="191" t="str">
        <f>'1_BD questio brut'!T499</f>
        <v/>
      </c>
      <c r="W499" s="191" t="str">
        <f>'1_BD questio brut'!U499</f>
        <v>4/5</v>
      </c>
      <c r="X499" s="191" t="str">
        <f>'1_BD questio brut'!V499</f>
        <v>Stères</v>
      </c>
      <c r="Y499" s="191" t="str">
        <f>'1_BD questio brut'!W499</f>
        <v>2</v>
      </c>
      <c r="Z499" s="191" t="str">
        <f>'1_BD questio brut'!X499</f>
        <v/>
      </c>
      <c r="AA499" s="191" t="str">
        <f t="array" ref="AA499">INDEX('Données 1_BD questio'!C:C,MATCH('1_BD questio brut'!$Y$1&amp;'1_BD questio brut'!Y499,'Données 1_BD questio'!A:A&amp;'Données 1_BD questio'!B:B,0))</f>
        <v>Rhône-Alpes hors RA2B</v>
      </c>
      <c r="AB499" s="191" t="str">
        <f>'1_BD questio brut'!Z499</f>
        <v>2</v>
      </c>
      <c r="AC499" s="191" t="str">
        <f>'1_BD questio brut'!AA499</f>
        <v>&gt; 2 ans</v>
      </c>
      <c r="AD499" s="191" t="str">
        <f>'1_BD questio brut'!AB499</f>
        <v>Feuillus</v>
      </c>
      <c r="AE499" s="191" t="str">
        <f t="array" ref="AE499">INDEX('Données 1_BD questio'!C:C,MATCH('1_BD questio brut'!$AC$1&amp;'1_BD questio brut'!AC499,'Données 1_BD questio'!A:A&amp;'Données 1_BD questio'!B:B,0))</f>
        <v>un professionnel</v>
      </c>
      <c r="AF499" s="191" t="str">
        <f>'1_BD questio brut'!AD499</f>
        <v>1 fois par an</v>
      </c>
      <c r="AG499" s="191" t="str">
        <f>'1_BD questio brut'!AE499</f>
        <v/>
      </c>
      <c r="AH499" s="191" t="str">
        <f>'1_BD questio brut'!AF499</f>
        <v>Poêle</v>
      </c>
      <c r="AI499" s="191" t="str">
        <f>'1_BD questio brut'!AG499</f>
        <v>1</v>
      </c>
      <c r="AJ499" s="191" t="str">
        <f>'1_BD questio brut'!AH499</f>
        <v/>
      </c>
      <c r="AK499" s="191" t="str">
        <f>'1_BD questio brut'!AI499</f>
        <v>Chauffage de base</v>
      </c>
      <c r="AL499" s="191" t="str">
        <f>'1_BD questio brut'!AJ499</f>
        <v>Pas de réponse</v>
      </c>
      <c r="AM499" s="191" t="str">
        <f>'1_BD questio brut'!AK499</f>
        <v>2; 5</v>
      </c>
      <c r="AN499" s="191" t="str">
        <f>'1_BD questio brut'!AL499</f>
        <v/>
      </c>
      <c r="AO499" s="191" t="str">
        <f>'1_BD questio brut'!AM499</f>
        <v>1</v>
      </c>
      <c r="AP499" s="191" t="str">
        <f>'1_BD questio brut'!AN499</f>
        <v/>
      </c>
      <c r="AQ499" s="191" t="str">
        <f>'1_BD questio brut'!AO499</f>
        <v/>
      </c>
    </row>
    <row r="500" spans="1:43" ht="29" hidden="1">
      <c r="A500" s="98">
        <f>INDEX('3_BD instruction total'!A:A,MATCH(C500,'3_BD instruction total'!F:F,0))</f>
        <v>2022</v>
      </c>
      <c r="B500" s="98" t="str">
        <f>INDEX('3_BD instruction total'!C:C,MATCH(C500,'3_BD instruction total'!F:F,0))</f>
        <v>non</v>
      </c>
      <c r="C500" s="191" t="str">
        <f>'1_BD questio brut'!A500</f>
        <v>VRB0537</v>
      </c>
      <c r="D500" s="191" t="str">
        <f t="array" ref="D500">INDEX('Données 1_BD questio'!C:C,MATCH('1_BD questio brut'!$B$1&amp;'1_BD questio brut'!B500,'Données 1_BD questio'!A:A&amp;'Données 1_BD questio'!B:B,0))</f>
        <v>CAPV</v>
      </c>
      <c r="E500" s="191" t="str">
        <f t="array" ref="E500">INDEX('Données 1_BD questio'!C:C,MATCH('1_BD questio brut'!$C$1&amp;'1_BD questio brut'!C500,'Données 1_BD questio'!A:A&amp;'Données 1_BD questio'!B:B,0))</f>
        <v>Retraité</v>
      </c>
      <c r="F500" s="191" t="str">
        <f t="array" ref="F500">INDEX('Données 1_BD questio'!C:C,MATCH('1_BD questio brut'!$D$1&amp;'1_BD questio brut'!D500,'Données 1_BD questio'!A:A&amp;'Données 1_BD questio'!B:B,0))</f>
        <v>Retraité</v>
      </c>
      <c r="G500" s="191" t="str">
        <f>'1_BD questio brut'!E500</f>
        <v>65 ans et plus</v>
      </c>
      <c r="H500" s="191">
        <f>'1_BD questio brut'!F500</f>
        <v>2</v>
      </c>
      <c r="I500" s="191" t="str">
        <f>'1_BD questio brut'!G500</f>
        <v>20 000 à 30 000 €</v>
      </c>
      <c r="J500" s="191" t="str">
        <f t="array" ref="J500">INDEX('Données 1_BD questio'!C:C,MATCH('1_BD questio brut'!$H$1&amp;'1_BD questio brut'!H500,'Données 1_BD questio'!A:A&amp;'Données 1_BD questio'!B:B,0))</f>
        <v>Maison avec jardin</v>
      </c>
      <c r="K500" s="191">
        <f>'1_BD questio brut'!I500</f>
        <v>100</v>
      </c>
      <c r="L500" s="191" t="str">
        <f>'1_BD questio brut'!J500</f>
        <v>1975-1990</v>
      </c>
      <c r="M500" s="191" t="str">
        <f>'1_BD questio brut'!K500</f>
        <v>1</v>
      </c>
      <c r="N500" s="191" t="str">
        <f>'1_BD questio brut'!L500</f>
        <v>Pas de réponse</v>
      </c>
      <c r="O500" s="191" t="str">
        <f>'1_BD questio brut'!M500</f>
        <v>Propriétaire occupant</v>
      </c>
      <c r="P500" s="191" t="str">
        <f>'1_BD questio brut'!N500</f>
        <v>Poêle</v>
      </c>
      <c r="Q500" s="191" t="str">
        <f>'1_BD questio brut'!O500</f>
        <v>Chauffage de base</v>
      </c>
      <c r="R500" s="191" t="str">
        <f>'1_BD questio brut'!P500</f>
        <v>Tous les jours</v>
      </c>
      <c r="S500" s="191" t="str">
        <f>'1_BD questio brut'!Q500</f>
        <v>3; 4; 6</v>
      </c>
      <c r="T500" s="191" t="str">
        <f>'1_BD questio brut'!R500</f>
        <v>Avant 1990</v>
      </c>
      <c r="U500" s="191" t="str">
        <f>'1_BD questio brut'!S500</f>
        <v>Bois bûche</v>
      </c>
      <c r="V500" s="191" t="str">
        <f>'1_BD questio brut'!T500</f>
        <v/>
      </c>
      <c r="W500" s="191" t="str">
        <f>'1_BD questio brut'!U500</f>
        <v>12</v>
      </c>
      <c r="X500" s="191" t="str">
        <f>'1_BD questio brut'!V500</f>
        <v>M3</v>
      </c>
      <c r="Y500" s="191" t="str">
        <f>'1_BD questio brut'!W500</f>
        <v>2</v>
      </c>
      <c r="Z500" s="191" t="str">
        <f>'1_BD questio brut'!X500</f>
        <v/>
      </c>
      <c r="AA500" s="191" t="str">
        <f t="array" ref="AA500">INDEX('Données 1_BD questio'!C:C,MATCH('1_BD questio brut'!$Y$1&amp;'1_BD questio brut'!Y500,'Données 1_BD questio'!A:A&amp;'Données 1_BD questio'!B:B,0))</f>
        <v>Rhône-Alpes hors RA2B</v>
      </c>
      <c r="AB500" s="191" t="str">
        <f>'1_BD questio brut'!Z500</f>
        <v>2</v>
      </c>
      <c r="AC500" s="191" t="str">
        <f>'1_BD questio brut'!AA500</f>
        <v>&gt; 2 ans</v>
      </c>
      <c r="AD500" s="191" t="str">
        <f>'1_BD questio brut'!AB500</f>
        <v>Feuillus</v>
      </c>
      <c r="AE500" s="191" t="str">
        <f t="array" ref="AE500">INDEX('Données 1_BD questio'!C:C,MATCH('1_BD questio brut'!$AC$1&amp;'1_BD questio brut'!AC500,'Données 1_BD questio'!A:A&amp;'Données 1_BD questio'!B:B,0))</f>
        <v>vous-même</v>
      </c>
      <c r="AF500" s="191" t="str">
        <f>'1_BD questio brut'!AD500</f>
        <v>Autre, à préciser</v>
      </c>
      <c r="AG500" s="191" t="str">
        <f>'1_BD questio brut'!AE500</f>
        <v>3 Fois par defaut</v>
      </c>
      <c r="AH500" s="191" t="str">
        <f>'1_BD questio brut'!AF500</f>
        <v>Poêle</v>
      </c>
      <c r="AI500" s="191" t="str">
        <f>'1_BD questio brut'!AG500</f>
        <v>2</v>
      </c>
      <c r="AJ500" s="191" t="str">
        <f>'1_BD questio brut'!AH500</f>
        <v/>
      </c>
      <c r="AK500" s="191" t="str">
        <f>'1_BD questio brut'!AI500</f>
        <v>Chauffage de base</v>
      </c>
      <c r="AL500" s="191" t="str">
        <f>'1_BD questio brut'!AJ500</f>
        <v>Pas de réponse</v>
      </c>
      <c r="AM500" s="191" t="str">
        <f>'1_BD questio brut'!AK500</f>
        <v>1; 2; 4; 5</v>
      </c>
      <c r="AN500" s="191" t="str">
        <f>'1_BD questio brut'!AL500</f>
        <v/>
      </c>
      <c r="AO500" s="191" t="str">
        <f>'1_BD questio brut'!AM500</f>
        <v>5</v>
      </c>
      <c r="AP500" s="191" t="str">
        <f>'1_BD questio brut'!AN500</f>
        <v/>
      </c>
      <c r="AQ500" s="191" t="str">
        <f>'1_BD questio brut'!AO500</f>
        <v/>
      </c>
    </row>
    <row r="501" spans="1:43" ht="43.5">
      <c r="A501" s="98">
        <f>INDEX('3_BD instruction total'!A:A,MATCH(C501,'3_BD instruction total'!F:F,0))</f>
        <v>2022</v>
      </c>
      <c r="B501" s="98" t="str">
        <f>INDEX('3_BD instruction total'!C:C,MATCH(C501,'3_BD instruction total'!F:F,0))</f>
        <v>non</v>
      </c>
      <c r="C501" s="191" t="str">
        <f>'1_BD questio brut'!A501</f>
        <v>VRB0538</v>
      </c>
      <c r="D501" s="191" t="str">
        <f t="array" ref="D501">INDEX('Données 1_BD questio'!C:C,MATCH('1_BD questio brut'!$B$1&amp;'1_BD questio brut'!B501,'Données 1_BD questio'!A:A&amp;'Données 1_BD questio'!B:B,0))</f>
        <v>CAPV</v>
      </c>
      <c r="E501" s="191" t="str">
        <f t="array" ref="E501">INDEX('Données 1_BD questio'!C:C,MATCH('1_BD questio brut'!$C$1&amp;'1_BD questio brut'!C501,'Données 1_BD questio'!A:A&amp;'Données 1_BD questio'!B:B,0))</f>
        <v>Retraité</v>
      </c>
      <c r="F501" s="191" t="str">
        <f t="array" ref="F501">INDEX('Données 1_BD questio'!C:C,MATCH('1_BD questio brut'!$D$1&amp;'1_BD questio brut'!D501,'Données 1_BD questio'!A:A&amp;'Données 1_BD questio'!B:B,0))</f>
        <v>Retraité</v>
      </c>
      <c r="G501" s="191" t="str">
        <f>'1_BD questio brut'!E501</f>
        <v>65 ans et plus</v>
      </c>
      <c r="H501" s="191">
        <f>'1_BD questio brut'!F501</f>
        <v>2</v>
      </c>
      <c r="I501" s="191" t="str">
        <f>'1_BD questio brut'!G501</f>
        <v>20 000 à 30 000 €</v>
      </c>
      <c r="J501" s="191" t="str">
        <f t="array" ref="J501">INDEX('Données 1_BD questio'!C:C,MATCH('1_BD questio brut'!$H$1&amp;'1_BD questio brut'!H501,'Données 1_BD questio'!A:A&amp;'Données 1_BD questio'!B:B,0))</f>
        <v>Maison avec jardin</v>
      </c>
      <c r="K501" s="191">
        <f>'1_BD questio brut'!I501</f>
        <v>138</v>
      </c>
      <c r="L501" s="191" t="str">
        <f>'1_BD questio brut'!J501</f>
        <v>1975-1990</v>
      </c>
      <c r="M501" s="191" t="str">
        <f>'1_BD questio brut'!K501</f>
        <v>6</v>
      </c>
      <c r="N501" s="191" t="str">
        <f>'1_BD questio brut'!L501</f>
        <v>F</v>
      </c>
      <c r="O501" s="191" t="str">
        <f>'1_BD questio brut'!M501</f>
        <v>Propriétaire occupant</v>
      </c>
      <c r="P501" s="191" t="str">
        <f>'1_BD questio brut'!N501</f>
        <v>Insert / foyer fermé</v>
      </c>
      <c r="Q501" s="191" t="str">
        <f>'1_BD questio brut'!O501</f>
        <v>Chauffage de base</v>
      </c>
      <c r="R501" s="191" t="str">
        <f>'1_BD questio brut'!P501</f>
        <v>Tous les jours</v>
      </c>
      <c r="S501" s="191" t="str">
        <f>'1_BD questio brut'!Q501</f>
        <v>4; 5</v>
      </c>
      <c r="T501" s="191" t="str">
        <f>'1_BD questio brut'!R501</f>
        <v>Avant 1990</v>
      </c>
      <c r="U501" s="191" t="str">
        <f>'1_BD questio brut'!S501</f>
        <v>Bois bûche</v>
      </c>
      <c r="V501" s="191" t="str">
        <f>'1_BD questio brut'!T501</f>
        <v/>
      </c>
      <c r="W501" s="191" t="str">
        <f>'1_BD questio brut'!U501</f>
        <v>10</v>
      </c>
      <c r="X501" s="191" t="str">
        <f>'1_BD questio brut'!V501</f>
        <v>Stères</v>
      </c>
      <c r="Y501" s="191" t="str">
        <f>'1_BD questio brut'!W501</f>
        <v>3</v>
      </c>
      <c r="Z501" s="191" t="str">
        <f>'1_BD questio brut'!X501</f>
        <v/>
      </c>
      <c r="AA501" s="191" t="str">
        <f t="array" ref="AA501">INDEX('Données 1_BD questio'!C:C,MATCH('1_BD questio brut'!$Y$1&amp;'1_BD questio brut'!Y501,'Données 1_BD questio'!A:A&amp;'Données 1_BD questio'!B:B,0))</f>
        <v>Rhône-Alpes hors RA2B</v>
      </c>
      <c r="AB501" s="191" t="str">
        <f>'1_BD questio brut'!Z501</f>
        <v>2</v>
      </c>
      <c r="AC501" s="191" t="str">
        <f>'1_BD questio brut'!AA501</f>
        <v>1 à 2 ans</v>
      </c>
      <c r="AD501" s="191" t="str">
        <f>'1_BD questio brut'!AB501</f>
        <v>Pas de réponse</v>
      </c>
      <c r="AE501" s="191" t="str">
        <f t="array" ref="AE501">INDEX('Données 1_BD questio'!C:C,MATCH('1_BD questio brut'!$AC$1&amp;'1_BD questio brut'!AC501,'Données 1_BD questio'!A:A&amp;'Données 1_BD questio'!B:B,0))</f>
        <v>vous-même</v>
      </c>
      <c r="AF501" s="191" t="str">
        <f>'1_BD questio brut'!AD501</f>
        <v>2 fois par an</v>
      </c>
      <c r="AG501" s="191" t="str">
        <f>'1_BD questio brut'!AE501</f>
        <v/>
      </c>
      <c r="AH501" s="191" t="str">
        <f>'1_BD questio brut'!AF501</f>
        <v>Insert cheminée</v>
      </c>
      <c r="AI501" s="191" t="str">
        <f>'1_BD questio brut'!AG501</f>
        <v>2</v>
      </c>
      <c r="AJ501" s="191" t="str">
        <f>'1_BD questio brut'!AH501</f>
        <v/>
      </c>
      <c r="AK501" s="191" t="str">
        <f>'1_BD questio brut'!AI501</f>
        <v>Chauffage de base</v>
      </c>
      <c r="AL501" s="191" t="str">
        <f>'1_BD questio brut'!AJ501</f>
        <v>Pas de réponse</v>
      </c>
      <c r="AM501" s="191" t="str">
        <f>'1_BD questio brut'!AK501</f>
        <v>2; 4</v>
      </c>
      <c r="AN501" s="191" t="str">
        <f>'1_BD questio brut'!AL501</f>
        <v/>
      </c>
      <c r="AO501" s="191" t="str">
        <f>'1_BD questio brut'!AM501</f>
        <v>3</v>
      </c>
      <c r="AP501" s="191" t="str">
        <f>'1_BD questio brut'!AN501</f>
        <v/>
      </c>
      <c r="AQ501" s="191" t="str">
        <f>'1_BD questio brut'!AO501</f>
        <v>CESF Département de l'Isère</v>
      </c>
    </row>
    <row r="502" spans="1:43" ht="29" hidden="1">
      <c r="A502" s="98">
        <f>INDEX('3_BD instruction total'!A:A,MATCH(C502,'3_BD instruction total'!F:F,0))</f>
        <v>1900</v>
      </c>
      <c r="B502" s="98" t="str">
        <f>INDEX('3_BD instruction total'!C:C,MATCH(C502,'3_BD instruction total'!F:F,0))</f>
        <v>non</v>
      </c>
      <c r="C502" s="191" t="str">
        <f>'1_BD questio brut'!A502</f>
        <v>VRB0539</v>
      </c>
      <c r="D502" s="191" t="str">
        <f t="array" ref="D502">INDEX('Données 1_BD questio'!C:C,MATCH('1_BD questio brut'!$B$1&amp;'1_BD questio brut'!B502,'Données 1_BD questio'!A:A&amp;'Données 1_BD questio'!B:B,0))</f>
        <v>CAPV</v>
      </c>
      <c r="E502" s="191" t="str">
        <f t="array" ref="E502">INDEX('Données 1_BD questio'!C:C,MATCH('1_BD questio brut'!$C$1&amp;'1_BD questio brut'!C502,'Données 1_BD questio'!A:A&amp;'Données 1_BD questio'!B:B,0))</f>
        <v>Retraité</v>
      </c>
      <c r="F502" s="191" t="str">
        <f t="array" ref="F502">INDEX('Données 1_BD questio'!C:C,MATCH('1_BD questio brut'!$D$1&amp;'1_BD questio brut'!D502,'Données 1_BD questio'!A:A&amp;'Données 1_BD questio'!B:B,0))</f>
        <v>Pas de réponse</v>
      </c>
      <c r="G502" s="191" t="str">
        <f>'1_BD questio brut'!E502</f>
        <v>65 ans et plus</v>
      </c>
      <c r="H502" s="191">
        <f>'1_BD questio brut'!F502</f>
        <v>1</v>
      </c>
      <c r="I502" s="191" t="str">
        <f>'1_BD questio brut'!G502</f>
        <v>Moins de 20 000 €</v>
      </c>
      <c r="J502" s="191" t="str">
        <f t="array" ref="J502">INDEX('Données 1_BD questio'!C:C,MATCH('1_BD questio brut'!$H$1&amp;'1_BD questio brut'!H502,'Données 1_BD questio'!A:A&amp;'Données 1_BD questio'!B:B,0))</f>
        <v>Maison avec jardin</v>
      </c>
      <c r="K502" s="191">
        <f>'1_BD questio brut'!I502</f>
        <v>60</v>
      </c>
      <c r="L502" s="191" t="str">
        <f>'1_BD questio brut'!J502</f>
        <v>1975-1990</v>
      </c>
      <c r="M502" s="191" t="str">
        <f>'1_BD questio brut'!K502</f>
        <v>6</v>
      </c>
      <c r="N502" s="191" t="str">
        <f>'1_BD questio brut'!L502</f>
        <v>Pas de réponse</v>
      </c>
      <c r="O502" s="191" t="str">
        <f>'1_BD questio brut'!M502</f>
        <v>Propriétaire occupant</v>
      </c>
      <c r="P502" s="191" t="str">
        <f>'1_BD questio brut'!N502</f>
        <v>Foyer ouvert</v>
      </c>
      <c r="Q502" s="191" t="str">
        <f>'1_BD questio brut'!O502</f>
        <v>Chauffage d'apoint</v>
      </c>
      <c r="R502" s="191" t="str">
        <f>'1_BD questio brut'!P502</f>
        <v>Tous les jours</v>
      </c>
      <c r="S502" s="191" t="str">
        <f>'1_BD questio brut'!Q502</f>
        <v>7</v>
      </c>
      <c r="T502" s="191" t="str">
        <f>'1_BD questio brut'!R502</f>
        <v>Pas de réponse</v>
      </c>
      <c r="U502" s="191" t="str">
        <f>'1_BD questio brut'!S502</f>
        <v>Bois bûche</v>
      </c>
      <c r="V502" s="191" t="str">
        <f>'1_BD questio brut'!T502</f>
        <v/>
      </c>
      <c r="W502" s="191" t="str">
        <f>'1_BD questio brut'!U502</f>
        <v/>
      </c>
      <c r="X502" s="191" t="str">
        <f>'1_BD questio brut'!V502</f>
        <v/>
      </c>
      <c r="Y502" s="191" t="str">
        <f>'1_BD questio brut'!W502</f>
        <v>1</v>
      </c>
      <c r="Z502" s="191" t="str">
        <f>'1_BD questio brut'!X502</f>
        <v/>
      </c>
      <c r="AA502" s="191" t="str">
        <f t="array" ref="AA502">INDEX('Données 1_BD questio'!C:C,MATCH('1_BD questio brut'!$Y$1&amp;'1_BD questio brut'!Y502,'Données 1_BD questio'!A:A&amp;'Données 1_BD questio'!B:B,0))</f>
        <v>Pas de réponse</v>
      </c>
      <c r="AB502" s="191" t="str">
        <f>'1_BD questio brut'!Z502</f>
        <v>2</v>
      </c>
      <c r="AC502" s="191" t="str">
        <f>'1_BD questio brut'!AA502</f>
        <v>1 à 2 ans</v>
      </c>
      <c r="AD502" s="191" t="str">
        <f>'1_BD questio brut'!AB502</f>
        <v>Feuillus</v>
      </c>
      <c r="AE502" s="191" t="str">
        <f t="array" ref="AE502">INDEX('Données 1_BD questio'!C:C,MATCH('1_BD questio brut'!$AC$1&amp;'1_BD questio brut'!AC502,'Données 1_BD questio'!A:A&amp;'Données 1_BD questio'!B:B,0))</f>
        <v>vous-même</v>
      </c>
      <c r="AF502" s="191" t="str">
        <f>'1_BD questio brut'!AD502</f>
        <v>1 fois par an</v>
      </c>
      <c r="AG502" s="191" t="str">
        <f>'1_BD questio brut'!AE502</f>
        <v/>
      </c>
      <c r="AH502" s="191" t="str">
        <f>'1_BD questio brut'!AF502</f>
        <v>Pas de réponse</v>
      </c>
      <c r="AI502" s="191" t="str">
        <f>'1_BD questio brut'!AG502</f>
        <v>2</v>
      </c>
      <c r="AJ502" s="191" t="str">
        <f>'1_BD questio brut'!AH502</f>
        <v/>
      </c>
      <c r="AK502" s="191" t="str">
        <f>'1_BD questio brut'!AI502</f>
        <v>Chauffage de base</v>
      </c>
      <c r="AL502" s="191" t="str">
        <f>'1_BD questio brut'!AJ502</f>
        <v>Pas de réponse</v>
      </c>
      <c r="AM502" s="191" t="str">
        <f>'1_BD questio brut'!AK502</f>
        <v>2; 4</v>
      </c>
      <c r="AN502" s="191" t="str">
        <f>'1_BD questio brut'!AL502</f>
        <v/>
      </c>
      <c r="AO502" s="191" t="str">
        <f>'1_BD questio brut'!AM502</f>
        <v>5</v>
      </c>
      <c r="AP502" s="191" t="str">
        <f>'1_BD questio brut'!AN502</f>
        <v/>
      </c>
      <c r="AQ502" s="191" t="str">
        <f>'1_BD questio brut'!AO502</f>
        <v/>
      </c>
    </row>
    <row r="503" spans="1:43" ht="43.5" hidden="1">
      <c r="A503" s="98">
        <f>INDEX('3_BD instruction total'!A:A,MATCH(C503,'3_BD instruction total'!F:F,0))</f>
        <v>2022</v>
      </c>
      <c r="B503" s="98" t="str">
        <f>INDEX('3_BD instruction total'!C:C,MATCH(C503,'3_BD instruction total'!F:F,0))</f>
        <v>non</v>
      </c>
      <c r="C503" s="191" t="str">
        <f>'1_BD questio brut'!A503</f>
        <v>VRB0541</v>
      </c>
      <c r="D503" s="191" t="str">
        <f t="array" ref="D503">INDEX('Données 1_BD questio'!C:C,MATCH('1_BD questio brut'!$B$1&amp;'1_BD questio brut'!B503,'Données 1_BD questio'!A:A&amp;'Données 1_BD questio'!B:B,0))</f>
        <v>CAPV</v>
      </c>
      <c r="E503" s="191" t="str">
        <f t="array" ref="E503">INDEX('Données 1_BD questio'!C:C,MATCH('1_BD questio brut'!$C$1&amp;'1_BD questio brut'!C503,'Données 1_BD questio'!A:A&amp;'Données 1_BD questio'!B:B,0))</f>
        <v>Employé</v>
      </c>
      <c r="F503" s="191" t="str">
        <f t="array" ref="F503">INDEX('Données 1_BD questio'!C:C,MATCH('1_BD questio brut'!$D$1&amp;'1_BD questio brut'!D503,'Données 1_BD questio'!A:A&amp;'Données 1_BD questio'!B:B,0))</f>
        <v>Employé</v>
      </c>
      <c r="G503" s="191" t="str">
        <f>'1_BD questio brut'!E503</f>
        <v>25 à 34 ans</v>
      </c>
      <c r="H503" s="191">
        <f>'1_BD questio brut'!F503</f>
        <v>4</v>
      </c>
      <c r="I503" s="191" t="str">
        <f>'1_BD questio brut'!G503</f>
        <v>Moins de 20 000 €</v>
      </c>
      <c r="J503" s="191" t="str">
        <f t="array" ref="J503">INDEX('Données 1_BD questio'!C:C,MATCH('1_BD questio brut'!$H$1&amp;'1_BD questio brut'!H503,'Données 1_BD questio'!A:A&amp;'Données 1_BD questio'!B:B,0))</f>
        <v>Maison avec jardin</v>
      </c>
      <c r="K503" s="191">
        <f>'1_BD questio brut'!I503</f>
        <v>133</v>
      </c>
      <c r="L503" s="191" t="str">
        <f>'1_BD questio brut'!J503</f>
        <v>1990-2005</v>
      </c>
      <c r="M503" s="191" t="str">
        <f>'1_BD questio brut'!K503</f>
        <v>4</v>
      </c>
      <c r="N503" s="191" t="str">
        <f>'1_BD questio brut'!L503</f>
        <v>D</v>
      </c>
      <c r="O503" s="191" t="str">
        <f>'1_BD questio brut'!M503</f>
        <v>Propriétaire occupant</v>
      </c>
      <c r="P503" s="191" t="str">
        <f>'1_BD questio brut'!N503</f>
        <v>Poêle</v>
      </c>
      <c r="Q503" s="191" t="str">
        <f>'1_BD questio brut'!O503</f>
        <v>Chauffage d'apoint</v>
      </c>
      <c r="R503" s="191" t="str">
        <f>'1_BD questio brut'!P503</f>
        <v>3 à 4 jours/semaine</v>
      </c>
      <c r="S503" s="191" t="str">
        <f>'1_BD questio brut'!Q503</f>
        <v>1; 2</v>
      </c>
      <c r="T503" s="191" t="str">
        <f>'1_BD questio brut'!R503</f>
        <v>1996-2002</v>
      </c>
      <c r="U503" s="191" t="str">
        <f>'1_BD questio brut'!S503</f>
        <v>Bois bûche</v>
      </c>
      <c r="V503" s="191" t="str">
        <f>'1_BD questio brut'!T503</f>
        <v/>
      </c>
      <c r="W503" s="191" t="str">
        <f>'1_BD questio brut'!U503</f>
        <v>2</v>
      </c>
      <c r="X503" s="191" t="str">
        <f>'1_BD questio brut'!V503</f>
        <v>Stères</v>
      </c>
      <c r="Y503" s="191" t="str">
        <f>'1_BD questio brut'!W503</f>
        <v>1</v>
      </c>
      <c r="Z503" s="191" t="str">
        <f>'1_BD questio brut'!X503</f>
        <v/>
      </c>
      <c r="AA503" s="191" t="str">
        <f t="array" ref="AA503">INDEX('Données 1_BD questio'!C:C,MATCH('1_BD questio brut'!$Y$1&amp;'1_BD questio brut'!Y503,'Données 1_BD questio'!A:A&amp;'Données 1_BD questio'!B:B,0))</f>
        <v>Rhône-Alpes hors RA2B</v>
      </c>
      <c r="AB503" s="191" t="str">
        <f>'1_BD questio brut'!Z503</f>
        <v>2</v>
      </c>
      <c r="AC503" s="191" t="str">
        <f>'1_BD questio brut'!AA503</f>
        <v>1 à 2 ans</v>
      </c>
      <c r="AD503" s="191" t="str">
        <f>'1_BD questio brut'!AB503</f>
        <v>Les deux</v>
      </c>
      <c r="AE503" s="191" t="str">
        <f t="array" ref="AE503">INDEX('Données 1_BD questio'!C:C,MATCH('1_BD questio brut'!$AC$1&amp;'1_BD questio brut'!AC503,'Données 1_BD questio'!A:A&amp;'Données 1_BD questio'!B:B,0))</f>
        <v>un professionnel</v>
      </c>
      <c r="AF503" s="191" t="str">
        <f>'1_BD questio brut'!AD503</f>
        <v>1 fois par an</v>
      </c>
      <c r="AG503" s="191" t="str">
        <f>'1_BD questio brut'!AE503</f>
        <v/>
      </c>
      <c r="AH503" s="191" t="str">
        <f>'1_BD questio brut'!AF503</f>
        <v>Poêle</v>
      </c>
      <c r="AI503" s="191" t="str">
        <f>'1_BD questio brut'!AG503</f>
        <v>1</v>
      </c>
      <c r="AJ503" s="191" t="str">
        <f>'1_BD questio brut'!AH503</f>
        <v/>
      </c>
      <c r="AK503" s="191" t="str">
        <f>'1_BD questio brut'!AI503</f>
        <v>Chauffage de base</v>
      </c>
      <c r="AL503" s="191" t="str">
        <f>'1_BD questio brut'!AJ503</f>
        <v>Pas de réponse</v>
      </c>
      <c r="AM503" s="191" t="str">
        <f>'1_BD questio brut'!AK503</f>
        <v>1; 2; 4; 5</v>
      </c>
      <c r="AN503" s="191" t="str">
        <f>'1_BD questio brut'!AL503</f>
        <v/>
      </c>
      <c r="AO503" s="191" t="str">
        <f>'1_BD questio brut'!AM503</f>
        <v>5; 7</v>
      </c>
      <c r="AP503" s="191" t="str">
        <f>'1_BD questio brut'!AN503</f>
        <v/>
      </c>
      <c r="AQ503" s="191" t="str">
        <f>'1_BD questio brut'!AO503</f>
        <v/>
      </c>
    </row>
    <row r="504" spans="1:43" ht="43.5" hidden="1">
      <c r="A504" s="98">
        <f>INDEX('3_BD instruction total'!A:A,MATCH(C504,'3_BD instruction total'!F:F,0))</f>
        <v>2022</v>
      </c>
      <c r="B504" s="98" t="str">
        <f>INDEX('3_BD instruction total'!C:C,MATCH(C504,'3_BD instruction total'!F:F,0))</f>
        <v>non</v>
      </c>
      <c r="C504" s="191" t="str">
        <f>'1_BD questio brut'!A504</f>
        <v>VRB0542</v>
      </c>
      <c r="D504" s="191" t="str">
        <f t="array" ref="D504">INDEX('Données 1_BD questio'!C:C,MATCH('1_BD questio brut'!$B$1&amp;'1_BD questio brut'!B504,'Données 1_BD questio'!A:A&amp;'Données 1_BD questio'!B:B,0))</f>
        <v>CAPV</v>
      </c>
      <c r="E504" s="191" t="str">
        <f t="array" ref="E504">INDEX('Données 1_BD questio'!C:C,MATCH('1_BD questio brut'!$C$1&amp;'1_BD questio brut'!C504,'Données 1_BD questio'!A:A&amp;'Données 1_BD questio'!B:B,0))</f>
        <v>Employé</v>
      </c>
      <c r="F504" s="191" t="str">
        <f t="array" ref="F504">INDEX('Données 1_BD questio'!C:C,MATCH('1_BD questio brut'!$D$1&amp;'1_BD questio brut'!D504,'Données 1_BD questio'!A:A&amp;'Données 1_BD questio'!B:B,0))</f>
        <v>Artisan,commerçant,chef d'entreprise</v>
      </c>
      <c r="G504" s="191" t="str">
        <f>'1_BD questio brut'!E504</f>
        <v>35 à 49 ans</v>
      </c>
      <c r="H504" s="191">
        <f>'1_BD questio brut'!F504</f>
        <v>4</v>
      </c>
      <c r="I504" s="191" t="str">
        <f>'1_BD questio brut'!G504</f>
        <v>50 000 à 60 000 €</v>
      </c>
      <c r="J504" s="191" t="str">
        <f t="array" ref="J504">INDEX('Données 1_BD questio'!C:C,MATCH('1_BD questio brut'!$H$1&amp;'1_BD questio brut'!H504,'Données 1_BD questio'!A:A&amp;'Données 1_BD questio'!B:B,0))</f>
        <v>Maison avec jardin</v>
      </c>
      <c r="K504" s="191">
        <f>'1_BD questio brut'!I504</f>
        <v>120</v>
      </c>
      <c r="L504" s="191" t="str">
        <f>'1_BD questio brut'!J504</f>
        <v>1975-1990</v>
      </c>
      <c r="M504" s="191" t="str">
        <f>'1_BD questio brut'!K504</f>
        <v>1</v>
      </c>
      <c r="N504" s="191" t="str">
        <f>'1_BD questio brut'!L504</f>
        <v>Ne sait pas</v>
      </c>
      <c r="O504" s="191" t="str">
        <f>'1_BD questio brut'!M504</f>
        <v>Propriétaire occupant</v>
      </c>
      <c r="P504" s="191" t="str">
        <f>'1_BD questio brut'!N504</f>
        <v>Foyer ouvert</v>
      </c>
      <c r="Q504" s="191" t="str">
        <f>'1_BD questio brut'!O504</f>
        <v>Chauffage d'apoint</v>
      </c>
      <c r="R504" s="191" t="str">
        <f>'1_BD questio brut'!P504</f>
        <v>1 à 2 jours/semaine</v>
      </c>
      <c r="S504" s="191" t="str">
        <f>'1_BD questio brut'!Q504</f>
        <v>2; 3; 6</v>
      </c>
      <c r="T504" s="191" t="str">
        <f>'1_BD questio brut'!R504</f>
        <v>Avant 1990</v>
      </c>
      <c r="U504" s="191" t="str">
        <f>'1_BD questio brut'!S504</f>
        <v>Bois bûche</v>
      </c>
      <c r="V504" s="191" t="str">
        <f>'1_BD questio brut'!T504</f>
        <v/>
      </c>
      <c r="W504" s="191" t="str">
        <f>'1_BD questio brut'!U504</f>
        <v>2</v>
      </c>
      <c r="X504" s="191" t="str">
        <f>'1_BD questio brut'!V504</f>
        <v>Stères</v>
      </c>
      <c r="Y504" s="191" t="str">
        <f>'1_BD questio brut'!W504</f>
        <v>1</v>
      </c>
      <c r="Z504" s="191" t="str">
        <f>'1_BD questio brut'!X504</f>
        <v/>
      </c>
      <c r="AA504" s="191" t="str">
        <f t="array" ref="AA504">INDEX('Données 1_BD questio'!C:C,MATCH('1_BD questio brut'!$Y$1&amp;'1_BD questio brut'!Y504,'Données 1_BD questio'!A:A&amp;'Données 1_BD questio'!B:B,0))</f>
        <v>Ne sait pas</v>
      </c>
      <c r="AB504" s="191" t="str">
        <f>'1_BD questio brut'!Z504</f>
        <v>1</v>
      </c>
      <c r="AC504" s="191" t="str">
        <f>'1_BD questio brut'!AA504</f>
        <v>1 à 2 ans</v>
      </c>
      <c r="AD504" s="191" t="str">
        <f>'1_BD questio brut'!AB504</f>
        <v>Les deux</v>
      </c>
      <c r="AE504" s="191" t="str">
        <f t="array" ref="AE504">INDEX('Données 1_BD questio'!C:C,MATCH('1_BD questio brut'!$AC$1&amp;'1_BD questio brut'!AC504,'Données 1_BD questio'!A:A&amp;'Données 1_BD questio'!B:B,0))</f>
        <v>vous-même</v>
      </c>
      <c r="AF504" s="191" t="str">
        <f>'1_BD questio brut'!AD504</f>
        <v>2 fois par an</v>
      </c>
      <c r="AG504" s="191" t="str">
        <f>'1_BD questio brut'!AE504</f>
        <v/>
      </c>
      <c r="AH504" s="191" t="str">
        <f>'1_BD questio brut'!AF504</f>
        <v>Poêle</v>
      </c>
      <c r="AI504" s="191" t="str">
        <f>'1_BD questio brut'!AG504</f>
        <v>2</v>
      </c>
      <c r="AJ504" s="191" t="str">
        <f>'1_BD questio brut'!AH504</f>
        <v/>
      </c>
      <c r="AK504" s="191" t="str">
        <f>'1_BD questio brut'!AI504</f>
        <v>Chauffage de base</v>
      </c>
      <c r="AL504" s="191" t="str">
        <f>'1_BD questio brut'!AJ504</f>
        <v>Pas de réponse</v>
      </c>
      <c r="AM504" s="191" t="str">
        <f>'1_BD questio brut'!AK504</f>
        <v>1; 2; 4; 5</v>
      </c>
      <c r="AN504" s="191" t="str">
        <f>'1_BD questio brut'!AL504</f>
        <v>Eviter de consommer du gaz</v>
      </c>
      <c r="AO504" s="191" t="str">
        <f>'1_BD questio brut'!AM504</f>
        <v>5</v>
      </c>
      <c r="AP504" s="191" t="str">
        <f>'1_BD questio brut'!AN504</f>
        <v/>
      </c>
      <c r="AQ504" s="191" t="str">
        <f>'1_BD questio brut'!AO504</f>
        <v/>
      </c>
    </row>
    <row r="505" spans="1:43" ht="43.5" hidden="1">
      <c r="A505" s="98">
        <f>INDEX('3_BD instruction total'!A:A,MATCH(C505,'3_BD instruction total'!F:F,0))</f>
        <v>2022</v>
      </c>
      <c r="B505" s="98" t="str">
        <f>INDEX('3_BD instruction total'!C:C,MATCH(C505,'3_BD instruction total'!F:F,0))</f>
        <v>non</v>
      </c>
      <c r="C505" s="191" t="str">
        <f>'1_BD questio brut'!A505</f>
        <v>VRB0543</v>
      </c>
      <c r="D505" s="191" t="str">
        <f t="array" ref="D505">INDEX('Données 1_BD questio'!C:C,MATCH('1_BD questio brut'!$B$1&amp;'1_BD questio brut'!B505,'Données 1_BD questio'!A:A&amp;'Données 1_BD questio'!B:B,0))</f>
        <v>CAPV</v>
      </c>
      <c r="E505" s="191" t="str">
        <f t="array" ref="E505">INDEX('Données 1_BD questio'!C:C,MATCH('1_BD questio brut'!$C$1&amp;'1_BD questio brut'!C505,'Données 1_BD questio'!A:A&amp;'Données 1_BD questio'!B:B,0))</f>
        <v>Retraité</v>
      </c>
      <c r="F505" s="191" t="str">
        <f t="array" ref="F505">INDEX('Données 1_BD questio'!C:C,MATCH('1_BD questio brut'!$D$1&amp;'1_BD questio brut'!D505,'Données 1_BD questio'!A:A&amp;'Données 1_BD questio'!B:B,0))</f>
        <v>Retraité</v>
      </c>
      <c r="G505" s="191" t="str">
        <f>'1_BD questio brut'!E505</f>
        <v>65 ans et plus</v>
      </c>
      <c r="H505" s="191">
        <f>'1_BD questio brut'!F505</f>
        <v>2</v>
      </c>
      <c r="I505" s="191" t="str">
        <f>'1_BD questio brut'!G505</f>
        <v>Moins de 20 000 €</v>
      </c>
      <c r="J505" s="191" t="str">
        <f t="array" ref="J505">INDEX('Données 1_BD questio'!C:C,MATCH('1_BD questio brut'!$H$1&amp;'1_BD questio brut'!H505,'Données 1_BD questio'!A:A&amp;'Données 1_BD questio'!B:B,0))</f>
        <v>Maison avec jardin</v>
      </c>
      <c r="K505" s="191">
        <f>'1_BD questio brut'!I505</f>
        <v>80</v>
      </c>
      <c r="L505" s="191" t="str">
        <f>'1_BD questio brut'!J505</f>
        <v>1949-1975</v>
      </c>
      <c r="M505" s="191" t="str">
        <f>'1_BD questio brut'!K505</f>
        <v>6</v>
      </c>
      <c r="N505" s="191" t="str">
        <f>'1_BD questio brut'!L505</f>
        <v>Pas de réponse</v>
      </c>
      <c r="O505" s="191" t="str">
        <f>'1_BD questio brut'!M505</f>
        <v>Propriétaire occupant</v>
      </c>
      <c r="P505" s="191" t="str">
        <f>'1_BD questio brut'!N505</f>
        <v>Cuisinière</v>
      </c>
      <c r="Q505" s="191" t="str">
        <f>'1_BD questio brut'!O505</f>
        <v>Chauffage de base</v>
      </c>
      <c r="R505" s="191" t="str">
        <f>'1_BD questio brut'!P505</f>
        <v>Tous les jours</v>
      </c>
      <c r="S505" s="191" t="str">
        <f>'1_BD questio brut'!Q505</f>
        <v>4; 6</v>
      </c>
      <c r="T505" s="191" t="str">
        <f>'1_BD questio brut'!R505</f>
        <v>Avant 1990</v>
      </c>
      <c r="U505" s="191" t="str">
        <f>'1_BD questio brut'!S505</f>
        <v>Bois bûche</v>
      </c>
      <c r="V505" s="191" t="str">
        <f>'1_BD questio brut'!T505</f>
        <v/>
      </c>
      <c r="W505" s="191" t="str">
        <f>'1_BD questio brut'!U505</f>
        <v>12</v>
      </c>
      <c r="X505" s="191" t="str">
        <f>'1_BD questio brut'!V505</f>
        <v>Stères</v>
      </c>
      <c r="Y505" s="191" t="str">
        <f>'1_BD questio brut'!W505</f>
        <v>2</v>
      </c>
      <c r="Z505" s="191" t="str">
        <f>'1_BD questio brut'!X505</f>
        <v/>
      </c>
      <c r="AA505" s="191" t="str">
        <f t="array" ref="AA505">INDEX('Données 1_BD questio'!C:C,MATCH('1_BD questio brut'!$Y$1&amp;'1_BD questio brut'!Y505,'Données 1_BD questio'!A:A&amp;'Données 1_BD questio'!B:B,0))</f>
        <v>Rhône-Alpes hors RA2B</v>
      </c>
      <c r="AB505" s="191" t="str">
        <f>'1_BD questio brut'!Z505</f>
        <v>2</v>
      </c>
      <c r="AC505" s="191" t="str">
        <f>'1_BD questio brut'!AA505</f>
        <v>1 à 2 ans</v>
      </c>
      <c r="AD505" s="191" t="str">
        <f>'1_BD questio brut'!AB505</f>
        <v>Les deux</v>
      </c>
      <c r="AE505" s="191" t="str">
        <f t="array" ref="AE505">INDEX('Données 1_BD questio'!C:C,MATCH('1_BD questio brut'!$AC$1&amp;'1_BD questio brut'!AC505,'Données 1_BD questio'!A:A&amp;'Données 1_BD questio'!B:B,0))</f>
        <v>un professionnel</v>
      </c>
      <c r="AF505" s="191" t="str">
        <f>'1_BD questio brut'!AD505</f>
        <v>1 fois par an</v>
      </c>
      <c r="AG505" s="191" t="str">
        <f>'1_BD questio brut'!AE505</f>
        <v/>
      </c>
      <c r="AH505" s="191" t="str">
        <f>'1_BD questio brut'!AF505</f>
        <v>Cuisinière</v>
      </c>
      <c r="AI505" s="191" t="str">
        <f>'1_BD questio brut'!AG505</f>
        <v>1</v>
      </c>
      <c r="AJ505" s="191" t="str">
        <f>'1_BD questio brut'!AH505</f>
        <v/>
      </c>
      <c r="AK505" s="191" t="str">
        <f>'1_BD questio brut'!AI505</f>
        <v>Chauffage de base</v>
      </c>
      <c r="AL505" s="191" t="str">
        <f>'1_BD questio brut'!AJ505</f>
        <v>Pas de réponse</v>
      </c>
      <c r="AM505" s="191" t="str">
        <f>'1_BD questio brut'!AK505</f>
        <v>1; 2; 4; 5</v>
      </c>
      <c r="AN505" s="191" t="str">
        <f>'1_BD questio brut'!AL505</f>
        <v/>
      </c>
      <c r="AO505" s="191" t="str">
        <f>'1_BD questio brut'!AM505</f>
        <v>5</v>
      </c>
      <c r="AP505" s="191" t="str">
        <f>'1_BD questio brut'!AN505</f>
        <v/>
      </c>
      <c r="AQ505" s="191" t="str">
        <f>'1_BD questio brut'!AO505</f>
        <v/>
      </c>
    </row>
    <row r="506" spans="1:43" ht="43.5" hidden="1">
      <c r="A506" s="98">
        <f>INDEX('3_BD instruction total'!A:A,MATCH(C506,'3_BD instruction total'!F:F,0))</f>
        <v>2022</v>
      </c>
      <c r="B506" s="98" t="str">
        <f>INDEX('3_BD instruction total'!C:C,MATCH(C506,'3_BD instruction total'!F:F,0))</f>
        <v>non</v>
      </c>
      <c r="C506" s="191" t="str">
        <f>'1_BD questio brut'!A506</f>
        <v>VRB0545</v>
      </c>
      <c r="D506" s="191" t="str">
        <f t="array" ref="D506">INDEX('Données 1_BD questio'!C:C,MATCH('1_BD questio brut'!$B$1&amp;'1_BD questio brut'!B506,'Données 1_BD questio'!A:A&amp;'Données 1_BD questio'!B:B,0))</f>
        <v>CAPV</v>
      </c>
      <c r="E506" s="191" t="str">
        <f t="array" ref="E506">INDEX('Données 1_BD questio'!C:C,MATCH('1_BD questio brut'!$C$1&amp;'1_BD questio brut'!C506,'Données 1_BD questio'!A:A&amp;'Données 1_BD questio'!B:B,0))</f>
        <v>Autre,sans activité</v>
      </c>
      <c r="F506" s="191" t="str">
        <f t="array" ref="F506">INDEX('Données 1_BD questio'!C:C,MATCH('1_BD questio brut'!$D$1&amp;'1_BD questio brut'!D506,'Données 1_BD questio'!A:A&amp;'Données 1_BD questio'!B:B,0))</f>
        <v>Employé</v>
      </c>
      <c r="G506" s="191" t="str">
        <f>'1_BD questio brut'!E506</f>
        <v>35 à 49 ans</v>
      </c>
      <c r="H506" s="191">
        <f>'1_BD questio brut'!F506</f>
        <v>4</v>
      </c>
      <c r="I506" s="191" t="str">
        <f>'1_BD questio brut'!G506</f>
        <v>40 000 à 50 000 €</v>
      </c>
      <c r="J506" s="191" t="str">
        <f t="array" ref="J506">INDEX('Données 1_BD questio'!C:C,MATCH('1_BD questio brut'!$H$1&amp;'1_BD questio brut'!H506,'Données 1_BD questio'!A:A&amp;'Données 1_BD questio'!B:B,0))</f>
        <v>Maison avec jardin</v>
      </c>
      <c r="K506" s="191">
        <f>'1_BD questio brut'!I506</f>
        <v>180</v>
      </c>
      <c r="L506" s="191" t="str">
        <f>'1_BD questio brut'!J506</f>
        <v>1949-1975</v>
      </c>
      <c r="M506" s="191" t="str">
        <f>'1_BD questio brut'!K506</f>
        <v>5</v>
      </c>
      <c r="N506" s="191" t="str">
        <f>'1_BD questio brut'!L506</f>
        <v>Pas de réponse</v>
      </c>
      <c r="O506" s="191" t="str">
        <f>'1_BD questio brut'!M506</f>
        <v>Propriétaire occupant</v>
      </c>
      <c r="P506" s="191" t="str">
        <f>'1_BD questio brut'!N506</f>
        <v>Insert / foyer fermé</v>
      </c>
      <c r="Q506" s="191" t="str">
        <f>'1_BD questio brut'!O506</f>
        <v>Chauffage de base</v>
      </c>
      <c r="R506" s="191" t="str">
        <f>'1_BD questio brut'!P506</f>
        <v>Tous les jours</v>
      </c>
      <c r="S506" s="191" t="str">
        <f>'1_BD questio brut'!Q506</f>
        <v>2; 4; 6</v>
      </c>
      <c r="T506" s="191" t="str">
        <f>'1_BD questio brut'!R506</f>
        <v>Avant 1990</v>
      </c>
      <c r="U506" s="191" t="str">
        <f>'1_BD questio brut'!S506</f>
        <v>Bois bûche</v>
      </c>
      <c r="V506" s="191" t="str">
        <f>'1_BD questio brut'!T506</f>
        <v/>
      </c>
      <c r="W506" s="191" t="str">
        <f>'1_BD questio brut'!U506</f>
        <v>12</v>
      </c>
      <c r="X506" s="191" t="str">
        <f>'1_BD questio brut'!V506</f>
        <v>Stères</v>
      </c>
      <c r="Y506" s="191" t="str">
        <f>'1_BD questio brut'!W506</f>
        <v>2</v>
      </c>
      <c r="Z506" s="191" t="str">
        <f>'1_BD questio brut'!X506</f>
        <v/>
      </c>
      <c r="AA506" s="191" t="str">
        <f t="array" ref="AA506">INDEX('Données 1_BD questio'!C:C,MATCH('1_BD questio brut'!$Y$1&amp;'1_BD questio brut'!Y506,'Données 1_BD questio'!A:A&amp;'Données 1_BD questio'!B:B,0))</f>
        <v>Rhône-Alpes hors RA2B</v>
      </c>
      <c r="AB506" s="191" t="str">
        <f>'1_BD questio brut'!Z506</f>
        <v>1; 2</v>
      </c>
      <c r="AC506" s="191" t="str">
        <f>'1_BD questio brut'!AA506</f>
        <v>1 à 2 ans</v>
      </c>
      <c r="AD506" s="191" t="str">
        <f>'1_BD questio brut'!AB506</f>
        <v>Feuillus</v>
      </c>
      <c r="AE506" s="191" t="str">
        <f t="array" ref="AE506">INDEX('Données 1_BD questio'!C:C,MATCH('1_BD questio brut'!$AC$1&amp;'1_BD questio brut'!AC506,'Données 1_BD questio'!A:A&amp;'Données 1_BD questio'!B:B,0))</f>
        <v>un professionnel</v>
      </c>
      <c r="AF506" s="191" t="str">
        <f>'1_BD questio brut'!AD506</f>
        <v>1 fois par an</v>
      </c>
      <c r="AG506" s="191" t="str">
        <f>'1_BD questio brut'!AE506</f>
        <v/>
      </c>
      <c r="AH506" s="191" t="str">
        <f>'1_BD questio brut'!AF506</f>
        <v>Insert cheminée</v>
      </c>
      <c r="AI506" s="191" t="str">
        <f>'1_BD questio brut'!AG506</f>
        <v>1</v>
      </c>
      <c r="AJ506" s="191" t="str">
        <f>'1_BD questio brut'!AH506</f>
        <v/>
      </c>
      <c r="AK506" s="191" t="str">
        <f>'1_BD questio brut'!AI506</f>
        <v>Chauffage de base</v>
      </c>
      <c r="AL506" s="191" t="str">
        <f>'1_BD questio brut'!AJ506</f>
        <v>Pas de réponse</v>
      </c>
      <c r="AM506" s="191" t="str">
        <f>'1_BD questio brut'!AK506</f>
        <v>1; 2; 4; 5</v>
      </c>
      <c r="AN506" s="191" t="str">
        <f>'1_BD questio brut'!AL506</f>
        <v/>
      </c>
      <c r="AO506" s="191" t="str">
        <f>'1_BD questio brut'!AM506</f>
        <v>11</v>
      </c>
      <c r="AP506" s="191" t="str">
        <f>'1_BD questio brut'!AN506</f>
        <v/>
      </c>
      <c r="AQ506" s="191" t="str">
        <f>'1_BD questio brut'!AO506</f>
        <v/>
      </c>
    </row>
    <row r="507" spans="1:43" ht="29" hidden="1">
      <c r="A507" s="98">
        <f>INDEX('3_BD instruction total'!A:A,MATCH(C507,'3_BD instruction total'!F:F,0))</f>
        <v>2022</v>
      </c>
      <c r="B507" s="98" t="str">
        <f>INDEX('3_BD instruction total'!C:C,MATCH(C507,'3_BD instruction total'!F:F,0))</f>
        <v>non</v>
      </c>
      <c r="C507" s="191" t="str">
        <f>'1_BD questio brut'!A507</f>
        <v>VRB0546</v>
      </c>
      <c r="D507" s="191" t="str">
        <f t="array" ref="D507">INDEX('Données 1_BD questio'!C:C,MATCH('1_BD questio brut'!$B$1&amp;'1_BD questio brut'!B507,'Données 1_BD questio'!A:A&amp;'Données 1_BD questio'!B:B,0))</f>
        <v>CAPV</v>
      </c>
      <c r="E507" s="191" t="str">
        <f t="array" ref="E507">INDEX('Données 1_BD questio'!C:C,MATCH('1_BD questio brut'!$C$1&amp;'1_BD questio brut'!C507,'Données 1_BD questio'!A:A&amp;'Données 1_BD questio'!B:B,0))</f>
        <v>Retraité</v>
      </c>
      <c r="F507" s="191" t="str">
        <f t="array" ref="F507">INDEX('Données 1_BD questio'!C:C,MATCH('1_BD questio brut'!$D$1&amp;'1_BD questio brut'!D507,'Données 1_BD questio'!A:A&amp;'Données 1_BD questio'!B:B,0))</f>
        <v>Pas de réponse</v>
      </c>
      <c r="G507" s="191" t="str">
        <f>'1_BD questio brut'!E507</f>
        <v>65 ans et plus</v>
      </c>
      <c r="H507" s="191">
        <f>'1_BD questio brut'!F507</f>
        <v>1</v>
      </c>
      <c r="I507" s="191" t="str">
        <f>'1_BD questio brut'!G507</f>
        <v>Moins de 20 000 €</v>
      </c>
      <c r="J507" s="191" t="str">
        <f t="array" ref="J507">INDEX('Données 1_BD questio'!C:C,MATCH('1_BD questio brut'!$H$1&amp;'1_BD questio brut'!H507,'Données 1_BD questio'!A:A&amp;'Données 1_BD questio'!B:B,0))</f>
        <v>Maison avec jardin</v>
      </c>
      <c r="K507" s="191">
        <f>'1_BD questio brut'!I507</f>
        <v>110</v>
      </c>
      <c r="L507" s="191" t="str">
        <f>'1_BD questio brut'!J507</f>
        <v>1990-2005</v>
      </c>
      <c r="M507" s="191" t="str">
        <f>'1_BD questio brut'!K507</f>
        <v>6</v>
      </c>
      <c r="N507" s="191" t="str">
        <f>'1_BD questio brut'!L507</f>
        <v>Pas de réponse</v>
      </c>
      <c r="O507" s="191" t="str">
        <f>'1_BD questio brut'!M507</f>
        <v>Propriétaire occupant</v>
      </c>
      <c r="P507" s="191" t="str">
        <f>'1_BD questio brut'!N507</f>
        <v>Insert / foyer fermé</v>
      </c>
      <c r="Q507" s="191" t="str">
        <f>'1_BD questio brut'!O507</f>
        <v>Chauffage d'apoint</v>
      </c>
      <c r="R507" s="191" t="str">
        <f>'1_BD questio brut'!P507</f>
        <v>Tous les jours</v>
      </c>
      <c r="S507" s="191" t="str">
        <f>'1_BD questio brut'!Q507</f>
        <v>4; 6</v>
      </c>
      <c r="T507" s="191" t="str">
        <f>'1_BD questio brut'!R507</f>
        <v>1990-1995</v>
      </c>
      <c r="U507" s="191" t="str">
        <f>'1_BD questio brut'!S507</f>
        <v>Bois bûche</v>
      </c>
      <c r="V507" s="191" t="str">
        <f>'1_BD questio brut'!T507</f>
        <v/>
      </c>
      <c r="W507" s="191" t="str">
        <f>'1_BD questio brut'!U507</f>
        <v>10</v>
      </c>
      <c r="X507" s="191" t="str">
        <f>'1_BD questio brut'!V507</f>
        <v>Stères</v>
      </c>
      <c r="Y507" s="191" t="str">
        <f>'1_BD questio brut'!W507</f>
        <v>1</v>
      </c>
      <c r="Z507" s="191" t="str">
        <f>'1_BD questio brut'!X507</f>
        <v/>
      </c>
      <c r="AA507" s="191" t="str">
        <f t="array" ref="AA507">INDEX('Données 1_BD questio'!C:C,MATCH('1_BD questio brut'!$Y$1&amp;'1_BD questio brut'!Y507,'Données 1_BD questio'!A:A&amp;'Données 1_BD questio'!B:B,0))</f>
        <v>France hors Rhône-Alpes</v>
      </c>
      <c r="AB507" s="191" t="str">
        <f>'1_BD questio brut'!Z507</f>
        <v>2</v>
      </c>
      <c r="AC507" s="191" t="str">
        <f>'1_BD questio brut'!AA507</f>
        <v>&gt; 2 ans</v>
      </c>
      <c r="AD507" s="191" t="str">
        <f>'1_BD questio brut'!AB507</f>
        <v>Feuillus</v>
      </c>
      <c r="AE507" s="191" t="str">
        <f t="array" ref="AE507">INDEX('Données 1_BD questio'!C:C,MATCH('1_BD questio brut'!$AC$1&amp;'1_BD questio brut'!AC507,'Données 1_BD questio'!A:A&amp;'Données 1_BD questio'!B:B,0))</f>
        <v>vous-même</v>
      </c>
      <c r="AF507" s="191" t="str">
        <f>'1_BD questio brut'!AD507</f>
        <v>1 fois par an</v>
      </c>
      <c r="AG507" s="191" t="str">
        <f>'1_BD questio brut'!AE507</f>
        <v/>
      </c>
      <c r="AH507" s="191" t="str">
        <f>'1_BD questio brut'!AF507</f>
        <v>Poêle</v>
      </c>
      <c r="AI507" s="191" t="str">
        <f>'1_BD questio brut'!AG507</f>
        <v>1</v>
      </c>
      <c r="AJ507" s="191" t="str">
        <f>'1_BD questio brut'!AH507</f>
        <v/>
      </c>
      <c r="AK507" s="191" t="str">
        <f>'1_BD questio brut'!AI507</f>
        <v>Chauffage de base</v>
      </c>
      <c r="AL507" s="191" t="str">
        <f>'1_BD questio brut'!AJ507</f>
        <v>Pas de réponse</v>
      </c>
      <c r="AM507" s="191" t="str">
        <f>'1_BD questio brut'!AK507</f>
        <v>1; 2; 4; 5</v>
      </c>
      <c r="AN507" s="191" t="str">
        <f>'1_BD questio brut'!AL507</f>
        <v/>
      </c>
      <c r="AO507" s="191" t="str">
        <f>'1_BD questio brut'!AM507</f>
        <v>5</v>
      </c>
      <c r="AP507" s="191" t="str">
        <f>'1_BD questio brut'!AN507</f>
        <v/>
      </c>
      <c r="AQ507" s="191" t="str">
        <f>'1_BD questio brut'!AO507</f>
        <v/>
      </c>
    </row>
    <row r="508" spans="1:43" ht="29" hidden="1">
      <c r="A508" s="98">
        <f>INDEX('3_BD instruction total'!A:A,MATCH(C508,'3_BD instruction total'!F:F,0))</f>
        <v>1900</v>
      </c>
      <c r="B508" s="98" t="str">
        <f>INDEX('3_BD instruction total'!C:C,MATCH(C508,'3_BD instruction total'!F:F,0))</f>
        <v>non</v>
      </c>
      <c r="C508" s="191" t="str">
        <f>'1_BD questio brut'!A508</f>
        <v>VRB0547</v>
      </c>
      <c r="D508" s="191" t="str">
        <f t="array" ref="D508">INDEX('Données 1_BD questio'!C:C,MATCH('1_BD questio brut'!$B$1&amp;'1_BD questio brut'!B508,'Données 1_BD questio'!A:A&amp;'Données 1_BD questio'!B:B,0))</f>
        <v>CAPV</v>
      </c>
      <c r="E508" s="191" t="str">
        <f t="array" ref="E508">INDEX('Données 1_BD questio'!C:C,MATCH('1_BD questio brut'!$C$1&amp;'1_BD questio brut'!C508,'Données 1_BD questio'!A:A&amp;'Données 1_BD questio'!B:B,0))</f>
        <v>Retraité</v>
      </c>
      <c r="F508" s="191" t="str">
        <f t="array" ref="F508">INDEX('Données 1_BD questio'!C:C,MATCH('1_BD questio brut'!$D$1&amp;'1_BD questio brut'!D508,'Données 1_BD questio'!A:A&amp;'Données 1_BD questio'!B:B,0))</f>
        <v>Retraité</v>
      </c>
      <c r="G508" s="191" t="str">
        <f>'1_BD questio brut'!E508</f>
        <v>65 ans et plus</v>
      </c>
      <c r="H508" s="191">
        <f>'1_BD questio brut'!F508</f>
        <v>2</v>
      </c>
      <c r="I508" s="191" t="str">
        <f>'1_BD questio brut'!G508</f>
        <v>30 000 à 40 000 €</v>
      </c>
      <c r="J508" s="191" t="str">
        <f t="array" ref="J508">INDEX('Données 1_BD questio'!C:C,MATCH('1_BD questio brut'!$H$1&amp;'1_BD questio brut'!H508,'Données 1_BD questio'!A:A&amp;'Données 1_BD questio'!B:B,0))</f>
        <v>Maison avec jardin</v>
      </c>
      <c r="K508" s="191">
        <f>'1_BD questio brut'!I508</f>
        <v>150</v>
      </c>
      <c r="L508" s="191" t="str">
        <f>'1_BD questio brut'!J508</f>
        <v>1975-1990</v>
      </c>
      <c r="M508" s="191" t="str">
        <f>'1_BD questio brut'!K508</f>
        <v>6</v>
      </c>
      <c r="N508" s="191" t="str">
        <f>'1_BD questio brut'!L508</f>
        <v>Pas de réponse</v>
      </c>
      <c r="O508" s="191" t="str">
        <f>'1_BD questio brut'!M508</f>
        <v>Propriétaire occupant</v>
      </c>
      <c r="P508" s="191" t="str">
        <f>'1_BD questio brut'!N508</f>
        <v>Insert / foyer fermé</v>
      </c>
      <c r="Q508" s="191" t="str">
        <f>'1_BD questio brut'!O508</f>
        <v>Chauffage d'apoint</v>
      </c>
      <c r="R508" s="191" t="str">
        <f>'1_BD questio brut'!P508</f>
        <v>Tous les jours</v>
      </c>
      <c r="S508" s="191" t="str">
        <f>'1_BD questio brut'!Q508</f>
        <v>3; 4; 5; 6</v>
      </c>
      <c r="T508" s="191" t="str">
        <f>'1_BD questio brut'!R508</f>
        <v>Avant 1990</v>
      </c>
      <c r="U508" s="191" t="str">
        <f>'1_BD questio brut'!S508</f>
        <v>Bois bûche</v>
      </c>
      <c r="V508" s="191" t="str">
        <f>'1_BD questio brut'!T508</f>
        <v/>
      </c>
      <c r="W508" s="191" t="str">
        <f>'1_BD questio brut'!U508</f>
        <v>10</v>
      </c>
      <c r="X508" s="191" t="str">
        <f>'1_BD questio brut'!V508</f>
        <v>stère</v>
      </c>
      <c r="Y508" s="191" t="str">
        <f>'1_BD questio brut'!W508</f>
        <v>1</v>
      </c>
      <c r="Z508" s="191" t="str">
        <f>'1_BD questio brut'!X508</f>
        <v/>
      </c>
      <c r="AA508" s="191" t="str">
        <f t="array" ref="AA508">INDEX('Données 1_BD questio'!C:C,MATCH('1_BD questio brut'!$Y$1&amp;'1_BD questio brut'!Y508,'Données 1_BD questio'!A:A&amp;'Données 1_BD questio'!B:B,0))</f>
        <v>RA2B</v>
      </c>
      <c r="AB508" s="191" t="str">
        <f>'1_BD questio brut'!Z508</f>
        <v>2</v>
      </c>
      <c r="AC508" s="191" t="str">
        <f>'1_BD questio brut'!AA508</f>
        <v>&gt; 2 ans</v>
      </c>
      <c r="AD508" s="191" t="str">
        <f>'1_BD questio brut'!AB508</f>
        <v>Feuillus</v>
      </c>
      <c r="AE508" s="191" t="str">
        <f t="array" ref="AE508">INDEX('Données 1_BD questio'!C:C,MATCH('1_BD questio brut'!$AC$1&amp;'1_BD questio brut'!AC508,'Données 1_BD questio'!A:A&amp;'Données 1_BD questio'!B:B,0))</f>
        <v>vous-même</v>
      </c>
      <c r="AF508" s="191" t="str">
        <f>'1_BD questio brut'!AD508</f>
        <v>2 fois par an</v>
      </c>
      <c r="AG508" s="191" t="str">
        <f>'1_BD questio brut'!AE508</f>
        <v/>
      </c>
      <c r="AH508" s="191" t="str">
        <f>'1_BD questio brut'!AF508</f>
        <v>Poêle</v>
      </c>
      <c r="AI508" s="191" t="str">
        <f>'1_BD questio brut'!AG508</f>
        <v>1</v>
      </c>
      <c r="AJ508" s="191" t="str">
        <f>'1_BD questio brut'!AH508</f>
        <v/>
      </c>
      <c r="AK508" s="191" t="str">
        <f>'1_BD questio brut'!AI508</f>
        <v>Chauffage d'appoint</v>
      </c>
      <c r="AL508" s="191" t="str">
        <f>'1_BD questio brut'!AJ508</f>
        <v>Pas de réponse</v>
      </c>
      <c r="AM508" s="191" t="str">
        <f>'1_BD questio brut'!AK508</f>
        <v>1; 4</v>
      </c>
      <c r="AN508" s="191" t="str">
        <f>'1_BD questio brut'!AL508</f>
        <v/>
      </c>
      <c r="AO508" s="191" t="str">
        <f>'1_BD questio brut'!AM508</f>
        <v>5</v>
      </c>
      <c r="AP508" s="191" t="str">
        <f>'1_BD questio brut'!AN508</f>
        <v/>
      </c>
      <c r="AQ508" s="191" t="str">
        <f>'1_BD questio brut'!AO508</f>
        <v/>
      </c>
    </row>
    <row r="509" spans="1:43" ht="43.5" hidden="1">
      <c r="A509" s="98">
        <f>INDEX('3_BD instruction total'!A:A,MATCH(C509,'3_BD instruction total'!F:F,0))</f>
        <v>2022</v>
      </c>
      <c r="B509" s="98" t="str">
        <f>INDEX('3_BD instruction total'!C:C,MATCH(C509,'3_BD instruction total'!F:F,0))</f>
        <v>non</v>
      </c>
      <c r="C509" s="191" t="str">
        <f>'1_BD questio brut'!A509</f>
        <v>VRB0548</v>
      </c>
      <c r="D509" s="191" t="str">
        <f t="array" ref="D509">INDEX('Données 1_BD questio'!C:C,MATCH('1_BD questio brut'!$B$1&amp;'1_BD questio brut'!B509,'Données 1_BD questio'!A:A&amp;'Données 1_BD questio'!B:B,0))</f>
        <v>CAPV</v>
      </c>
      <c r="E509" s="191" t="str">
        <f t="array" ref="E509">INDEX('Données 1_BD questio'!C:C,MATCH('1_BD questio brut'!$C$1&amp;'1_BD questio brut'!C509,'Données 1_BD questio'!A:A&amp;'Données 1_BD questio'!B:B,0))</f>
        <v>Retraité</v>
      </c>
      <c r="F509" s="191" t="str">
        <f t="array" ref="F509">INDEX('Données 1_BD questio'!C:C,MATCH('1_BD questio brut'!$D$1&amp;'1_BD questio brut'!D509,'Données 1_BD questio'!A:A&amp;'Données 1_BD questio'!B:B,0))</f>
        <v>Retraité</v>
      </c>
      <c r="G509" s="191" t="str">
        <f>'1_BD questio brut'!E509</f>
        <v>65 ans et plus</v>
      </c>
      <c r="H509" s="191">
        <f>'1_BD questio brut'!F509</f>
        <v>2</v>
      </c>
      <c r="I509" s="191" t="str">
        <f>'1_BD questio brut'!G509</f>
        <v>80 000 à 90 000 €</v>
      </c>
      <c r="J509" s="191" t="str">
        <f t="array" ref="J509">INDEX('Données 1_BD questio'!C:C,MATCH('1_BD questio brut'!$H$1&amp;'1_BD questio brut'!H509,'Données 1_BD questio'!A:A&amp;'Données 1_BD questio'!B:B,0))</f>
        <v>Maison avec jardin</v>
      </c>
      <c r="K509" s="191">
        <f>'1_BD questio brut'!I509</f>
        <v>100</v>
      </c>
      <c r="L509" s="191" t="str">
        <f>'1_BD questio brut'!J509</f>
        <v>1990-2005</v>
      </c>
      <c r="M509" s="191" t="str">
        <f>'1_BD questio brut'!K509</f>
        <v>6</v>
      </c>
      <c r="N509" s="191" t="str">
        <f>'1_BD questio brut'!L509</f>
        <v>Pas de réponse</v>
      </c>
      <c r="O509" s="191" t="str">
        <f>'1_BD questio brut'!M509</f>
        <v>Propriétaire occupant</v>
      </c>
      <c r="P509" s="191" t="str">
        <f>'1_BD questio brut'!N509</f>
        <v>Foyer ouvert</v>
      </c>
      <c r="Q509" s="191" t="str">
        <f>'1_BD questio brut'!O509</f>
        <v>Chauffage d'apoint</v>
      </c>
      <c r="R509" s="191" t="str">
        <f>'1_BD questio brut'!P509</f>
        <v>3 à 4 jours/semaine</v>
      </c>
      <c r="S509" s="191" t="str">
        <f>'1_BD questio brut'!Q509</f>
        <v>2</v>
      </c>
      <c r="T509" s="191" t="str">
        <f>'1_BD questio brut'!R509</f>
        <v>1996-2002</v>
      </c>
      <c r="U509" s="191" t="str">
        <f>'1_BD questio brut'!S509</f>
        <v>Bois bûche</v>
      </c>
      <c r="V509" s="191" t="str">
        <f>'1_BD questio brut'!T509</f>
        <v/>
      </c>
      <c r="W509" s="191" t="str">
        <f>'1_BD questio brut'!U509</f>
        <v>3/4</v>
      </c>
      <c r="X509" s="191" t="str">
        <f>'1_BD questio brut'!V509</f>
        <v>Stères</v>
      </c>
      <c r="Y509" s="191" t="str">
        <f>'1_BD questio brut'!W509</f>
        <v>2</v>
      </c>
      <c r="Z509" s="191" t="str">
        <f>'1_BD questio brut'!X509</f>
        <v/>
      </c>
      <c r="AA509" s="191" t="str">
        <f t="array" ref="AA509">INDEX('Données 1_BD questio'!C:C,MATCH('1_BD questio brut'!$Y$1&amp;'1_BD questio brut'!Y509,'Données 1_BD questio'!A:A&amp;'Données 1_BD questio'!B:B,0))</f>
        <v>Rhône-Alpes hors RA2B</v>
      </c>
      <c r="AB509" s="191" t="str">
        <f>'1_BD questio brut'!Z509</f>
        <v>2</v>
      </c>
      <c r="AC509" s="191" t="str">
        <f>'1_BD questio brut'!AA509</f>
        <v>&gt; 2 ans</v>
      </c>
      <c r="AD509" s="191" t="str">
        <f>'1_BD questio brut'!AB509</f>
        <v>Feuillus</v>
      </c>
      <c r="AE509" s="191" t="str">
        <f t="array" ref="AE509">INDEX('Données 1_BD questio'!C:C,MATCH('1_BD questio brut'!$AC$1&amp;'1_BD questio brut'!AC509,'Données 1_BD questio'!A:A&amp;'Données 1_BD questio'!B:B,0))</f>
        <v>un professionnel</v>
      </c>
      <c r="AF509" s="191" t="str">
        <f>'1_BD questio brut'!AD509</f>
        <v>1 fois tous les 2 ans</v>
      </c>
      <c r="AG509" s="191" t="str">
        <f>'1_BD questio brut'!AE509</f>
        <v/>
      </c>
      <c r="AH509" s="191" t="str">
        <f>'1_BD questio brut'!AF509</f>
        <v>Insert cheminée</v>
      </c>
      <c r="AI509" s="191" t="str">
        <f>'1_BD questio brut'!AG509</f>
        <v>1</v>
      </c>
      <c r="AJ509" s="191" t="str">
        <f>'1_BD questio brut'!AH509</f>
        <v/>
      </c>
      <c r="AK509" s="191" t="str">
        <f>'1_BD questio brut'!AI509</f>
        <v>Chauffage d'appoint</v>
      </c>
      <c r="AL509" s="191" t="str">
        <f>'1_BD questio brut'!AJ509</f>
        <v>Pas de réponse</v>
      </c>
      <c r="AM509" s="191" t="str">
        <f>'1_BD questio brut'!AK509</f>
        <v>1; 2; 4; 5</v>
      </c>
      <c r="AN509" s="191" t="str">
        <f>'1_BD questio brut'!AL509</f>
        <v/>
      </c>
      <c r="AO509" s="191" t="str">
        <f>'1_BD questio brut'!AM509</f>
        <v>5</v>
      </c>
      <c r="AP509" s="191" t="str">
        <f>'1_BD questio brut'!AN509</f>
        <v/>
      </c>
      <c r="AQ509" s="191" t="str">
        <f>'1_BD questio brut'!AO509</f>
        <v/>
      </c>
    </row>
    <row r="510" spans="1:43" ht="43.5" hidden="1">
      <c r="A510" s="98">
        <f>INDEX('3_BD instruction total'!A:A,MATCH(C510,'3_BD instruction total'!F:F,0))</f>
        <v>2022</v>
      </c>
      <c r="B510" s="98" t="str">
        <f>INDEX('3_BD instruction total'!C:C,MATCH(C510,'3_BD instruction total'!F:F,0))</f>
        <v>non</v>
      </c>
      <c r="C510" s="191" t="str">
        <f>'1_BD questio brut'!A510</f>
        <v>VRB0549</v>
      </c>
      <c r="D510" s="191" t="str">
        <f t="array" ref="D510">INDEX('Données 1_BD questio'!C:C,MATCH('1_BD questio brut'!$B$1&amp;'1_BD questio brut'!B510,'Données 1_BD questio'!A:A&amp;'Données 1_BD questio'!B:B,0))</f>
        <v>CAPV</v>
      </c>
      <c r="E510" s="191" t="str">
        <f t="array" ref="E510">INDEX('Données 1_BD questio'!C:C,MATCH('1_BD questio brut'!$C$1&amp;'1_BD questio brut'!C510,'Données 1_BD questio'!A:A&amp;'Données 1_BD questio'!B:B,0))</f>
        <v>Retraité</v>
      </c>
      <c r="F510" s="191" t="str">
        <f t="array" ref="F510">INDEX('Données 1_BD questio'!C:C,MATCH('1_BD questio brut'!$D$1&amp;'1_BD questio brut'!D510,'Données 1_BD questio'!A:A&amp;'Données 1_BD questio'!B:B,0))</f>
        <v>Retraité</v>
      </c>
      <c r="G510" s="191" t="str">
        <f>'1_BD questio brut'!E510</f>
        <v>65 ans et plus</v>
      </c>
      <c r="H510" s="191">
        <f>'1_BD questio brut'!F510</f>
        <v>2</v>
      </c>
      <c r="I510" s="191" t="str">
        <f>'1_BD questio brut'!G510</f>
        <v>40 000 à 50 000 €</v>
      </c>
      <c r="J510" s="191" t="str">
        <f t="array" ref="J510">INDEX('Données 1_BD questio'!C:C,MATCH('1_BD questio brut'!$H$1&amp;'1_BD questio brut'!H510,'Données 1_BD questio'!A:A&amp;'Données 1_BD questio'!B:B,0))</f>
        <v>Maison avec jardin</v>
      </c>
      <c r="K510" s="191">
        <f>'1_BD questio brut'!I510</f>
        <v>85</v>
      </c>
      <c r="L510" s="191" t="str">
        <f>'1_BD questio brut'!J510</f>
        <v>1975-1990</v>
      </c>
      <c r="M510" s="191" t="str">
        <f>'1_BD questio brut'!K510</f>
        <v>6</v>
      </c>
      <c r="N510" s="191" t="str">
        <f>'1_BD questio brut'!L510</f>
        <v>Pas de réponse</v>
      </c>
      <c r="O510" s="191" t="str">
        <f>'1_BD questio brut'!M510</f>
        <v>Propriétaire occupant</v>
      </c>
      <c r="P510" s="191" t="str">
        <f>'1_BD questio brut'!N510</f>
        <v>Foyer ouvert</v>
      </c>
      <c r="Q510" s="191" t="str">
        <f>'1_BD questio brut'!O510</f>
        <v>Chauffage d'apoint</v>
      </c>
      <c r="R510" s="191" t="str">
        <f>'1_BD questio brut'!P510</f>
        <v>3 à 4 jours/semaine</v>
      </c>
      <c r="S510" s="191" t="str">
        <f>'1_BD questio brut'!Q510</f>
        <v>4; 6</v>
      </c>
      <c r="T510" s="191" t="str">
        <f>'1_BD questio brut'!R510</f>
        <v>Avant 1990</v>
      </c>
      <c r="U510" s="191" t="str">
        <f>'1_BD questio brut'!S510</f>
        <v>Bois bûche</v>
      </c>
      <c r="V510" s="191" t="str">
        <f>'1_BD questio brut'!T510</f>
        <v/>
      </c>
      <c r="W510" s="191" t="str">
        <f>'1_BD questio brut'!U510</f>
        <v>2</v>
      </c>
      <c r="X510" s="191" t="str">
        <f>'1_BD questio brut'!V510</f>
        <v>Stères</v>
      </c>
      <c r="Y510" s="191" t="str">
        <f>'1_BD questio brut'!W510</f>
        <v>2</v>
      </c>
      <c r="Z510" s="191" t="str">
        <f>'1_BD questio brut'!X510</f>
        <v/>
      </c>
      <c r="AA510" s="191" t="str">
        <f t="array" ref="AA510">INDEX('Données 1_BD questio'!C:C,MATCH('1_BD questio brut'!$Y$1&amp;'1_BD questio brut'!Y510,'Données 1_BD questio'!A:A&amp;'Données 1_BD questio'!B:B,0))</f>
        <v>Pas de réponse</v>
      </c>
      <c r="AB510" s="191" t="str">
        <f>'1_BD questio brut'!Z510</f>
        <v>1</v>
      </c>
      <c r="AC510" s="191" t="str">
        <f>'1_BD questio brut'!AA510</f>
        <v>1 à 2 ans</v>
      </c>
      <c r="AD510" s="191" t="str">
        <f>'1_BD questio brut'!AB510</f>
        <v>Feuillus</v>
      </c>
      <c r="AE510" s="191" t="str">
        <f t="array" ref="AE510">INDEX('Données 1_BD questio'!C:C,MATCH('1_BD questio brut'!$AC$1&amp;'1_BD questio brut'!AC510,'Données 1_BD questio'!A:A&amp;'Données 1_BD questio'!B:B,0))</f>
        <v>un professionnel</v>
      </c>
      <c r="AF510" s="191" t="str">
        <f>'1_BD questio brut'!AD510</f>
        <v>1 fois par an</v>
      </c>
      <c r="AG510" s="191" t="str">
        <f>'1_BD questio brut'!AE510</f>
        <v/>
      </c>
      <c r="AH510" s="191" t="str">
        <f>'1_BD questio brut'!AF510</f>
        <v>Insert cheminée</v>
      </c>
      <c r="AI510" s="191" t="str">
        <f>'1_BD questio brut'!AG510</f>
        <v>1</v>
      </c>
      <c r="AJ510" s="191" t="str">
        <f>'1_BD questio brut'!AH510</f>
        <v/>
      </c>
      <c r="AK510" s="191" t="str">
        <f>'1_BD questio brut'!AI510</f>
        <v>Chauffage de base</v>
      </c>
      <c r="AL510" s="191" t="str">
        <f>'1_BD questio brut'!AJ510</f>
        <v>Pas de réponse</v>
      </c>
      <c r="AM510" s="191" t="str">
        <f>'1_BD questio brut'!AK510</f>
        <v>2; 4; 5</v>
      </c>
      <c r="AN510" s="191" t="str">
        <f>'1_BD questio brut'!AL510</f>
        <v/>
      </c>
      <c r="AO510" s="191" t="str">
        <f>'1_BD questio brut'!AM510</f>
        <v>5</v>
      </c>
      <c r="AP510" s="191" t="str">
        <f>'1_BD questio brut'!AN510</f>
        <v/>
      </c>
      <c r="AQ510" s="191" t="str">
        <f>'1_BD questio brut'!AO510</f>
        <v/>
      </c>
    </row>
    <row r="511" spans="1:43" hidden="1">
      <c r="C511" s="191"/>
      <c r="D511" s="191"/>
      <c r="E511" s="191"/>
      <c r="F511" s="191"/>
      <c r="G511" s="191"/>
      <c r="H511" s="191"/>
      <c r="I511" s="191"/>
      <c r="J511" s="191"/>
      <c r="K511" s="191"/>
      <c r="L511" s="191"/>
      <c r="M511" s="191"/>
      <c r="N511" s="191"/>
      <c r="O511" s="191"/>
      <c r="P511" s="191"/>
      <c r="Q511" s="191"/>
      <c r="R511" s="191"/>
      <c r="S511" s="191"/>
      <c r="T511" s="191"/>
      <c r="U511" s="191"/>
      <c r="V511" s="191"/>
      <c r="W511" s="191"/>
      <c r="X511" s="191"/>
      <c r="Y511" s="191"/>
      <c r="Z511" s="191"/>
      <c r="AA511" s="191"/>
      <c r="AB511" s="191"/>
      <c r="AC511" s="191"/>
      <c r="AD511" s="191"/>
      <c r="AE511" s="191"/>
      <c r="AF511" s="191"/>
      <c r="AG511" s="191"/>
      <c r="AH511" s="191"/>
      <c r="AI511" s="191"/>
      <c r="AJ511" s="191"/>
      <c r="AK511" s="191"/>
      <c r="AL511" s="191"/>
      <c r="AM511" s="191"/>
      <c r="AN511" s="191"/>
      <c r="AO511" s="191"/>
      <c r="AP511" s="191"/>
      <c r="AQ511" s="191"/>
    </row>
    <row r="512" spans="1:43" ht="43.5" hidden="1">
      <c r="A512" s="98">
        <f>INDEX('3_BD instruction total'!A:A,MATCH(C512,'3_BD instruction total'!F:F,0))</f>
        <v>2022</v>
      </c>
      <c r="B512" s="98" t="str">
        <f>INDEX('3_BD instruction total'!C:C,MATCH(C512,'3_BD instruction total'!F:F,0))</f>
        <v>non</v>
      </c>
      <c r="C512" s="191" t="str">
        <f>'1_BD questio brut'!A512</f>
        <v>VRB0551</v>
      </c>
      <c r="D512" s="191" t="str">
        <f t="array" ref="D512">INDEX('Données 1_BD questio'!C:C,MATCH('1_BD questio brut'!$B$1&amp;'1_BD questio brut'!B512,'Données 1_BD questio'!A:A&amp;'Données 1_BD questio'!B:B,0))</f>
        <v>CAPV</v>
      </c>
      <c r="E512" s="191" t="str">
        <f t="array" ref="E512">INDEX('Données 1_BD questio'!C:C,MATCH('1_BD questio brut'!$C$1&amp;'1_BD questio brut'!C512,'Données 1_BD questio'!A:A&amp;'Données 1_BD questio'!B:B,0))</f>
        <v>Retraité</v>
      </c>
      <c r="F512" s="191" t="str">
        <f t="array" ref="F512">INDEX('Données 1_BD questio'!C:C,MATCH('1_BD questio brut'!$D$1&amp;'1_BD questio brut'!D512,'Données 1_BD questio'!A:A&amp;'Données 1_BD questio'!B:B,0))</f>
        <v>Pas de réponse</v>
      </c>
      <c r="G512" s="191" t="str">
        <f>'1_BD questio brut'!E512</f>
        <v>65 ans et plus</v>
      </c>
      <c r="H512" s="191">
        <f>'1_BD questio brut'!F512</f>
        <v>1</v>
      </c>
      <c r="I512" s="191" t="str">
        <f>'1_BD questio brut'!G512</f>
        <v>Moins de 20 000 €</v>
      </c>
      <c r="J512" s="191" t="str">
        <f t="array" ref="J512">INDEX('Données 1_BD questio'!C:C,MATCH('1_BD questio brut'!$H$1&amp;'1_BD questio brut'!H512,'Données 1_BD questio'!A:A&amp;'Données 1_BD questio'!B:B,0))</f>
        <v>Maison avec jardin</v>
      </c>
      <c r="K512" s="191">
        <f>'1_BD questio brut'!I512</f>
        <v>85</v>
      </c>
      <c r="L512" s="191" t="str">
        <f>'1_BD questio brut'!J512</f>
        <v>1975-1990</v>
      </c>
      <c r="M512" s="191" t="str">
        <f>'1_BD questio brut'!K512</f>
        <v>6</v>
      </c>
      <c r="N512" s="191" t="str">
        <f>'1_BD questio brut'!L512</f>
        <v>Pas de réponse</v>
      </c>
      <c r="O512" s="191" t="str">
        <f>'1_BD questio brut'!M512</f>
        <v>Propriétaire occupant</v>
      </c>
      <c r="P512" s="191" t="str">
        <f>'1_BD questio brut'!N512</f>
        <v>Insert / foyer fermé</v>
      </c>
      <c r="Q512" s="191" t="str">
        <f>'1_BD questio brut'!O512</f>
        <v>Chauffage d'apoint</v>
      </c>
      <c r="R512" s="191" t="str">
        <f>'1_BD questio brut'!P512</f>
        <v>Tous les jours</v>
      </c>
      <c r="S512" s="191" t="str">
        <f>'1_BD questio brut'!Q512</f>
        <v>4</v>
      </c>
      <c r="T512" s="191" t="str">
        <f>'1_BD questio brut'!R512</f>
        <v>1990-1995</v>
      </c>
      <c r="U512" s="191" t="str">
        <f>'1_BD questio brut'!S512</f>
        <v>Bois bûche</v>
      </c>
      <c r="V512" s="191" t="str">
        <f>'1_BD questio brut'!T512</f>
        <v/>
      </c>
      <c r="W512" s="191" t="str">
        <f>'1_BD questio brut'!U512</f>
        <v>5</v>
      </c>
      <c r="X512" s="191" t="str">
        <f>'1_BD questio brut'!V512</f>
        <v>Stères</v>
      </c>
      <c r="Y512" s="191" t="str">
        <f>'1_BD questio brut'!W512</f>
        <v>2</v>
      </c>
      <c r="Z512" s="191" t="str">
        <f>'1_BD questio brut'!X512</f>
        <v/>
      </c>
      <c r="AA512" s="191" t="str">
        <f t="array" ref="AA512">INDEX('Données 1_BD questio'!C:C,MATCH('1_BD questio brut'!$Y$1&amp;'1_BD questio brut'!Y512,'Données 1_BD questio'!A:A&amp;'Données 1_BD questio'!B:B,0))</f>
        <v>Ne sait pas</v>
      </c>
      <c r="AB512" s="191" t="str">
        <f>'1_BD questio brut'!Z512</f>
        <v>2</v>
      </c>
      <c r="AC512" s="191" t="str">
        <f>'1_BD questio brut'!AA512</f>
        <v>&gt; 2 ans</v>
      </c>
      <c r="AD512" s="191" t="str">
        <f>'1_BD questio brut'!AB512</f>
        <v>Feuillus</v>
      </c>
      <c r="AE512" s="191" t="str">
        <f t="array" ref="AE512">INDEX('Données 1_BD questio'!C:C,MATCH('1_BD questio brut'!$AC$1&amp;'1_BD questio brut'!AC512,'Données 1_BD questio'!A:A&amp;'Données 1_BD questio'!B:B,0))</f>
        <v>un professionnel</v>
      </c>
      <c r="AF512" s="191" t="str">
        <f>'1_BD questio brut'!AD512</f>
        <v>1 fois par an</v>
      </c>
      <c r="AG512" s="191" t="str">
        <f>'1_BD questio brut'!AE512</f>
        <v/>
      </c>
      <c r="AH512" s="191" t="str">
        <f>'1_BD questio brut'!AF512</f>
        <v>Poêle</v>
      </c>
      <c r="AI512" s="191" t="str">
        <f>'1_BD questio brut'!AG512</f>
        <v>1</v>
      </c>
      <c r="AJ512" s="191" t="str">
        <f>'1_BD questio brut'!AH512</f>
        <v/>
      </c>
      <c r="AK512" s="191" t="str">
        <f>'1_BD questio brut'!AI512</f>
        <v>Chauffage d'appoint</v>
      </c>
      <c r="AL512" s="191" t="str">
        <f>'1_BD questio brut'!AJ512</f>
        <v>Pas de réponse</v>
      </c>
      <c r="AM512" s="191" t="str">
        <f>'1_BD questio brut'!AK512</f>
        <v>4</v>
      </c>
      <c r="AN512" s="191" t="str">
        <f>'1_BD questio brut'!AL512</f>
        <v/>
      </c>
      <c r="AO512" s="191" t="str">
        <f>'1_BD questio brut'!AM512</f>
        <v>7</v>
      </c>
      <c r="AP512" s="191" t="str">
        <f>'1_BD questio brut'!AN512</f>
        <v/>
      </c>
      <c r="AQ512" s="191" t="str">
        <f>'1_BD questio brut'!AO512</f>
        <v/>
      </c>
    </row>
    <row r="513" spans="1:43" ht="43.5" hidden="1">
      <c r="A513" s="98">
        <f>INDEX('3_BD instruction total'!A:A,MATCH(C513,'3_BD instruction total'!F:F,0))</f>
        <v>1900</v>
      </c>
      <c r="B513" s="98" t="str">
        <f>INDEX('3_BD instruction total'!C:C,MATCH(C513,'3_BD instruction total'!F:F,0))</f>
        <v>non</v>
      </c>
      <c r="C513" s="191" t="str">
        <f>'1_BD questio brut'!A513</f>
        <v>VRB0552</v>
      </c>
      <c r="D513" s="191" t="str">
        <f t="array" ref="D513">INDEX('Données 1_BD questio'!C:C,MATCH('1_BD questio brut'!$B$1&amp;'1_BD questio brut'!B513,'Données 1_BD questio'!A:A&amp;'Données 1_BD questio'!B:B,0))</f>
        <v>CAPV</v>
      </c>
      <c r="E513" s="191" t="str">
        <f t="array" ref="E513">INDEX('Données 1_BD questio'!C:C,MATCH('1_BD questio brut'!$C$1&amp;'1_BD questio brut'!C513,'Données 1_BD questio'!A:A&amp;'Données 1_BD questio'!B:B,0))</f>
        <v>Artisan,commerçant,chef d'entreprise</v>
      </c>
      <c r="F513" s="191" t="str">
        <f t="array" ref="F513">INDEX('Données 1_BD questio'!C:C,MATCH('1_BD questio brut'!$D$1&amp;'1_BD questio brut'!D513,'Données 1_BD questio'!A:A&amp;'Données 1_BD questio'!B:B,0))</f>
        <v>Employé</v>
      </c>
      <c r="G513" s="191" t="str">
        <f>'1_BD questio brut'!E513</f>
        <v>25 à 34 ans</v>
      </c>
      <c r="H513" s="191">
        <f>'1_BD questio brut'!F513</f>
        <v>2</v>
      </c>
      <c r="I513" s="191" t="str">
        <f>'1_BD questio brut'!G513</f>
        <v>60 000 à 70 000 €</v>
      </c>
      <c r="J513" s="191" t="str">
        <f t="array" ref="J513">INDEX('Données 1_BD questio'!C:C,MATCH('1_BD questio brut'!$H$1&amp;'1_BD questio brut'!H513,'Données 1_BD questio'!A:A&amp;'Données 1_BD questio'!B:B,0))</f>
        <v>Maison avec jardin</v>
      </c>
      <c r="K513" s="191">
        <f>'1_BD questio brut'!I513</f>
        <v>100</v>
      </c>
      <c r="L513" s="191" t="str">
        <f>'1_BD questio brut'!J513</f>
        <v>Avant 1949</v>
      </c>
      <c r="M513" s="191" t="str">
        <f>'1_BD questio brut'!K513</f>
        <v>1; 4</v>
      </c>
      <c r="N513" s="191" t="str">
        <f>'1_BD questio brut'!L513</f>
        <v>F</v>
      </c>
      <c r="O513" s="191" t="str">
        <f>'1_BD questio brut'!M513</f>
        <v>Propriétaire occupant</v>
      </c>
      <c r="P513" s="191" t="str">
        <f>'1_BD questio brut'!N513</f>
        <v>Insert / foyer fermé</v>
      </c>
      <c r="Q513" s="191" t="str">
        <f>'1_BD questio brut'!O513</f>
        <v>Plaisir/agrément</v>
      </c>
      <c r="R513" s="191" t="str">
        <f>'1_BD questio brut'!P513</f>
        <v>Moins de 15 fois par an</v>
      </c>
      <c r="S513" s="191" t="str">
        <f>'1_BD questio brut'!Q513</f>
        <v>6</v>
      </c>
      <c r="T513" s="191" t="str">
        <f>'1_BD questio brut'!R513</f>
        <v>1996-2002</v>
      </c>
      <c r="U513" s="191" t="str">
        <f>'1_BD questio brut'!S513</f>
        <v>Bois bûche</v>
      </c>
      <c r="V513" s="191" t="str">
        <f>'1_BD questio brut'!T513</f>
        <v/>
      </c>
      <c r="W513" s="191" t="str">
        <f>'1_BD questio brut'!U513</f>
        <v>Inconnu</v>
      </c>
      <c r="X513" s="191" t="str">
        <f>'1_BD questio brut'!V513</f>
        <v/>
      </c>
      <c r="Y513" s="191" t="str">
        <f>'1_BD questio brut'!W513</f>
        <v>2</v>
      </c>
      <c r="Z513" s="191" t="str">
        <f>'1_BD questio brut'!X513</f>
        <v/>
      </c>
      <c r="AA513" s="191" t="str">
        <f t="array" ref="AA513">INDEX('Données 1_BD questio'!C:C,MATCH('1_BD questio brut'!$Y$1&amp;'1_BD questio brut'!Y513,'Données 1_BD questio'!A:A&amp;'Données 1_BD questio'!B:B,0))</f>
        <v>Ne sait pas</v>
      </c>
      <c r="AB513" s="191" t="str">
        <f>'1_BD questio brut'!Z513</f>
        <v>2</v>
      </c>
      <c r="AC513" s="191" t="str">
        <f>'1_BD questio brut'!AA513</f>
        <v>Ne sait pas</v>
      </c>
      <c r="AD513" s="191" t="str">
        <f>'1_BD questio brut'!AB513</f>
        <v>Ne sait pas</v>
      </c>
      <c r="AE513" s="191" t="str">
        <f t="array" ref="AE513">INDEX('Données 1_BD questio'!C:C,MATCH('1_BD questio brut'!$AC$1&amp;'1_BD questio brut'!AC513,'Données 1_BD questio'!A:A&amp;'Données 1_BD questio'!B:B,0))</f>
        <v>un professionnel</v>
      </c>
      <c r="AF513" s="191" t="str">
        <f>'1_BD questio brut'!AD513</f>
        <v>1 fois par an</v>
      </c>
      <c r="AG513" s="191" t="str">
        <f>'1_BD questio brut'!AE513</f>
        <v/>
      </c>
      <c r="AH513" s="191" t="str">
        <f>'1_BD questio brut'!AF513</f>
        <v>Poêle</v>
      </c>
      <c r="AI513" s="191" t="str">
        <f>'1_BD questio brut'!AG513</f>
        <v>1; 2</v>
      </c>
      <c r="AJ513" s="191" t="str">
        <f>'1_BD questio brut'!AH513</f>
        <v/>
      </c>
      <c r="AK513" s="191" t="str">
        <f>'1_BD questio brut'!AI513</f>
        <v>Chauffage de base</v>
      </c>
      <c r="AL513" s="191" t="str">
        <f>'1_BD questio brut'!AJ513</f>
        <v>Pas de réponse</v>
      </c>
      <c r="AM513" s="191" t="str">
        <f>'1_BD questio brut'!AK513</f>
        <v>2; 4</v>
      </c>
      <c r="AN513" s="191" t="str">
        <f>'1_BD questio brut'!AL513</f>
        <v/>
      </c>
      <c r="AO513" s="191" t="str">
        <f>'1_BD questio brut'!AM513</f>
        <v>1</v>
      </c>
      <c r="AP513" s="191" t="str">
        <f>'1_BD questio brut'!AN513</f>
        <v/>
      </c>
      <c r="AQ513" s="191" t="str">
        <f>'1_BD questio brut'!AO513</f>
        <v/>
      </c>
    </row>
    <row r="514" spans="1:43" hidden="1">
      <c r="C514" s="191"/>
      <c r="D514" s="191"/>
      <c r="E514" s="191"/>
      <c r="F514" s="191"/>
      <c r="G514" s="191"/>
      <c r="H514" s="191"/>
      <c r="I514" s="191"/>
      <c r="J514" s="191"/>
      <c r="K514" s="191"/>
      <c r="L514" s="191"/>
      <c r="M514" s="191"/>
      <c r="N514" s="191"/>
      <c r="O514" s="191"/>
      <c r="P514" s="191"/>
      <c r="Q514" s="191"/>
      <c r="R514" s="191"/>
      <c r="S514" s="191"/>
      <c r="T514" s="191"/>
      <c r="U514" s="191"/>
      <c r="V514" s="191"/>
      <c r="W514" s="191"/>
      <c r="X514" s="191"/>
      <c r="Y514" s="191"/>
      <c r="Z514" s="191"/>
      <c r="AA514" s="191"/>
      <c r="AB514" s="191"/>
      <c r="AC514" s="191"/>
      <c r="AD514" s="191"/>
      <c r="AE514" s="191"/>
      <c r="AF514" s="191"/>
      <c r="AG514" s="191"/>
      <c r="AH514" s="191"/>
      <c r="AI514" s="191"/>
      <c r="AJ514" s="191"/>
      <c r="AK514" s="191"/>
      <c r="AL514" s="191"/>
      <c r="AM514" s="191"/>
      <c r="AN514" s="191"/>
      <c r="AO514" s="191"/>
      <c r="AP514" s="191"/>
      <c r="AQ514" s="191"/>
    </row>
    <row r="515" spans="1:43" ht="43.5" hidden="1">
      <c r="A515" s="98">
        <f>INDEX('3_BD instruction total'!A:A,MATCH(C515,'3_BD instruction total'!F:F,0))</f>
        <v>2022</v>
      </c>
      <c r="B515" s="98" t="str">
        <f>INDEX('3_BD instruction total'!C:C,MATCH(C515,'3_BD instruction total'!F:F,0))</f>
        <v>non</v>
      </c>
      <c r="C515" s="191" t="str">
        <f>'1_BD questio brut'!A515</f>
        <v>VRB0554</v>
      </c>
      <c r="D515" s="191" t="str">
        <f t="array" ref="D515">INDEX('Données 1_BD questio'!C:C,MATCH('1_BD questio brut'!$B$1&amp;'1_BD questio brut'!B515,'Données 1_BD questio'!A:A&amp;'Données 1_BD questio'!B:B,0))</f>
        <v>CAPV</v>
      </c>
      <c r="E515" s="191" t="str">
        <f t="array" ref="E515">INDEX('Données 1_BD questio'!C:C,MATCH('1_BD questio brut'!$C$1&amp;'1_BD questio brut'!C515,'Données 1_BD questio'!A:A&amp;'Données 1_BD questio'!B:B,0))</f>
        <v>Retraité</v>
      </c>
      <c r="F515" s="191" t="str">
        <f t="array" ref="F515">INDEX('Données 1_BD questio'!C:C,MATCH('1_BD questio brut'!$D$1&amp;'1_BD questio brut'!D515,'Données 1_BD questio'!A:A&amp;'Données 1_BD questio'!B:B,0))</f>
        <v>Retraité</v>
      </c>
      <c r="G515" s="191" t="str">
        <f>'1_BD questio brut'!E515</f>
        <v>65 ans et plus</v>
      </c>
      <c r="H515" s="191">
        <f>'1_BD questio brut'!F515</f>
        <v>2</v>
      </c>
      <c r="I515" s="191" t="str">
        <f>'1_BD questio brut'!G515</f>
        <v>40 000 à 50 000 €</v>
      </c>
      <c r="J515" s="191" t="str">
        <f t="array" ref="J515">INDEX('Données 1_BD questio'!C:C,MATCH('1_BD questio brut'!$H$1&amp;'1_BD questio brut'!H515,'Données 1_BD questio'!A:A&amp;'Données 1_BD questio'!B:B,0))</f>
        <v>Maison avec jardin</v>
      </c>
      <c r="K515" s="191">
        <f>'1_BD questio brut'!I515</f>
        <v>110</v>
      </c>
      <c r="L515" s="191" t="str">
        <f>'1_BD questio brut'!J515</f>
        <v>1975-1990</v>
      </c>
      <c r="M515" s="191" t="str">
        <f>'1_BD questio brut'!K515</f>
        <v>6</v>
      </c>
      <c r="N515" s="191" t="str">
        <f>'1_BD questio brut'!L515</f>
        <v>Pas de réponse</v>
      </c>
      <c r="O515" s="191" t="str">
        <f>'1_BD questio brut'!M515</f>
        <v>Propriétaire occupant</v>
      </c>
      <c r="P515" s="191" t="str">
        <f>'1_BD questio brut'!N515</f>
        <v>Foyer ouvert</v>
      </c>
      <c r="Q515" s="191" t="str">
        <f>'1_BD questio brut'!O515</f>
        <v>Chauffage d'apoint</v>
      </c>
      <c r="R515" s="191" t="str">
        <f>'1_BD questio brut'!P515</f>
        <v>3 à 4 jours/semaine</v>
      </c>
      <c r="S515" s="191" t="str">
        <f>'1_BD questio brut'!Q515</f>
        <v>2; 3</v>
      </c>
      <c r="T515" s="191" t="str">
        <f>'1_BD questio brut'!R515</f>
        <v>Avant 1990</v>
      </c>
      <c r="U515" s="191" t="str">
        <f>'1_BD questio brut'!S515</f>
        <v>Bois de récupération, à préciser</v>
      </c>
      <c r="V515" s="191" t="str">
        <f>'1_BD questio brut'!T515</f>
        <v>Bois personnel</v>
      </c>
      <c r="W515" s="191" t="str">
        <f>'1_BD questio brut'!U515</f>
        <v>6</v>
      </c>
      <c r="X515" s="191" t="str">
        <f>'1_BD questio brut'!V515</f>
        <v>Stères</v>
      </c>
      <c r="Y515" s="191" t="str">
        <f>'1_BD questio brut'!W515</f>
        <v>1</v>
      </c>
      <c r="Z515" s="191" t="str">
        <f>'1_BD questio brut'!X515</f>
        <v/>
      </c>
      <c r="AA515" s="191" t="str">
        <f t="array" ref="AA515">INDEX('Données 1_BD questio'!C:C,MATCH('1_BD questio brut'!$Y$1&amp;'1_BD questio brut'!Y515,'Données 1_BD questio'!A:A&amp;'Données 1_BD questio'!B:B,0))</f>
        <v>Pas de réponse</v>
      </c>
      <c r="AB515" s="191" t="str">
        <f>'1_BD questio brut'!Z515</f>
        <v>1; 2</v>
      </c>
      <c r="AC515" s="191" t="str">
        <f>'1_BD questio brut'!AA515</f>
        <v>&gt; 2 ans</v>
      </c>
      <c r="AD515" s="191" t="str">
        <f>'1_BD questio brut'!AB515</f>
        <v>Les deux</v>
      </c>
      <c r="AE515" s="191" t="str">
        <f t="array" ref="AE515">INDEX('Données 1_BD questio'!C:C,MATCH('1_BD questio brut'!$AC$1&amp;'1_BD questio brut'!AC515,'Données 1_BD questio'!A:A&amp;'Données 1_BD questio'!B:B,0))</f>
        <v>vous-même</v>
      </c>
      <c r="AF515" s="191" t="str">
        <f>'1_BD questio brut'!AD515</f>
        <v>1 fois par an</v>
      </c>
      <c r="AG515" s="191" t="str">
        <f>'1_BD questio brut'!AE515</f>
        <v/>
      </c>
      <c r="AH515" s="191" t="str">
        <f>'1_BD questio brut'!AF515</f>
        <v>Insert cheminée</v>
      </c>
      <c r="AI515" s="191" t="str">
        <f>'1_BD questio brut'!AG515</f>
        <v>1</v>
      </c>
      <c r="AJ515" s="191" t="str">
        <f>'1_BD questio brut'!AH515</f>
        <v/>
      </c>
      <c r="AK515" s="191" t="str">
        <f>'1_BD questio brut'!AI515</f>
        <v>Chauffage de base</v>
      </c>
      <c r="AL515" s="191" t="str">
        <f>'1_BD questio brut'!AJ515</f>
        <v>Pas de réponse</v>
      </c>
      <c r="AM515" s="191" t="str">
        <f>'1_BD questio brut'!AK515</f>
        <v>1; 2; 4; 5</v>
      </c>
      <c r="AN515" s="191" t="str">
        <f>'1_BD questio brut'!AL515</f>
        <v/>
      </c>
      <c r="AO515" s="191" t="str">
        <f>'1_BD questio brut'!AM515</f>
        <v>5</v>
      </c>
      <c r="AP515" s="191" t="str">
        <f>'1_BD questio brut'!AN515</f>
        <v/>
      </c>
      <c r="AQ515" s="191" t="str">
        <f>'1_BD questio brut'!AO515</f>
        <v/>
      </c>
    </row>
    <row r="516" spans="1:43" hidden="1">
      <c r="C516" s="191"/>
      <c r="D516" s="191"/>
      <c r="E516" s="191"/>
      <c r="F516" s="191"/>
      <c r="G516" s="191"/>
      <c r="H516" s="191"/>
      <c r="I516" s="191"/>
      <c r="J516" s="191"/>
      <c r="K516" s="191"/>
      <c r="L516" s="191"/>
      <c r="M516" s="191"/>
      <c r="N516" s="191"/>
      <c r="O516" s="191"/>
      <c r="P516" s="191"/>
      <c r="Q516" s="191"/>
      <c r="R516" s="191"/>
      <c r="S516" s="191"/>
      <c r="T516" s="191"/>
      <c r="U516" s="191"/>
      <c r="V516" s="191"/>
      <c r="W516" s="191"/>
      <c r="X516" s="191"/>
      <c r="Y516" s="191"/>
      <c r="Z516" s="191"/>
      <c r="AA516" s="191"/>
      <c r="AB516" s="191"/>
      <c r="AC516" s="191"/>
      <c r="AD516" s="191"/>
      <c r="AE516" s="191"/>
      <c r="AF516" s="191"/>
      <c r="AG516" s="191"/>
      <c r="AH516" s="191"/>
      <c r="AI516" s="191"/>
      <c r="AJ516" s="191"/>
      <c r="AK516" s="191"/>
      <c r="AL516" s="191"/>
      <c r="AM516" s="191"/>
      <c r="AN516" s="191"/>
      <c r="AO516" s="191"/>
      <c r="AP516" s="191"/>
      <c r="AQ516" s="191"/>
    </row>
    <row r="517" spans="1:43" ht="43.5" hidden="1">
      <c r="A517" s="98">
        <f>INDEX('3_BD instruction total'!A:A,MATCH(C517,'3_BD instruction total'!F:F,0))</f>
        <v>1900</v>
      </c>
      <c r="B517" s="98" t="str">
        <f>INDEX('3_BD instruction total'!C:C,MATCH(C517,'3_BD instruction total'!F:F,0))</f>
        <v>non</v>
      </c>
      <c r="C517" s="191" t="str">
        <f>'1_BD questio brut'!A517</f>
        <v>VRB0556</v>
      </c>
      <c r="D517" s="191" t="str">
        <f t="array" ref="D517">INDEX('Données 1_BD questio'!C:C,MATCH('1_BD questio brut'!$B$1&amp;'1_BD questio brut'!B517,'Données 1_BD questio'!A:A&amp;'Données 1_BD questio'!B:B,0))</f>
        <v>CAPV</v>
      </c>
      <c r="E517" s="191" t="str">
        <f t="array" ref="E517">INDEX('Données 1_BD questio'!C:C,MATCH('1_BD questio brut'!$C$1&amp;'1_BD questio brut'!C517,'Données 1_BD questio'!A:A&amp;'Données 1_BD questio'!B:B,0))</f>
        <v>Retraité</v>
      </c>
      <c r="F517" s="191" t="str">
        <f t="array" ref="F517">INDEX('Données 1_BD questio'!C:C,MATCH('1_BD questio brut'!$D$1&amp;'1_BD questio brut'!D517,'Données 1_BD questio'!A:A&amp;'Données 1_BD questio'!B:B,0))</f>
        <v>Retraité</v>
      </c>
      <c r="G517" s="191" t="str">
        <f>'1_BD questio brut'!E517</f>
        <v>65 ans et plus</v>
      </c>
      <c r="H517" s="191">
        <f>'1_BD questio brut'!F517</f>
        <v>2</v>
      </c>
      <c r="I517" s="191" t="str">
        <f>'1_BD questio brut'!G517</f>
        <v>30 000 à 40 000 €</v>
      </c>
      <c r="J517" s="191" t="str">
        <f t="array" ref="J517">INDEX('Données 1_BD questio'!C:C,MATCH('1_BD questio brut'!$H$1&amp;'1_BD questio brut'!H517,'Données 1_BD questio'!A:A&amp;'Données 1_BD questio'!B:B,0))</f>
        <v>Maison avec jardin</v>
      </c>
      <c r="K517" s="191">
        <f>'1_BD questio brut'!I517</f>
        <v>120</v>
      </c>
      <c r="L517" s="191" t="str">
        <f>'1_BD questio brut'!J517</f>
        <v>1975-1990</v>
      </c>
      <c r="M517" s="191" t="str">
        <f>'1_BD questio brut'!K517</f>
        <v>3</v>
      </c>
      <c r="N517" s="191" t="str">
        <f>'1_BD questio brut'!L517</f>
        <v>Pas de réponse</v>
      </c>
      <c r="O517" s="191" t="str">
        <f>'1_BD questio brut'!M517</f>
        <v>Propriétaire occupant</v>
      </c>
      <c r="P517" s="191" t="str">
        <f>'1_BD questio brut'!N517</f>
        <v>Foyer ouvert</v>
      </c>
      <c r="Q517" s="191" t="str">
        <f>'1_BD questio brut'!O517</f>
        <v>Chauffage d'apoint</v>
      </c>
      <c r="R517" s="191" t="str">
        <f>'1_BD questio brut'!P517</f>
        <v>3 à 4 jours/semaine</v>
      </c>
      <c r="S517" s="191" t="str">
        <f>'1_BD questio brut'!Q517</f>
        <v>2; 6</v>
      </c>
      <c r="T517" s="191" t="str">
        <f>'1_BD questio brut'!R517</f>
        <v>Avant 1990</v>
      </c>
      <c r="U517" s="191" t="str">
        <f>'1_BD questio brut'!S517</f>
        <v>Bois bûche</v>
      </c>
      <c r="V517" s="191" t="str">
        <f>'1_BD questio brut'!T517</f>
        <v/>
      </c>
      <c r="W517" s="191" t="str">
        <f>'1_BD questio brut'!U517</f>
        <v>1</v>
      </c>
      <c r="X517" s="191" t="str">
        <f>'1_BD questio brut'!V517</f>
        <v>stère</v>
      </c>
      <c r="Y517" s="191" t="str">
        <f>'1_BD questio brut'!W517</f>
        <v>2</v>
      </c>
      <c r="Z517" s="191" t="str">
        <f>'1_BD questio brut'!X517</f>
        <v/>
      </c>
      <c r="AA517" s="191" t="str">
        <f t="array" ref="AA517">INDEX('Données 1_BD questio'!C:C,MATCH('1_BD questio brut'!$Y$1&amp;'1_BD questio brut'!Y517,'Données 1_BD questio'!A:A&amp;'Données 1_BD questio'!B:B,0))</f>
        <v>RA2B</v>
      </c>
      <c r="AB517" s="191" t="str">
        <f>'1_BD questio brut'!Z517</f>
        <v>1</v>
      </c>
      <c r="AC517" s="191" t="str">
        <f>'1_BD questio brut'!AA517</f>
        <v>&gt; 2 ans</v>
      </c>
      <c r="AD517" s="191" t="str">
        <f>'1_BD questio brut'!AB517</f>
        <v>Les deux</v>
      </c>
      <c r="AE517" s="191" t="str">
        <f t="array" ref="AE517">INDEX('Données 1_BD questio'!C:C,MATCH('1_BD questio brut'!$AC$1&amp;'1_BD questio brut'!AC517,'Données 1_BD questio'!A:A&amp;'Données 1_BD questio'!B:B,0))</f>
        <v>un professionnel</v>
      </c>
      <c r="AF517" s="191" t="str">
        <f>'1_BD questio brut'!AD517</f>
        <v>1 fois par an</v>
      </c>
      <c r="AG517" s="191" t="str">
        <f>'1_BD questio brut'!AE517</f>
        <v/>
      </c>
      <c r="AH517" s="191" t="str">
        <f>'1_BD questio brut'!AF517</f>
        <v>Insert cheminée</v>
      </c>
      <c r="AI517" s="191" t="str">
        <f>'1_BD questio brut'!AG517</f>
        <v>1</v>
      </c>
      <c r="AJ517" s="191" t="str">
        <f>'1_BD questio brut'!AH517</f>
        <v/>
      </c>
      <c r="AK517" s="191" t="str">
        <f>'1_BD questio brut'!AI517</f>
        <v>Chauffage d'appoint</v>
      </c>
      <c r="AL517" s="191" t="str">
        <f>'1_BD questio brut'!AJ517</f>
        <v>Pas de réponse</v>
      </c>
      <c r="AM517" s="191" t="str">
        <f>'1_BD questio brut'!AK517</f>
        <v>1; 5</v>
      </c>
      <c r="AN517" s="191" t="str">
        <f>'1_BD questio brut'!AL517</f>
        <v/>
      </c>
      <c r="AO517" s="191" t="str">
        <f>'1_BD questio brut'!AM517</f>
        <v>7</v>
      </c>
      <c r="AP517" s="191" t="str">
        <f>'1_BD questio brut'!AN517</f>
        <v/>
      </c>
      <c r="AQ517" s="191" t="str">
        <f>'1_BD questio brut'!AO517</f>
        <v/>
      </c>
    </row>
    <row r="518" spans="1:43" hidden="1">
      <c r="C518" s="191"/>
      <c r="D518" s="191"/>
      <c r="E518" s="191"/>
      <c r="F518" s="191"/>
      <c r="G518" s="191"/>
      <c r="H518" s="191"/>
      <c r="I518" s="191"/>
      <c r="J518" s="191"/>
      <c r="K518" s="191"/>
      <c r="L518" s="191"/>
      <c r="M518" s="191"/>
      <c r="N518" s="191"/>
      <c r="O518" s="191"/>
      <c r="P518" s="191"/>
      <c r="Q518" s="191"/>
      <c r="R518" s="191"/>
      <c r="S518" s="191"/>
      <c r="T518" s="191"/>
      <c r="U518" s="191"/>
      <c r="V518" s="191"/>
      <c r="W518" s="191"/>
      <c r="X518" s="191"/>
      <c r="Y518" s="191"/>
      <c r="Z518" s="191"/>
      <c r="AA518" s="191"/>
      <c r="AB518" s="191"/>
      <c r="AC518" s="191"/>
      <c r="AD518" s="191"/>
      <c r="AE518" s="191"/>
      <c r="AF518" s="191"/>
      <c r="AG518" s="191"/>
      <c r="AH518" s="191"/>
      <c r="AI518" s="191"/>
      <c r="AJ518" s="191"/>
      <c r="AK518" s="191"/>
      <c r="AL518" s="191"/>
      <c r="AM518" s="191"/>
      <c r="AN518" s="191"/>
      <c r="AO518" s="191"/>
      <c r="AP518" s="191"/>
      <c r="AQ518" s="191"/>
    </row>
    <row r="519" spans="1:43" hidden="1">
      <c r="C519" s="191"/>
      <c r="D519" s="191"/>
      <c r="E519" s="191"/>
      <c r="F519" s="191"/>
      <c r="G519" s="191"/>
      <c r="H519" s="191"/>
      <c r="I519" s="191"/>
      <c r="J519" s="191"/>
      <c r="K519" s="191"/>
      <c r="L519" s="191"/>
      <c r="M519" s="191"/>
      <c r="N519" s="191"/>
      <c r="O519" s="191"/>
      <c r="P519" s="191"/>
      <c r="Q519" s="191"/>
      <c r="R519" s="191"/>
      <c r="S519" s="191"/>
      <c r="T519" s="191"/>
      <c r="U519" s="191"/>
      <c r="V519" s="191"/>
      <c r="W519" s="191"/>
      <c r="X519" s="191"/>
      <c r="Y519" s="191"/>
      <c r="Z519" s="191"/>
      <c r="AA519" s="191"/>
      <c r="AB519" s="191"/>
      <c r="AC519" s="191"/>
      <c r="AD519" s="191"/>
      <c r="AE519" s="191"/>
      <c r="AF519" s="191"/>
      <c r="AG519" s="191"/>
      <c r="AH519" s="191"/>
      <c r="AI519" s="191"/>
      <c r="AJ519" s="191"/>
      <c r="AK519" s="191"/>
      <c r="AL519" s="191"/>
      <c r="AM519" s="191"/>
      <c r="AN519" s="191"/>
      <c r="AO519" s="191"/>
      <c r="AP519" s="191"/>
      <c r="AQ519" s="191"/>
    </row>
    <row r="520" spans="1:43" hidden="1">
      <c r="C520" s="191"/>
      <c r="D520" s="191"/>
      <c r="E520" s="191"/>
      <c r="F520" s="191"/>
      <c r="G520" s="191"/>
      <c r="H520" s="191"/>
      <c r="I520" s="191"/>
      <c r="J520" s="191"/>
      <c r="K520" s="191"/>
      <c r="L520" s="191"/>
      <c r="M520" s="191"/>
      <c r="N520" s="191"/>
      <c r="O520" s="191"/>
      <c r="P520" s="191"/>
      <c r="Q520" s="191"/>
      <c r="R520" s="191"/>
      <c r="S520" s="191"/>
      <c r="T520" s="191"/>
      <c r="U520" s="191"/>
      <c r="V520" s="191"/>
      <c r="W520" s="191"/>
      <c r="X520" s="191"/>
      <c r="Y520" s="191"/>
      <c r="Z520" s="191"/>
      <c r="AA520" s="191"/>
      <c r="AB520" s="191"/>
      <c r="AC520" s="191"/>
      <c r="AD520" s="191"/>
      <c r="AE520" s="191"/>
      <c r="AF520" s="191"/>
      <c r="AG520" s="191"/>
      <c r="AH520" s="191"/>
      <c r="AI520" s="191"/>
      <c r="AJ520" s="191"/>
      <c r="AK520" s="191"/>
      <c r="AL520" s="191"/>
      <c r="AM520" s="191"/>
      <c r="AN520" s="191"/>
      <c r="AO520" s="191"/>
      <c r="AP520" s="191"/>
      <c r="AQ520" s="191"/>
    </row>
    <row r="521" spans="1:43" hidden="1">
      <c r="C521" s="191"/>
      <c r="D521" s="191"/>
      <c r="E521" s="191"/>
      <c r="F521" s="191"/>
      <c r="G521" s="191"/>
      <c r="H521" s="191"/>
      <c r="I521" s="191"/>
      <c r="J521" s="191"/>
      <c r="K521" s="191"/>
      <c r="L521" s="191"/>
      <c r="M521" s="191"/>
      <c r="N521" s="191"/>
      <c r="O521" s="191"/>
      <c r="P521" s="191"/>
      <c r="Q521" s="191"/>
      <c r="R521" s="191"/>
      <c r="S521" s="191"/>
      <c r="T521" s="191"/>
      <c r="U521" s="191"/>
      <c r="V521" s="191"/>
      <c r="W521" s="191"/>
      <c r="X521" s="191"/>
      <c r="Y521" s="191"/>
      <c r="Z521" s="191"/>
      <c r="AA521" s="191"/>
      <c r="AB521" s="191"/>
      <c r="AC521" s="191"/>
      <c r="AD521" s="191"/>
      <c r="AE521" s="191"/>
      <c r="AF521" s="191"/>
      <c r="AG521" s="191"/>
      <c r="AH521" s="191"/>
      <c r="AI521" s="191"/>
      <c r="AJ521" s="191"/>
      <c r="AK521" s="191"/>
      <c r="AL521" s="191"/>
      <c r="AM521" s="191"/>
      <c r="AN521" s="191"/>
      <c r="AO521" s="191"/>
      <c r="AP521" s="191"/>
      <c r="AQ521" s="191"/>
    </row>
    <row r="522" spans="1:43" hidden="1">
      <c r="C522" s="191"/>
      <c r="D522" s="191"/>
      <c r="E522" s="191"/>
      <c r="F522" s="191"/>
      <c r="G522" s="191"/>
      <c r="H522" s="191"/>
      <c r="I522" s="191"/>
      <c r="J522" s="191"/>
      <c r="K522" s="191"/>
      <c r="L522" s="191"/>
      <c r="M522" s="191"/>
      <c r="N522" s="191"/>
      <c r="O522" s="191"/>
      <c r="P522" s="191"/>
      <c r="Q522" s="191"/>
      <c r="R522" s="191"/>
      <c r="S522" s="191"/>
      <c r="T522" s="191"/>
      <c r="U522" s="191"/>
      <c r="V522" s="191"/>
      <c r="W522" s="191"/>
      <c r="X522" s="191"/>
      <c r="Y522" s="191"/>
      <c r="Z522" s="191"/>
      <c r="AA522" s="191"/>
      <c r="AB522" s="191"/>
      <c r="AC522" s="191"/>
      <c r="AD522" s="191"/>
      <c r="AE522" s="191"/>
      <c r="AF522" s="191"/>
      <c r="AG522" s="191"/>
      <c r="AH522" s="191"/>
      <c r="AI522" s="191"/>
      <c r="AJ522" s="191"/>
      <c r="AK522" s="191"/>
      <c r="AL522" s="191"/>
      <c r="AM522" s="191"/>
      <c r="AN522" s="191"/>
      <c r="AO522" s="191"/>
      <c r="AP522" s="191"/>
      <c r="AQ522" s="191"/>
    </row>
    <row r="523" spans="1:43" hidden="1">
      <c r="C523" s="191"/>
      <c r="D523" s="191"/>
      <c r="E523" s="191"/>
      <c r="F523" s="191"/>
      <c r="G523" s="191"/>
      <c r="H523" s="191"/>
      <c r="I523" s="191"/>
      <c r="J523" s="191"/>
      <c r="K523" s="191"/>
      <c r="L523" s="191"/>
      <c r="M523" s="191"/>
      <c r="N523" s="191"/>
      <c r="O523" s="191"/>
      <c r="P523" s="191"/>
      <c r="Q523" s="191"/>
      <c r="R523" s="191"/>
      <c r="S523" s="191"/>
      <c r="T523" s="191"/>
      <c r="U523" s="191"/>
      <c r="V523" s="191"/>
      <c r="W523" s="191"/>
      <c r="X523" s="191"/>
      <c r="Y523" s="191"/>
      <c r="Z523" s="191"/>
      <c r="AA523" s="191"/>
      <c r="AB523" s="191"/>
      <c r="AC523" s="191"/>
      <c r="AD523" s="191"/>
      <c r="AE523" s="191"/>
      <c r="AF523" s="191"/>
      <c r="AG523" s="191"/>
      <c r="AH523" s="191"/>
      <c r="AI523" s="191"/>
      <c r="AJ523" s="191"/>
      <c r="AK523" s="191"/>
      <c r="AL523" s="191"/>
      <c r="AM523" s="191"/>
      <c r="AN523" s="191"/>
      <c r="AO523" s="191"/>
      <c r="AP523" s="191"/>
      <c r="AQ523" s="191"/>
    </row>
    <row r="524" spans="1:43" hidden="1">
      <c r="C524" s="191"/>
      <c r="D524" s="191"/>
      <c r="E524" s="191"/>
      <c r="F524" s="191"/>
      <c r="G524" s="191"/>
      <c r="H524" s="191"/>
      <c r="I524" s="191"/>
      <c r="J524" s="191"/>
      <c r="K524" s="191"/>
      <c r="L524" s="191"/>
      <c r="M524" s="191"/>
      <c r="N524" s="191"/>
      <c r="O524" s="191"/>
      <c r="P524" s="191"/>
      <c r="Q524" s="191"/>
      <c r="R524" s="191"/>
      <c r="S524" s="191"/>
      <c r="T524" s="191"/>
      <c r="U524" s="191"/>
      <c r="V524" s="191"/>
      <c r="W524" s="191"/>
      <c r="X524" s="191"/>
      <c r="Y524" s="191"/>
      <c r="Z524" s="191"/>
      <c r="AA524" s="191"/>
      <c r="AB524" s="191"/>
      <c r="AC524" s="191"/>
      <c r="AD524" s="191"/>
      <c r="AE524" s="191"/>
      <c r="AF524" s="191"/>
      <c r="AG524" s="191"/>
      <c r="AH524" s="191"/>
      <c r="AI524" s="191"/>
      <c r="AJ524" s="191"/>
      <c r="AK524" s="191"/>
      <c r="AL524" s="191"/>
      <c r="AM524" s="191"/>
      <c r="AN524" s="191"/>
      <c r="AO524" s="191"/>
      <c r="AP524" s="191"/>
      <c r="AQ524" s="191"/>
    </row>
    <row r="525" spans="1:43" hidden="1">
      <c r="C525" s="191"/>
      <c r="D525" s="191"/>
      <c r="E525" s="191"/>
      <c r="F525" s="191"/>
      <c r="G525" s="191"/>
      <c r="H525" s="191"/>
      <c r="I525" s="191"/>
      <c r="J525" s="191"/>
      <c r="K525" s="191"/>
      <c r="L525" s="191"/>
      <c r="M525" s="191"/>
      <c r="N525" s="191"/>
      <c r="O525" s="191"/>
      <c r="P525" s="191"/>
      <c r="Q525" s="191"/>
      <c r="R525" s="191"/>
      <c r="S525" s="191"/>
      <c r="T525" s="191"/>
      <c r="U525" s="191"/>
      <c r="V525" s="191"/>
      <c r="W525" s="191"/>
      <c r="X525" s="191"/>
      <c r="Y525" s="191"/>
      <c r="Z525" s="191"/>
      <c r="AA525" s="191"/>
      <c r="AB525" s="191"/>
      <c r="AC525" s="191"/>
      <c r="AD525" s="191"/>
      <c r="AE525" s="191"/>
      <c r="AF525" s="191"/>
      <c r="AG525" s="191"/>
      <c r="AH525" s="191"/>
      <c r="AI525" s="191"/>
      <c r="AJ525" s="191"/>
      <c r="AK525" s="191"/>
      <c r="AL525" s="191"/>
      <c r="AM525" s="191"/>
      <c r="AN525" s="191"/>
      <c r="AO525" s="191"/>
      <c r="AP525" s="191"/>
      <c r="AQ525" s="191"/>
    </row>
  </sheetData>
  <autoFilter ref="A1:AQ525">
    <filterColumn colId="40">
      <filters>
        <filter val="3"/>
      </filters>
    </filterColumn>
  </autoFilter>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47"/>
  <sheetViews>
    <sheetView zoomScale="70" zoomScaleNormal="70" workbookViewId="0"/>
  </sheetViews>
  <sheetFormatPr baseColWidth="10" defaultColWidth="11.453125" defaultRowHeight="14.5"/>
  <cols>
    <col min="1" max="1" width="21" style="59" customWidth="1"/>
    <col min="2" max="2" width="52.54296875" style="59" customWidth="1"/>
    <col min="3" max="32" width="15.7265625" style="59" customWidth="1"/>
    <col min="33" max="35" width="16.26953125" style="59" customWidth="1"/>
    <col min="36" max="16384" width="11.453125" style="59"/>
  </cols>
  <sheetData>
    <row r="1" spans="1:25">
      <c r="A1" s="209" t="s">
        <v>1220</v>
      </c>
      <c r="B1" s="210" t="s">
        <v>4107</v>
      </c>
    </row>
    <row r="2" spans="1:25">
      <c r="A2" s="59" t="s">
        <v>1218</v>
      </c>
      <c r="B2" s="59" t="s">
        <v>1219</v>
      </c>
    </row>
    <row r="4" spans="1:25" ht="43.5">
      <c r="A4" s="134"/>
      <c r="B4" s="88">
        <v>2020</v>
      </c>
      <c r="C4" s="88" t="str">
        <f t="shared" ref="C4" si="0">CONCATENATE(B4," ",$A$2,CHAR(10),"N=",B9)</f>
        <v>2020 Ancien usage
N=10</v>
      </c>
      <c r="D4" s="88">
        <v>2020</v>
      </c>
      <c r="E4" s="88" t="str">
        <f t="shared" ref="E4" si="1">CONCATENATE(D4," ",$B$2,CHAR(10),"N=",D9)</f>
        <v>2020 Nouvel usage
N=10</v>
      </c>
      <c r="F4" s="88">
        <v>2021</v>
      </c>
      <c r="G4" s="88" t="str">
        <f t="shared" ref="G4" si="2">CONCATENATE(F4," ",$A$2,CHAR(10),"N=",F9)</f>
        <v>2021 Ancien usage
N=197</v>
      </c>
      <c r="H4" s="88">
        <v>2021</v>
      </c>
      <c r="I4" s="88" t="str">
        <f t="shared" ref="I4" si="3">CONCATENATE(H4," ",$B$2,CHAR(10),"N=",H9)</f>
        <v>2021 Nouvel usage
N=197</v>
      </c>
      <c r="J4" s="88">
        <v>2022</v>
      </c>
      <c r="K4" s="88" t="str">
        <f t="shared" ref="K4" si="4">CONCATENATE(J4," ",$A$2,CHAR(10),"N=",J9)</f>
        <v>2022 Ancien usage
N=195</v>
      </c>
      <c r="L4" s="88">
        <v>2022</v>
      </c>
      <c r="M4" s="88" t="str">
        <f t="shared" ref="M4" si="5">CONCATENATE(L4," ",$B$2,CHAR(10),"N=",L9)</f>
        <v>2022 Nouvel usage
N=195</v>
      </c>
      <c r="N4" s="88">
        <v>2023</v>
      </c>
      <c r="O4" s="88" t="str">
        <f t="shared" ref="O4" si="6">CONCATENATE(N4," ",$A$2,CHAR(10),"N=",N9)</f>
        <v>2023 Ancien usage
N=0</v>
      </c>
      <c r="P4" s="88">
        <v>2023</v>
      </c>
      <c r="Q4" s="88" t="str">
        <f t="shared" ref="Q4" si="7">CONCATENATE(P4," ",$B$2,CHAR(10),"N=",P9)</f>
        <v>2023 Nouvel usage
N=0</v>
      </c>
      <c r="R4" s="88">
        <v>2024</v>
      </c>
      <c r="S4" s="88" t="str">
        <f t="shared" ref="S4" si="8">CONCATENATE(R4," ",$A$2,CHAR(10),"N=",R9)</f>
        <v>2024 Ancien usage
N=0</v>
      </c>
      <c r="T4" s="88">
        <v>2024</v>
      </c>
      <c r="U4" s="88" t="str">
        <f t="shared" ref="U4" si="9">CONCATENATE(T4," ",$B$2,CHAR(10),"N=",T9)</f>
        <v>2024 Nouvel usage
N=0</v>
      </c>
      <c r="V4" s="88" t="str">
        <f>B1</f>
        <v>2020-2022</v>
      </c>
      <c r="W4" s="88" t="str">
        <f t="shared" ref="W4" si="10">CONCATENATE(V4," ",$A$2,CHAR(10),"N=",V9)</f>
        <v>2020-2022 Ancien usage
N=402</v>
      </c>
      <c r="X4" s="88" t="str">
        <f>B1</f>
        <v>2020-2022</v>
      </c>
      <c r="Y4" s="88" t="str">
        <f t="shared" ref="Y4" si="11">CONCATENATE(X4," ",$B$2,CHAR(10),"N=",X9)</f>
        <v>2020-2022 Nouvel usage
N=402</v>
      </c>
    </row>
    <row r="5" spans="1:25">
      <c r="A5" s="134" t="s">
        <v>134</v>
      </c>
      <c r="B5" s="133">
        <f>COUNTIFS('1_BD questio modifié'!A:A,"2020",'1_BD questio modifié'!B:B,"non",'1_BD questio modifié'!Q:Q,"Chauffage d'apoint")</f>
        <v>7</v>
      </c>
      <c r="C5" s="132">
        <f>B5/$B$9</f>
        <v>0.7</v>
      </c>
      <c r="D5" s="133">
        <f>COUNTIFS('1_BD questio modifié'!$A:$A,"2020",'1_BD questio modifié'!$B:$B,"non",'1_BD questio modifié'!$AK:$AK,A5)</f>
        <v>3</v>
      </c>
      <c r="E5" s="132">
        <f>D5/$D$9</f>
        <v>0.3</v>
      </c>
      <c r="F5" s="133">
        <f>COUNTIFS('1_BD questio modifié'!A:A,"2021",'1_BD questio modifié'!B:B,"non",'1_BD questio modifié'!Q:Q,"Chauffage d'apoint")</f>
        <v>85</v>
      </c>
      <c r="G5" s="132">
        <f>F5/$F$9</f>
        <v>0.43147208121827413</v>
      </c>
      <c r="H5" s="133">
        <f>COUNTIFS('1_BD questio modifié'!$A:$A,"2021",'1_BD questio modifié'!$B:$B,"non",'1_BD questio modifié'!$AK:$AK,A5)</f>
        <v>68</v>
      </c>
      <c r="I5" s="132">
        <f>H5/$H$9</f>
        <v>0.34517766497461927</v>
      </c>
      <c r="J5" s="133">
        <f>COUNTIFS('1_BD questio modifié'!A:A,"2022",'1_BD questio modifié'!B:B,"non",'1_BD questio modifié'!Q:Q,"Chauffage d'apoint")</f>
        <v>99</v>
      </c>
      <c r="K5" s="132">
        <f>J5/$J$9</f>
        <v>0.50769230769230766</v>
      </c>
      <c r="L5" s="133">
        <f>COUNTIFS('1_BD questio modifié'!$A:$A,"2022",'1_BD questio modifié'!$B:$B,"non",'1_BD questio modifié'!$AK:$AK,A5)</f>
        <v>57</v>
      </c>
      <c r="M5" s="132">
        <f>L5/$L$9</f>
        <v>0.29230769230769232</v>
      </c>
      <c r="N5" s="133">
        <f>COUNTIFS('1_BD questio modifié'!A:A,"2023",'1_BD questio modifié'!B:B,"non",'1_BD questio modifié'!Q:Q,"Chauffage d'apoint")</f>
        <v>0</v>
      </c>
      <c r="O5" s="132">
        <f>N5/$J$9</f>
        <v>0</v>
      </c>
      <c r="P5" s="133">
        <f>COUNTIFS('1_BD questio modifié'!$A:$A,"2023",'1_BD questio modifié'!$B:$B,"non",'1_BD questio modifié'!$AK:$AK,A5)</f>
        <v>0</v>
      </c>
      <c r="Q5" s="132">
        <f>P5/$L$9</f>
        <v>0</v>
      </c>
      <c r="R5" s="133">
        <f>COUNTIFS('1_BD questio modifié'!A:A,"2024",'1_BD questio modifié'!B:B,"non",'1_BD questio modifié'!Q:Q,"Chauffage d'apoint")</f>
        <v>0</v>
      </c>
      <c r="S5" s="132">
        <f>R5/$J$9</f>
        <v>0</v>
      </c>
      <c r="T5" s="133">
        <f>COUNTIFS('1_BD questio modifié'!$A:$A,"2024",'1_BD questio modifié'!$B:$B,"non",'1_BD questio modifié'!$AK:$AK,A5)</f>
        <v>0</v>
      </c>
      <c r="U5" s="132">
        <f>T5/$L$9</f>
        <v>0</v>
      </c>
      <c r="V5" s="134">
        <f>B5+F5+J5+N5+R5</f>
        <v>191</v>
      </c>
      <c r="W5" s="136">
        <f>V5/$V$9</f>
        <v>0.47512437810945274</v>
      </c>
      <c r="X5" s="134">
        <f>D5+H5+L5+P5+T5</f>
        <v>128</v>
      </c>
      <c r="Y5" s="137">
        <f>X5/$X$9</f>
        <v>0.31840796019900497</v>
      </c>
    </row>
    <row r="6" spans="1:25">
      <c r="A6" s="134" t="s">
        <v>39</v>
      </c>
      <c r="B6" s="133">
        <f>COUNTIFS('1_BD questio modifié'!A:A,"2020",'1_BD questio modifié'!B:B,"non",'1_BD questio modifié'!Q:Q,A6)</f>
        <v>3</v>
      </c>
      <c r="C6" s="132">
        <f>B6/$B$9</f>
        <v>0.3</v>
      </c>
      <c r="D6" s="133">
        <f>COUNTIFS('1_BD questio modifié'!$A:$A,"2020",'1_BD questio modifié'!$B:$B,"non",'1_BD questio modifié'!$AK:$AK,A6)</f>
        <v>6</v>
      </c>
      <c r="E6" s="132">
        <f>D6/$D$9</f>
        <v>0.6</v>
      </c>
      <c r="F6" s="133">
        <f>COUNTIFS('1_BD questio modifié'!A:A,"2021",'1_BD questio modifié'!B:B,"non",'1_BD questio modifié'!Q:Q,A6)</f>
        <v>103</v>
      </c>
      <c r="G6" s="132">
        <f t="shared" ref="G6:G9" si="12">F6/$F$9</f>
        <v>0.52284263959390864</v>
      </c>
      <c r="H6" s="133">
        <f>COUNTIFS('1_BD questio modifié'!$A:$A,"2021",'1_BD questio modifié'!$B:$B,"non",'1_BD questio modifié'!$AK:$AK,A6)</f>
        <v>129</v>
      </c>
      <c r="I6" s="132">
        <f t="shared" ref="I6:I9" si="13">H6/$H$9</f>
        <v>0.65482233502538068</v>
      </c>
      <c r="J6" s="133">
        <f>COUNTIFS('1_BD questio modifié'!A:A,"2022",'1_BD questio modifié'!B:B,"non",'1_BD questio modifié'!Q:Q,A6)</f>
        <v>88</v>
      </c>
      <c r="K6" s="132">
        <f t="shared" ref="K6:K9" si="14">J6/$J$9</f>
        <v>0.45128205128205129</v>
      </c>
      <c r="L6" s="133">
        <f>COUNTIFS('1_BD questio modifié'!$A:$A,"2022",'1_BD questio modifié'!$B:$B,"non",'1_BD questio modifié'!$AK:$AK,A6)</f>
        <v>137</v>
      </c>
      <c r="M6" s="132">
        <f t="shared" ref="M6:M9" si="15">L6/$L$9</f>
        <v>0.70256410256410251</v>
      </c>
      <c r="N6" s="133">
        <f>COUNTIFS('1_BD questio modifié'!A:A,"2023",'1_BD questio modifié'!B:B,"non",'1_BD questio modifié'!Q:Q,A6)</f>
        <v>0</v>
      </c>
      <c r="O6" s="132">
        <f t="shared" ref="O6:O9" si="16">N6/$J$9</f>
        <v>0</v>
      </c>
      <c r="P6" s="133">
        <f>COUNTIFS('1_BD questio modifié'!$A:$A,"2023",'1_BD questio modifié'!$B:$B,"non",'1_BD questio modifié'!$AK:$AK,A6)</f>
        <v>0</v>
      </c>
      <c r="Q6" s="132">
        <f t="shared" ref="Q6:Q9" si="17">P6/$L$9</f>
        <v>0</v>
      </c>
      <c r="R6" s="133">
        <f>COUNTIFS('1_BD questio modifié'!A:A,"2024",'1_BD questio modifié'!B:B,"non",'1_BD questio modifié'!Q:Q,A6)</f>
        <v>0</v>
      </c>
      <c r="S6" s="132">
        <f t="shared" ref="S6:S9" si="18">R6/$J$9</f>
        <v>0</v>
      </c>
      <c r="T6" s="133">
        <f>COUNTIFS('1_BD questio modifié'!$A:$A,"2024",'1_BD questio modifié'!$B:$B,"non",'1_BD questio modifié'!$AK:$AK,A6)</f>
        <v>0</v>
      </c>
      <c r="U6" s="132">
        <f t="shared" ref="U6:U9" si="19">T6/$L$9</f>
        <v>0</v>
      </c>
      <c r="V6" s="134">
        <f t="shared" ref="V6:V9" si="20">B6+F6+J6+N6+R6</f>
        <v>194</v>
      </c>
      <c r="W6" s="136">
        <f>V6/$V$9</f>
        <v>0.48258706467661694</v>
      </c>
      <c r="X6" s="134">
        <f t="shared" ref="X6:X9" si="21">D6+H6+L6+P6+T6</f>
        <v>272</v>
      </c>
      <c r="Y6" s="137">
        <f>X6/$X$9</f>
        <v>0.6766169154228856</v>
      </c>
    </row>
    <row r="7" spans="1:25">
      <c r="A7" s="134" t="s">
        <v>99</v>
      </c>
      <c r="B7" s="133">
        <f>COUNTIFS('1_BD questio modifié'!A:A,"2020",'1_BD questio modifié'!B:B,"non",'1_BD questio modifié'!Q:Q,A7)</f>
        <v>0</v>
      </c>
      <c r="C7" s="132">
        <f>B7/$B$9</f>
        <v>0</v>
      </c>
      <c r="D7" s="133">
        <f>COUNTIFS('1_BD questio modifié'!$A:$A,"2020",'1_BD questio modifié'!$B:$B,"non",'1_BD questio modifié'!$AK:$AK,A7)</f>
        <v>0</v>
      </c>
      <c r="E7" s="132">
        <f>D7/$D$9</f>
        <v>0</v>
      </c>
      <c r="F7" s="133">
        <f>COUNTIFS('1_BD questio modifié'!A:A,"2021",'1_BD questio modifié'!B:B,"non",'1_BD questio modifié'!Q:Q,A7)</f>
        <v>6</v>
      </c>
      <c r="G7" s="132">
        <f t="shared" si="12"/>
        <v>3.0456852791878174E-2</v>
      </c>
      <c r="H7" s="133">
        <f>COUNTIFS('1_BD questio modifié'!$A:$A,"2021",'1_BD questio modifié'!$B:$B,"non",'1_BD questio modifié'!$AK:$AK,A7)</f>
        <v>0</v>
      </c>
      <c r="I7" s="132">
        <f t="shared" si="13"/>
        <v>0</v>
      </c>
      <c r="J7" s="133">
        <f>COUNTIFS('1_BD questio modifié'!A:A,"2022",'1_BD questio modifié'!B:B,"non",'1_BD questio modifié'!Q:Q,A7)</f>
        <v>7</v>
      </c>
      <c r="K7" s="132">
        <f t="shared" si="14"/>
        <v>3.5897435897435895E-2</v>
      </c>
      <c r="L7" s="133">
        <f>COUNTIFS('1_BD questio modifié'!$A:$A,"2022",'1_BD questio modifié'!$B:$B,"non",'1_BD questio modifié'!$AK:$AK,A7)</f>
        <v>1</v>
      </c>
      <c r="M7" s="132">
        <f t="shared" si="15"/>
        <v>5.1282051282051282E-3</v>
      </c>
      <c r="N7" s="133">
        <f>COUNTIFS('1_BD questio modifié'!A:A,"2023",'1_BD questio modifié'!B:B,"non",'1_BD questio modifié'!Q:Q,A7)</f>
        <v>0</v>
      </c>
      <c r="O7" s="132">
        <f t="shared" si="16"/>
        <v>0</v>
      </c>
      <c r="P7" s="133">
        <f>COUNTIFS('1_BD questio modifié'!$A:$A,"2023",'1_BD questio modifié'!$B:$B,"non",'1_BD questio modifié'!$AK:$AK,A7)</f>
        <v>0</v>
      </c>
      <c r="Q7" s="132">
        <f t="shared" si="17"/>
        <v>0</v>
      </c>
      <c r="R7" s="133">
        <f>COUNTIFS('1_BD questio modifié'!A:A,"2024",'1_BD questio modifié'!B:B,"non",'1_BD questio modifié'!Q:Q,A7)</f>
        <v>0</v>
      </c>
      <c r="S7" s="132">
        <f t="shared" si="18"/>
        <v>0</v>
      </c>
      <c r="T7" s="133">
        <f>COUNTIFS('1_BD questio modifié'!$A:$A,"2024",'1_BD questio modifié'!$B:$B,"non",'1_BD questio modifié'!$AK:$AK,A7)</f>
        <v>0</v>
      </c>
      <c r="U7" s="132">
        <f t="shared" si="19"/>
        <v>0</v>
      </c>
      <c r="V7" s="134">
        <f t="shared" si="20"/>
        <v>13</v>
      </c>
      <c r="W7" s="136">
        <f>V7/$V$9</f>
        <v>3.2338308457711441E-2</v>
      </c>
      <c r="X7" s="134">
        <f t="shared" si="21"/>
        <v>1</v>
      </c>
      <c r="Y7" s="137">
        <f>X7/$X$9</f>
        <v>2.4875621890547263E-3</v>
      </c>
    </row>
    <row r="8" spans="1:25">
      <c r="A8" s="134" t="s">
        <v>36</v>
      </c>
      <c r="B8" s="133">
        <f>COUNTIFS('1_BD questio modifié'!A:A,"2020",'1_BD questio modifié'!B:B,"non",'1_BD questio modifié'!Q:Q,A8)</f>
        <v>0</v>
      </c>
      <c r="C8" s="132">
        <f>B8/$B$9</f>
        <v>0</v>
      </c>
      <c r="D8" s="133">
        <f>COUNTIFS('1_BD questio modifié'!$A:$A,"2020",'1_BD questio modifié'!$B:$B,"non",'1_BD questio modifié'!$AK:$AK,A8)</f>
        <v>1</v>
      </c>
      <c r="E8" s="132">
        <f>D8/$D$9</f>
        <v>0.1</v>
      </c>
      <c r="F8" s="133">
        <f>COUNTIFS('1_BD questio modifié'!A:A,"2021",'1_BD questio modifié'!B:B,"non",'1_BD questio modifié'!Q:Q,A8)</f>
        <v>3</v>
      </c>
      <c r="G8" s="132">
        <f t="shared" si="12"/>
        <v>1.5228426395939087E-2</v>
      </c>
      <c r="H8" s="133">
        <f>COUNTIFS('1_BD questio modifié'!$A:$A,"2021",'1_BD questio modifié'!$B:$B,"non",'1_BD questio modifié'!$AK:$AK,A8)</f>
        <v>0</v>
      </c>
      <c r="I8" s="132">
        <f t="shared" si="13"/>
        <v>0</v>
      </c>
      <c r="J8" s="133">
        <f>COUNTIFS('1_BD questio modifié'!A:A,"2022",'1_BD questio modifié'!B:B,"non",'1_BD questio modifié'!Q:Q,A8)</f>
        <v>1</v>
      </c>
      <c r="K8" s="132">
        <f t="shared" si="14"/>
        <v>5.1282051282051282E-3</v>
      </c>
      <c r="L8" s="133">
        <f>COUNTIFS('1_BD questio modifié'!$A:$A,"2022",'1_BD questio modifié'!$B:$B,"non",'1_BD questio modifié'!$AK:$AK,A8)</f>
        <v>0</v>
      </c>
      <c r="M8" s="132">
        <f t="shared" si="15"/>
        <v>0</v>
      </c>
      <c r="N8" s="133">
        <f>COUNTIFS('1_BD questio modifié'!A:A,"2023",'1_BD questio modifié'!B:B,"non",'1_BD questio modifié'!Q:Q,A8)</f>
        <v>0</v>
      </c>
      <c r="O8" s="132">
        <f t="shared" si="16"/>
        <v>0</v>
      </c>
      <c r="P8" s="133">
        <f>COUNTIFS('1_BD questio modifié'!$A:$A,"2023",'1_BD questio modifié'!$B:$B,"non",'1_BD questio modifié'!$AK:$AK,A8)</f>
        <v>0</v>
      </c>
      <c r="Q8" s="132">
        <f t="shared" si="17"/>
        <v>0</v>
      </c>
      <c r="R8" s="133">
        <f>COUNTIFS('1_BD questio modifié'!A:A,"2024",'1_BD questio modifié'!B:B,"non",'1_BD questio modifié'!Q:Q,A8)</f>
        <v>0</v>
      </c>
      <c r="S8" s="132">
        <f t="shared" si="18"/>
        <v>0</v>
      </c>
      <c r="T8" s="133">
        <f>COUNTIFS('1_BD questio modifié'!$A:$A,"2024",'1_BD questio modifié'!$B:$B,"non",'1_BD questio modifié'!$AK:$AK,A8)</f>
        <v>0</v>
      </c>
      <c r="U8" s="132">
        <f t="shared" si="19"/>
        <v>0</v>
      </c>
      <c r="V8" s="134">
        <f t="shared" si="20"/>
        <v>4</v>
      </c>
      <c r="W8" s="136">
        <f>V8/$V$9</f>
        <v>9.9502487562189053E-3</v>
      </c>
      <c r="X8" s="134">
        <f t="shared" si="21"/>
        <v>1</v>
      </c>
      <c r="Y8" s="137">
        <f>X8/$X$9</f>
        <v>2.4875621890547263E-3</v>
      </c>
    </row>
    <row r="9" spans="1:25">
      <c r="A9" s="134"/>
      <c r="B9" s="88">
        <f>SUM(B5:B8)</f>
        <v>10</v>
      </c>
      <c r="C9" s="132">
        <f>B9/$B$9</f>
        <v>1</v>
      </c>
      <c r="D9" s="88">
        <f>SUM(D5:D8)</f>
        <v>10</v>
      </c>
      <c r="E9" s="132">
        <f>D9/$D$9</f>
        <v>1</v>
      </c>
      <c r="F9" s="88">
        <f>SUM(F5:F8)</f>
        <v>197</v>
      </c>
      <c r="G9" s="132">
        <f t="shared" si="12"/>
        <v>1</v>
      </c>
      <c r="H9" s="88">
        <f>SUM(H5:H8)</f>
        <v>197</v>
      </c>
      <c r="I9" s="132">
        <f t="shared" si="13"/>
        <v>1</v>
      </c>
      <c r="J9" s="88">
        <f>SUM(J5:J8)</f>
        <v>195</v>
      </c>
      <c r="K9" s="132">
        <f t="shared" si="14"/>
        <v>1</v>
      </c>
      <c r="L9" s="88">
        <f>SUM(L5:L8)</f>
        <v>195</v>
      </c>
      <c r="M9" s="132">
        <f t="shared" si="15"/>
        <v>1</v>
      </c>
      <c r="N9" s="88">
        <f>SUM(N5:N8)</f>
        <v>0</v>
      </c>
      <c r="O9" s="132">
        <f t="shared" si="16"/>
        <v>0</v>
      </c>
      <c r="P9" s="88">
        <f>SUM(P5:P8)</f>
        <v>0</v>
      </c>
      <c r="Q9" s="132">
        <f t="shared" si="17"/>
        <v>0</v>
      </c>
      <c r="R9" s="88">
        <f>SUM(R5:R8)</f>
        <v>0</v>
      </c>
      <c r="S9" s="132">
        <f t="shared" si="18"/>
        <v>0</v>
      </c>
      <c r="T9" s="88">
        <f>SUM(T5:T8)</f>
        <v>0</v>
      </c>
      <c r="U9" s="132">
        <f t="shared" si="19"/>
        <v>0</v>
      </c>
      <c r="V9" s="134">
        <f t="shared" si="20"/>
        <v>402</v>
      </c>
      <c r="W9" s="137">
        <f>V9/$V$9</f>
        <v>1</v>
      </c>
      <c r="X9" s="134">
        <f t="shared" si="21"/>
        <v>402</v>
      </c>
      <c r="Y9" s="137">
        <f>X9/$X$9</f>
        <v>1</v>
      </c>
    </row>
    <row r="12" spans="1:25" ht="72.75" customHeight="1">
      <c r="A12" s="134"/>
      <c r="B12" s="88" t="str">
        <f t="shared" ref="B12:E17" si="22">V4</f>
        <v>2020-2022</v>
      </c>
      <c r="C12" s="88" t="str">
        <f t="shared" si="22"/>
        <v>2020-2022 Ancien usage
N=402</v>
      </c>
      <c r="D12" s="88" t="str">
        <f t="shared" si="22"/>
        <v>2020-2022</v>
      </c>
      <c r="E12" s="88" t="str">
        <f t="shared" si="22"/>
        <v>2020-2022 Nouvel usage
N=402</v>
      </c>
      <c r="F12" s="88" t="s">
        <v>440</v>
      </c>
      <c r="G12" s="88" t="s">
        <v>440</v>
      </c>
    </row>
    <row r="13" spans="1:25">
      <c r="A13" s="134" t="s">
        <v>134</v>
      </c>
      <c r="B13" s="135">
        <f t="shared" si="22"/>
        <v>191</v>
      </c>
      <c r="C13" s="132">
        <f t="shared" si="22"/>
        <v>0.47512437810945274</v>
      </c>
      <c r="D13" s="135">
        <f t="shared" si="22"/>
        <v>128</v>
      </c>
      <c r="E13" s="132">
        <f t="shared" si="22"/>
        <v>0.31840796019900497</v>
      </c>
      <c r="F13" s="89">
        <f>B13-D13</f>
        <v>63</v>
      </c>
      <c r="G13" s="138">
        <f>(D13-B13)/B13</f>
        <v>-0.32984293193717279</v>
      </c>
    </row>
    <row r="14" spans="1:25">
      <c r="A14" s="134" t="s">
        <v>39</v>
      </c>
      <c r="B14" s="135">
        <f t="shared" si="22"/>
        <v>194</v>
      </c>
      <c r="C14" s="132">
        <f t="shared" si="22"/>
        <v>0.48258706467661694</v>
      </c>
      <c r="D14" s="135">
        <f t="shared" si="22"/>
        <v>272</v>
      </c>
      <c r="E14" s="132">
        <f t="shared" si="22"/>
        <v>0.6766169154228856</v>
      </c>
      <c r="F14" s="89">
        <f>B14-D14</f>
        <v>-78</v>
      </c>
      <c r="G14" s="138">
        <f>(D14-B14)/B14</f>
        <v>0.40206185567010311</v>
      </c>
    </row>
    <row r="15" spans="1:25">
      <c r="A15" s="134" t="s">
        <v>99</v>
      </c>
      <c r="B15" s="135">
        <f t="shared" si="22"/>
        <v>13</v>
      </c>
      <c r="C15" s="132">
        <f t="shared" si="22"/>
        <v>3.2338308457711441E-2</v>
      </c>
      <c r="D15" s="135">
        <f t="shared" si="22"/>
        <v>1</v>
      </c>
      <c r="E15" s="132">
        <f t="shared" si="22"/>
        <v>2.4875621890547263E-3</v>
      </c>
      <c r="F15" s="89">
        <f>B15-D15</f>
        <v>12</v>
      </c>
      <c r="G15" s="138">
        <f>(D15-B15)/B15</f>
        <v>-0.92307692307692313</v>
      </c>
    </row>
    <row r="16" spans="1:25">
      <c r="A16" s="134" t="s">
        <v>36</v>
      </c>
      <c r="B16" s="135">
        <f t="shared" si="22"/>
        <v>4</v>
      </c>
      <c r="C16" s="132">
        <f t="shared" si="22"/>
        <v>9.9502487562189053E-3</v>
      </c>
      <c r="D16" s="135">
        <f t="shared" si="22"/>
        <v>1</v>
      </c>
      <c r="E16" s="132">
        <f t="shared" si="22"/>
        <v>2.4875621890547263E-3</v>
      </c>
      <c r="F16" s="89">
        <f>B16-D16</f>
        <v>3</v>
      </c>
      <c r="G16" s="138">
        <f>(D16-B16)/B16</f>
        <v>-0.75</v>
      </c>
    </row>
    <row r="17" spans="1:12">
      <c r="A17" s="139"/>
      <c r="B17" s="140">
        <f t="shared" si="22"/>
        <v>402</v>
      </c>
      <c r="C17" s="132">
        <f t="shared" si="22"/>
        <v>1</v>
      </c>
      <c r="D17" s="135">
        <f t="shared" si="22"/>
        <v>402</v>
      </c>
      <c r="E17" s="132">
        <f t="shared" si="22"/>
        <v>1</v>
      </c>
      <c r="F17" s="88"/>
      <c r="G17" s="138"/>
    </row>
    <row r="20" spans="1:12">
      <c r="A20" s="395" t="s">
        <v>1217</v>
      </c>
      <c r="B20" s="395"/>
      <c r="C20" s="143"/>
      <c r="D20" s="2"/>
      <c r="E20" s="2"/>
      <c r="F20" s="2"/>
      <c r="G20" s="2"/>
      <c r="H20" s="2"/>
      <c r="I20" s="2"/>
      <c r="J20" s="2"/>
      <c r="K20" s="2"/>
      <c r="L20" s="2"/>
    </row>
    <row r="21" spans="1:12">
      <c r="A21"/>
      <c r="B21"/>
      <c r="C21" s="2"/>
      <c r="D21" s="2"/>
      <c r="E21" s="2"/>
      <c r="F21" s="2"/>
      <c r="G21" s="2"/>
      <c r="H21" s="2"/>
      <c r="I21" s="2"/>
      <c r="J21" s="2"/>
      <c r="K21" s="2"/>
      <c r="L21" s="2"/>
    </row>
    <row r="22" spans="1:12">
      <c r="A22"/>
      <c r="B22"/>
      <c r="C22" s="2"/>
      <c r="D22" s="2"/>
      <c r="E22" s="2"/>
      <c r="F22" s="2"/>
      <c r="G22" s="2"/>
      <c r="H22" s="2"/>
      <c r="I22" s="2"/>
      <c r="J22" s="2"/>
      <c r="K22" s="2"/>
      <c r="L22" s="2"/>
    </row>
    <row r="23" spans="1:12">
      <c r="A23" s="2"/>
      <c r="B23" s="2"/>
      <c r="C23" s="2"/>
      <c r="D23" s="2"/>
      <c r="E23" s="2"/>
      <c r="F23" s="2"/>
      <c r="G23" s="2"/>
      <c r="H23" s="2"/>
      <c r="I23" s="2"/>
      <c r="J23" s="2"/>
      <c r="K23" s="2"/>
      <c r="L23" s="2"/>
    </row>
    <row r="24" spans="1:12">
      <c r="A24" s="340" t="s">
        <v>282</v>
      </c>
      <c r="B24" t="s">
        <v>908</v>
      </c>
      <c r="C24" s="2"/>
      <c r="D24" s="2"/>
      <c r="E24" s="2"/>
      <c r="F24" s="2"/>
      <c r="G24" s="2"/>
      <c r="H24" s="2"/>
      <c r="I24" s="2"/>
      <c r="J24" s="2"/>
      <c r="K24" s="2"/>
      <c r="L24" s="2"/>
    </row>
    <row r="25" spans="1:12">
      <c r="A25" s="72" t="s">
        <v>288</v>
      </c>
      <c r="B25" s="332">
        <v>242</v>
      </c>
      <c r="C25" s="2"/>
      <c r="D25" s="2"/>
      <c r="E25" s="2"/>
      <c r="F25" s="2"/>
      <c r="G25" s="2"/>
      <c r="H25" s="2"/>
      <c r="I25" s="2"/>
      <c r="J25" s="2"/>
      <c r="K25" s="2"/>
      <c r="L25" s="2"/>
    </row>
    <row r="26" spans="1:12">
      <c r="A26" s="72" t="s">
        <v>39</v>
      </c>
      <c r="B26" s="332">
        <v>255</v>
      </c>
      <c r="C26" s="2"/>
      <c r="D26" s="2"/>
      <c r="E26" s="2"/>
      <c r="F26" s="2"/>
      <c r="G26" s="2"/>
      <c r="H26" s="2"/>
      <c r="I26" s="2"/>
      <c r="J26" s="2"/>
      <c r="K26" s="2"/>
      <c r="L26" s="2"/>
    </row>
    <row r="27" spans="1:12">
      <c r="A27" s="72" t="s">
        <v>36</v>
      </c>
      <c r="B27" s="332">
        <v>8</v>
      </c>
      <c r="C27" s="2"/>
      <c r="D27" s="2"/>
      <c r="E27" s="2"/>
      <c r="F27" s="2"/>
      <c r="G27" s="2"/>
      <c r="H27" s="2"/>
      <c r="I27" s="2"/>
      <c r="J27" s="2"/>
      <c r="K27" s="2"/>
      <c r="L27" s="2"/>
    </row>
    <row r="28" spans="1:12">
      <c r="A28" s="72" t="s">
        <v>99</v>
      </c>
      <c r="B28" s="332">
        <v>20</v>
      </c>
      <c r="C28" s="2"/>
      <c r="D28" s="2"/>
      <c r="E28" s="2"/>
      <c r="F28" s="2"/>
      <c r="G28" s="2"/>
      <c r="H28" s="2"/>
      <c r="I28" s="2"/>
      <c r="J28" s="2"/>
      <c r="K28" s="2"/>
      <c r="L28" s="2"/>
    </row>
    <row r="29" spans="1:12">
      <c r="A29" s="72" t="s">
        <v>283</v>
      </c>
      <c r="B29" s="332"/>
      <c r="C29" s="2"/>
      <c r="D29" s="2"/>
      <c r="E29" s="2"/>
      <c r="F29" s="2"/>
      <c r="G29" s="2"/>
      <c r="H29" s="2"/>
      <c r="I29" s="2"/>
      <c r="J29" s="2"/>
      <c r="K29" s="2"/>
      <c r="L29" s="2"/>
    </row>
    <row r="30" spans="1:12">
      <c r="A30" s="333" t="s">
        <v>284</v>
      </c>
      <c r="B30" s="332">
        <v>525</v>
      </c>
      <c r="C30" s="2"/>
      <c r="D30" s="2"/>
      <c r="E30" s="2"/>
      <c r="F30" s="2"/>
      <c r="G30" s="2"/>
      <c r="H30" s="2"/>
      <c r="I30" s="2"/>
      <c r="J30" s="2"/>
      <c r="K30" s="2"/>
      <c r="L30" s="2"/>
    </row>
    <row r="31" spans="1:12">
      <c r="A31" s="2"/>
      <c r="B31" s="2"/>
      <c r="C31" s="2"/>
      <c r="D31" s="2"/>
      <c r="E31" s="2"/>
      <c r="F31" s="2"/>
      <c r="G31" s="2"/>
      <c r="H31" s="2"/>
      <c r="I31" s="2"/>
      <c r="J31" s="2"/>
      <c r="K31" s="2"/>
      <c r="L31" s="2"/>
    </row>
    <row r="32" spans="1:12">
      <c r="A32" s="2"/>
      <c r="B32" s="2"/>
      <c r="C32" s="2"/>
      <c r="D32" s="2"/>
      <c r="E32" s="2"/>
      <c r="F32" s="2"/>
      <c r="G32" s="2"/>
      <c r="H32" s="2"/>
      <c r="I32" s="2"/>
      <c r="J32" s="2"/>
      <c r="K32" s="2"/>
      <c r="L32" s="2"/>
    </row>
    <row r="33" spans="1:12">
      <c r="A33" s="2"/>
      <c r="B33" s="2"/>
      <c r="C33" s="2"/>
      <c r="D33" s="2"/>
      <c r="E33" s="2"/>
      <c r="F33" s="2"/>
      <c r="G33" s="2"/>
      <c r="H33" s="2"/>
      <c r="I33" s="2"/>
      <c r="J33" s="2"/>
      <c r="K33" s="2"/>
      <c r="L33" s="2"/>
    </row>
    <row r="34" spans="1:12">
      <c r="A34" s="2"/>
      <c r="B34" s="2"/>
      <c r="C34" s="2"/>
      <c r="D34" s="2"/>
      <c r="E34" s="2"/>
      <c r="F34" s="2"/>
      <c r="G34" s="2"/>
      <c r="H34" s="2"/>
      <c r="I34" s="2"/>
      <c r="J34" s="2"/>
      <c r="K34" s="2"/>
      <c r="L34" s="2"/>
    </row>
    <row r="35" spans="1:12">
      <c r="A35" s="2"/>
      <c r="B35" s="2"/>
      <c r="C35" s="2"/>
      <c r="D35" s="2"/>
      <c r="E35" s="2"/>
      <c r="F35" s="2"/>
      <c r="G35" s="2"/>
      <c r="H35" s="2"/>
      <c r="I35" s="2"/>
      <c r="J35" s="2"/>
      <c r="K35" s="2"/>
      <c r="L35" s="2"/>
    </row>
    <row r="36" spans="1:12">
      <c r="A36" s="2"/>
      <c r="B36" s="2"/>
      <c r="C36" s="2"/>
      <c r="D36" s="9"/>
      <c r="E36" s="9"/>
      <c r="F36" s="9"/>
      <c r="G36" s="2"/>
      <c r="H36" s="2"/>
      <c r="I36" s="2"/>
      <c r="J36" s="2"/>
      <c r="K36" s="2"/>
      <c r="L36" s="2"/>
    </row>
    <row r="37" spans="1:12">
      <c r="A37" s="2"/>
      <c r="B37" s="2"/>
      <c r="C37" s="2"/>
      <c r="D37" s="10"/>
      <c r="E37" s="8"/>
      <c r="F37" s="9"/>
      <c r="G37" s="2"/>
      <c r="H37" s="2"/>
      <c r="I37" s="2"/>
      <c r="J37" s="2"/>
      <c r="K37" s="2"/>
      <c r="L37" s="2"/>
    </row>
    <row r="38" spans="1:12">
      <c r="A38" s="2"/>
      <c r="B38" s="2"/>
      <c r="C38" s="2"/>
      <c r="D38" s="10"/>
      <c r="E38" s="8"/>
      <c r="F38" s="9"/>
      <c r="G38" s="2"/>
      <c r="H38" s="2"/>
      <c r="I38" s="2"/>
      <c r="J38" s="2"/>
      <c r="K38" s="2"/>
      <c r="L38" s="2"/>
    </row>
    <row r="39" spans="1:12">
      <c r="A39" s="2"/>
      <c r="B39" s="2"/>
      <c r="C39" s="2"/>
      <c r="D39" s="10"/>
      <c r="E39" s="8"/>
      <c r="F39" s="9"/>
      <c r="G39" s="2"/>
      <c r="H39" s="2"/>
      <c r="I39" s="2"/>
      <c r="J39" s="2"/>
      <c r="K39" s="2"/>
      <c r="L39" s="2"/>
    </row>
    <row r="40" spans="1:12">
      <c r="A40" s="2"/>
      <c r="B40" s="2"/>
      <c r="C40" s="2"/>
      <c r="D40" s="10"/>
      <c r="E40" s="8"/>
      <c r="F40" s="9"/>
      <c r="G40" s="2"/>
      <c r="H40" s="2"/>
      <c r="I40" s="2"/>
      <c r="J40" s="2"/>
      <c r="K40" s="2"/>
      <c r="L40" s="2"/>
    </row>
    <row r="41" spans="1:12">
      <c r="A41" s="2"/>
      <c r="B41" s="2"/>
      <c r="C41" s="2"/>
      <c r="D41" s="10"/>
      <c r="E41" s="8"/>
      <c r="F41" s="9"/>
      <c r="G41" s="2"/>
      <c r="H41" s="2"/>
      <c r="I41" s="2"/>
      <c r="J41" s="2"/>
      <c r="K41" s="2"/>
      <c r="L41" s="2"/>
    </row>
    <row r="42" spans="1:12">
      <c r="A42" s="2"/>
      <c r="B42" s="2"/>
      <c r="C42" s="2"/>
      <c r="D42" s="10"/>
      <c r="E42" s="8"/>
      <c r="F42" s="9"/>
      <c r="G42" s="2"/>
      <c r="H42" s="2"/>
      <c r="I42" s="2"/>
      <c r="J42" s="2"/>
      <c r="K42" s="2"/>
      <c r="L42" s="2"/>
    </row>
    <row r="43" spans="1:12">
      <c r="A43" s="2"/>
      <c r="B43" s="2"/>
      <c r="C43" s="2"/>
      <c r="D43" s="9"/>
      <c r="E43" s="9"/>
      <c r="F43" s="9"/>
      <c r="G43" s="2"/>
      <c r="H43" s="2"/>
      <c r="I43" s="2"/>
      <c r="J43" s="2"/>
      <c r="K43" s="2"/>
      <c r="L43" s="2"/>
    </row>
    <row r="44" spans="1:12">
      <c r="A44" s="2"/>
      <c r="B44" s="2"/>
      <c r="C44" s="2"/>
      <c r="D44" s="2"/>
      <c r="E44" s="2"/>
      <c r="F44" s="2"/>
      <c r="G44" s="2"/>
      <c r="H44" s="2"/>
      <c r="I44" s="2"/>
      <c r="J44" s="2"/>
      <c r="K44" s="2"/>
      <c r="L44" s="2"/>
    </row>
    <row r="45" spans="1:12">
      <c r="A45" s="2"/>
      <c r="B45" s="2"/>
      <c r="C45" s="2"/>
      <c r="D45" s="2"/>
      <c r="E45" s="2"/>
      <c r="F45" s="2"/>
      <c r="G45" s="2"/>
      <c r="H45" s="2"/>
      <c r="I45" s="2"/>
      <c r="J45" s="2"/>
      <c r="K45" s="2"/>
      <c r="L45" s="2"/>
    </row>
    <row r="46" spans="1:12">
      <c r="A46" s="2"/>
      <c r="B46" s="2"/>
      <c r="C46" s="2"/>
      <c r="D46" s="2"/>
      <c r="E46" s="2"/>
      <c r="F46" s="2"/>
      <c r="G46" s="2"/>
      <c r="H46" s="2"/>
      <c r="I46" s="2"/>
      <c r="J46" s="2"/>
      <c r="K46" s="2"/>
      <c r="L46" s="2"/>
    </row>
    <row r="47" spans="1:12">
      <c r="A47" s="2"/>
      <c r="B47" s="2"/>
      <c r="C47" s="2"/>
      <c r="D47" s="2"/>
      <c r="E47" s="2"/>
      <c r="F47" s="2"/>
      <c r="G47" s="2"/>
      <c r="H47" s="2"/>
      <c r="I47" s="2"/>
      <c r="J47" s="2"/>
      <c r="K47" s="2"/>
      <c r="L47" s="2"/>
    </row>
  </sheetData>
  <mergeCells count="1">
    <mergeCell ref="A20:B20"/>
  </mergeCells>
  <pageMargins left="0.7" right="0.7" top="0.75" bottom="0.75" header="0.3" footer="0.3"/>
  <pageSetup paperSize="9" orientation="portrait" r:id="rId2"/>
  <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M111"/>
  <sheetViews>
    <sheetView topLeftCell="J1" zoomScale="55" zoomScaleNormal="55" workbookViewId="0">
      <selection activeCell="Q21" sqref="Q21"/>
    </sheetView>
  </sheetViews>
  <sheetFormatPr baseColWidth="10" defaultColWidth="11.453125" defaultRowHeight="14.5"/>
  <cols>
    <col min="1" max="1" width="21" style="40" customWidth="1"/>
    <col min="2" max="2" width="34.26953125" style="40" customWidth="1"/>
    <col min="3" max="3" width="12.7265625" style="40" customWidth="1"/>
    <col min="4" max="4" width="21.54296875" style="40" customWidth="1"/>
    <col min="5" max="5" width="34.26953125" style="40" customWidth="1"/>
    <col min="6" max="6" width="12.7265625" style="40" customWidth="1"/>
    <col min="7" max="7" width="34.26953125" style="40" bestFit="1" customWidth="1"/>
    <col min="8" max="23" width="12.7265625" style="40" customWidth="1"/>
    <col min="24" max="16384" width="11.453125" style="40"/>
  </cols>
  <sheetData>
    <row r="1" spans="1:13">
      <c r="A1" s="40" t="s">
        <v>1220</v>
      </c>
      <c r="B1" s="208" t="s">
        <v>4107</v>
      </c>
    </row>
    <row r="3" spans="1:13" s="128" customFormat="1" ht="43.15" customHeight="1">
      <c r="A3" s="127"/>
      <c r="B3" s="127">
        <v>2020</v>
      </c>
      <c r="C3" s="127" t="str">
        <f>CONCATENATE(B3,CHAR(10),"N=",B15)</f>
        <v>2020
N=11</v>
      </c>
      <c r="D3" s="127">
        <v>2021</v>
      </c>
      <c r="E3" s="127" t="str">
        <f>CONCATENATE(D3,CHAR(10),"N=",D15)</f>
        <v>2021
N=206</v>
      </c>
      <c r="F3" s="127">
        <v>2022</v>
      </c>
      <c r="G3" s="127" t="str">
        <f>CONCATENATE(F3,CHAR(10),"N=",F15)</f>
        <v>2022
N=208</v>
      </c>
      <c r="H3" s="127">
        <v>2023</v>
      </c>
      <c r="I3" s="127" t="str">
        <f>CONCATENATE(H3,CHAR(10),"N=",H15)</f>
        <v>2023
N=0</v>
      </c>
      <c r="J3" s="127">
        <v>2024</v>
      </c>
      <c r="K3" s="127" t="str">
        <f>CONCATENATE(J3,CHAR(10),"N=",J15)</f>
        <v>2024
N=0</v>
      </c>
      <c r="L3" s="127" t="str">
        <f>B1</f>
        <v>2020-2022</v>
      </c>
      <c r="M3" s="127" t="str">
        <f>CONCATENATE(L3,CHAR(10),"N=",L15)</f>
        <v>2020-2022
N=425</v>
      </c>
    </row>
    <row r="4" spans="1:13" ht="14.5" customHeight="1">
      <c r="A4" s="39" t="s">
        <v>79</v>
      </c>
      <c r="B4" s="39">
        <f>COUNTIFS('3_BD instruction total'!$A:$A,B$3,'3_BD instruction total'!$C:$C,"non",'3_BD instruction total'!$AB:$AB,"&lt;=20000",'3_BD instruction total'!$AB:$AB,"&gt;0")</f>
        <v>1</v>
      </c>
      <c r="C4" s="41">
        <f t="shared" ref="C4:C15" si="0">B4/$B$15</f>
        <v>9.0909090909090912E-2</v>
      </c>
      <c r="D4" s="39">
        <f>COUNTIFS('3_BD instruction total'!$A:$A,D$3,'3_BD instruction total'!$C:$C,"non",'3_BD instruction total'!$AB:$AB,"&lt;=20000",'3_BD instruction total'!$AB:$AB,"&gt;0")</f>
        <v>31</v>
      </c>
      <c r="E4" s="126">
        <f t="shared" ref="E4:E15" si="1">D4/D$15</f>
        <v>0.15048543689320387</v>
      </c>
      <c r="F4" s="39">
        <f>COUNTIFS('3_BD instruction total'!$A:$A,F$3,'3_BD instruction total'!$C:$C,"non",'3_BD instruction total'!$AB:$AB,"&lt;=20000",'3_BD instruction total'!$AB:$AB,"&gt;0")</f>
        <v>41</v>
      </c>
      <c r="G4" s="126">
        <f t="shared" ref="G4:G15" si="2">F4/F$15</f>
        <v>0.19711538461538461</v>
      </c>
      <c r="H4" s="39">
        <f>COUNTIFS('3_BD instruction total'!$A:$A,H$3,'3_BD instruction total'!$C:$C,"non",'3_BD instruction total'!$AB:$AB,"&lt;=20000",'3_BD instruction total'!$AB:$AB,"&gt;0")</f>
        <v>0</v>
      </c>
      <c r="I4" s="126" t="e">
        <f t="shared" ref="I4:I14" si="3">H4/H$15</f>
        <v>#DIV/0!</v>
      </c>
      <c r="J4" s="39">
        <f>COUNTIFS('3_BD instruction total'!$A:$A,J$3,'3_BD instruction total'!$C:$C,"non",'3_BD instruction total'!$AB:$AB,"&lt;=20000",'3_BD instruction total'!$AB:$AB,"&gt;0")</f>
        <v>0</v>
      </c>
      <c r="K4" s="126" t="e">
        <f t="shared" ref="K4:K14" si="4">J4/J$15</f>
        <v>#DIV/0!</v>
      </c>
      <c r="L4" s="121">
        <f>B4+D4+F4+H4+J4</f>
        <v>73</v>
      </c>
      <c r="M4" s="41">
        <f t="shared" ref="M4:M15" si="5">L4/$L$15</f>
        <v>0.17176470588235293</v>
      </c>
    </row>
    <row r="5" spans="1:13" ht="14.5" customHeight="1">
      <c r="A5" s="39" t="s">
        <v>33</v>
      </c>
      <c r="B5" s="39">
        <f>COUNTIFS('3_BD instruction total'!$A:$A,B$3,'3_BD instruction total'!$C:$C,"non",'3_BD instruction total'!$AB:$AB,"&lt;=30000",'3_BD instruction total'!$AB:$AB,"&gt;20000")</f>
        <v>1</v>
      </c>
      <c r="C5" s="41">
        <f t="shared" si="0"/>
        <v>9.0909090909090912E-2</v>
      </c>
      <c r="D5" s="39">
        <f>COUNTIFS('3_BD instruction total'!$A:$A,D$3,'3_BD instruction total'!$C:$C,"non",'3_BD instruction total'!$AB:$AB,"&lt;=30000",'3_BD instruction total'!$AB:$AB,"&gt;20000")</f>
        <v>32</v>
      </c>
      <c r="E5" s="126">
        <f t="shared" si="1"/>
        <v>0.1553398058252427</v>
      </c>
      <c r="F5" s="39">
        <f>COUNTIFS('3_BD instruction total'!$A:$A,F$3,'3_BD instruction total'!$C:$C,"non",'3_BD instruction total'!$AB:$AB,"&lt;=30000",'3_BD instruction total'!$AB:$AB,"&gt;20000")</f>
        <v>29</v>
      </c>
      <c r="G5" s="126">
        <f t="shared" si="2"/>
        <v>0.13942307692307693</v>
      </c>
      <c r="H5" s="39">
        <f>COUNTIFS('3_BD instruction total'!$A:$A,H$3,'3_BD instruction total'!$C:$C,"non",'3_BD instruction total'!$AB:$AB,"&lt;=30000",'3_BD instruction total'!$AB:$AB,"&gt;20000")</f>
        <v>0</v>
      </c>
      <c r="I5" s="126" t="e">
        <f t="shared" si="3"/>
        <v>#DIV/0!</v>
      </c>
      <c r="J5" s="39">
        <f>COUNTIFS('3_BD instruction total'!$A:$A,J$3,'3_BD instruction total'!$C:$C,"non",'3_BD instruction total'!$AB:$AB,"&lt;=30000",'3_BD instruction total'!$AB:$AB,"&gt;20000")</f>
        <v>0</v>
      </c>
      <c r="K5" s="126" t="e">
        <f t="shared" si="4"/>
        <v>#DIV/0!</v>
      </c>
      <c r="L5" s="121">
        <f t="shared" ref="L5:L15" si="6">B5+D5+F5+H5+J5</f>
        <v>62</v>
      </c>
      <c r="M5" s="41">
        <f t="shared" si="5"/>
        <v>0.14588235294117646</v>
      </c>
    </row>
    <row r="6" spans="1:13" ht="14.5" customHeight="1">
      <c r="A6" s="39" t="s">
        <v>53</v>
      </c>
      <c r="B6" s="39">
        <f>COUNTIFS('3_BD instruction total'!$A:$A,B$3,'3_BD instruction total'!$C:$C,"non",'3_BD instruction total'!$AB:$AB,"&lt;=40000",'3_BD instruction total'!$AB:$AB,"&gt;30000")</f>
        <v>4</v>
      </c>
      <c r="C6" s="41">
        <f t="shared" si="0"/>
        <v>0.36363636363636365</v>
      </c>
      <c r="D6" s="39">
        <f>COUNTIFS('3_BD instruction total'!$A:$A,D$3,'3_BD instruction total'!$C:$C,"non",'3_BD instruction total'!$AB:$AB,"&lt;=40000",'3_BD instruction total'!$AB:$AB,"&gt;30000")</f>
        <v>45</v>
      </c>
      <c r="E6" s="126">
        <f t="shared" si="1"/>
        <v>0.21844660194174756</v>
      </c>
      <c r="F6" s="39">
        <f>COUNTIFS('3_BD instruction total'!$A:$A,F$3,'3_BD instruction total'!$C:$C,"non",'3_BD instruction total'!$AB:$AB,"&lt;=40000",'3_BD instruction total'!$AB:$AB,"&gt;30000")</f>
        <v>37</v>
      </c>
      <c r="G6" s="126">
        <f t="shared" si="2"/>
        <v>0.17788461538461539</v>
      </c>
      <c r="H6" s="39">
        <f>COUNTIFS('3_BD instruction total'!$A:$A,H$3,'3_BD instruction total'!$C:$C,"non",'3_BD instruction total'!$AB:$AB,"&lt;=40000",'3_BD instruction total'!$AB:$AB,"&gt;30000")</f>
        <v>0</v>
      </c>
      <c r="I6" s="126" t="e">
        <f t="shared" si="3"/>
        <v>#DIV/0!</v>
      </c>
      <c r="J6" s="39">
        <f>COUNTIFS('3_BD instruction total'!$A:$A,J$3,'3_BD instruction total'!$C:$C,"non",'3_BD instruction total'!$AB:$AB,"&lt;=40000",'3_BD instruction total'!$AB:$AB,"&gt;30000")</f>
        <v>0</v>
      </c>
      <c r="K6" s="126" t="e">
        <f t="shared" si="4"/>
        <v>#DIV/0!</v>
      </c>
      <c r="L6" s="121">
        <f t="shared" si="6"/>
        <v>86</v>
      </c>
      <c r="M6" s="41">
        <f t="shared" si="5"/>
        <v>0.2023529411764706</v>
      </c>
    </row>
    <row r="7" spans="1:13" ht="14.5" customHeight="1">
      <c r="A7" s="39" t="s">
        <v>69</v>
      </c>
      <c r="B7" s="39">
        <f>COUNTIFS('3_BD instruction total'!$A:$A,B$3,'3_BD instruction total'!$C:$C,"non",'3_BD instruction total'!$AB:$AB,"&lt;=50000",'3_BD instruction total'!$AB:$AB,"&gt;40000")</f>
        <v>2</v>
      </c>
      <c r="C7" s="41">
        <f t="shared" si="0"/>
        <v>0.18181818181818182</v>
      </c>
      <c r="D7" s="39">
        <f>COUNTIFS('3_BD instruction total'!$A:$A,D$3,'3_BD instruction total'!$C:$C,"non",'3_BD instruction total'!$AB:$AB,"&lt;=50000",'3_BD instruction total'!$AB:$AB,"&gt;40000")</f>
        <v>45</v>
      </c>
      <c r="E7" s="126">
        <f t="shared" si="1"/>
        <v>0.21844660194174756</v>
      </c>
      <c r="F7" s="39">
        <f>COUNTIFS('3_BD instruction total'!$A:$A,F$3,'3_BD instruction total'!$C:$C,"non",'3_BD instruction total'!$AB:$AB,"&lt;=50000",'3_BD instruction total'!$AB:$AB,"&gt;40000")</f>
        <v>37</v>
      </c>
      <c r="G7" s="126">
        <f t="shared" si="2"/>
        <v>0.17788461538461539</v>
      </c>
      <c r="H7" s="39">
        <f>COUNTIFS('3_BD instruction total'!$A:$A,H$3,'3_BD instruction total'!$C:$C,"non",'3_BD instruction total'!$AB:$AB,"&lt;=50000",'3_BD instruction total'!$AB:$AB,"&gt;40000")</f>
        <v>0</v>
      </c>
      <c r="I7" s="126" t="e">
        <f t="shared" si="3"/>
        <v>#DIV/0!</v>
      </c>
      <c r="J7" s="39">
        <f>COUNTIFS('3_BD instruction total'!$A:$A,J$3,'3_BD instruction total'!$C:$C,"non",'3_BD instruction total'!$AB:$AB,"&lt;=50000",'3_BD instruction total'!$AB:$AB,"&gt;40000")</f>
        <v>0</v>
      </c>
      <c r="K7" s="126" t="e">
        <f t="shared" si="4"/>
        <v>#DIV/0!</v>
      </c>
      <c r="L7" s="121">
        <f t="shared" si="6"/>
        <v>84</v>
      </c>
      <c r="M7" s="41">
        <f t="shared" si="5"/>
        <v>0.1976470588235294</v>
      </c>
    </row>
    <row r="8" spans="1:13" ht="14.5" customHeight="1">
      <c r="A8" s="39" t="s">
        <v>64</v>
      </c>
      <c r="B8" s="39">
        <f>COUNTIFS('3_BD instruction total'!$A:$A,B$3,'3_BD instruction total'!$C:$C,"non",'3_BD instruction total'!$AB:$AB,"&lt;=60000",'3_BD instruction total'!$AB:$AB,"&gt;50000")</f>
        <v>1</v>
      </c>
      <c r="C8" s="41">
        <f t="shared" si="0"/>
        <v>9.0909090909090912E-2</v>
      </c>
      <c r="D8" s="39">
        <f>COUNTIFS('3_BD instruction total'!$A:$A,D$3,'3_BD instruction total'!$C:$C,"non",'3_BD instruction total'!$AB:$AB,"&lt;=60000",'3_BD instruction total'!$AB:$AB,"&gt;50000")</f>
        <v>24</v>
      </c>
      <c r="E8" s="126">
        <f t="shared" si="1"/>
        <v>0.11650485436893204</v>
      </c>
      <c r="F8" s="39">
        <f>COUNTIFS('3_BD instruction total'!$A:$A,F$3,'3_BD instruction total'!$C:$C,"non",'3_BD instruction total'!$AB:$AB,"&lt;=60000",'3_BD instruction total'!$AB:$AB,"&gt;50000")</f>
        <v>23</v>
      </c>
      <c r="G8" s="126">
        <f t="shared" si="2"/>
        <v>0.11057692307692307</v>
      </c>
      <c r="H8" s="39">
        <f>COUNTIFS('3_BD instruction total'!$A:$A,H$3,'3_BD instruction total'!$C:$C,"non",'3_BD instruction total'!$AB:$AB,"&lt;=60000",'3_BD instruction total'!$AB:$AB,"&gt;50000")</f>
        <v>0</v>
      </c>
      <c r="I8" s="126" t="e">
        <f t="shared" si="3"/>
        <v>#DIV/0!</v>
      </c>
      <c r="J8" s="39">
        <f>COUNTIFS('3_BD instruction total'!$A:$A,J$3,'3_BD instruction total'!$C:$C,"non",'3_BD instruction total'!$AB:$AB,"&lt;=60000",'3_BD instruction total'!$AB:$AB,"&gt;50000")</f>
        <v>0</v>
      </c>
      <c r="K8" s="126" t="e">
        <f t="shared" si="4"/>
        <v>#DIV/0!</v>
      </c>
      <c r="L8" s="121">
        <f t="shared" si="6"/>
        <v>48</v>
      </c>
      <c r="M8" s="41">
        <f t="shared" si="5"/>
        <v>0.11294117647058824</v>
      </c>
    </row>
    <row r="9" spans="1:13" ht="14.5" customHeight="1">
      <c r="A9" s="39" t="s">
        <v>94</v>
      </c>
      <c r="B9" s="39">
        <f>COUNTIFS('3_BD instruction total'!$A:$A,B$3,'3_BD instruction total'!$C:$C,"non",'3_BD instruction total'!$AB:$AB,"&lt;=70000",'3_BD instruction total'!$AB:$AB,"&gt;60000")</f>
        <v>0</v>
      </c>
      <c r="C9" s="41">
        <f t="shared" si="0"/>
        <v>0</v>
      </c>
      <c r="D9" s="39">
        <f>COUNTIFS('3_BD instruction total'!$A:$A,D$3,'3_BD instruction total'!$C:$C,"non",'3_BD instruction total'!$AB:$AB,"&lt;=70000",'3_BD instruction total'!$AB:$AB,"&gt;60000")</f>
        <v>4</v>
      </c>
      <c r="E9" s="126">
        <f t="shared" si="1"/>
        <v>1.9417475728155338E-2</v>
      </c>
      <c r="F9" s="39">
        <f>COUNTIFS('3_BD instruction total'!$A:$A,F$3,'3_BD instruction total'!$C:$C,"non",'3_BD instruction total'!$AB:$AB,"&lt;=70000",'3_BD instruction total'!$AB:$AB,"&gt;60000")</f>
        <v>14</v>
      </c>
      <c r="G9" s="126">
        <f t="shared" si="2"/>
        <v>6.7307692307692304E-2</v>
      </c>
      <c r="H9" s="39">
        <f>COUNTIFS('3_BD instruction total'!$A:$A,H$3,'3_BD instruction total'!$C:$C,"non",'3_BD instruction total'!$AB:$AB,"&lt;=70000",'3_BD instruction total'!$AB:$AB,"&gt;60000")</f>
        <v>0</v>
      </c>
      <c r="I9" s="126" t="e">
        <f t="shared" si="3"/>
        <v>#DIV/0!</v>
      </c>
      <c r="J9" s="39">
        <f>COUNTIFS('3_BD instruction total'!$A:$A,J$3,'3_BD instruction total'!$C:$C,"non",'3_BD instruction total'!$AB:$AB,"&lt;=70000",'3_BD instruction total'!$AB:$AB,"&gt;60000")</f>
        <v>0</v>
      </c>
      <c r="K9" s="126" t="e">
        <f t="shared" si="4"/>
        <v>#DIV/0!</v>
      </c>
      <c r="L9" s="121">
        <f t="shared" si="6"/>
        <v>18</v>
      </c>
      <c r="M9" s="41">
        <f t="shared" si="5"/>
        <v>4.2352941176470586E-2</v>
      </c>
    </row>
    <row r="10" spans="1:13" ht="14.5" customHeight="1">
      <c r="A10" s="39" t="s">
        <v>97</v>
      </c>
      <c r="B10" s="39">
        <f>COUNTIFS('3_BD instruction total'!$A:$A,B$3,'3_BD instruction total'!$C:$C,"non",'3_BD instruction total'!$AB:$AB,"&lt;=80000",'3_BD instruction total'!$AB:$AB,"&gt;70000")</f>
        <v>1</v>
      </c>
      <c r="C10" s="41">
        <f t="shared" si="0"/>
        <v>9.0909090909090912E-2</v>
      </c>
      <c r="D10" s="39">
        <f>COUNTIFS('3_BD instruction total'!$A:$A,D$3,'3_BD instruction total'!$C:$C,"non",'3_BD instruction total'!$AB:$AB,"&lt;=80000",'3_BD instruction total'!$AB:$AB,"&gt;70000")</f>
        <v>10</v>
      </c>
      <c r="E10" s="126">
        <f t="shared" si="1"/>
        <v>4.8543689320388349E-2</v>
      </c>
      <c r="F10" s="39">
        <f>COUNTIFS('3_BD instruction total'!$A:$A,F$3,'3_BD instruction total'!$C:$C,"non",'3_BD instruction total'!$AB:$AB,"&lt;=80000",'3_BD instruction total'!$AB:$AB,"&gt;70000")</f>
        <v>13</v>
      </c>
      <c r="G10" s="126">
        <f t="shared" si="2"/>
        <v>6.25E-2</v>
      </c>
      <c r="H10" s="39">
        <f>COUNTIFS('3_BD instruction total'!$A:$A,H$3,'3_BD instruction total'!$C:$C,"non",'3_BD instruction total'!$AB:$AB,"&lt;=80000",'3_BD instruction total'!$AB:$AB,"&gt;70000")</f>
        <v>0</v>
      </c>
      <c r="I10" s="126" t="e">
        <f t="shared" si="3"/>
        <v>#DIV/0!</v>
      </c>
      <c r="J10" s="39">
        <f>COUNTIFS('3_BD instruction total'!$A:$A,J$3,'3_BD instruction total'!$C:$C,"non",'3_BD instruction total'!$AB:$AB,"&lt;=80000",'3_BD instruction total'!$AB:$AB,"&gt;70000")</f>
        <v>0</v>
      </c>
      <c r="K10" s="126" t="e">
        <f t="shared" si="4"/>
        <v>#DIV/0!</v>
      </c>
      <c r="L10" s="121">
        <f t="shared" si="6"/>
        <v>24</v>
      </c>
      <c r="M10" s="41">
        <f t="shared" si="5"/>
        <v>5.647058823529412E-2</v>
      </c>
    </row>
    <row r="11" spans="1:13" ht="14.5" customHeight="1">
      <c r="A11" s="39" t="s">
        <v>75</v>
      </c>
      <c r="B11" s="39">
        <f>COUNTIFS('3_BD instruction total'!$A:$A,B$3,'3_BD instruction total'!$C:$C,"non",'3_BD instruction total'!$AB:$AB,"&lt;=90000",'3_BD instruction total'!$AB:$AB,"&gt;80000")</f>
        <v>1</v>
      </c>
      <c r="C11" s="41">
        <f t="shared" si="0"/>
        <v>9.0909090909090912E-2</v>
      </c>
      <c r="D11" s="39">
        <f>COUNTIFS('3_BD instruction total'!$A:$A,D$3,'3_BD instruction total'!$C:$C,"non",'3_BD instruction total'!$AB:$AB,"&lt;=90000",'3_BD instruction total'!$AB:$AB,"&gt;80000")</f>
        <v>5</v>
      </c>
      <c r="E11" s="126">
        <f t="shared" si="1"/>
        <v>2.4271844660194174E-2</v>
      </c>
      <c r="F11" s="39">
        <f>COUNTIFS('3_BD instruction total'!$A:$A,F$3,'3_BD instruction total'!$C:$C,"non",'3_BD instruction total'!$AB:$AB,"&lt;=90000",'3_BD instruction total'!$AB:$AB,"&gt;80000")</f>
        <v>5</v>
      </c>
      <c r="G11" s="126">
        <f t="shared" si="2"/>
        <v>2.403846153846154E-2</v>
      </c>
      <c r="H11" s="39">
        <f>COUNTIFS('3_BD instruction total'!$A:$A,H$3,'3_BD instruction total'!$C:$C,"non",'3_BD instruction total'!$AB:$AB,"&lt;=90000",'3_BD instruction total'!$AB:$AB,"&gt;80000")</f>
        <v>0</v>
      </c>
      <c r="I11" s="126" t="e">
        <f t="shared" si="3"/>
        <v>#DIV/0!</v>
      </c>
      <c r="J11" s="39">
        <f>COUNTIFS('3_BD instruction total'!$A:$A,J$3,'3_BD instruction total'!$C:$C,"non",'3_BD instruction total'!$AB:$AB,"&lt;=90000",'3_BD instruction total'!$AB:$AB,"&gt;80000")</f>
        <v>0</v>
      </c>
      <c r="K11" s="126" t="e">
        <f t="shared" si="4"/>
        <v>#DIV/0!</v>
      </c>
      <c r="L11" s="121">
        <f t="shared" si="6"/>
        <v>11</v>
      </c>
      <c r="M11" s="41">
        <f t="shared" si="5"/>
        <v>2.5882352941176471E-2</v>
      </c>
    </row>
    <row r="12" spans="1:13" ht="14.5" customHeight="1">
      <c r="A12" s="331" t="s">
        <v>4108</v>
      </c>
      <c r="B12" s="331">
        <f>COUNTIFS('3_BD instruction total'!$A:$A,B$3,'3_BD instruction total'!$C:$C,"non",'3_BD instruction total'!$AB:$AB,"&lt;=100000",'3_BD instruction total'!$AB:$AB,"&gt;90000")</f>
        <v>0</v>
      </c>
      <c r="C12" s="41">
        <f t="shared" si="0"/>
        <v>0</v>
      </c>
      <c r="D12" s="331">
        <f>COUNTIFS('3_BD instruction total'!$A:$A,D$3,'3_BD instruction total'!$C:$C,"non",'3_BD instruction total'!$AB:$AB,"&lt;=100000",'3_BD instruction total'!$AB:$AB,"&gt;90000")</f>
        <v>3</v>
      </c>
      <c r="E12" s="126">
        <f t="shared" si="1"/>
        <v>1.4563106796116505E-2</v>
      </c>
      <c r="F12" s="331">
        <f>COUNTIFS('3_BD instruction total'!$A:$A,F$3,'3_BD instruction total'!$C:$C,"non",'3_BD instruction total'!$AB:$AB,"&lt;=100000",'3_BD instruction total'!$AB:$AB,"&gt;90000")</f>
        <v>2</v>
      </c>
      <c r="G12" s="126">
        <f t="shared" si="2"/>
        <v>9.6153846153846159E-3</v>
      </c>
      <c r="H12" s="331">
        <f>COUNTIFS('3_BD instruction total'!$A:$A,H$3,'3_BD instruction total'!$C:$C,"non",'3_BD instruction total'!$AB:$AB,"&lt;=100000",'3_BD instruction total'!$AB:$AB,"&gt;90000")</f>
        <v>0</v>
      </c>
      <c r="I12" s="126" t="e">
        <f t="shared" si="3"/>
        <v>#DIV/0!</v>
      </c>
      <c r="J12" s="331">
        <f>COUNTIFS('3_BD instruction total'!$A:$A,J$3,'3_BD instruction total'!$C:$C,"non",'3_BD instruction total'!$AB:$AB,"&lt;=100000",'3_BD instruction total'!$AB:$AB,"&gt;90000")</f>
        <v>0</v>
      </c>
      <c r="K12" s="126" t="e">
        <f t="shared" si="4"/>
        <v>#DIV/0!</v>
      </c>
      <c r="L12" s="121">
        <f t="shared" ref="L12" si="7">B12+D12+F12+H12+J12</f>
        <v>5</v>
      </c>
      <c r="M12" s="41">
        <f t="shared" si="5"/>
        <v>1.1764705882352941E-2</v>
      </c>
    </row>
    <row r="13" spans="1:13" ht="14.5" customHeight="1">
      <c r="A13" s="39" t="s">
        <v>100</v>
      </c>
      <c r="B13" s="39">
        <f>COUNTIFS('3_BD instruction total'!$A:$A,B$3,'3_BD instruction total'!$C:$C,"non",'3_BD instruction total'!$AB:$AB,"&gt;100000")</f>
        <v>0</v>
      </c>
      <c r="C13" s="41">
        <f t="shared" si="0"/>
        <v>0</v>
      </c>
      <c r="D13" s="39">
        <f>COUNTIFS('3_BD instruction total'!$A:$A,D$3,'3_BD instruction total'!$C:$C,"non",'3_BD instruction total'!$AB:$AB,"&gt;100000")</f>
        <v>7</v>
      </c>
      <c r="E13" s="126">
        <f t="shared" si="1"/>
        <v>3.3980582524271843E-2</v>
      </c>
      <c r="F13" s="39">
        <f>COUNTIFS('3_BD instruction total'!$A:$A,F$3,'3_BD instruction total'!$C:$C,"non",'3_BD instruction total'!$AB:$AB,"&gt;100000")</f>
        <v>7</v>
      </c>
      <c r="G13" s="126">
        <f t="shared" si="2"/>
        <v>3.3653846153846152E-2</v>
      </c>
      <c r="H13" s="39">
        <f>COUNTIFS('3_BD instruction total'!$A:$A,H$3,'3_BD instruction total'!$C:$C,"non",'3_BD instruction total'!$AB:$AB,"&gt;100000")</f>
        <v>0</v>
      </c>
      <c r="I13" s="126" t="e">
        <f t="shared" si="3"/>
        <v>#DIV/0!</v>
      </c>
      <c r="J13" s="39">
        <f>COUNTIFS('3_BD instruction total'!$A:$A,J$3,'3_BD instruction total'!$C:$C,"non",'3_BD instruction total'!$AB:$AB,"&gt;100000")</f>
        <v>0</v>
      </c>
      <c r="K13" s="126" t="e">
        <f t="shared" si="4"/>
        <v>#DIV/0!</v>
      </c>
      <c r="L13" s="121">
        <f t="shared" si="6"/>
        <v>14</v>
      </c>
      <c r="M13" s="41">
        <f t="shared" si="5"/>
        <v>3.2941176470588238E-2</v>
      </c>
    </row>
    <row r="14" spans="1:13" ht="14.5" customHeight="1">
      <c r="A14" s="39" t="s">
        <v>36</v>
      </c>
      <c r="B14" s="39">
        <f>COUNTIFS('3_BD instruction total'!$A:$A,B$3,'3_BD instruction total'!$C:$C,"non",'3_BD instruction total'!$AB:$AB,"=0")</f>
        <v>0</v>
      </c>
      <c r="C14" s="41">
        <f t="shared" si="0"/>
        <v>0</v>
      </c>
      <c r="D14" s="39">
        <f>COUNTIFS('3_BD instruction total'!$A:$A,D$3,'3_BD instruction total'!$C:$C,"non",'3_BD instruction total'!$AB:$AB,"=0")</f>
        <v>0</v>
      </c>
      <c r="E14" s="126">
        <f t="shared" si="1"/>
        <v>0</v>
      </c>
      <c r="F14" s="39">
        <f>COUNTIFS('3_BD instruction total'!$A:$A,F$3,'3_BD instruction total'!$C:$C,"non",'3_BD instruction total'!$AB:$AB,"=0")</f>
        <v>0</v>
      </c>
      <c r="G14" s="126">
        <f t="shared" si="2"/>
        <v>0</v>
      </c>
      <c r="H14" s="39">
        <f>COUNTIFS('3_BD instruction total'!$A:$A,H$3,'3_BD instruction total'!$C:$C,"non",'3_BD instruction total'!$AB:$AB,"=0")</f>
        <v>0</v>
      </c>
      <c r="I14" s="126" t="e">
        <f t="shared" si="3"/>
        <v>#DIV/0!</v>
      </c>
      <c r="J14" s="39">
        <f>COUNTIFS('3_BD instruction total'!$A:$A,J$3,'3_BD instruction total'!$C:$C,"non",'3_BD instruction total'!$AB:$AB,"=0")</f>
        <v>0</v>
      </c>
      <c r="K14" s="126" t="e">
        <f t="shared" si="4"/>
        <v>#DIV/0!</v>
      </c>
      <c r="L14" s="121">
        <f t="shared" si="6"/>
        <v>0</v>
      </c>
      <c r="M14" s="41">
        <f t="shared" si="5"/>
        <v>0</v>
      </c>
    </row>
    <row r="15" spans="1:13" ht="14.5" customHeight="1">
      <c r="A15" s="43" t="s">
        <v>438</v>
      </c>
      <c r="B15" s="43">
        <f>SUM(B4:B14)</f>
        <v>11</v>
      </c>
      <c r="C15" s="41">
        <f t="shared" si="0"/>
        <v>1</v>
      </c>
      <c r="D15" s="43">
        <f>SUM(D4:D14)</f>
        <v>206</v>
      </c>
      <c r="E15" s="126">
        <f t="shared" si="1"/>
        <v>1</v>
      </c>
      <c r="F15" s="43">
        <f>SUM(F4:F14)</f>
        <v>208</v>
      </c>
      <c r="G15" s="126">
        <f t="shared" si="2"/>
        <v>1</v>
      </c>
      <c r="H15" s="43">
        <f>SUM(H4:H14)</f>
        <v>0</v>
      </c>
      <c r="I15" s="43" t="e">
        <f>SUM(I4:I14)</f>
        <v>#DIV/0!</v>
      </c>
      <c r="J15" s="43">
        <f>SUM(J4:J14)</f>
        <v>0</v>
      </c>
      <c r="K15" s="43" t="e">
        <f>SUM(K4:K14)</f>
        <v>#DIV/0!</v>
      </c>
      <c r="L15" s="121">
        <f t="shared" si="6"/>
        <v>425</v>
      </c>
      <c r="M15" s="41">
        <f t="shared" si="5"/>
        <v>1</v>
      </c>
    </row>
    <row r="16" spans="1:13" ht="14.5" customHeight="1">
      <c r="A16" s="44"/>
      <c r="B16" s="45"/>
      <c r="C16" s="45"/>
      <c r="D16" s="45"/>
      <c r="E16" s="45"/>
    </row>
    <row r="18" spans="1:13" s="128" customFormat="1" ht="29">
      <c r="A18" s="127"/>
      <c r="B18" s="127">
        <v>2020</v>
      </c>
      <c r="C18" s="127" t="str">
        <f>CONCATENATE(B18,CHAR(10),"N=",B24)</f>
        <v>2020
N=10</v>
      </c>
      <c r="D18" s="127">
        <v>2021</v>
      </c>
      <c r="E18" s="127" t="str">
        <f>CONCATENATE(D18,CHAR(10),"N=",D24)</f>
        <v>2021
N=197</v>
      </c>
      <c r="F18" s="127">
        <v>2022</v>
      </c>
      <c r="G18" s="127" t="str">
        <f>CONCATENATE(F18,CHAR(10),"N=",F24)</f>
        <v>2022
N=195</v>
      </c>
      <c r="H18" s="127">
        <v>2023</v>
      </c>
      <c r="I18" s="127" t="str">
        <f>CONCATENATE(H18,CHAR(10),"N=",H24)</f>
        <v>2023
N=0</v>
      </c>
      <c r="J18" s="127">
        <v>2024</v>
      </c>
      <c r="K18" s="127" t="str">
        <f>CONCATENATE(J18,CHAR(10),"N=",J24)</f>
        <v>2024
N=0</v>
      </c>
      <c r="L18" s="127" t="str">
        <f>B1</f>
        <v>2020-2022</v>
      </c>
      <c r="M18" s="127" t="str">
        <f>CONCATENATE(L18,CHAR(10),"N=",L24)</f>
        <v>2020-2022
N=402</v>
      </c>
    </row>
    <row r="19" spans="1:13">
      <c r="A19" s="39" t="s">
        <v>36</v>
      </c>
      <c r="B19" s="42">
        <f>COUNTIFS('1_BD questio modifié'!A:A,2020,'1_BD questio modifié'!B:B,"non",'1_BD questio modifié'!O:O,A19)</f>
        <v>0</v>
      </c>
      <c r="C19" s="46">
        <f>B19/$B$24</f>
        <v>0</v>
      </c>
      <c r="D19" s="42">
        <f>COUNTIFS('1_BD questio modifié'!A:A,2021,'1_BD questio modifié'!B:B,"non",'1_BD questio modifié'!O:O,A19)</f>
        <v>0</v>
      </c>
      <c r="E19" s="46">
        <f>D19/$D$24</f>
        <v>0</v>
      </c>
      <c r="F19" s="42">
        <f>COUNTIFS('1_BD questio modifié'!A:A,2022,'1_BD questio modifié'!B:B,"non",'1_BD questio modifié'!O:O,A19)</f>
        <v>0</v>
      </c>
      <c r="G19" s="46">
        <f>F19/$F$24</f>
        <v>0</v>
      </c>
      <c r="H19" s="42">
        <f>COUNTIFS('1_BD questio modifié'!E:E,2023,'1_BD questio modifié'!F:F,"non",'1_BD questio modifié'!S:S,#REF!)</f>
        <v>0</v>
      </c>
      <c r="I19" s="46" t="e">
        <f>H19/$H$24</f>
        <v>#DIV/0!</v>
      </c>
      <c r="J19" s="42">
        <f>COUNTIFS('1_BD questio modifié'!E:E,2024,'1_BD questio modifié'!F:F,"non",'1_BD questio modifié'!S:S,#REF!)</f>
        <v>0</v>
      </c>
      <c r="K19" s="46" t="e">
        <f>J19/$J$24</f>
        <v>#DIV/0!</v>
      </c>
      <c r="L19" s="42">
        <f>B19+D19+F19</f>
        <v>0</v>
      </c>
      <c r="M19" s="46">
        <f t="shared" ref="M19:M24" si="8">L19/$L$24</f>
        <v>0</v>
      </c>
    </row>
    <row r="20" spans="1:13">
      <c r="A20" s="39" t="s">
        <v>121</v>
      </c>
      <c r="B20" s="42">
        <f>COUNTIFS('1_BD questio modifié'!A:A,2020,'1_BD questio modifié'!B:B,"non",'1_BD questio modifié'!O:O,A20)</f>
        <v>0</v>
      </c>
      <c r="C20" s="46">
        <f t="shared" ref="C20:C24" si="9">B20/$B$24</f>
        <v>0</v>
      </c>
      <c r="D20" s="42">
        <f>COUNTIFS('1_BD questio modifié'!A:A,2021,'1_BD questio modifié'!B:B,"non",'1_BD questio modifié'!O:O,A20)</f>
        <v>0</v>
      </c>
      <c r="E20" s="46">
        <f t="shared" ref="E20:E22" si="10">D20/$D$24</f>
        <v>0</v>
      </c>
      <c r="F20" s="42">
        <f>COUNTIFS('1_BD questio modifié'!A:A,2022,'1_BD questio modifié'!B:B,"non",'1_BD questio modifié'!O:O,A20)</f>
        <v>0</v>
      </c>
      <c r="G20" s="46">
        <f t="shared" ref="G20:G23" si="11">F20/$F$24</f>
        <v>0</v>
      </c>
      <c r="H20" s="42">
        <f>COUNTIFS('1_BD questio modifié'!E:E,2023,'1_BD questio modifié'!F:F,"non",'1_BD questio modifié'!S:S,#REF!)</f>
        <v>0</v>
      </c>
      <c r="I20" s="46" t="e">
        <f t="shared" ref="I20:I23" si="12">H20/$H$24</f>
        <v>#DIV/0!</v>
      </c>
      <c r="J20" s="42">
        <f>COUNTIFS('1_BD questio modifié'!E:E,2024,'1_BD questio modifié'!F:F,"non",'1_BD questio modifié'!S:S,#REF!)</f>
        <v>0</v>
      </c>
      <c r="K20" s="46" t="e">
        <f t="shared" ref="K20:K23" si="13">J20/$J$24</f>
        <v>#DIV/0!</v>
      </c>
      <c r="L20" s="42">
        <f t="shared" ref="L20:L23" si="14">B20+D20+F20</f>
        <v>0</v>
      </c>
      <c r="M20" s="46">
        <f t="shared" si="8"/>
        <v>0</v>
      </c>
    </row>
    <row r="21" spans="1:13">
      <c r="A21" s="39" t="s">
        <v>93</v>
      </c>
      <c r="B21" s="42">
        <f>COUNTIFS('1_BD questio modifié'!A:A,2020,'1_BD questio modifié'!B:B,"non",'1_BD questio modifié'!O:O,A21)</f>
        <v>0</v>
      </c>
      <c r="C21" s="46">
        <f t="shared" si="9"/>
        <v>0</v>
      </c>
      <c r="D21" s="42">
        <f>COUNTIFS('1_BD questio modifié'!A:A,2021,'1_BD questio modifié'!B:B,"non",'1_BD questio modifié'!O:O,A21)</f>
        <v>0</v>
      </c>
      <c r="E21" s="46">
        <f t="shared" si="10"/>
        <v>0</v>
      </c>
      <c r="F21" s="42">
        <f>COUNTIFS('1_BD questio modifié'!A:A,2022,'1_BD questio modifié'!B:B,"non",'1_BD questio modifié'!O:O,A21)</f>
        <v>1</v>
      </c>
      <c r="G21" s="46">
        <f t="shared" si="11"/>
        <v>5.1282051282051282E-3</v>
      </c>
      <c r="H21" s="42">
        <f>COUNTIFS('1_BD questio modifié'!E:E,2023,'1_BD questio modifié'!F:F,"non",'1_BD questio modifié'!S:S,#REF!)</f>
        <v>0</v>
      </c>
      <c r="I21" s="46" t="e">
        <f t="shared" si="12"/>
        <v>#DIV/0!</v>
      </c>
      <c r="J21" s="42">
        <f>COUNTIFS('1_BD questio modifié'!E:E,2024,'1_BD questio modifié'!F:F,"non",'1_BD questio modifié'!S:S,#REF!)</f>
        <v>0</v>
      </c>
      <c r="K21" s="46" t="e">
        <f t="shared" si="13"/>
        <v>#DIV/0!</v>
      </c>
      <c r="L21" s="42">
        <f t="shared" si="14"/>
        <v>1</v>
      </c>
      <c r="M21" s="46">
        <f t="shared" si="8"/>
        <v>2.4875621890547263E-3</v>
      </c>
    </row>
    <row r="22" spans="1:13">
      <c r="A22" s="39" t="s">
        <v>118</v>
      </c>
      <c r="B22" s="42">
        <f>COUNTIFS('1_BD questio modifié'!A:A,2020,'1_BD questio modifié'!B:B,"non",'1_BD questio modifié'!O:O,A22)</f>
        <v>0</v>
      </c>
      <c r="C22" s="46">
        <f t="shared" si="9"/>
        <v>0</v>
      </c>
      <c r="D22" s="42">
        <f>COUNTIFS('1_BD questio modifié'!A:A,2021,'1_BD questio modifié'!B:B,"non",'1_BD questio modifié'!O:O,A22)</f>
        <v>0</v>
      </c>
      <c r="E22" s="46">
        <f t="shared" si="10"/>
        <v>0</v>
      </c>
      <c r="F22" s="42">
        <f>COUNTIFS('1_BD questio modifié'!A:A,2022,'1_BD questio modifié'!B:B,"non",'1_BD questio modifié'!O:O,A22)</f>
        <v>4</v>
      </c>
      <c r="G22" s="46">
        <f t="shared" si="11"/>
        <v>2.0512820512820513E-2</v>
      </c>
      <c r="H22" s="42">
        <f>COUNTIFS('1_BD questio modifié'!E:E,2023,'1_BD questio modifié'!F:F,"non",'1_BD questio modifié'!S:S,#REF!)</f>
        <v>0</v>
      </c>
      <c r="I22" s="46" t="e">
        <f t="shared" si="12"/>
        <v>#DIV/0!</v>
      </c>
      <c r="J22" s="42">
        <f>COUNTIFS('1_BD questio modifié'!E:E,2024,'1_BD questio modifié'!F:F,"non",'1_BD questio modifié'!S:S,#REF!)</f>
        <v>0</v>
      </c>
      <c r="K22" s="46" t="e">
        <f t="shared" si="13"/>
        <v>#DIV/0!</v>
      </c>
      <c r="L22" s="42">
        <f t="shared" si="14"/>
        <v>4</v>
      </c>
      <c r="M22" s="46">
        <f t="shared" si="8"/>
        <v>9.9502487562189053E-3</v>
      </c>
    </row>
    <row r="23" spans="1:13">
      <c r="A23" s="39" t="s">
        <v>37</v>
      </c>
      <c r="B23" s="42">
        <f>COUNTIFS('1_BD questio modifié'!A:A,2020,'1_BD questio modifié'!B:B,"non",'1_BD questio modifié'!O:O,A23)</f>
        <v>10</v>
      </c>
      <c r="C23" s="46">
        <f t="shared" si="9"/>
        <v>1</v>
      </c>
      <c r="D23" s="42">
        <f>COUNTIFS('1_BD questio modifié'!A:A,2021,'1_BD questio modifié'!B:B,"non",'1_BD questio modifié'!O:O,A23)</f>
        <v>197</v>
      </c>
      <c r="E23" s="46">
        <f>D23/$D$24</f>
        <v>1</v>
      </c>
      <c r="F23" s="42">
        <f>COUNTIFS('1_BD questio modifié'!A:A,2022,'1_BD questio modifié'!B:B,"non",'1_BD questio modifié'!O:O,A23)</f>
        <v>190</v>
      </c>
      <c r="G23" s="46">
        <f t="shared" si="11"/>
        <v>0.97435897435897434</v>
      </c>
      <c r="H23" s="42">
        <f>COUNTIFS('1_BD questio modifié'!E:E,2023,'1_BD questio modifié'!F:F,"non",'1_BD questio modifié'!S:S,#REF!)</f>
        <v>0</v>
      </c>
      <c r="I23" s="46" t="e">
        <f t="shared" si="12"/>
        <v>#DIV/0!</v>
      </c>
      <c r="J23" s="42">
        <f>COUNTIFS('1_BD questio modifié'!E:E,2024,'1_BD questio modifié'!F:F,"non",'1_BD questio modifié'!S:S,#REF!)</f>
        <v>0</v>
      </c>
      <c r="K23" s="46" t="e">
        <f t="shared" si="13"/>
        <v>#DIV/0!</v>
      </c>
      <c r="L23" s="42">
        <f t="shared" si="14"/>
        <v>397</v>
      </c>
      <c r="M23" s="46">
        <f t="shared" si="8"/>
        <v>0.98756218905472637</v>
      </c>
    </row>
    <row r="24" spans="1:13">
      <c r="A24" s="39" t="s">
        <v>438</v>
      </c>
      <c r="B24" s="39">
        <f>SUM(B19:B23)</f>
        <v>10</v>
      </c>
      <c r="C24" s="46">
        <f t="shared" si="9"/>
        <v>1</v>
      </c>
      <c r="D24" s="39">
        <f>SUM(D19:D23)</f>
        <v>197</v>
      </c>
      <c r="E24" s="46">
        <f t="shared" ref="E24" si="15">D24/$B$24</f>
        <v>19.7</v>
      </c>
      <c r="F24" s="39">
        <f>SUM(F19:F23)</f>
        <v>195</v>
      </c>
      <c r="G24" s="46">
        <f t="shared" ref="G24" si="16">F24/$B$24</f>
        <v>19.5</v>
      </c>
      <c r="H24" s="39">
        <f>SUM(H19:H23)</f>
        <v>0</v>
      </c>
      <c r="I24" s="46">
        <f t="shared" ref="I24" si="17">H24/$B$24</f>
        <v>0</v>
      </c>
      <c r="J24" s="39">
        <f>SUM(J19:J23)</f>
        <v>0</v>
      </c>
      <c r="K24" s="46">
        <f t="shared" ref="K24" si="18">J24/$B$24</f>
        <v>0</v>
      </c>
      <c r="L24" s="39">
        <f>SUM(L19:L23)</f>
        <v>402</v>
      </c>
      <c r="M24" s="46">
        <f t="shared" si="8"/>
        <v>1</v>
      </c>
    </row>
    <row r="25" spans="1:13">
      <c r="A25" s="368"/>
      <c r="B25" s="368"/>
      <c r="C25" s="70"/>
      <c r="D25" s="368"/>
      <c r="E25" s="70"/>
      <c r="F25" s="368"/>
      <c r="G25" s="70"/>
      <c r="H25" s="368"/>
      <c r="I25" s="70"/>
      <c r="J25" s="368"/>
      <c r="K25" s="70"/>
      <c r="L25" s="368"/>
      <c r="M25" s="70"/>
    </row>
    <row r="26" spans="1:13" ht="15" thickBot="1">
      <c r="A26" s="368"/>
      <c r="B26" s="368"/>
      <c r="C26" s="70"/>
      <c r="D26" s="368"/>
      <c r="E26" s="70"/>
      <c r="F26" s="368"/>
      <c r="G26" s="70"/>
      <c r="H26" s="368"/>
      <c r="I26" s="70"/>
      <c r="J26" s="368"/>
      <c r="K26" s="70"/>
      <c r="L26" s="368"/>
      <c r="M26" s="70"/>
    </row>
    <row r="27" spans="1:13" ht="29.5" thickBot="1">
      <c r="A27" s="369"/>
      <c r="B27" s="370" t="s">
        <v>36</v>
      </c>
      <c r="C27" s="370" t="s">
        <v>121</v>
      </c>
      <c r="D27" s="370" t="s">
        <v>93</v>
      </c>
      <c r="E27" s="370" t="s">
        <v>118</v>
      </c>
      <c r="F27" s="370" t="s">
        <v>37</v>
      </c>
      <c r="G27" s="371" t="s">
        <v>438</v>
      </c>
      <c r="H27" s="368"/>
      <c r="I27" s="70"/>
      <c r="J27" s="368"/>
      <c r="K27" s="70"/>
      <c r="L27" s="368"/>
      <c r="M27" s="70"/>
    </row>
    <row r="28" spans="1:13">
      <c r="A28" s="372">
        <v>2020</v>
      </c>
      <c r="B28" s="375">
        <f>COUNTIFS('1_BD questio modifié'!$A:$A,$A28,'1_BD questio modifié'!$B:$B,"non",'1_BD questio modifié'!$O:$O,$B$27)</f>
        <v>0</v>
      </c>
      <c r="C28" s="375">
        <f>COUNTIFS('1_BD questio modifié'!$A:$A,$A28,'1_BD questio modifié'!$B:$B,"non",'1_BD questio modifié'!$O:$O,$C$27)</f>
        <v>0</v>
      </c>
      <c r="D28" s="375">
        <f>COUNTIFS('1_BD questio modifié'!$A:$A,$A28,'1_BD questio modifié'!$B:$B,"non",'1_BD questio modifié'!$O:$O,$D$27)</f>
        <v>0</v>
      </c>
      <c r="E28" s="375">
        <f>COUNTIFS('1_BD questio modifié'!$A:$A,$A28,'1_BD questio modifié'!$B:$B,"non",'1_BD questio modifié'!$O:$O,$E$27)</f>
        <v>0</v>
      </c>
      <c r="F28" s="375">
        <f>COUNTIFS('1_BD questio modifié'!$A:$A,$A28,'1_BD questio modifié'!$B:$B,"non",'1_BD questio modifié'!$O:$O,$F$27)</f>
        <v>10</v>
      </c>
      <c r="G28" s="376">
        <f>SUM(B28:F28)</f>
        <v>10</v>
      </c>
      <c r="H28" s="368"/>
      <c r="I28" s="70"/>
      <c r="J28" s="368"/>
      <c r="K28" s="70"/>
      <c r="L28" s="368"/>
      <c r="M28" s="70"/>
    </row>
    <row r="29" spans="1:13" ht="29">
      <c r="A29" s="372" t="str">
        <f>CONCATENATE(A28,CHAR(10),"N=",G28)</f>
        <v>2020
N=10</v>
      </c>
      <c r="B29" s="373">
        <f t="shared" ref="B29:G29" si="19">B28/$G$28</f>
        <v>0</v>
      </c>
      <c r="C29" s="373">
        <f t="shared" si="19"/>
        <v>0</v>
      </c>
      <c r="D29" s="373">
        <f t="shared" si="19"/>
        <v>0</v>
      </c>
      <c r="E29" s="373">
        <f t="shared" si="19"/>
        <v>0</v>
      </c>
      <c r="F29" s="373">
        <f t="shared" si="19"/>
        <v>1</v>
      </c>
      <c r="G29" s="374">
        <f t="shared" si="19"/>
        <v>1</v>
      </c>
      <c r="H29" s="368"/>
      <c r="I29" s="70"/>
      <c r="J29" s="368"/>
      <c r="K29" s="70"/>
      <c r="L29" s="368"/>
      <c r="M29" s="70"/>
    </row>
    <row r="30" spans="1:13">
      <c r="A30" s="372">
        <v>2021</v>
      </c>
      <c r="B30" s="375">
        <f>COUNTIFS('1_BD questio modifié'!$A:$A,$A30,'1_BD questio modifié'!$B:$B,"non",'1_BD questio modifié'!$O:$O,$B$27)</f>
        <v>0</v>
      </c>
      <c r="C30" s="375">
        <f>COUNTIFS('1_BD questio modifié'!$A:$A,$A30,'1_BD questio modifié'!$B:$B,"non",'1_BD questio modifié'!$O:$O,$C$27)</f>
        <v>0</v>
      </c>
      <c r="D30" s="375">
        <f>COUNTIFS('1_BD questio modifié'!$A:$A,$A30,'1_BD questio modifié'!$B:$B,"non",'1_BD questio modifié'!$O:$O,$D$27)</f>
        <v>0</v>
      </c>
      <c r="E30" s="375">
        <f>COUNTIFS('1_BD questio modifié'!$A:$A,$A30,'1_BD questio modifié'!$B:$B,"non",'1_BD questio modifié'!$O:$O,$E$27)</f>
        <v>0</v>
      </c>
      <c r="F30" s="375">
        <f>COUNTIFS('1_BD questio modifié'!$A:$A,$A30,'1_BD questio modifié'!$B:$B,"non",'1_BD questio modifié'!$O:$O,$F$27)</f>
        <v>197</v>
      </c>
      <c r="G30" s="376">
        <f>SUM(B30:F30)</f>
        <v>197</v>
      </c>
      <c r="H30" s="368"/>
      <c r="I30" s="70"/>
      <c r="J30" s="368"/>
      <c r="K30" s="70"/>
      <c r="L30" s="368"/>
      <c r="M30" s="70"/>
    </row>
    <row r="31" spans="1:13" ht="29">
      <c r="A31" s="372" t="str">
        <f>CONCATENATE(A30,CHAR(10),"N=",G30)</f>
        <v>2021
N=197</v>
      </c>
      <c r="B31" s="373">
        <f t="shared" ref="B31:G31" si="20">B30/$G$30</f>
        <v>0</v>
      </c>
      <c r="C31" s="373">
        <f t="shared" si="20"/>
        <v>0</v>
      </c>
      <c r="D31" s="373">
        <f t="shared" si="20"/>
        <v>0</v>
      </c>
      <c r="E31" s="373">
        <f t="shared" si="20"/>
        <v>0</v>
      </c>
      <c r="F31" s="373">
        <f t="shared" si="20"/>
        <v>1</v>
      </c>
      <c r="G31" s="374">
        <f t="shared" si="20"/>
        <v>1</v>
      </c>
      <c r="H31" s="368"/>
      <c r="I31" s="70"/>
      <c r="J31" s="368"/>
      <c r="K31" s="70"/>
      <c r="L31" s="368"/>
      <c r="M31" s="70"/>
    </row>
    <row r="32" spans="1:13">
      <c r="A32" s="372">
        <v>2022</v>
      </c>
      <c r="B32" s="375">
        <f>COUNTIFS('1_BD questio modifié'!$A:$A,$A32,'1_BD questio modifié'!$B:$B,"non",'1_BD questio modifié'!$O:$O,$B$27)</f>
        <v>0</v>
      </c>
      <c r="C32" s="375">
        <f>COUNTIFS('1_BD questio modifié'!$A:$A,$A32,'1_BD questio modifié'!$B:$B,"non",'1_BD questio modifié'!$O:$O,$C$27)</f>
        <v>0</v>
      </c>
      <c r="D32" s="375">
        <f>COUNTIFS('1_BD questio modifié'!$A:$A,$A32,'1_BD questio modifié'!$B:$B,"non",'1_BD questio modifié'!$O:$O,$D$27)</f>
        <v>1</v>
      </c>
      <c r="E32" s="375">
        <f>COUNTIFS('1_BD questio modifié'!$A:$A,$A32,'1_BD questio modifié'!$B:$B,"non",'1_BD questio modifié'!$O:$O,$E$27)</f>
        <v>4</v>
      </c>
      <c r="F32" s="375">
        <f>COUNTIFS('1_BD questio modifié'!$A:$A,$A32,'1_BD questio modifié'!$B:$B,"non",'1_BD questio modifié'!$O:$O,$F$27)</f>
        <v>190</v>
      </c>
      <c r="G32" s="376">
        <f>SUM(B32:F32)</f>
        <v>195</v>
      </c>
      <c r="H32" s="368"/>
      <c r="I32" s="70"/>
      <c r="J32" s="368"/>
      <c r="K32" s="70"/>
      <c r="L32" s="368"/>
      <c r="M32" s="70"/>
    </row>
    <row r="33" spans="1:13" ht="29">
      <c r="A33" s="372" t="str">
        <f>CONCATENATE(A32,CHAR(10),"N=",G32)</f>
        <v>2022
N=195</v>
      </c>
      <c r="B33" s="373">
        <v>0</v>
      </c>
      <c r="C33" s="373">
        <v>0</v>
      </c>
      <c r="D33" s="373">
        <f>D32/$G$32</f>
        <v>5.1282051282051282E-3</v>
      </c>
      <c r="E33" s="373">
        <f>E32/$G$32</f>
        <v>2.0512820512820513E-2</v>
      </c>
      <c r="F33" s="373">
        <f>F32/$G$32</f>
        <v>0.97435897435897434</v>
      </c>
      <c r="G33" s="374">
        <f>G32/$G$32</f>
        <v>1</v>
      </c>
      <c r="H33" s="368"/>
      <c r="I33" s="70"/>
      <c r="J33" s="368"/>
      <c r="K33" s="70"/>
      <c r="L33" s="368"/>
      <c r="M33" s="70"/>
    </row>
    <row r="34" spans="1:13">
      <c r="A34" s="372">
        <v>2023</v>
      </c>
      <c r="B34" s="375">
        <f>COUNTIFS('1_BD questio modifié'!$A:$A,$A34,'1_BD questio modifié'!$B:$B,"non",'1_BD questio modifié'!$O:$O,$B$27)</f>
        <v>0</v>
      </c>
      <c r="C34" s="375">
        <f>COUNTIFS('1_BD questio modifié'!$A:$A,$A34,'1_BD questio modifié'!$B:$B,"non",'1_BD questio modifié'!$O:$O,$C$27)</f>
        <v>0</v>
      </c>
      <c r="D34" s="375">
        <f>COUNTIFS('1_BD questio modifié'!$A:$A,$A34,'1_BD questio modifié'!$B:$B,"non",'1_BD questio modifié'!$O:$O,$D$27)</f>
        <v>0</v>
      </c>
      <c r="E34" s="375">
        <f>COUNTIFS('1_BD questio modifié'!$A:$A,$A34,'1_BD questio modifié'!$B:$B,"non",'1_BD questio modifié'!$O:$O,$E$27)</f>
        <v>0</v>
      </c>
      <c r="F34" s="375">
        <f>COUNTIFS('1_BD questio modifié'!$A:$A,$A34,'1_BD questio modifié'!$B:$B,"non",'1_BD questio modifié'!$O:$O,$F$27)</f>
        <v>0</v>
      </c>
      <c r="G34" s="376">
        <f>SUM(B34:F34)</f>
        <v>0</v>
      </c>
      <c r="H34" s="368"/>
      <c r="I34" s="70"/>
      <c r="J34" s="368"/>
      <c r="K34" s="70"/>
      <c r="L34" s="368"/>
      <c r="M34" s="70"/>
    </row>
    <row r="35" spans="1:13" ht="29">
      <c r="A35" s="372" t="str">
        <f>CONCATENATE(A34,CHAR(10),"N=",G34)</f>
        <v>2023
N=0</v>
      </c>
      <c r="B35" s="373" t="e">
        <f t="shared" ref="B35:G35" si="21">B34/$G$34</f>
        <v>#DIV/0!</v>
      </c>
      <c r="C35" s="373" t="e">
        <f t="shared" si="21"/>
        <v>#DIV/0!</v>
      </c>
      <c r="D35" s="373" t="e">
        <f t="shared" si="21"/>
        <v>#DIV/0!</v>
      </c>
      <c r="E35" s="373" t="e">
        <f t="shared" si="21"/>
        <v>#DIV/0!</v>
      </c>
      <c r="F35" s="373" t="e">
        <f t="shared" si="21"/>
        <v>#DIV/0!</v>
      </c>
      <c r="G35" s="374" t="e">
        <f t="shared" si="21"/>
        <v>#DIV/0!</v>
      </c>
      <c r="H35" s="368"/>
      <c r="I35" s="70"/>
      <c r="J35" s="368"/>
      <c r="K35" s="70"/>
      <c r="L35" s="368"/>
      <c r="M35" s="70"/>
    </row>
    <row r="36" spans="1:13">
      <c r="A36" s="372">
        <v>2024</v>
      </c>
      <c r="B36" s="375">
        <f>COUNTIFS('1_BD questio modifié'!$A:$A,$A36,'1_BD questio modifié'!$B:$B,"non",'1_BD questio modifié'!$O:$O,$B$27)</f>
        <v>0</v>
      </c>
      <c r="C36" s="375">
        <f>COUNTIFS('1_BD questio modifié'!$A:$A,$A36,'1_BD questio modifié'!$B:$B,"non",'1_BD questio modifié'!$O:$O,$C$27)</f>
        <v>0</v>
      </c>
      <c r="D36" s="375">
        <f>COUNTIFS('1_BD questio modifié'!$A:$A,$A36,'1_BD questio modifié'!$B:$B,"non",'1_BD questio modifié'!$O:$O,$D$27)</f>
        <v>0</v>
      </c>
      <c r="E36" s="375">
        <f>COUNTIFS('1_BD questio modifié'!$A:$A,$A36,'1_BD questio modifié'!$B:$B,"non",'1_BD questio modifié'!$O:$O,$E$27)</f>
        <v>0</v>
      </c>
      <c r="F36" s="375">
        <f>COUNTIFS('1_BD questio modifié'!$A:$A,$A36,'1_BD questio modifié'!$B:$B,"non",'1_BD questio modifié'!$O:$O,$F$27)</f>
        <v>0</v>
      </c>
      <c r="G36" s="376">
        <f>SUM(B36:F36)</f>
        <v>0</v>
      </c>
      <c r="H36" s="368"/>
      <c r="I36" s="70"/>
      <c r="J36" s="368"/>
      <c r="K36" s="70"/>
      <c r="L36" s="368"/>
      <c r="M36" s="70"/>
    </row>
    <row r="37" spans="1:13" ht="29.5" thickBot="1">
      <c r="A37" s="377" t="str">
        <f>CONCATENATE(A36,CHAR(10),"N=",G36)</f>
        <v>2024
N=0</v>
      </c>
      <c r="B37" s="378" t="e">
        <f t="shared" ref="B37:G37" si="22">B36/$G$36</f>
        <v>#DIV/0!</v>
      </c>
      <c r="C37" s="378" t="e">
        <f t="shared" si="22"/>
        <v>#DIV/0!</v>
      </c>
      <c r="D37" s="378" t="e">
        <f t="shared" si="22"/>
        <v>#DIV/0!</v>
      </c>
      <c r="E37" s="378" t="e">
        <f t="shared" si="22"/>
        <v>#DIV/0!</v>
      </c>
      <c r="F37" s="378" t="e">
        <f t="shared" si="22"/>
        <v>#DIV/0!</v>
      </c>
      <c r="G37" s="379" t="e">
        <f t="shared" si="22"/>
        <v>#DIV/0!</v>
      </c>
      <c r="H37" s="368"/>
      <c r="I37" s="70"/>
      <c r="J37" s="368"/>
      <c r="K37" s="70"/>
      <c r="L37" s="368"/>
      <c r="M37" s="70"/>
    </row>
    <row r="38" spans="1:13">
      <c r="A38" s="380" t="str">
        <f>B1</f>
        <v>2020-2022</v>
      </c>
      <c r="B38" s="381">
        <f>B28+B30+B32</f>
        <v>0</v>
      </c>
      <c r="C38" s="381">
        <f t="shared" ref="C38:G38" si="23">C28+C30+C32</f>
        <v>0</v>
      </c>
      <c r="D38" s="381">
        <f t="shared" si="23"/>
        <v>1</v>
      </c>
      <c r="E38" s="381">
        <f t="shared" si="23"/>
        <v>4</v>
      </c>
      <c r="F38" s="381">
        <f t="shared" si="23"/>
        <v>397</v>
      </c>
      <c r="G38" s="385">
        <f t="shared" si="23"/>
        <v>402</v>
      </c>
      <c r="H38" s="368"/>
      <c r="I38" s="70"/>
      <c r="J38" s="368"/>
      <c r="K38" s="70"/>
      <c r="L38" s="368"/>
      <c r="M38" s="70"/>
    </row>
    <row r="39" spans="1:13" ht="33.75" customHeight="1" thickBot="1">
      <c r="A39" s="382" t="str">
        <f>CONCATENATE(A38,CHAR(10),"N=",G38)</f>
        <v>2020-2022
N=402</v>
      </c>
      <c r="B39" s="383">
        <f>B38/$G$38</f>
        <v>0</v>
      </c>
      <c r="C39" s="383">
        <f t="shared" ref="C39:G39" si="24">C38/$G$38</f>
        <v>0</v>
      </c>
      <c r="D39" s="383">
        <f t="shared" si="24"/>
        <v>2.4875621890547263E-3</v>
      </c>
      <c r="E39" s="383">
        <f t="shared" si="24"/>
        <v>9.9502487562189053E-3</v>
      </c>
      <c r="F39" s="383">
        <f t="shared" si="24"/>
        <v>0.98756218905472637</v>
      </c>
      <c r="G39" s="384">
        <f t="shared" si="24"/>
        <v>1</v>
      </c>
      <c r="H39" s="368"/>
      <c r="I39" s="70"/>
      <c r="J39" s="368"/>
      <c r="K39" s="70"/>
      <c r="L39" s="368"/>
      <c r="M39" s="70"/>
    </row>
    <row r="40" spans="1:13">
      <c r="A40" s="368"/>
      <c r="B40" s="368"/>
      <c r="C40" s="70"/>
      <c r="D40" s="368"/>
      <c r="E40" s="70"/>
      <c r="F40" s="368"/>
      <c r="G40" s="70"/>
      <c r="H40" s="368"/>
      <c r="I40" s="70"/>
      <c r="J40" s="368"/>
      <c r="K40" s="70"/>
      <c r="L40" s="368"/>
      <c r="M40" s="70"/>
    </row>
    <row r="41" spans="1:13">
      <c r="A41" s="368"/>
      <c r="B41" s="368"/>
      <c r="C41" s="70"/>
      <c r="D41" s="368"/>
      <c r="E41" s="70"/>
      <c r="F41" s="368"/>
      <c r="G41" s="70"/>
      <c r="H41" s="368"/>
      <c r="I41" s="70"/>
      <c r="J41" s="368"/>
      <c r="K41" s="70"/>
      <c r="L41" s="368"/>
      <c r="M41" s="70"/>
    </row>
    <row r="42" spans="1:13">
      <c r="A42" s="368"/>
      <c r="B42" s="368"/>
      <c r="C42" s="70"/>
      <c r="D42" s="368"/>
      <c r="E42" s="70"/>
      <c r="F42" s="368"/>
      <c r="G42" s="70"/>
      <c r="H42" s="368"/>
      <c r="I42" s="70"/>
      <c r="J42" s="368"/>
      <c r="K42" s="70"/>
      <c r="L42" s="368"/>
      <c r="M42" s="70"/>
    </row>
    <row r="43" spans="1:13">
      <c r="A43" s="368"/>
      <c r="B43" s="368"/>
      <c r="C43" s="70"/>
      <c r="D43" s="368"/>
      <c r="E43" s="70"/>
      <c r="F43" s="368"/>
      <c r="G43" s="70"/>
      <c r="H43" s="368"/>
      <c r="I43" s="70"/>
      <c r="J43" s="368"/>
      <c r="K43" s="70"/>
      <c r="L43" s="368"/>
      <c r="M43" s="70"/>
    </row>
    <row r="44" spans="1:13">
      <c r="A44" s="368"/>
      <c r="B44" s="368"/>
      <c r="C44" s="70"/>
      <c r="D44" s="368"/>
      <c r="E44" s="70"/>
      <c r="F44" s="368"/>
      <c r="G44" s="70"/>
      <c r="H44" s="368"/>
      <c r="I44" s="70"/>
      <c r="J44" s="368"/>
      <c r="K44" s="70"/>
      <c r="L44" s="368"/>
      <c r="M44" s="70"/>
    </row>
    <row r="45" spans="1:13">
      <c r="A45" s="368"/>
      <c r="B45" s="368"/>
      <c r="C45" s="70"/>
      <c r="D45" s="368"/>
      <c r="E45" s="70"/>
      <c r="F45" s="368"/>
      <c r="G45" s="70"/>
      <c r="H45" s="368"/>
      <c r="I45" s="70"/>
      <c r="J45" s="368"/>
      <c r="K45" s="70"/>
      <c r="L45" s="368"/>
      <c r="M45" s="70"/>
    </row>
    <row r="46" spans="1:13">
      <c r="A46" s="368"/>
      <c r="B46" s="368"/>
      <c r="C46" s="70"/>
      <c r="D46" s="368"/>
      <c r="E46" s="70"/>
      <c r="F46" s="368"/>
      <c r="G46" s="70"/>
      <c r="H46" s="368"/>
      <c r="I46" s="70"/>
      <c r="J46" s="368"/>
      <c r="K46" s="70"/>
      <c r="L46" s="368"/>
      <c r="M46" s="70"/>
    </row>
    <row r="47" spans="1:13">
      <c r="A47" s="368"/>
      <c r="B47" s="368"/>
      <c r="C47" s="70"/>
      <c r="D47" s="368"/>
      <c r="E47" s="70"/>
      <c r="F47" s="368"/>
      <c r="G47" s="70"/>
      <c r="H47" s="368"/>
      <c r="I47" s="70"/>
      <c r="J47" s="368"/>
      <c r="K47" s="70"/>
      <c r="L47" s="368"/>
      <c r="M47" s="70"/>
    </row>
    <row r="48" spans="1:13">
      <c r="A48" s="368"/>
      <c r="B48" s="368"/>
      <c r="C48" s="70"/>
      <c r="D48" s="368"/>
      <c r="E48" s="70"/>
      <c r="F48" s="368"/>
      <c r="G48" s="70"/>
      <c r="H48" s="368"/>
      <c r="I48" s="70"/>
      <c r="J48" s="368"/>
      <c r="K48" s="70"/>
      <c r="L48" s="368"/>
      <c r="M48" s="70"/>
    </row>
    <row r="49" spans="1:13">
      <c r="A49" s="368"/>
      <c r="B49" s="368"/>
      <c r="C49" s="70"/>
      <c r="D49" s="368"/>
      <c r="E49" s="70"/>
      <c r="F49" s="368"/>
      <c r="G49" s="70"/>
      <c r="H49" s="368"/>
      <c r="I49" s="70"/>
      <c r="J49" s="368"/>
      <c r="K49" s="70"/>
      <c r="L49" s="368"/>
      <c r="M49" s="70"/>
    </row>
    <row r="50" spans="1:13">
      <c r="H50" s="368"/>
      <c r="I50" s="70"/>
      <c r="J50" s="368"/>
      <c r="K50" s="70"/>
      <c r="L50" s="368"/>
      <c r="M50" s="70"/>
    </row>
    <row r="51" spans="1:13">
      <c r="A51" s="396" t="str">
        <f>CONCATENATE("Âge des bénéficiaires - Voironnais",CHAR(10),"Années ",B1)</f>
        <v>Âge des bénéficiaires - Voironnais
Années 2020-2022</v>
      </c>
      <c r="B51" s="396"/>
      <c r="H51" s="368"/>
      <c r="I51" s="70"/>
      <c r="J51" s="368"/>
      <c r="K51" s="70"/>
      <c r="L51" s="368"/>
      <c r="M51" s="70"/>
    </row>
    <row r="52" spans="1:13">
      <c r="A52" s="72" t="s">
        <v>302</v>
      </c>
      <c r="B52" s="207">
        <f>COUNTIFS('1_BD questio modifié'!B:B,"non",'1_BD questio modifié'!G:G,A52,'1_BD questio modifié'!A:A,"&lt;&gt;1900")</f>
        <v>0</v>
      </c>
      <c r="C52" s="71">
        <f t="shared" ref="C52:C57" si="25">B52/SUM($B$52:$B$57)</f>
        <v>0</v>
      </c>
      <c r="H52" s="368"/>
      <c r="I52" s="70"/>
      <c r="J52" s="368"/>
      <c r="K52" s="70"/>
      <c r="L52" s="368"/>
      <c r="M52" s="70"/>
    </row>
    <row r="53" spans="1:13">
      <c r="A53" s="72" t="s">
        <v>307</v>
      </c>
      <c r="B53" s="207">
        <f>COUNTIFS('1_BD questio modifié'!B:B,"non",'1_BD questio modifié'!G:G,A53,'1_BD questio modifié'!A:A,"&lt;&gt;1900")</f>
        <v>44</v>
      </c>
      <c r="C53" s="71">
        <f t="shared" si="25"/>
        <v>0.10945273631840796</v>
      </c>
      <c r="H53" s="368"/>
      <c r="I53" s="70"/>
      <c r="J53" s="368"/>
      <c r="K53" s="70"/>
      <c r="L53" s="368"/>
      <c r="M53" s="70"/>
    </row>
    <row r="54" spans="1:13">
      <c r="A54" s="72" t="s">
        <v>311</v>
      </c>
      <c r="B54" s="207">
        <f>COUNTIFS('1_BD questio modifié'!B:B,"non",'1_BD questio modifié'!G:G,A54,'1_BD questio modifié'!A:A,"&lt;&gt;1900")</f>
        <v>102</v>
      </c>
      <c r="C54" s="71">
        <f t="shared" si="25"/>
        <v>0.2537313432835821</v>
      </c>
      <c r="H54" s="368"/>
      <c r="I54" s="70"/>
      <c r="J54" s="368"/>
      <c r="K54" s="70"/>
      <c r="L54" s="368"/>
      <c r="M54" s="70"/>
    </row>
    <row r="55" spans="1:13">
      <c r="A55" s="72" t="s">
        <v>315</v>
      </c>
      <c r="B55" s="207">
        <f>COUNTIFS('1_BD questio modifié'!B:B,"non",'1_BD questio modifié'!G:G,A55,'1_BD questio modifié'!A:A,"&lt;&gt;1900")</f>
        <v>113</v>
      </c>
      <c r="C55" s="71">
        <f t="shared" si="25"/>
        <v>0.28109452736318408</v>
      </c>
      <c r="H55" s="368"/>
      <c r="I55" s="70"/>
      <c r="J55" s="368"/>
      <c r="K55" s="70"/>
      <c r="L55" s="368"/>
      <c r="M55" s="70"/>
    </row>
    <row r="56" spans="1:13">
      <c r="A56" s="72" t="s">
        <v>318</v>
      </c>
      <c r="B56" s="207">
        <f>COUNTIFS('1_BD questio modifié'!B:B,"non",'1_BD questio modifié'!G:G,A56,'1_BD questio modifié'!A:A,"&lt;&gt;1900")</f>
        <v>138</v>
      </c>
      <c r="C56" s="71">
        <f t="shared" si="25"/>
        <v>0.34328358208955223</v>
      </c>
      <c r="H56" s="368"/>
      <c r="I56" s="70"/>
      <c r="J56" s="368"/>
      <c r="K56" s="70"/>
      <c r="L56" s="368"/>
      <c r="M56" s="70"/>
    </row>
    <row r="57" spans="1:13">
      <c r="A57" s="72" t="s">
        <v>36</v>
      </c>
      <c r="B57" s="207">
        <f>COUNTIFS('1_BD questio modifié'!B:B,"non",'1_BD questio modifié'!G:G,A57,'1_BD questio modifié'!A:A,"&lt;&gt;1900")</f>
        <v>5</v>
      </c>
      <c r="C57" s="71">
        <f t="shared" si="25"/>
        <v>1.2437810945273632E-2</v>
      </c>
      <c r="H57" s="368"/>
      <c r="I57" s="70"/>
      <c r="J57" s="368"/>
      <c r="K57" s="70"/>
      <c r="L57" s="368"/>
      <c r="M57" s="70"/>
    </row>
    <row r="58" spans="1:13">
      <c r="H58" s="368"/>
      <c r="I58" s="70"/>
      <c r="J58" s="368"/>
      <c r="K58" s="70"/>
      <c r="L58" s="368"/>
      <c r="M58" s="70"/>
    </row>
    <row r="59" spans="1:13">
      <c r="H59" s="368"/>
      <c r="I59" s="70"/>
      <c r="J59" s="368"/>
      <c r="K59" s="70"/>
      <c r="L59" s="368"/>
      <c r="M59" s="70"/>
    </row>
    <row r="60" spans="1:13">
      <c r="A60" s="2"/>
      <c r="B60" s="2"/>
      <c r="C60" s="2"/>
    </row>
    <row r="61" spans="1:13" ht="45" customHeight="1">
      <c r="A61"/>
      <c r="B61"/>
      <c r="C61" s="2"/>
      <c r="D61"/>
      <c r="E61"/>
    </row>
    <row r="62" spans="1:13">
      <c r="A62"/>
      <c r="B62"/>
      <c r="C62" s="2"/>
      <c r="D62"/>
      <c r="E62"/>
    </row>
    <row r="63" spans="1:13">
      <c r="A63"/>
      <c r="B63"/>
      <c r="C63" s="2"/>
      <c r="D63"/>
      <c r="E63"/>
    </row>
    <row r="64" spans="1:13">
      <c r="A64"/>
      <c r="B64"/>
      <c r="C64" s="2"/>
      <c r="D64"/>
      <c r="E64"/>
    </row>
    <row r="65" spans="1:7">
      <c r="A65"/>
      <c r="B65"/>
      <c r="C65" s="2"/>
      <c r="D65"/>
      <c r="E65"/>
    </row>
    <row r="66" spans="1:7">
      <c r="A66"/>
      <c r="B66"/>
      <c r="C66" s="2"/>
      <c r="D66"/>
      <c r="E66"/>
    </row>
    <row r="67" spans="1:7">
      <c r="A67"/>
      <c r="B67"/>
      <c r="C67" s="2"/>
      <c r="D67"/>
      <c r="E67"/>
    </row>
    <row r="68" spans="1:7">
      <c r="A68"/>
      <c r="B68"/>
      <c r="C68" s="2"/>
    </row>
    <row r="69" spans="1:7">
      <c r="A69"/>
      <c r="B69"/>
      <c r="C69" s="2"/>
    </row>
    <row r="70" spans="1:7">
      <c r="A70"/>
      <c r="B70"/>
      <c r="C70" s="2"/>
    </row>
    <row r="71" spans="1:7">
      <c r="A71"/>
      <c r="B71"/>
    </row>
    <row r="72" spans="1:7">
      <c r="A72"/>
      <c r="B72"/>
    </row>
    <row r="73" spans="1:7">
      <c r="A73"/>
      <c r="B73"/>
    </row>
    <row r="74" spans="1:7">
      <c r="A74"/>
      <c r="B74"/>
    </row>
    <row r="75" spans="1:7">
      <c r="A75"/>
      <c r="B75"/>
    </row>
    <row r="76" spans="1:7">
      <c r="A76"/>
      <c r="B76"/>
    </row>
    <row r="77" spans="1:7">
      <c r="A77"/>
      <c r="B77"/>
    </row>
    <row r="78" spans="1:7">
      <c r="A78"/>
      <c r="B78"/>
    </row>
    <row r="80" spans="1:7">
      <c r="A80" s="395" t="s">
        <v>911</v>
      </c>
      <c r="B80" s="395"/>
      <c r="C80" s="143"/>
      <c r="D80" s="395" t="s">
        <v>912</v>
      </c>
      <c r="E80" s="395"/>
      <c r="F80" s="144"/>
      <c r="G80" s="363" t="s">
        <v>913</v>
      </c>
    </row>
    <row r="81" spans="1:9">
      <c r="A81" s="2"/>
      <c r="B81" s="2"/>
      <c r="C81" s="143"/>
      <c r="F81" s="144"/>
    </row>
    <row r="82" spans="1:9">
      <c r="A82" s="340" t="s">
        <v>282</v>
      </c>
      <c r="B82" t="s">
        <v>910</v>
      </c>
      <c r="C82" s="143"/>
      <c r="D82" s="340" t="s">
        <v>282</v>
      </c>
      <c r="E82" t="s">
        <v>910</v>
      </c>
      <c r="F82" s="144"/>
      <c r="G82" t="s">
        <v>910</v>
      </c>
    </row>
    <row r="83" spans="1:9">
      <c r="A83" s="72" t="s">
        <v>33</v>
      </c>
      <c r="B83" s="332">
        <v>29</v>
      </c>
      <c r="C83" s="143"/>
      <c r="D83" s="72" t="s">
        <v>93</v>
      </c>
      <c r="E83" s="332">
        <v>2</v>
      </c>
      <c r="F83" s="144"/>
      <c r="G83" s="332">
        <v>525</v>
      </c>
    </row>
    <row r="84" spans="1:9">
      <c r="A84" s="72" t="s">
        <v>53</v>
      </c>
      <c r="B84" s="332">
        <v>38</v>
      </c>
      <c r="C84" s="143"/>
      <c r="D84" s="72" t="s">
        <v>118</v>
      </c>
      <c r="E84" s="332">
        <v>7</v>
      </c>
      <c r="F84" s="144"/>
      <c r="G84"/>
    </row>
    <row r="85" spans="1:9">
      <c r="A85" s="72" t="s">
        <v>69</v>
      </c>
      <c r="B85" s="332">
        <v>34</v>
      </c>
      <c r="C85" s="143"/>
      <c r="D85" s="72" t="s">
        <v>37</v>
      </c>
      <c r="E85" s="332">
        <v>516</v>
      </c>
      <c r="F85" s="144"/>
      <c r="G85"/>
    </row>
    <row r="86" spans="1:9">
      <c r="A86" s="72" t="s">
        <v>64</v>
      </c>
      <c r="B86" s="332">
        <v>25</v>
      </c>
      <c r="C86" s="143"/>
      <c r="D86" s="72" t="s">
        <v>283</v>
      </c>
      <c r="E86" s="332"/>
      <c r="F86" s="144"/>
      <c r="G86"/>
    </row>
    <row r="87" spans="1:9">
      <c r="A87" s="72" t="s">
        <v>94</v>
      </c>
      <c r="B87" s="332">
        <v>15</v>
      </c>
      <c r="C87" s="143"/>
      <c r="D87" s="333" t="s">
        <v>284</v>
      </c>
      <c r="E87" s="332">
        <v>525</v>
      </c>
      <c r="F87" s="144"/>
      <c r="G87"/>
    </row>
    <row r="88" spans="1:9">
      <c r="A88" s="72" t="s">
        <v>97</v>
      </c>
      <c r="B88" s="332">
        <v>12</v>
      </c>
      <c r="C88" s="143"/>
      <c r="D88"/>
      <c r="E88"/>
      <c r="F88" s="144"/>
      <c r="G88"/>
    </row>
    <row r="89" spans="1:9">
      <c r="A89" s="72" t="s">
        <v>75</v>
      </c>
      <c r="B89" s="332">
        <v>7</v>
      </c>
      <c r="C89" s="143"/>
      <c r="D89"/>
      <c r="E89"/>
      <c r="F89" s="144"/>
      <c r="G89"/>
    </row>
    <row r="90" spans="1:9">
      <c r="A90" s="72" t="s">
        <v>79</v>
      </c>
      <c r="B90" s="332">
        <v>49</v>
      </c>
      <c r="C90" s="143"/>
      <c r="D90"/>
      <c r="E90"/>
      <c r="F90" s="144"/>
      <c r="G90"/>
      <c r="H90" s="363"/>
      <c r="I90" s="144"/>
    </row>
    <row r="91" spans="1:9">
      <c r="A91" s="72" t="s">
        <v>36</v>
      </c>
      <c r="B91" s="332">
        <v>310</v>
      </c>
      <c r="C91" s="143"/>
      <c r="D91"/>
      <c r="E91"/>
      <c r="F91" s="144"/>
      <c r="G91"/>
      <c r="I91" s="144"/>
    </row>
    <row r="92" spans="1:9">
      <c r="A92" s="72" t="s">
        <v>100</v>
      </c>
      <c r="B92" s="332">
        <v>6</v>
      </c>
      <c r="C92" s="143"/>
      <c r="D92"/>
      <c r="E92"/>
      <c r="F92" s="144"/>
      <c r="G92"/>
      <c r="H92"/>
      <c r="I92" s="144"/>
    </row>
    <row r="93" spans="1:9">
      <c r="A93" s="72" t="s">
        <v>283</v>
      </c>
      <c r="B93" s="332"/>
      <c r="C93" s="145"/>
      <c r="D93"/>
      <c r="E93"/>
      <c r="F93" s="145"/>
      <c r="G93"/>
      <c r="H93"/>
      <c r="I93" s="144"/>
    </row>
    <row r="94" spans="1:9">
      <c r="A94" s="333" t="s">
        <v>284</v>
      </c>
      <c r="B94" s="332">
        <v>525</v>
      </c>
      <c r="C94" s="144"/>
      <c r="D94"/>
      <c r="E94"/>
      <c r="F94" s="144"/>
      <c r="G94"/>
      <c r="H94"/>
      <c r="I94" s="144"/>
    </row>
    <row r="95" spans="1:9">
      <c r="A95"/>
      <c r="B95"/>
      <c r="C95" s="144"/>
      <c r="D95"/>
      <c r="E95"/>
      <c r="F95" s="144"/>
      <c r="G95"/>
      <c r="H95"/>
      <c r="I95" s="144"/>
    </row>
    <row r="96" spans="1:9">
      <c r="A96"/>
      <c r="B96"/>
      <c r="C96" s="144"/>
      <c r="D96"/>
      <c r="E96"/>
      <c r="F96" s="144"/>
      <c r="G96"/>
      <c r="H96"/>
      <c r="I96" s="144"/>
    </row>
    <row r="97" spans="1:9">
      <c r="A97"/>
      <c r="B97"/>
      <c r="C97" s="144"/>
      <c r="D97"/>
      <c r="E97"/>
      <c r="F97" s="144"/>
      <c r="G97"/>
      <c r="H97"/>
      <c r="I97" s="144"/>
    </row>
    <row r="98" spans="1:9">
      <c r="A98"/>
      <c r="B98"/>
      <c r="C98" s="144"/>
      <c r="D98"/>
      <c r="E98"/>
      <c r="F98" s="144"/>
      <c r="G98"/>
      <c r="H98"/>
      <c r="I98" s="144"/>
    </row>
    <row r="99" spans="1:9">
      <c r="A99"/>
      <c r="B99"/>
      <c r="C99" s="144"/>
      <c r="D99"/>
      <c r="E99"/>
      <c r="F99" s="144"/>
      <c r="G99"/>
      <c r="H99"/>
      <c r="I99" s="144"/>
    </row>
    <row r="100" spans="1:9">
      <c r="C100" s="144"/>
      <c r="F100" s="144"/>
      <c r="H100"/>
      <c r="I100" s="144"/>
    </row>
    <row r="101" spans="1:9">
      <c r="C101" s="144"/>
      <c r="F101" s="144"/>
      <c r="H101"/>
      <c r="I101" s="144"/>
    </row>
    <row r="102" spans="1:9">
      <c r="H102"/>
      <c r="I102" s="144"/>
    </row>
    <row r="103" spans="1:9">
      <c r="H103"/>
      <c r="I103" s="145"/>
    </row>
    <row r="104" spans="1:9">
      <c r="H104"/>
      <c r="I104" s="144"/>
    </row>
    <row r="105" spans="1:9">
      <c r="H105"/>
      <c r="I105" s="144"/>
    </row>
    <row r="106" spans="1:9">
      <c r="H106"/>
      <c r="I106" s="144"/>
    </row>
    <row r="107" spans="1:9">
      <c r="H107"/>
      <c r="I107" s="144"/>
    </row>
    <row r="108" spans="1:9">
      <c r="H108"/>
      <c r="I108" s="144"/>
    </row>
    <row r="109" spans="1:9">
      <c r="H109"/>
      <c r="I109" s="144"/>
    </row>
    <row r="110" spans="1:9">
      <c r="I110" s="144"/>
    </row>
    <row r="111" spans="1:9">
      <c r="I111" s="144"/>
    </row>
  </sheetData>
  <mergeCells count="3">
    <mergeCell ref="A80:B80"/>
    <mergeCell ref="D80:E80"/>
    <mergeCell ref="A51:B51"/>
  </mergeCells>
  <pageMargins left="0.7" right="0.7" top="0.75" bottom="0.75" header="0.3" footer="0.3"/>
  <pageSetup paperSize="9" orientation="portrait" r:id="rId4"/>
  <ignoredErrors>
    <ignoredError sqref="C4 E4 J4" formula="1"/>
    <ignoredError sqref="K4" evalError="1"/>
    <ignoredError sqref="I4" evalError="1" formula="1"/>
  </ignoredErrors>
  <drawing r:id="rId5"/>
  <legacyDrawing r:id="rId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33"/>
  <sheetViews>
    <sheetView topLeftCell="A35" zoomScale="25" zoomScaleNormal="25" workbookViewId="0"/>
  </sheetViews>
  <sheetFormatPr baseColWidth="10" defaultColWidth="11.453125" defaultRowHeight="14.5"/>
  <cols>
    <col min="1" max="1" width="34.26953125" style="53" customWidth="1"/>
    <col min="2" max="14" width="12.7265625" style="53" customWidth="1"/>
    <col min="15" max="16" width="14.1796875" style="53" customWidth="1"/>
    <col min="17" max="17" width="13.54296875" style="53" customWidth="1"/>
    <col min="18" max="18" width="12" style="53" customWidth="1"/>
    <col min="19" max="16384" width="11.453125" style="53"/>
  </cols>
  <sheetData>
    <row r="1" spans="1:19">
      <c r="A1" s="40" t="s">
        <v>1220</v>
      </c>
      <c r="B1" s="208" t="s">
        <v>4107</v>
      </c>
    </row>
    <row r="3" spans="1:19" s="110" customFormat="1" ht="29">
      <c r="A3" s="103"/>
      <c r="B3" s="103">
        <v>2020</v>
      </c>
      <c r="C3" s="127" t="str">
        <f>CONCATENATE(B3,CHAR(10),"N=",B11)</f>
        <v>2020
N=10</v>
      </c>
      <c r="D3" s="103">
        <v>2021</v>
      </c>
      <c r="E3" s="127" t="str">
        <f>CONCATENATE(D3,CHAR(10),"N=",D11)</f>
        <v>2021
N=197</v>
      </c>
      <c r="F3" s="103">
        <v>2022</v>
      </c>
      <c r="G3" s="127" t="str">
        <f>CONCATENATE(F3,CHAR(10),"N=",F11)</f>
        <v>2022
N=195</v>
      </c>
      <c r="H3" s="103">
        <v>2023</v>
      </c>
      <c r="I3" s="127" t="str">
        <f>CONCATENATE(H3,CHAR(10),"N=",H11)</f>
        <v>2023
N=0</v>
      </c>
      <c r="J3" s="103">
        <v>2024</v>
      </c>
      <c r="K3" s="127" t="str">
        <f>CONCATENATE(J3,CHAR(10),"N=",J11)</f>
        <v>2024
N=0</v>
      </c>
      <c r="L3" s="58" t="str">
        <f>B1</f>
        <v>2020-2022</v>
      </c>
      <c r="M3" s="127" t="str">
        <f>CONCATENATE(L3,CHAR(10),"N=",L11)</f>
        <v>2020-2022
N=402</v>
      </c>
      <c r="N3" s="58" t="s">
        <v>857</v>
      </c>
    </row>
    <row r="4" spans="1:19">
      <c r="A4" s="51" t="s">
        <v>286</v>
      </c>
      <c r="B4" s="49">
        <f>COUNTIFS('1_BD questio modifié'!$A:$A,B$3,'1_BD questio modifié'!$B:$B,"non",'1_BD questio modifié'!$AM:$AM,"*7*")</f>
        <v>0</v>
      </c>
      <c r="C4" s="50">
        <f t="shared" ref="C4:C10" si="0">B4/$B$10</f>
        <v>0</v>
      </c>
      <c r="D4" s="49">
        <f>COUNTIFS('1_BD questio modifié'!$A:$A,D$3,'1_BD questio modifié'!$B:$B,"non",'1_BD questio modifié'!$AM:$AM,"*7*")</f>
        <v>0</v>
      </c>
      <c r="E4" s="50">
        <f t="shared" ref="E4:E10" si="1">D4/$D$10</f>
        <v>0</v>
      </c>
      <c r="F4" s="49">
        <f>COUNTIFS('1_BD questio modifié'!$A:$A,F$3,'1_BD questio modifié'!$B:$B,"non",'1_BD questio modifié'!$AM:$AM,"*7*")</f>
        <v>0</v>
      </c>
      <c r="G4" s="50">
        <f t="shared" ref="G4:G10" si="2">F4/$F$10</f>
        <v>0</v>
      </c>
      <c r="H4" s="49">
        <f>COUNTIFS('1_BD questio modifié'!$A:$A,H$3,'1_BD questio modifié'!$B:$B,"non",'1_BD questio modifié'!$AM:$AM,"*7*")</f>
        <v>0</v>
      </c>
      <c r="I4" s="50">
        <f t="shared" ref="I4:I10" si="3">H4/$D$10</f>
        <v>0</v>
      </c>
      <c r="J4" s="49">
        <f>COUNTIFS('1_BD questio modifié'!$A:$A,J$3,'1_BD questio modifié'!$B:$B,"non",'1_BD questio modifié'!$AM:$AM,"*7*")</f>
        <v>0</v>
      </c>
      <c r="K4" s="50">
        <f t="shared" ref="K4:K10" si="4">J4/$F$10</f>
        <v>0</v>
      </c>
      <c r="L4" s="49">
        <f t="shared" ref="L4:L9" si="5">B4+D4+F4+H4+J4</f>
        <v>0</v>
      </c>
      <c r="M4" s="50">
        <f t="shared" ref="M4:M10" si="6">L4/$L$10</f>
        <v>0</v>
      </c>
      <c r="N4" s="80">
        <v>7</v>
      </c>
      <c r="O4" s="130"/>
      <c r="P4" s="130"/>
      <c r="Q4" s="130"/>
      <c r="R4" s="130"/>
      <c r="S4" s="130"/>
    </row>
    <row r="5" spans="1:19">
      <c r="A5" s="52" t="s">
        <v>1221</v>
      </c>
      <c r="B5" s="49">
        <f>COUNTIFS('1_BD questio modifié'!$A:$A,B$3,'1_BD questio modifié'!$B:$B,"non",'1_BD questio modifié'!$AM:$AM,"*6*")+COUNTIFS('1_BD questio modifié'!$A:$A,B$3,'1_BD questio modifié'!$B:$B,"non",'1_BD questio modifié'!$AM:$AM,"*3*")</f>
        <v>1</v>
      </c>
      <c r="C5" s="50">
        <f t="shared" si="0"/>
        <v>4.1666666666666664E-2</v>
      </c>
      <c r="D5" s="49">
        <f>COUNTIFS('1_BD questio modifié'!$A:$A,D$3,'1_BD questio modifié'!$B:$B,"non",'1_BD questio modifié'!$AM:$AM,"*6*")+COUNTIFS('1_BD questio modifié'!$A:$A,D$3,'1_BD questio modifié'!$B:$B,"non",'1_BD questio modifié'!$AM:$AM,"*3*")</f>
        <v>21</v>
      </c>
      <c r="E5" s="50">
        <f t="shared" si="1"/>
        <v>3.7433155080213901E-2</v>
      </c>
      <c r="F5" s="49">
        <f>COUNTIFS('1_BD questio modifié'!$A:$A,F$3,'1_BD questio modifié'!$B:$B,"non",'1_BD questio modifié'!$AM:$AM,"*6*")+COUNTIFS('1_BD questio modifié'!$A:$A,F$3,'1_BD questio modifié'!$B:$B,"non",'1_BD questio modifié'!$AM:$AM,"*3*")</f>
        <v>17</v>
      </c>
      <c r="G5" s="50">
        <f t="shared" si="2"/>
        <v>3.1481481481481478E-2</v>
      </c>
      <c r="H5" s="49">
        <f>COUNTIFS('1_BD questio modifié'!$A:$A,H$3,'1_BD questio modifié'!$B:$B,"non",'1_BD questio modifié'!$AM:$AM,"*6*")+COUNTIFS('1_BD questio modifié'!$A:$A,H$3,'1_BD questio modifié'!$B:$B,"non",'1_BD questio modifié'!$AM:$AM,"*3*")</f>
        <v>0</v>
      </c>
      <c r="I5" s="50">
        <f t="shared" si="3"/>
        <v>0</v>
      </c>
      <c r="J5" s="49">
        <f>COUNTIFS('1_BD questio modifié'!$A:$A,J$3,'1_BD questio modifié'!$B:$B,"non",'1_BD questio modifié'!$AM:$AM,"*6*")+COUNTIFS('1_BD questio modifié'!$A:$A,J$3,'1_BD questio modifié'!$B:$B,"non",'1_BD questio modifié'!$AM:$AM,"*3*")</f>
        <v>0</v>
      </c>
      <c r="K5" s="50">
        <f t="shared" si="4"/>
        <v>0</v>
      </c>
      <c r="L5" s="49">
        <f t="shared" si="5"/>
        <v>39</v>
      </c>
      <c r="M5" s="50">
        <f t="shared" si="6"/>
        <v>3.4666666666666665E-2</v>
      </c>
      <c r="N5" s="80" t="s">
        <v>4109</v>
      </c>
    </row>
    <row r="6" spans="1:19">
      <c r="A6" s="48" t="s">
        <v>161</v>
      </c>
      <c r="B6" s="49">
        <f>COUNTIFS('1_BD questio modifié'!$A:$A,B$3,'1_BD questio modifié'!$B:$B,"non",'1_BD questio modifié'!$AM:$AM,"*1*")</f>
        <v>3</v>
      </c>
      <c r="C6" s="50">
        <f t="shared" si="0"/>
        <v>0.125</v>
      </c>
      <c r="D6" s="49">
        <f>COUNTIFS('1_BD questio modifié'!$A:$A,D$3,'1_BD questio modifié'!$B:$B,"non",'1_BD questio modifié'!$AM:$AM,"*1*")</f>
        <v>100</v>
      </c>
      <c r="E6" s="50">
        <f t="shared" si="1"/>
        <v>0.17825311942959002</v>
      </c>
      <c r="F6" s="49">
        <f>COUNTIFS('1_BD questio modifié'!$A:$A,F$3,'1_BD questio modifié'!$B:$B,"non",'1_BD questio modifié'!$AM:$AM,"*1*")</f>
        <v>81</v>
      </c>
      <c r="G6" s="50">
        <f t="shared" si="2"/>
        <v>0.15</v>
      </c>
      <c r="H6" s="49">
        <f>COUNTIFS('1_BD questio modifié'!$A:$A,H$3,'1_BD questio modifié'!$B:$B,"non",'1_BD questio modifié'!$AM:$AM,"*1*")</f>
        <v>0</v>
      </c>
      <c r="I6" s="50">
        <f t="shared" si="3"/>
        <v>0</v>
      </c>
      <c r="J6" s="49">
        <f>COUNTIFS('1_BD questio modifié'!$A:$A,J$3,'1_BD questio modifié'!$B:$B,"non",'1_BD questio modifié'!$AM:$AM,"*1*")</f>
        <v>0</v>
      </c>
      <c r="K6" s="50">
        <f t="shared" si="4"/>
        <v>0</v>
      </c>
      <c r="L6" s="49">
        <f t="shared" si="5"/>
        <v>184</v>
      </c>
      <c r="M6" s="50">
        <f t="shared" si="6"/>
        <v>0.16355555555555557</v>
      </c>
      <c r="N6" s="80">
        <v>1</v>
      </c>
    </row>
    <row r="7" spans="1:19">
      <c r="A7" s="48" t="s">
        <v>164</v>
      </c>
      <c r="B7" s="49">
        <f>COUNTIFS('1_BD questio modifié'!$A:$A,B$3,'1_BD questio modifié'!$B:$B,"non",'1_BD questio modifié'!$AM:$AM,"*5*")</f>
        <v>5</v>
      </c>
      <c r="C7" s="50">
        <f t="shared" si="0"/>
        <v>0.20833333333333334</v>
      </c>
      <c r="D7" s="49">
        <f>COUNTIFS('1_BD questio modifié'!$A:$A,D$3,'1_BD questio modifié'!$B:$B,"non",'1_BD questio modifié'!$AM:$AM,"*5*")</f>
        <v>152</v>
      </c>
      <c r="E7" s="50">
        <f t="shared" si="1"/>
        <v>0.27094474153297682</v>
      </c>
      <c r="F7" s="49">
        <f>COUNTIFS('1_BD questio modifié'!$A:$A,F$3,'1_BD questio modifié'!$B:$B,"non",'1_BD questio modifié'!$AM:$AM,"*5*")</f>
        <v>134</v>
      </c>
      <c r="G7" s="50">
        <f t="shared" si="2"/>
        <v>0.24814814814814815</v>
      </c>
      <c r="H7" s="49">
        <f>COUNTIFS('1_BD questio modifié'!$A:$A,H$3,'1_BD questio modifié'!$B:$B,"non",'1_BD questio modifié'!$AM:$AM,"*5*")</f>
        <v>0</v>
      </c>
      <c r="I7" s="50">
        <f t="shared" si="3"/>
        <v>0</v>
      </c>
      <c r="J7" s="49">
        <f>COUNTIFS('1_BD questio modifié'!$A:$A,J$3,'1_BD questio modifié'!$B:$B,"non",'1_BD questio modifié'!$AM:$AM,"*5*")</f>
        <v>0</v>
      </c>
      <c r="K7" s="50">
        <f t="shared" si="4"/>
        <v>0</v>
      </c>
      <c r="L7" s="49">
        <f t="shared" si="5"/>
        <v>291</v>
      </c>
      <c r="M7" s="50">
        <f t="shared" si="6"/>
        <v>0.25866666666666666</v>
      </c>
      <c r="N7" s="80">
        <v>5</v>
      </c>
    </row>
    <row r="8" spans="1:19">
      <c r="A8" s="48" t="s">
        <v>162</v>
      </c>
      <c r="B8" s="49">
        <f>COUNTIFS('1_BD questio modifié'!$A:$A,B$3,'1_BD questio modifié'!$B:$B,"non",'1_BD questio modifié'!$AM:$AM,"*4*")</f>
        <v>9</v>
      </c>
      <c r="C8" s="50">
        <f t="shared" si="0"/>
        <v>0.375</v>
      </c>
      <c r="D8" s="49">
        <f>COUNTIFS('1_BD questio modifié'!$A:$A,D$3,'1_BD questio modifié'!$B:$B,"non",'1_BD questio modifié'!$AM:$AM,"*4*")</f>
        <v>137</v>
      </c>
      <c r="E8" s="50">
        <f t="shared" si="1"/>
        <v>0.24420677361853832</v>
      </c>
      <c r="F8" s="49">
        <f>COUNTIFS('1_BD questio modifié'!$A:$A,F$3,'1_BD questio modifié'!$B:$B,"non",'1_BD questio modifié'!$AM:$AM,"*4*")</f>
        <v>157</v>
      </c>
      <c r="G8" s="50">
        <f t="shared" si="2"/>
        <v>0.29074074074074074</v>
      </c>
      <c r="H8" s="49">
        <f>COUNTIFS('1_BD questio modifié'!$A:$A,H$3,'1_BD questio modifié'!$B:$B,"non",'1_BD questio modifié'!$AM:$AM,"*4*")</f>
        <v>0</v>
      </c>
      <c r="I8" s="50">
        <f t="shared" si="3"/>
        <v>0</v>
      </c>
      <c r="J8" s="49">
        <f>COUNTIFS('1_BD questio modifié'!$A:$A,J$3,'1_BD questio modifié'!$B:$B,"non",'1_BD questio modifié'!$AM:$AM,"*4*")</f>
        <v>0</v>
      </c>
      <c r="K8" s="50">
        <f t="shared" si="4"/>
        <v>0</v>
      </c>
      <c r="L8" s="49">
        <f t="shared" si="5"/>
        <v>303</v>
      </c>
      <c r="M8" s="50">
        <f t="shared" si="6"/>
        <v>0.26933333333333331</v>
      </c>
      <c r="N8" s="80">
        <v>4</v>
      </c>
    </row>
    <row r="9" spans="1:19">
      <c r="A9" s="334" t="s">
        <v>163</v>
      </c>
      <c r="B9" s="49">
        <f>COUNTIFS('1_BD questio modifié'!$A:$A,B$3,'1_BD questio modifié'!$B:$B,"non",'1_BD questio modifié'!$AM:$AM,"*2*")</f>
        <v>6</v>
      </c>
      <c r="C9" s="50">
        <f t="shared" si="0"/>
        <v>0.25</v>
      </c>
      <c r="D9" s="49">
        <f>COUNTIFS('1_BD questio modifié'!$A:$A,D$3,'1_BD questio modifié'!$B:$B,"non",'1_BD questio modifié'!$AM:$AM,"*2*")</f>
        <v>151</v>
      </c>
      <c r="E9" s="50">
        <f t="shared" si="1"/>
        <v>0.26916221033868093</v>
      </c>
      <c r="F9" s="49">
        <f>COUNTIFS('1_BD questio modifié'!$A:$A,F$3,'1_BD questio modifié'!$B:$B,"non",'1_BD questio modifié'!$AM:$AM,"*2*")</f>
        <v>151</v>
      </c>
      <c r="G9" s="50">
        <f t="shared" si="2"/>
        <v>0.27962962962962962</v>
      </c>
      <c r="H9" s="49">
        <f>COUNTIFS('1_BD questio modifié'!$A:$A,H$3,'1_BD questio modifié'!$B:$B,"non",'1_BD questio modifié'!$AM:$AM,"*2*")</f>
        <v>0</v>
      </c>
      <c r="I9" s="50">
        <f t="shared" si="3"/>
        <v>0</v>
      </c>
      <c r="J9" s="49">
        <f>COUNTIFS('1_BD questio modifié'!$A:$A,J$3,'1_BD questio modifié'!$B:$B,"non",'1_BD questio modifié'!$AM:$AM,"*2*")</f>
        <v>0</v>
      </c>
      <c r="K9" s="50">
        <f t="shared" si="4"/>
        <v>0</v>
      </c>
      <c r="L9" s="49">
        <f t="shared" si="5"/>
        <v>308</v>
      </c>
      <c r="M9" s="50">
        <f t="shared" si="6"/>
        <v>0.27377777777777779</v>
      </c>
      <c r="N9" s="80">
        <v>2</v>
      </c>
    </row>
    <row r="10" spans="1:19">
      <c r="A10" s="52" t="s">
        <v>439</v>
      </c>
      <c r="B10" s="49">
        <f>SUM(B4:B9)</f>
        <v>24</v>
      </c>
      <c r="C10" s="50">
        <f t="shared" si="0"/>
        <v>1</v>
      </c>
      <c r="D10" s="49">
        <f>SUM(D4:D9)</f>
        <v>561</v>
      </c>
      <c r="E10" s="50">
        <f t="shared" si="1"/>
        <v>1</v>
      </c>
      <c r="F10" s="49">
        <f>SUM(F4:F9)</f>
        <v>540</v>
      </c>
      <c r="G10" s="50">
        <f t="shared" si="2"/>
        <v>1</v>
      </c>
      <c r="H10" s="49">
        <f>SUM(H4:H9)</f>
        <v>0</v>
      </c>
      <c r="I10" s="50">
        <f t="shared" si="3"/>
        <v>0</v>
      </c>
      <c r="J10" s="49">
        <f>SUM(J4:J9)</f>
        <v>0</v>
      </c>
      <c r="K10" s="50">
        <f t="shared" si="4"/>
        <v>0</v>
      </c>
      <c r="L10" s="49">
        <f t="shared" ref="L10" si="7">B10+D10+F10+H10+J10</f>
        <v>1125</v>
      </c>
      <c r="M10" s="50">
        <f t="shared" si="6"/>
        <v>1</v>
      </c>
    </row>
    <row r="11" spans="1:19">
      <c r="A11" s="52" t="s">
        <v>438</v>
      </c>
      <c r="B11" s="79">
        <f>COUNTIFS('1_BD questio modifié'!A:A,2020,'1_BD questio modifié'!B:B,"non")</f>
        <v>10</v>
      </c>
      <c r="C11" s="211"/>
      <c r="D11" s="79">
        <f>COUNTIFS('1_BD questio modifié'!A:A,2021,'1_BD questio modifié'!B:B,"non")</f>
        <v>197</v>
      </c>
      <c r="E11" s="211"/>
      <c r="F11" s="79">
        <f>COUNTIFS('1_BD questio modifié'!A:A,2022,'1_BD questio modifié'!B:B,"non")</f>
        <v>195</v>
      </c>
      <c r="G11" s="211"/>
      <c r="H11" s="79">
        <f>COUNTIFS('1_BD questio modifié'!A:A,2023,'1_BD questio modifié'!B:B,"non")</f>
        <v>0</v>
      </c>
      <c r="I11" s="211"/>
      <c r="J11" s="79">
        <f>COUNTIFS('1_BD questio modifié'!A:A,2024,'1_BD questio modifié'!B:B,"non")</f>
        <v>0</v>
      </c>
      <c r="K11" s="211"/>
      <c r="L11" s="47">
        <f>B11+D11+F11+H11+J11</f>
        <v>402</v>
      </c>
      <c r="M11" s="211"/>
    </row>
    <row r="12" spans="1:19">
      <c r="C12" s="54"/>
      <c r="E12" s="54"/>
      <c r="F12" s="54"/>
      <c r="G12" s="54"/>
      <c r="H12" s="54"/>
      <c r="I12" s="54"/>
      <c r="J12" s="54"/>
      <c r="K12" s="54"/>
      <c r="L12" s="54"/>
      <c r="M12" s="54"/>
      <c r="N12" s="54"/>
      <c r="O12" s="54"/>
      <c r="Q12" s="54"/>
    </row>
    <row r="15" spans="1:19">
      <c r="A15" s="146"/>
      <c r="B15" s="146" t="s">
        <v>286</v>
      </c>
      <c r="C15" s="149" t="s">
        <v>151</v>
      </c>
      <c r="D15" s="148" t="s">
        <v>161</v>
      </c>
      <c r="E15" s="148" t="s">
        <v>164</v>
      </c>
      <c r="F15" s="148" t="s">
        <v>162</v>
      </c>
      <c r="G15" s="335" t="s">
        <v>163</v>
      </c>
      <c r="H15" s="149" t="s">
        <v>439</v>
      </c>
      <c r="I15" s="149" t="s">
        <v>438</v>
      </c>
    </row>
    <row r="16" spans="1:19">
      <c r="A16" s="108" t="s">
        <v>857</v>
      </c>
      <c r="B16" s="147">
        <v>7</v>
      </c>
      <c r="C16" s="147" t="s">
        <v>4109</v>
      </c>
      <c r="D16" s="147">
        <v>1</v>
      </c>
      <c r="E16" s="147">
        <v>5</v>
      </c>
      <c r="F16" s="147">
        <v>4</v>
      </c>
      <c r="G16" s="212">
        <v>2</v>
      </c>
      <c r="H16" s="150"/>
      <c r="I16" s="150"/>
    </row>
    <row r="17" spans="1:9">
      <c r="A17" s="103">
        <v>2020</v>
      </c>
      <c r="B17" s="129">
        <f>COUNTIFS('1_BD questio modifié'!$A:$A,$A17,'1_BD questio modifié'!$B:$B,"non",'1_BD questio modifié'!$AM:$AM,"*7*")</f>
        <v>0</v>
      </c>
      <c r="C17" s="129">
        <f>COUNTIFS('1_BD questio modifié'!$A:$A,$A17,'1_BD questio modifié'!$B:$B,"non",'1_BD questio modifié'!$AM:$AM,"*3*")+COUNTIFS('1_BD questio modifié'!$A:$A,$A17,'1_BD questio modifié'!$B:$B,"non",'1_BD questio modifié'!$AM:$AM,"*6*")</f>
        <v>1</v>
      </c>
      <c r="D17" s="129">
        <f>COUNTIFS('1_BD questio modifié'!$A:$A,$A17,'1_BD questio modifié'!$B:$B,"non",'1_BD questio modifié'!$AM:$AM,"*1*")</f>
        <v>3</v>
      </c>
      <c r="E17" s="129">
        <f>COUNTIFS('1_BD questio modifié'!$A:$A,$A17,'1_BD questio modifié'!$B:$B,"non",'1_BD questio modifié'!$AM:$AM,"*5*")</f>
        <v>5</v>
      </c>
      <c r="F17" s="129">
        <f>COUNTIFS('1_BD questio modifié'!$A:$A,$A17,'1_BD questio modifié'!$B:$B,"non",'1_BD questio modifié'!$AM:$AM,"*4*")</f>
        <v>9</v>
      </c>
      <c r="G17" s="129">
        <f>COUNTIFS('1_BD questio modifié'!$A:$A,$A17,'1_BD questio modifié'!$B:$B,"non",'1_BD questio modifié'!$AM:$AM,"*2*")</f>
        <v>6</v>
      </c>
      <c r="H17" s="213">
        <f>SUM(B17:G17)</f>
        <v>24</v>
      </c>
      <c r="I17" s="213">
        <f>COUNTIFS('1_BD questio modifié'!A:A,2020,'1_BD questio modifié'!B:B,"non")</f>
        <v>10</v>
      </c>
    </row>
    <row r="18" spans="1:9" ht="29">
      <c r="A18" s="58" t="str">
        <f>CONCATENATE(A17,CHAR(10),"N=",I17)</f>
        <v>2020
N=10</v>
      </c>
      <c r="B18" s="151">
        <f t="shared" ref="B18:H18" si="8">B17/$H$17</f>
        <v>0</v>
      </c>
      <c r="C18" s="151">
        <f t="shared" si="8"/>
        <v>4.1666666666666664E-2</v>
      </c>
      <c r="D18" s="151">
        <f t="shared" si="8"/>
        <v>0.125</v>
      </c>
      <c r="E18" s="151">
        <f t="shared" si="8"/>
        <v>0.20833333333333334</v>
      </c>
      <c r="F18" s="151">
        <f t="shared" si="8"/>
        <v>0.375</v>
      </c>
      <c r="G18" s="151">
        <f t="shared" si="8"/>
        <v>0.25</v>
      </c>
      <c r="H18" s="151">
        <f t="shared" si="8"/>
        <v>1</v>
      </c>
      <c r="I18" s="211"/>
    </row>
    <row r="19" spans="1:9">
      <c r="A19" s="103">
        <v>2021</v>
      </c>
      <c r="B19" s="129">
        <f>COUNTIFS('1_BD questio modifié'!$A:$A,$A19,'1_BD questio modifié'!$B:$B,"non",'1_BD questio modifié'!$AM:$AM,"*7*")</f>
        <v>0</v>
      </c>
      <c r="C19" s="129">
        <f>COUNTIFS('1_BD questio modifié'!$A:$A,$A19,'1_BD questio modifié'!$B:$B,"non",'1_BD questio modifié'!$AM:$AM,"*3*")+COUNTIFS('1_BD questio modifié'!$A:$A,$A19,'1_BD questio modifié'!$B:$B,"non",'1_BD questio modifié'!$AM:$AM,"*6*")</f>
        <v>21</v>
      </c>
      <c r="D19" s="129">
        <f>COUNTIFS('1_BD questio modifié'!$A:$A,$A19,'1_BD questio modifié'!$B:$B,"non",'1_BD questio modifié'!$AM:$AM,"*1*")</f>
        <v>100</v>
      </c>
      <c r="E19" s="129">
        <f>COUNTIFS('1_BD questio modifié'!$A:$A,$A19,'1_BD questio modifié'!$B:$B,"non",'1_BD questio modifié'!$AM:$AM,"*5*")</f>
        <v>152</v>
      </c>
      <c r="F19" s="129">
        <f>COUNTIFS('1_BD questio modifié'!$A:$A,$A19,'1_BD questio modifié'!$B:$B,"non",'1_BD questio modifié'!$AM:$AM,"*4*")</f>
        <v>137</v>
      </c>
      <c r="G19" s="129">
        <f>COUNTIFS('1_BD questio modifié'!$A:$A,$A19,'1_BD questio modifié'!$B:$B,"non",'1_BD questio modifié'!$AM:$AM,"*2*")</f>
        <v>151</v>
      </c>
      <c r="H19" s="213">
        <f>SUM(B19:G19)</f>
        <v>561</v>
      </c>
      <c r="I19" s="213">
        <f>COUNTIFS('1_BD questio modifié'!A:A,2021,'1_BD questio modifié'!B:B,"non")</f>
        <v>197</v>
      </c>
    </row>
    <row r="20" spans="1:9" ht="29">
      <c r="A20" s="58" t="str">
        <f>CONCATENATE(A19,CHAR(10),"N=",I19)</f>
        <v>2021
N=197</v>
      </c>
      <c r="B20" s="151">
        <f t="shared" ref="B20:H20" si="9">B19/$H$19</f>
        <v>0</v>
      </c>
      <c r="C20" s="151">
        <f t="shared" si="9"/>
        <v>3.7433155080213901E-2</v>
      </c>
      <c r="D20" s="151">
        <f t="shared" si="9"/>
        <v>0.17825311942959002</v>
      </c>
      <c r="E20" s="151">
        <f t="shared" si="9"/>
        <v>0.27094474153297682</v>
      </c>
      <c r="F20" s="151">
        <f t="shared" si="9"/>
        <v>0.24420677361853832</v>
      </c>
      <c r="G20" s="151">
        <f t="shared" si="9"/>
        <v>0.26916221033868093</v>
      </c>
      <c r="H20" s="151">
        <f t="shared" si="9"/>
        <v>1</v>
      </c>
      <c r="I20" s="211"/>
    </row>
    <row r="21" spans="1:9">
      <c r="A21" s="103">
        <v>2022</v>
      </c>
      <c r="B21" s="129">
        <f>COUNTIFS('1_BD questio modifié'!$A:$A,$A21,'1_BD questio modifié'!$B:$B,"non",'1_BD questio modifié'!$AM:$AM,"*7*")</f>
        <v>0</v>
      </c>
      <c r="C21" s="129">
        <f>COUNTIFS('1_BD questio modifié'!$A:$A,$A21,'1_BD questio modifié'!$B:$B,"non",'1_BD questio modifié'!$AM:$AM,"*3*")+COUNTIFS('1_BD questio modifié'!$A:$A,$A21,'1_BD questio modifié'!$B:$B,"non",'1_BD questio modifié'!$AM:$AM,"*6*")</f>
        <v>17</v>
      </c>
      <c r="D21" s="129">
        <f>COUNTIFS('1_BD questio modifié'!$A:$A,$A21,'1_BD questio modifié'!$B:$B,"non",'1_BD questio modifié'!$AM:$AM,"*1*")</f>
        <v>81</v>
      </c>
      <c r="E21" s="129">
        <f>COUNTIFS('1_BD questio modifié'!$A:$A,$A21,'1_BD questio modifié'!$B:$B,"non",'1_BD questio modifié'!$AM:$AM,"*5*")</f>
        <v>134</v>
      </c>
      <c r="F21" s="129">
        <f>COUNTIFS('1_BD questio modifié'!$A:$A,$A21,'1_BD questio modifié'!$B:$B,"non",'1_BD questio modifié'!$AM:$AM,"*4*")</f>
        <v>157</v>
      </c>
      <c r="G21" s="129">
        <f>COUNTIFS('1_BD questio modifié'!$A:$A,$A21,'1_BD questio modifié'!$B:$B,"non",'1_BD questio modifié'!$AM:$AM,"*2*")</f>
        <v>151</v>
      </c>
      <c r="H21" s="213">
        <f>SUM(B21:G21)</f>
        <v>540</v>
      </c>
      <c r="I21" s="213">
        <f>COUNTIFS('1_BD questio modifié'!A:A,2022,'1_BD questio modifié'!B:B,"non")</f>
        <v>195</v>
      </c>
    </row>
    <row r="22" spans="1:9" ht="29">
      <c r="A22" s="58" t="str">
        <f>CONCATENATE(A21,CHAR(10),"N=",I21)</f>
        <v>2022
N=195</v>
      </c>
      <c r="B22" s="151">
        <f t="shared" ref="B22:H22" si="10">B21/$H$21</f>
        <v>0</v>
      </c>
      <c r="C22" s="151">
        <f t="shared" si="10"/>
        <v>3.1481481481481478E-2</v>
      </c>
      <c r="D22" s="151">
        <f t="shared" si="10"/>
        <v>0.15</v>
      </c>
      <c r="E22" s="151">
        <f t="shared" si="10"/>
        <v>0.24814814814814815</v>
      </c>
      <c r="F22" s="151">
        <f t="shared" si="10"/>
        <v>0.29074074074074074</v>
      </c>
      <c r="G22" s="151">
        <f t="shared" si="10"/>
        <v>0.27962962962962962</v>
      </c>
      <c r="H22" s="151">
        <f t="shared" si="10"/>
        <v>1</v>
      </c>
      <c r="I22" s="211"/>
    </row>
    <row r="23" spans="1:9">
      <c r="A23" s="103">
        <v>2023</v>
      </c>
      <c r="B23" s="129">
        <f>COUNTIFS('1_BD questio modifié'!$A:$A,$A23,'1_BD questio modifié'!$B:$B,"non",'1_BD questio modifié'!$AM:$AM,"*7*")</f>
        <v>0</v>
      </c>
      <c r="C23" s="129">
        <f>COUNTIFS('1_BD questio modifié'!$A:$A,$A23,'1_BD questio modifié'!$B:$B,"non",'1_BD questio modifié'!$AM:$AM,"*3*")+COUNTIFS('1_BD questio modifié'!$A:$A,$A23,'1_BD questio modifié'!$B:$B,"non",'1_BD questio modifié'!$AM:$AM,"*6*")</f>
        <v>0</v>
      </c>
      <c r="D23" s="129">
        <f>COUNTIFS('1_BD questio modifié'!$A:$A,$A23,'1_BD questio modifié'!$B:$B,"non",'1_BD questio modifié'!$AM:$AM,"*1*")</f>
        <v>0</v>
      </c>
      <c r="E23" s="129">
        <f>COUNTIFS('1_BD questio modifié'!$A:$A,$A23,'1_BD questio modifié'!$B:$B,"non",'1_BD questio modifié'!$AM:$AM,"*5*")</f>
        <v>0</v>
      </c>
      <c r="F23" s="129">
        <f>COUNTIFS('1_BD questio modifié'!$A:$A,$A23,'1_BD questio modifié'!$B:$B,"non",'1_BD questio modifié'!$AM:$AM,"*4*")</f>
        <v>0</v>
      </c>
      <c r="G23" s="129">
        <f>COUNTIFS('1_BD questio modifié'!$A:$A,$A23,'1_BD questio modifié'!$B:$B,"non",'1_BD questio modifié'!$AM:$AM,"*2*")</f>
        <v>0</v>
      </c>
      <c r="H23" s="213">
        <f>SUM(B23:G23)</f>
        <v>0</v>
      </c>
      <c r="I23" s="213">
        <f>COUNTIFS('1_BD questio modifié'!A:A,2023,'1_BD questio modifié'!B:B,"non")</f>
        <v>0</v>
      </c>
    </row>
    <row r="24" spans="1:9" ht="29">
      <c r="A24" s="58" t="str">
        <f>CONCATENATE(A23,CHAR(10),"N=",I23)</f>
        <v>2023
N=0</v>
      </c>
      <c r="B24" s="151">
        <f t="shared" ref="B24:H24" si="11">B23/$H$17</f>
        <v>0</v>
      </c>
      <c r="C24" s="151">
        <f t="shared" si="11"/>
        <v>0</v>
      </c>
      <c r="D24" s="151">
        <f t="shared" si="11"/>
        <v>0</v>
      </c>
      <c r="E24" s="151">
        <f t="shared" si="11"/>
        <v>0</v>
      </c>
      <c r="F24" s="151">
        <f t="shared" si="11"/>
        <v>0</v>
      </c>
      <c r="G24" s="151">
        <f t="shared" si="11"/>
        <v>0</v>
      </c>
      <c r="H24" s="151">
        <f t="shared" si="11"/>
        <v>0</v>
      </c>
      <c r="I24" s="211"/>
    </row>
    <row r="25" spans="1:9">
      <c r="A25" s="103">
        <v>2024</v>
      </c>
      <c r="B25" s="129">
        <f>COUNTIFS('1_BD questio modifié'!$A:$A,$A25,'1_BD questio modifié'!$B:$B,"non",'1_BD questio modifié'!$AM:$AM,"*7*")</f>
        <v>0</v>
      </c>
      <c r="C25" s="129">
        <f>COUNTIFS('1_BD questio modifié'!$A:$A,$A25,'1_BD questio modifié'!$B:$B,"non",'1_BD questio modifié'!$AM:$AM,"*3*")+COUNTIFS('1_BD questio modifié'!$A:$A,$A25,'1_BD questio modifié'!$B:$B,"non",'1_BD questio modifié'!$AM:$AM,"*6*")</f>
        <v>0</v>
      </c>
      <c r="D25" s="129">
        <f>COUNTIFS('1_BD questio modifié'!$A:$A,$A25,'1_BD questio modifié'!$B:$B,"non",'1_BD questio modifié'!$AM:$AM,"*1*")</f>
        <v>0</v>
      </c>
      <c r="E25" s="129">
        <f>COUNTIFS('1_BD questio modifié'!$A:$A,$A25,'1_BD questio modifié'!$B:$B,"non",'1_BD questio modifié'!$AM:$AM,"*5*")</f>
        <v>0</v>
      </c>
      <c r="F25" s="129">
        <f>COUNTIFS('1_BD questio modifié'!$A:$A,$A25,'1_BD questio modifié'!$B:$B,"non",'1_BD questio modifié'!$AM:$AM,"*4*")</f>
        <v>0</v>
      </c>
      <c r="G25" s="129">
        <f>COUNTIFS('1_BD questio modifié'!$A:$A,$A25,'1_BD questio modifié'!$B:$B,"non",'1_BD questio modifié'!$AM:$AM,"*2*")</f>
        <v>0</v>
      </c>
      <c r="H25" s="213">
        <f>SUM(B25:G25)</f>
        <v>0</v>
      </c>
      <c r="I25" s="213">
        <f>COUNTIFS('1_BD questio modifié'!A:A,2024,'1_BD questio modifié'!B:B,"non")</f>
        <v>0</v>
      </c>
    </row>
    <row r="26" spans="1:9" ht="29">
      <c r="A26" s="58" t="str">
        <f>CONCATENATE(A25,CHAR(10),"N=",I25)</f>
        <v>2024
N=0</v>
      </c>
      <c r="B26" s="151">
        <f t="shared" ref="B26:H26" si="12">B25/$H$19</f>
        <v>0</v>
      </c>
      <c r="C26" s="151">
        <f t="shared" si="12"/>
        <v>0</v>
      </c>
      <c r="D26" s="151">
        <f t="shared" si="12"/>
        <v>0</v>
      </c>
      <c r="E26" s="151">
        <f t="shared" si="12"/>
        <v>0</v>
      </c>
      <c r="F26" s="151">
        <f t="shared" si="12"/>
        <v>0</v>
      </c>
      <c r="G26" s="151">
        <f t="shared" si="12"/>
        <v>0</v>
      </c>
      <c r="H26" s="151">
        <f t="shared" si="12"/>
        <v>0</v>
      </c>
      <c r="I26" s="211"/>
    </row>
    <row r="27" spans="1:9">
      <c r="A27" s="58" t="str">
        <f>B1</f>
        <v>2020-2022</v>
      </c>
      <c r="B27" s="152">
        <f t="shared" ref="B27:G27" si="13">B17+B19+B21+B23+B25</f>
        <v>0</v>
      </c>
      <c r="C27" s="152">
        <f t="shared" si="13"/>
        <v>39</v>
      </c>
      <c r="D27" s="152">
        <f t="shared" si="13"/>
        <v>184</v>
      </c>
      <c r="E27" s="152">
        <f t="shared" si="13"/>
        <v>291</v>
      </c>
      <c r="F27" s="152">
        <f t="shared" si="13"/>
        <v>303</v>
      </c>
      <c r="G27" s="152">
        <f t="shared" si="13"/>
        <v>308</v>
      </c>
      <c r="H27" s="213">
        <f>SUM(B27:G27)</f>
        <v>1125</v>
      </c>
      <c r="I27" s="152">
        <f>I17+I19+I21+I23+I25</f>
        <v>402</v>
      </c>
    </row>
    <row r="28" spans="1:9" ht="29">
      <c r="A28" s="58" t="str">
        <f>CONCATENATE(A27,CHAR(10),"N=",I27)</f>
        <v>2020-2022
N=402</v>
      </c>
      <c r="B28" s="151">
        <f t="shared" ref="B28:H28" si="14">B27/$H$27</f>
        <v>0</v>
      </c>
      <c r="C28" s="151">
        <f t="shared" si="14"/>
        <v>3.4666666666666665E-2</v>
      </c>
      <c r="D28" s="151">
        <f t="shared" si="14"/>
        <v>0.16355555555555557</v>
      </c>
      <c r="E28" s="151">
        <f t="shared" si="14"/>
        <v>0.25866666666666666</v>
      </c>
      <c r="F28" s="151">
        <f t="shared" si="14"/>
        <v>0.26933333333333331</v>
      </c>
      <c r="G28" s="151">
        <f t="shared" si="14"/>
        <v>0.27377777777777779</v>
      </c>
      <c r="H28" s="151">
        <f t="shared" si="14"/>
        <v>1</v>
      </c>
      <c r="I28" s="211"/>
    </row>
    <row r="43" spans="10:11">
      <c r="J43"/>
      <c r="K43"/>
    </row>
    <row r="44" spans="10:11">
      <c r="J44"/>
      <c r="K44"/>
    </row>
    <row r="45" spans="10:11">
      <c r="J45"/>
      <c r="K45"/>
    </row>
    <row r="46" spans="10:11">
      <c r="J46"/>
      <c r="K46"/>
    </row>
    <row r="47" spans="10:11">
      <c r="J47"/>
      <c r="K47"/>
    </row>
    <row r="48" spans="10:11">
      <c r="J48"/>
      <c r="K48"/>
    </row>
    <row r="49" spans="10:11">
      <c r="J49"/>
      <c r="K49"/>
    </row>
    <row r="50" spans="10:11">
      <c r="J50"/>
      <c r="K50"/>
    </row>
    <row r="51" spans="10:11">
      <c r="J51"/>
      <c r="K51"/>
    </row>
    <row r="52" spans="10:11">
      <c r="J52"/>
      <c r="K52"/>
    </row>
    <row r="53" spans="10:11">
      <c r="J53"/>
      <c r="K53"/>
    </row>
    <row r="54" spans="10:11">
      <c r="J54"/>
      <c r="K54"/>
    </row>
    <row r="55" spans="10:11">
      <c r="J55"/>
      <c r="K55"/>
    </row>
    <row r="56" spans="10:11">
      <c r="J56"/>
      <c r="K56"/>
    </row>
    <row r="57" spans="10:11">
      <c r="J57"/>
      <c r="K57"/>
    </row>
    <row r="58" spans="10:11">
      <c r="J58"/>
      <c r="K58"/>
    </row>
    <row r="59" spans="10:11">
      <c r="J59"/>
      <c r="K59"/>
    </row>
    <row r="60" spans="10:11">
      <c r="J60"/>
      <c r="K60"/>
    </row>
    <row r="61" spans="10:11">
      <c r="J61"/>
      <c r="K61"/>
    </row>
    <row r="62" spans="10:11">
      <c r="J62"/>
      <c r="K62"/>
    </row>
    <row r="63" spans="10:11">
      <c r="J63"/>
      <c r="K63"/>
    </row>
    <row r="64" spans="10:11">
      <c r="J64"/>
      <c r="K64"/>
    </row>
    <row r="65" spans="1:11">
      <c r="J65"/>
      <c r="K65"/>
    </row>
    <row r="66" spans="1:11">
      <c r="J66"/>
      <c r="K66"/>
    </row>
    <row r="67" spans="1:11">
      <c r="J67"/>
      <c r="K67"/>
    </row>
    <row r="68" spans="1:11">
      <c r="J68"/>
      <c r="K68"/>
    </row>
    <row r="69" spans="1:11">
      <c r="J69"/>
      <c r="K69"/>
    </row>
    <row r="70" spans="1:11">
      <c r="J70"/>
      <c r="K70"/>
    </row>
    <row r="71" spans="1:11">
      <c r="J71"/>
      <c r="K71"/>
    </row>
    <row r="72" spans="1:11">
      <c r="J72"/>
      <c r="K72"/>
    </row>
    <row r="73" spans="1:11">
      <c r="J73"/>
      <c r="K73"/>
    </row>
    <row r="74" spans="1:11">
      <c r="J74"/>
      <c r="K74"/>
    </row>
    <row r="75" spans="1:11">
      <c r="J75"/>
      <c r="K75"/>
    </row>
    <row r="76" spans="1:11">
      <c r="J76"/>
      <c r="K76"/>
    </row>
    <row r="77" spans="1:11">
      <c r="J77"/>
      <c r="K77"/>
    </row>
    <row r="78" spans="1:11">
      <c r="J78"/>
      <c r="K78"/>
    </row>
    <row r="79" spans="1:11">
      <c r="J79"/>
      <c r="K79"/>
    </row>
    <row r="80" spans="1:11">
      <c r="A80" s="395" t="s">
        <v>914</v>
      </c>
      <c r="B80" s="395"/>
      <c r="C80" s="143"/>
      <c r="J80"/>
      <c r="K80"/>
    </row>
    <row r="81" spans="1:11">
      <c r="A81" s="397"/>
      <c r="B81" s="397"/>
      <c r="C81" s="143"/>
      <c r="J81"/>
      <c r="K81"/>
    </row>
    <row r="82" spans="1:11">
      <c r="A82"/>
      <c r="B82"/>
      <c r="C82" s="143"/>
      <c r="J82"/>
      <c r="K82"/>
    </row>
    <row r="83" spans="1:11">
      <c r="A83" s="2"/>
      <c r="B83" s="2"/>
      <c r="C83" s="143"/>
      <c r="J83"/>
      <c r="K83"/>
    </row>
    <row r="84" spans="1:11">
      <c r="A84" t="s">
        <v>910</v>
      </c>
      <c r="B84"/>
      <c r="C84" s="143"/>
      <c r="J84"/>
      <c r="K84"/>
    </row>
    <row r="85" spans="1:11">
      <c r="A85" s="332">
        <v>525</v>
      </c>
      <c r="B85"/>
      <c r="C85" s="143"/>
      <c r="J85"/>
      <c r="K85"/>
    </row>
    <row r="86" spans="1:11">
      <c r="A86"/>
      <c r="B86"/>
      <c r="C86" s="143"/>
      <c r="J86"/>
      <c r="K86"/>
    </row>
    <row r="87" spans="1:11">
      <c r="A87"/>
      <c r="B87"/>
      <c r="C87" s="143"/>
      <c r="J87"/>
      <c r="K87"/>
    </row>
    <row r="88" spans="1:11">
      <c r="A88"/>
      <c r="B88"/>
      <c r="C88" s="143"/>
    </row>
    <row r="89" spans="1:11">
      <c r="A89"/>
      <c r="B89"/>
      <c r="C89" s="143"/>
    </row>
    <row r="90" spans="1:11">
      <c r="A90"/>
      <c r="B90"/>
      <c r="C90" s="143"/>
    </row>
    <row r="91" spans="1:11">
      <c r="A91"/>
      <c r="B91"/>
      <c r="C91" s="143"/>
    </row>
    <row r="92" spans="1:11">
      <c r="A92"/>
      <c r="B92"/>
      <c r="C92" s="143"/>
    </row>
    <row r="93" spans="1:11">
      <c r="A93"/>
      <c r="B93"/>
      <c r="C93" s="143"/>
    </row>
    <row r="94" spans="1:11">
      <c r="A94"/>
      <c r="B94"/>
      <c r="C94" s="143"/>
    </row>
    <row r="95" spans="1:11">
      <c r="A95"/>
      <c r="B95"/>
    </row>
    <row r="96" spans="1:11">
      <c r="A96"/>
      <c r="B96"/>
    </row>
    <row r="97" spans="1:2">
      <c r="A97"/>
      <c r="B97"/>
    </row>
    <row r="98" spans="1:2">
      <c r="A98"/>
      <c r="B98"/>
    </row>
    <row r="99" spans="1:2">
      <c r="A99"/>
      <c r="B99"/>
    </row>
    <row r="100" spans="1:2">
      <c r="A100"/>
      <c r="B100"/>
    </row>
    <row r="101" spans="1:2">
      <c r="A101"/>
      <c r="B101"/>
    </row>
    <row r="102" spans="1:2">
      <c r="A102"/>
      <c r="B102"/>
    </row>
    <row r="103" spans="1:2">
      <c r="A103"/>
      <c r="B103"/>
    </row>
    <row r="104" spans="1:2">
      <c r="A104"/>
      <c r="B104"/>
    </row>
    <row r="105" spans="1:2">
      <c r="A105"/>
      <c r="B105"/>
    </row>
    <row r="106" spans="1:2">
      <c r="A106"/>
      <c r="B106"/>
    </row>
    <row r="107" spans="1:2">
      <c r="A107"/>
      <c r="B107"/>
    </row>
    <row r="108" spans="1:2">
      <c r="A108"/>
      <c r="B108"/>
    </row>
    <row r="109" spans="1:2">
      <c r="A109"/>
      <c r="B109"/>
    </row>
    <row r="110" spans="1:2">
      <c r="A110"/>
      <c r="B110"/>
    </row>
    <row r="111" spans="1:2">
      <c r="A111"/>
      <c r="B111"/>
    </row>
    <row r="112" spans="1:2">
      <c r="A112"/>
      <c r="B112"/>
    </row>
    <row r="113" spans="1:2">
      <c r="A113"/>
      <c r="B113"/>
    </row>
    <row r="114" spans="1:2">
      <c r="A114"/>
      <c r="B114"/>
    </row>
    <row r="115" spans="1:2">
      <c r="A115"/>
      <c r="B115"/>
    </row>
    <row r="116" spans="1:2">
      <c r="A116"/>
      <c r="B116"/>
    </row>
    <row r="117" spans="1:2">
      <c r="A117"/>
      <c r="B117"/>
    </row>
    <row r="118" spans="1:2">
      <c r="A118"/>
      <c r="B118"/>
    </row>
    <row r="119" spans="1:2">
      <c r="A119"/>
      <c r="B119"/>
    </row>
    <row r="120" spans="1:2">
      <c r="A120"/>
      <c r="B120"/>
    </row>
    <row r="121" spans="1:2">
      <c r="A121"/>
      <c r="B121"/>
    </row>
    <row r="122" spans="1:2">
      <c r="A122"/>
      <c r="B122"/>
    </row>
    <row r="123" spans="1:2">
      <c r="A123"/>
      <c r="B123"/>
    </row>
    <row r="124" spans="1:2">
      <c r="A124"/>
      <c r="B124"/>
    </row>
    <row r="125" spans="1:2">
      <c r="A125"/>
      <c r="B125"/>
    </row>
    <row r="126" spans="1:2">
      <c r="A126"/>
      <c r="B126"/>
    </row>
    <row r="127" spans="1:2">
      <c r="A127"/>
      <c r="B127"/>
    </row>
    <row r="128" spans="1:2">
      <c r="A128"/>
      <c r="B128"/>
    </row>
    <row r="129" spans="1:2">
      <c r="A129"/>
      <c r="B129"/>
    </row>
    <row r="130" spans="1:2">
      <c r="A130"/>
      <c r="B130"/>
    </row>
    <row r="131" spans="1:2">
      <c r="A131"/>
      <c r="B131"/>
    </row>
    <row r="132" spans="1:2">
      <c r="A132"/>
      <c r="B132"/>
    </row>
    <row r="133" spans="1:2">
      <c r="A133"/>
      <c r="B133"/>
    </row>
  </sheetData>
  <sortState columnSort="1" ref="B15:H28">
    <sortCondition ref="B27:H27"/>
  </sortState>
  <mergeCells count="2">
    <mergeCell ref="A81:B81"/>
    <mergeCell ref="A80:B80"/>
  </mergeCell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39"/>
  <sheetViews>
    <sheetView topLeftCell="A5" zoomScale="40" zoomScaleNormal="40" workbookViewId="0"/>
  </sheetViews>
  <sheetFormatPr baseColWidth="10" defaultColWidth="11.453125" defaultRowHeight="14.5"/>
  <cols>
    <col min="1" max="1" width="41.81640625" style="6" customWidth="1"/>
    <col min="2" max="2" width="12.7265625" style="6" customWidth="1"/>
    <col min="3" max="3" width="34.26953125" style="6" customWidth="1"/>
    <col min="4" max="41" width="12.7265625" style="6" customWidth="1"/>
    <col min="42" max="16384" width="11.453125" style="6"/>
  </cols>
  <sheetData>
    <row r="1" spans="1:14">
      <c r="A1" s="40" t="s">
        <v>1220</v>
      </c>
      <c r="B1" s="208" t="s">
        <v>4107</v>
      </c>
    </row>
    <row r="4" spans="1:14" s="97" customFormat="1" ht="29">
      <c r="A4" s="111"/>
      <c r="B4" s="103">
        <v>2020</v>
      </c>
      <c r="C4" s="127" t="str">
        <f>CONCATENATE(B4,CHAR(10),"N=",B18)</f>
        <v>2020
N=10</v>
      </c>
      <c r="D4" s="103">
        <v>2021</v>
      </c>
      <c r="E4" s="127" t="str">
        <f>CONCATENATE(D4,CHAR(10),"N=",D18)</f>
        <v>2021
N=197</v>
      </c>
      <c r="F4" s="103">
        <v>2022</v>
      </c>
      <c r="G4" s="127" t="str">
        <f>CONCATENATE(F4,CHAR(10),"N=",F18)</f>
        <v>2022
N=195</v>
      </c>
      <c r="H4" s="103">
        <v>2023</v>
      </c>
      <c r="I4" s="127" t="str">
        <f>CONCATENATE(H4,CHAR(10),"N=",H18)</f>
        <v>2023
N=0</v>
      </c>
      <c r="J4" s="103">
        <v>2024</v>
      </c>
      <c r="K4" s="127" t="str">
        <f>CONCATENATE(J4,CHAR(10),"N=",J18)</f>
        <v>2024
N=0</v>
      </c>
      <c r="L4" s="58" t="str">
        <f>B1</f>
        <v>2020-2022</v>
      </c>
      <c r="M4" s="127" t="str">
        <f>CONCATENATE(L4,CHAR(10),"N=",L18)</f>
        <v>2020-2022
N=412</v>
      </c>
      <c r="N4" s="58" t="s">
        <v>857</v>
      </c>
    </row>
    <row r="5" spans="1:14">
      <c r="A5" s="35" t="s">
        <v>173</v>
      </c>
      <c r="B5" s="37">
        <f>COUNTIFS('1_BD questio modifié'!$A:$A,B$4,'1_BD questio modifié'!$B:$B,"non",'1_BD questio modifié'!$AO:$AO,"*9*")</f>
        <v>0</v>
      </c>
      <c r="C5" s="81">
        <f t="shared" ref="C5:C16" si="0">B5/$B$17</f>
        <v>0</v>
      </c>
      <c r="D5" s="37">
        <f>COUNTIFS('1_BD questio modifié'!$A:$A,D$4,'1_BD questio modifié'!$B:$B,"non",'1_BD questio modifié'!$AO:$AO,"*9*")</f>
        <v>0</v>
      </c>
      <c r="E5" s="81">
        <f t="shared" ref="E5:E16" si="1">D5/$D$17</f>
        <v>0</v>
      </c>
      <c r="F5" s="37">
        <f>COUNTIFS('1_BD questio modifié'!$A:$A,F$4,'1_BD questio modifié'!$B:$B,"non",'1_BD questio modifié'!$AO:$AO,"*9*")</f>
        <v>0</v>
      </c>
      <c r="G5" s="81">
        <f t="shared" ref="G5:G16" si="2">F5/$F$17</f>
        <v>0</v>
      </c>
      <c r="H5" s="37">
        <f>COUNTIFS('1_BD questio modifié'!$A:$A,H$4,'1_BD questio modifié'!$B:$B,"non",'1_BD questio modifié'!$AO:$AO,"*9*")</f>
        <v>0</v>
      </c>
      <c r="I5" s="81">
        <f t="shared" ref="I5:I16" si="3">H5/$D$17</f>
        <v>0</v>
      </c>
      <c r="J5" s="37">
        <f>COUNTIFS('1_BD questio modifié'!$A:$A,J$4,'1_BD questio modifié'!$B:$B,"non",'1_BD questio modifié'!$AO:$AO,"*9*")</f>
        <v>0</v>
      </c>
      <c r="K5" s="81">
        <f t="shared" ref="K5:K16" si="4">J5/$F$17</f>
        <v>0</v>
      </c>
      <c r="L5" s="37">
        <f t="shared" ref="L5:L16" si="5">B5+D5+F5+H5+J5</f>
        <v>0</v>
      </c>
      <c r="M5" s="83">
        <f t="shared" ref="M5:M16" si="6">L5/$L$17</f>
        <v>0</v>
      </c>
      <c r="N5" s="82">
        <v>9</v>
      </c>
    </row>
    <row r="6" spans="1:14">
      <c r="A6" s="35" t="s">
        <v>36</v>
      </c>
      <c r="B6" s="43">
        <f>COUNTIFS('1_BD questio modifié'!$A:$A,B$4,'1_BD questio modifié'!$B:$B,"non",'1_BD questio modifié'!$AO:$AO,"*10*")</f>
        <v>0</v>
      </c>
      <c r="C6" s="81">
        <f t="shared" si="0"/>
        <v>0</v>
      </c>
      <c r="D6" s="43">
        <f>COUNTIFS('1_BD questio modifié'!$A:$A,D$4,'1_BD questio modifié'!$B:$B,"non",'1_BD questio modifié'!$AO:$AO,"*10*")</f>
        <v>0</v>
      </c>
      <c r="E6" s="81">
        <f t="shared" si="1"/>
        <v>0</v>
      </c>
      <c r="F6" s="43">
        <f>COUNTIFS('1_BD questio modifié'!$A:$A,F$4,'1_BD questio modifié'!$B:$B,"non",'1_BD questio modifié'!$AO:$AO,"*10*")</f>
        <v>0</v>
      </c>
      <c r="G6" s="81">
        <f t="shared" si="2"/>
        <v>0</v>
      </c>
      <c r="H6" s="43">
        <f>COUNTIFS('1_BD questio modifié'!$A:$A,H$4,'1_BD questio modifié'!$B:$B,"non",'1_BD questio modifié'!$AO:$AO,"*10*")</f>
        <v>0</v>
      </c>
      <c r="I6" s="81">
        <f t="shared" si="3"/>
        <v>0</v>
      </c>
      <c r="J6" s="43">
        <f>COUNTIFS('1_BD questio modifié'!$A:$A,J$4,'1_BD questio modifié'!$B:$B,"non",'1_BD questio modifié'!$AO:$AO,"*10*")</f>
        <v>0</v>
      </c>
      <c r="K6" s="81">
        <f t="shared" si="4"/>
        <v>0</v>
      </c>
      <c r="L6" s="37">
        <f t="shared" si="5"/>
        <v>0</v>
      </c>
      <c r="M6" s="83">
        <f t="shared" si="6"/>
        <v>0</v>
      </c>
      <c r="N6" s="82">
        <v>10</v>
      </c>
    </row>
    <row r="7" spans="1:14">
      <c r="A7" s="35" t="s">
        <v>168</v>
      </c>
      <c r="B7" s="43">
        <f>COUNTIFS('1_BD questio modifié'!$A:$A,B$4,'1_BD questio modifié'!$B:$B,"non",'1_BD questio modifié'!$AO:$AO,"*4*")</f>
        <v>0</v>
      </c>
      <c r="C7" s="81">
        <f t="shared" si="0"/>
        <v>0</v>
      </c>
      <c r="D7" s="43">
        <f>COUNTIFS('1_BD questio modifié'!$A:$A,D$4,'1_BD questio modifié'!$B:$B,"non",'1_BD questio modifié'!$AO:$AO,"*4*")</f>
        <v>1</v>
      </c>
      <c r="E7" s="81">
        <f t="shared" si="1"/>
        <v>4.1841004184100415E-3</v>
      </c>
      <c r="F7" s="43">
        <f>COUNTIFS('1_BD questio modifié'!$A:$A,F$4,'1_BD questio modifié'!$B:$B,"non",'1_BD questio modifié'!$AO:$AO,"*4*")</f>
        <v>0</v>
      </c>
      <c r="G7" s="81">
        <f t="shared" si="2"/>
        <v>0</v>
      </c>
      <c r="H7" s="43">
        <f>COUNTIFS('1_BD questio modifié'!$A:$A,H$4,'1_BD questio modifié'!$B:$B,"non",'1_BD questio modifié'!$AO:$AO,"*4*")</f>
        <v>0</v>
      </c>
      <c r="I7" s="81">
        <f t="shared" si="3"/>
        <v>0</v>
      </c>
      <c r="J7" s="43">
        <f>COUNTIFS('1_BD questio modifié'!$A:$A,J$4,'1_BD questio modifié'!$B:$B,"non",'1_BD questio modifié'!$AO:$AO,"*4*")</f>
        <v>0</v>
      </c>
      <c r="K7" s="81">
        <f t="shared" si="4"/>
        <v>0</v>
      </c>
      <c r="L7" s="37">
        <f t="shared" si="5"/>
        <v>1</v>
      </c>
      <c r="M7" s="83">
        <f t="shared" si="6"/>
        <v>2.0366598778004071E-3</v>
      </c>
      <c r="N7" s="82">
        <v>4</v>
      </c>
    </row>
    <row r="8" spans="1:14">
      <c r="A8" s="35" t="s">
        <v>170</v>
      </c>
      <c r="B8" s="43">
        <f>COUNTIFS('1_BD questio modifié'!$A:$A,B$4,'1_BD questio modifié'!$B:$B,"non",'1_BD questio modifié'!$AO:$AO,"*6*")</f>
        <v>0</v>
      </c>
      <c r="C8" s="81">
        <f t="shared" si="0"/>
        <v>0</v>
      </c>
      <c r="D8" s="43">
        <f>COUNTIFS('1_BD questio modifié'!$A:$A,D$4,'1_BD questio modifié'!$B:$B,"non",'1_BD questio modifié'!$AO:$AO,"*6*")</f>
        <v>0</v>
      </c>
      <c r="E8" s="81">
        <f t="shared" si="1"/>
        <v>0</v>
      </c>
      <c r="F8" s="43">
        <f>COUNTIFS('1_BD questio modifié'!$A:$A,F$4,'1_BD questio modifié'!$B:$B,"non",'1_BD questio modifié'!$AO:$AO,"*6*")</f>
        <v>1</v>
      </c>
      <c r="G8" s="81">
        <f t="shared" si="2"/>
        <v>4.1493775933609959E-3</v>
      </c>
      <c r="H8" s="43">
        <f>COUNTIFS('1_BD questio modifié'!$A:$A,H$4,'1_BD questio modifié'!$B:$B,"non",'1_BD questio modifié'!$AO:$AO,"*6*")</f>
        <v>0</v>
      </c>
      <c r="I8" s="81">
        <f t="shared" si="3"/>
        <v>0</v>
      </c>
      <c r="J8" s="43">
        <f>COUNTIFS('1_BD questio modifié'!$A:$A,J$4,'1_BD questio modifié'!$B:$B,"non",'1_BD questio modifié'!$AO:$AO,"*6*")</f>
        <v>0</v>
      </c>
      <c r="K8" s="81">
        <f t="shared" si="4"/>
        <v>0</v>
      </c>
      <c r="L8" s="37">
        <f t="shared" si="5"/>
        <v>1</v>
      </c>
      <c r="M8" s="83">
        <f t="shared" si="6"/>
        <v>2.0366598778004071E-3</v>
      </c>
      <c r="N8" s="82">
        <v>6</v>
      </c>
    </row>
    <row r="9" spans="1:14">
      <c r="A9" s="35" t="s">
        <v>175</v>
      </c>
      <c r="B9" s="43">
        <f>COUNTIFS('1_BD questio modifié'!$A:$A,B$4,'1_BD questio modifié'!$B:$B,"non",'1_BD questio modifié'!$AO:$AO,"*12*")</f>
        <v>0</v>
      </c>
      <c r="C9" s="81">
        <f t="shared" si="0"/>
        <v>0</v>
      </c>
      <c r="D9" s="43">
        <f>COUNTIFS('1_BD questio modifié'!$A:$A,D$4,'1_BD questio modifié'!$B:$B,"non",'1_BD questio modifié'!$AO:$AO,"*12*")</f>
        <v>1</v>
      </c>
      <c r="E9" s="81">
        <f t="shared" si="1"/>
        <v>4.1841004184100415E-3</v>
      </c>
      <c r="F9" s="43">
        <f>COUNTIFS('1_BD questio modifié'!$A:$A,F$4,'1_BD questio modifié'!$B:$B,"non",'1_BD questio modifié'!$AO:$AO,"*12*")</f>
        <v>3</v>
      </c>
      <c r="G9" s="81">
        <f t="shared" si="2"/>
        <v>1.2448132780082987E-2</v>
      </c>
      <c r="H9" s="43">
        <f>COUNTIFS('1_BD questio modifié'!$A:$A,H$4,'1_BD questio modifié'!$B:$B,"non",'1_BD questio modifié'!$AO:$AO,"*12*")</f>
        <v>0</v>
      </c>
      <c r="I9" s="81">
        <f t="shared" si="3"/>
        <v>0</v>
      </c>
      <c r="J9" s="43">
        <f>COUNTIFS('1_BD questio modifié'!$A:$A,J$4,'1_BD questio modifié'!$B:$B,"non",'1_BD questio modifié'!$AO:$AO,"*12*")</f>
        <v>0</v>
      </c>
      <c r="K9" s="81">
        <f t="shared" si="4"/>
        <v>0</v>
      </c>
      <c r="L9" s="37">
        <f t="shared" si="5"/>
        <v>4</v>
      </c>
      <c r="M9" s="83">
        <f t="shared" si="6"/>
        <v>8.1466395112016286E-3</v>
      </c>
      <c r="N9" s="82">
        <v>12</v>
      </c>
    </row>
    <row r="10" spans="1:14">
      <c r="A10" s="35" t="s">
        <v>167</v>
      </c>
      <c r="B10" s="43">
        <f>COUNTIFS('1_BD questio modifié'!$A:$A,B$4,'1_BD questio modifié'!$B:$B,"non",'1_BD questio modifié'!$AO:$AO,"*3*")</f>
        <v>0</v>
      </c>
      <c r="C10" s="81">
        <f t="shared" si="0"/>
        <v>0</v>
      </c>
      <c r="D10" s="43">
        <f>COUNTIFS('1_BD questio modifié'!$A:$A,D$4,'1_BD questio modifié'!$B:$B,"non",'1_BD questio modifié'!$AO:$AO,"*3*")</f>
        <v>4</v>
      </c>
      <c r="E10" s="81">
        <f t="shared" si="1"/>
        <v>1.6736401673640166E-2</v>
      </c>
      <c r="F10" s="43">
        <f>COUNTIFS('1_BD questio modifié'!$A:$A,F$4,'1_BD questio modifié'!$B:$B,"non",'1_BD questio modifié'!$AO:$AO,"*3*")</f>
        <v>1</v>
      </c>
      <c r="G10" s="81">
        <f t="shared" si="2"/>
        <v>4.1493775933609959E-3</v>
      </c>
      <c r="H10" s="43">
        <f>COUNTIFS('1_BD questio modifié'!$A:$A,H$4,'1_BD questio modifié'!$B:$B,"non",'1_BD questio modifié'!$AO:$AO,"*3*")</f>
        <v>0</v>
      </c>
      <c r="I10" s="81">
        <f t="shared" si="3"/>
        <v>0</v>
      </c>
      <c r="J10" s="43">
        <f>COUNTIFS('1_BD questio modifié'!$A:$A,J$4,'1_BD questio modifié'!$B:$B,"non",'1_BD questio modifié'!$AO:$AO,"*3*")</f>
        <v>0</v>
      </c>
      <c r="K10" s="81">
        <f t="shared" si="4"/>
        <v>0</v>
      </c>
      <c r="L10" s="37">
        <f t="shared" si="5"/>
        <v>5</v>
      </c>
      <c r="M10" s="83">
        <f t="shared" si="6"/>
        <v>1.0183299389002037E-2</v>
      </c>
      <c r="N10" s="82">
        <v>3</v>
      </c>
    </row>
    <row r="11" spans="1:14">
      <c r="A11" s="35" t="s">
        <v>172</v>
      </c>
      <c r="B11" s="43">
        <f>COUNTIFS('1_BD questio modifié'!$A:$A,B$4,'1_BD questio modifié'!$B:$B,"non",'1_BD questio modifié'!$AO:$AO,"*8*")</f>
        <v>0</v>
      </c>
      <c r="C11" s="81">
        <f t="shared" si="0"/>
        <v>0</v>
      </c>
      <c r="D11" s="43">
        <f>COUNTIFS('1_BD questio modifié'!$A:$A,D$4,'1_BD questio modifié'!$B:$B,"non",'1_BD questio modifié'!$AO:$AO,"*8*")</f>
        <v>3</v>
      </c>
      <c r="E11" s="81">
        <f t="shared" si="1"/>
        <v>1.2552301255230125E-2</v>
      </c>
      <c r="F11" s="43">
        <f>COUNTIFS('1_BD questio modifié'!$A:$A,F$4,'1_BD questio modifié'!$B:$B,"non",'1_BD questio modifié'!$AO:$AO,"*8*")</f>
        <v>4</v>
      </c>
      <c r="G11" s="81">
        <f t="shared" si="2"/>
        <v>1.6597510373443983E-2</v>
      </c>
      <c r="H11" s="43">
        <f>COUNTIFS('1_BD questio modifié'!$A:$A,H$4,'1_BD questio modifié'!$B:$B,"non",'1_BD questio modifié'!$AO:$AO,"*8*")</f>
        <v>0</v>
      </c>
      <c r="I11" s="81">
        <f t="shared" si="3"/>
        <v>0</v>
      </c>
      <c r="J11" s="43">
        <f>COUNTIFS('1_BD questio modifié'!$A:$A,J$4,'1_BD questio modifié'!$B:$B,"non",'1_BD questio modifié'!$AO:$AO,"*8*")</f>
        <v>0</v>
      </c>
      <c r="K11" s="81">
        <f t="shared" si="4"/>
        <v>0</v>
      </c>
      <c r="L11" s="37">
        <f t="shared" si="5"/>
        <v>7</v>
      </c>
      <c r="M11" s="83">
        <f t="shared" si="6"/>
        <v>1.4256619144602852E-2</v>
      </c>
      <c r="N11" s="82">
        <v>8</v>
      </c>
    </row>
    <row r="12" spans="1:14">
      <c r="A12" s="35" t="s">
        <v>174</v>
      </c>
      <c r="B12" s="43">
        <f>COUNTIFS('1_BD questio modifié'!$A:$A,B$4,'1_BD questio modifié'!$B:$B,"non",'1_BD questio modifié'!$AO:$AO,"*11*")</f>
        <v>0</v>
      </c>
      <c r="C12" s="81">
        <f t="shared" si="0"/>
        <v>0</v>
      </c>
      <c r="D12" s="43">
        <f>COUNTIFS('1_BD questio modifié'!$A:$A,D$4,'1_BD questio modifié'!$B:$B,"non",'1_BD questio modifié'!$AO:$AO,"*11*")</f>
        <v>19</v>
      </c>
      <c r="E12" s="81">
        <f t="shared" si="1"/>
        <v>7.9497907949790794E-2</v>
      </c>
      <c r="F12" s="43">
        <f>COUNTIFS('1_BD questio modifié'!$A:$A,F$4,'1_BD questio modifié'!$B:$B,"non",'1_BD questio modifié'!$AO:$AO,"*11*")</f>
        <v>12</v>
      </c>
      <c r="G12" s="81">
        <f t="shared" si="2"/>
        <v>4.9792531120331947E-2</v>
      </c>
      <c r="H12" s="43">
        <f>COUNTIFS('1_BD questio modifié'!$A:$A,H$4,'1_BD questio modifié'!$B:$B,"non",'1_BD questio modifié'!$AO:$AO,"*11*")</f>
        <v>0</v>
      </c>
      <c r="I12" s="81">
        <f t="shared" si="3"/>
        <v>0</v>
      </c>
      <c r="J12" s="43">
        <f>COUNTIFS('1_BD questio modifié'!$A:$A,J$4,'1_BD questio modifié'!$B:$B,"non",'1_BD questio modifié'!$AO:$AO,"*11*")</f>
        <v>0</v>
      </c>
      <c r="K12" s="81">
        <f t="shared" si="4"/>
        <v>0</v>
      </c>
      <c r="L12" s="37">
        <f t="shared" si="5"/>
        <v>31</v>
      </c>
      <c r="M12" s="83">
        <f t="shared" si="6"/>
        <v>6.313645621181263E-2</v>
      </c>
      <c r="N12" s="82">
        <v>11</v>
      </c>
    </row>
    <row r="13" spans="1:14">
      <c r="A13" s="35" t="s">
        <v>166</v>
      </c>
      <c r="B13" s="43">
        <f>COUNTIFS('1_BD questio modifié'!$A:$A,B$4,'1_BD questio modifié'!$B:$B,"non",'1_BD questio modifié'!$AO:$AO,"*2*")</f>
        <v>0</v>
      </c>
      <c r="C13" s="81">
        <f t="shared" si="0"/>
        <v>0</v>
      </c>
      <c r="D13" s="43">
        <f>COUNTIFS('1_BD questio modifié'!$A:$A,D$4,'1_BD questio modifié'!$B:$B,"non",'1_BD questio modifié'!$AO:$AO,"*2*")</f>
        <v>15</v>
      </c>
      <c r="E13" s="81">
        <f t="shared" si="1"/>
        <v>6.2761506276150625E-2</v>
      </c>
      <c r="F13" s="43">
        <f>COUNTIFS('1_BD questio modifié'!$A:$A,F$4,'1_BD questio modifié'!$B:$B,"non",'1_BD questio modifié'!$AO:$AO,"*2*")</f>
        <v>18</v>
      </c>
      <c r="G13" s="81">
        <f t="shared" si="2"/>
        <v>7.4688796680497924E-2</v>
      </c>
      <c r="H13" s="43">
        <f>COUNTIFS('1_BD questio modifié'!$A:$A,H$4,'1_BD questio modifié'!$B:$B,"non",'1_BD questio modifié'!$AO:$AO,"*2*")</f>
        <v>0</v>
      </c>
      <c r="I13" s="81">
        <f t="shared" si="3"/>
        <v>0</v>
      </c>
      <c r="J13" s="43">
        <f>COUNTIFS('1_BD questio modifié'!$A:$A,J$4,'1_BD questio modifié'!$B:$B,"non",'1_BD questio modifié'!$AO:$AO,"*2*")</f>
        <v>0</v>
      </c>
      <c r="K13" s="81">
        <f t="shared" si="4"/>
        <v>0</v>
      </c>
      <c r="L13" s="37">
        <f t="shared" si="5"/>
        <v>33</v>
      </c>
      <c r="M13" s="83">
        <f t="shared" si="6"/>
        <v>6.720977596741344E-2</v>
      </c>
      <c r="N13" s="82">
        <v>2</v>
      </c>
    </row>
    <row r="14" spans="1:14">
      <c r="A14" s="35" t="s">
        <v>165</v>
      </c>
      <c r="B14" s="43">
        <f>COUNTIFS('1_BD questio modifié'!$A:$A,B$4,'1_BD questio modifié'!$B:$B,"non",'1_BD questio modifié'!$AO:$AO,"*1;*")+COUNTIFS('1_BD questio modifié'!$A:$A,B$4,'1_BD questio modifié'!$B:$B,"non",'1_BD questio modifié'!$AO:$AO,"1")</f>
        <v>1</v>
      </c>
      <c r="C14" s="81">
        <f t="shared" si="0"/>
        <v>9.0909090909090912E-2</v>
      </c>
      <c r="D14" s="43">
        <f>COUNTIFS('1_BD questio modifié'!$A:$A,D$4,'1_BD questio modifié'!$B:$B,"non",'1_BD questio modifié'!$AO:$AO,"*1;*")+COUNTIFS('1_BD questio modifié'!$A:$A,D$4,'1_BD questio modifié'!$B:$B,"non",'1_BD questio modifié'!$AO:$AO,"1")</f>
        <v>25</v>
      </c>
      <c r="E14" s="81">
        <f t="shared" si="1"/>
        <v>0.10460251046025104</v>
      </c>
      <c r="F14" s="43">
        <f>COUNTIFS('1_BD questio modifié'!$A:$A,F$4,'1_BD questio modifié'!$B:$B,"non",'1_BD questio modifié'!$AO:$AO,"*1;*")+COUNTIFS('1_BD questio modifié'!$A:$A,F$4,'1_BD questio modifié'!$B:$B,"non",'1_BD questio modifié'!$AO:$AO,"1")</f>
        <v>24</v>
      </c>
      <c r="G14" s="81">
        <f t="shared" si="2"/>
        <v>9.9585062240663894E-2</v>
      </c>
      <c r="H14" s="43">
        <f>COUNTIFS('1_BD questio modifié'!$A:$A,H$4,'1_BD questio modifié'!$B:$B,"non",'1_BD questio modifié'!$AO:$AO,"*1;*")+COUNTIFS('1_BD questio modifié'!$A:$A,H$4,'1_BD questio modifié'!$B:$B,"non",'1_BD questio modifié'!$AO:$AO,"1")</f>
        <v>0</v>
      </c>
      <c r="I14" s="81">
        <f t="shared" si="3"/>
        <v>0</v>
      </c>
      <c r="J14" s="43">
        <f>COUNTIFS('1_BD questio modifié'!$A:$A,J$4,'1_BD questio modifié'!$B:$B,"non",'1_BD questio modifié'!$AO:$AO,"*1;*")+COUNTIFS('1_BD questio modifié'!$A:$A,J$4,'1_BD questio modifié'!$B:$B,"non",'1_BD questio modifié'!$AO:$AO,"1")</f>
        <v>0</v>
      </c>
      <c r="K14" s="81">
        <f t="shared" si="4"/>
        <v>0</v>
      </c>
      <c r="L14" s="37">
        <f t="shared" si="5"/>
        <v>50</v>
      </c>
      <c r="M14" s="83">
        <f t="shared" si="6"/>
        <v>0.10183299389002037</v>
      </c>
      <c r="N14" s="82">
        <v>1</v>
      </c>
    </row>
    <row r="15" spans="1:14">
      <c r="A15" s="35" t="s">
        <v>171</v>
      </c>
      <c r="B15" s="37">
        <f>COUNTIFS('1_BD questio modifié'!$A:$A,B$4,'1_BD questio modifié'!$B:$B,"non",'1_BD questio modifié'!$AO:$AO,"*7*")</f>
        <v>2</v>
      </c>
      <c r="C15" s="81">
        <f t="shared" si="0"/>
        <v>0.18181818181818182</v>
      </c>
      <c r="D15" s="37">
        <f>COUNTIFS('1_BD questio modifié'!$A:$A,D$4,'1_BD questio modifié'!$B:$B,"non",'1_BD questio modifié'!$AO:$AO,"*7*")</f>
        <v>70</v>
      </c>
      <c r="E15" s="81">
        <f t="shared" si="1"/>
        <v>0.29288702928870292</v>
      </c>
      <c r="F15" s="37">
        <f>COUNTIFS('1_BD questio modifié'!$A:$A,F$4,'1_BD questio modifié'!$B:$B,"non",'1_BD questio modifié'!$AO:$AO,"*7*")</f>
        <v>58</v>
      </c>
      <c r="G15" s="81">
        <f t="shared" si="2"/>
        <v>0.24066390041493776</v>
      </c>
      <c r="H15" s="37">
        <f>COUNTIFS('1_BD questio modifié'!$A:$A,H$4,'1_BD questio modifié'!$B:$B,"non",'1_BD questio modifié'!$AO:$AO,"*7*")</f>
        <v>0</v>
      </c>
      <c r="I15" s="81">
        <f t="shared" si="3"/>
        <v>0</v>
      </c>
      <c r="J15" s="37">
        <f>COUNTIFS('1_BD questio modifié'!$A:$A,J$4,'1_BD questio modifié'!$B:$B,"non",'1_BD questio modifié'!$AO:$AO,"*7*")</f>
        <v>0</v>
      </c>
      <c r="K15" s="81">
        <f t="shared" si="4"/>
        <v>0</v>
      </c>
      <c r="L15" s="37">
        <f t="shared" si="5"/>
        <v>130</v>
      </c>
      <c r="M15" s="83">
        <f t="shared" si="6"/>
        <v>0.26476578411405294</v>
      </c>
      <c r="N15" s="82">
        <v>7</v>
      </c>
    </row>
    <row r="16" spans="1:14">
      <c r="A16" s="35" t="s">
        <v>169</v>
      </c>
      <c r="B16" s="43">
        <f>COUNTIFS('1_BD questio modifié'!$A:$A,B$4,'1_BD questio modifié'!$B:$B,"non",'1_BD questio modifié'!$AO:$AO,"*5*")</f>
        <v>8</v>
      </c>
      <c r="C16" s="81">
        <f t="shared" si="0"/>
        <v>0.72727272727272729</v>
      </c>
      <c r="D16" s="43">
        <f>COUNTIFS('1_BD questio modifié'!$A:$A,D$4,'1_BD questio modifié'!$B:$B,"non",'1_BD questio modifié'!$AO:$AO,"*5*")</f>
        <v>101</v>
      </c>
      <c r="E16" s="81">
        <f t="shared" si="1"/>
        <v>0.42259414225941422</v>
      </c>
      <c r="F16" s="43">
        <f>COUNTIFS('1_BD questio modifié'!$A:$A,F$4,'1_BD questio modifié'!$B:$B,"non",'1_BD questio modifié'!$AO:$AO,"*5*")</f>
        <v>120</v>
      </c>
      <c r="G16" s="81">
        <f t="shared" si="2"/>
        <v>0.49792531120331951</v>
      </c>
      <c r="H16" s="43">
        <f>COUNTIFS('1_BD questio modifié'!$A:$A,H$4,'1_BD questio modifié'!$B:$B,"non",'1_BD questio modifié'!$AO:$AO,"*5*")</f>
        <v>0</v>
      </c>
      <c r="I16" s="81">
        <f t="shared" si="3"/>
        <v>0</v>
      </c>
      <c r="J16" s="43">
        <f>COUNTIFS('1_BD questio modifié'!$A:$A,J$4,'1_BD questio modifié'!$B:$B,"non",'1_BD questio modifié'!$AO:$AO,"*5*")</f>
        <v>0</v>
      </c>
      <c r="K16" s="81">
        <f t="shared" si="4"/>
        <v>0</v>
      </c>
      <c r="L16" s="37">
        <f t="shared" si="5"/>
        <v>229</v>
      </c>
      <c r="M16" s="83">
        <f t="shared" si="6"/>
        <v>0.4663951120162933</v>
      </c>
      <c r="N16" s="82">
        <v>5</v>
      </c>
    </row>
    <row r="17" spans="1:14">
      <c r="A17" s="36" t="s">
        <v>1222</v>
      </c>
      <c r="B17" s="43">
        <f>SUM(B5:B16)</f>
        <v>11</v>
      </c>
      <c r="C17" s="81">
        <f t="shared" ref="C17" si="7">B17/$B$17</f>
        <v>1</v>
      </c>
      <c r="D17" s="43">
        <f>SUM(D5:D16)</f>
        <v>239</v>
      </c>
      <c r="E17" s="81">
        <f t="shared" ref="E17" si="8">D17/$D$17</f>
        <v>1</v>
      </c>
      <c r="F17" s="43">
        <f>SUM(F5:F16)</f>
        <v>241</v>
      </c>
      <c r="G17" s="81">
        <f t="shared" ref="G17" si="9">F17/$F$17</f>
        <v>1</v>
      </c>
      <c r="H17" s="43">
        <f>SUM(H5:H16)</f>
        <v>0</v>
      </c>
      <c r="I17" s="81">
        <f t="shared" ref="I17" si="10">H17/$D$17</f>
        <v>0</v>
      </c>
      <c r="J17" s="43">
        <f>SUM(J5:J16)</f>
        <v>0</v>
      </c>
      <c r="K17" s="81">
        <f t="shared" ref="K17" si="11">J17/$F$17</f>
        <v>0</v>
      </c>
      <c r="L17" s="37">
        <f t="shared" ref="L17" si="12">B17+D17+F17+H17+J17</f>
        <v>491</v>
      </c>
      <c r="M17" s="83">
        <f t="shared" ref="M17" si="13">L17/$L$17</f>
        <v>1</v>
      </c>
      <c r="N17" s="90"/>
    </row>
    <row r="18" spans="1:14">
      <c r="A18" s="214" t="s">
        <v>438</v>
      </c>
      <c r="B18" s="336">
        <f>COUNTIFS('1_BD questio modifié'!A:A,2020,'1_BD questio modifié'!B:B,"non")</f>
        <v>10</v>
      </c>
      <c r="C18" s="337"/>
      <c r="D18" s="338">
        <f>COUNTIFS('1_BD questio modifié'!A:A,2021,'1_BD questio modifié'!B:B,"non")</f>
        <v>197</v>
      </c>
      <c r="E18" s="337"/>
      <c r="F18" s="338">
        <f>COUNTIFS('1_BD questio modifié'!A:A,2022,'1_BD questio modifié'!B:B,"non")</f>
        <v>195</v>
      </c>
      <c r="G18" s="337"/>
      <c r="H18" s="338">
        <f>COUNTIFS('1_BD questio modifié'!A:A,2023,'1_BD questio modifié'!B:B,"non")</f>
        <v>0</v>
      </c>
      <c r="I18" s="337"/>
      <c r="J18" s="338">
        <f>COUNTIFS('1_BD questio modifié'!A:A,2024,'1_BD questio modifié'!B:B,"non")</f>
        <v>0</v>
      </c>
      <c r="K18" s="337"/>
      <c r="L18" s="82">
        <f>COUNTIFS('1_BD questio modifié'!B:B,"non")</f>
        <v>412</v>
      </c>
      <c r="M18" s="337"/>
    </row>
    <row r="20" spans="1:14">
      <c r="A20"/>
      <c r="B20"/>
      <c r="C20"/>
      <c r="D20"/>
      <c r="E20"/>
      <c r="F20"/>
    </row>
    <row r="21" spans="1:14">
      <c r="A21"/>
      <c r="B21"/>
      <c r="C21"/>
      <c r="D21"/>
      <c r="E21"/>
      <c r="F21"/>
    </row>
    <row r="22" spans="1:14">
      <c r="D22"/>
      <c r="E22"/>
      <c r="F22"/>
    </row>
    <row r="23" spans="1:14">
      <c r="D23"/>
      <c r="E23"/>
      <c r="F23"/>
    </row>
    <row r="24" spans="1:14">
      <c r="D24"/>
      <c r="E24"/>
      <c r="F24"/>
    </row>
    <row r="25" spans="1:14">
      <c r="D25"/>
      <c r="E25"/>
      <c r="F25"/>
    </row>
    <row r="26" spans="1:14">
      <c r="D26"/>
      <c r="E26"/>
      <c r="F26"/>
    </row>
    <row r="27" spans="1:14">
      <c r="D27"/>
      <c r="E27"/>
      <c r="F27"/>
    </row>
    <row r="28" spans="1:14">
      <c r="D28"/>
      <c r="E28"/>
      <c r="F28"/>
    </row>
    <row r="29" spans="1:14">
      <c r="D29"/>
      <c r="E29"/>
      <c r="F29"/>
    </row>
    <row r="30" spans="1:14">
      <c r="D30"/>
      <c r="E30"/>
      <c r="F30"/>
    </row>
    <row r="31" spans="1:14">
      <c r="D31"/>
      <c r="E31"/>
      <c r="F31"/>
    </row>
    <row r="32" spans="1:14">
      <c r="D32"/>
      <c r="E32"/>
      <c r="F32"/>
    </row>
    <row r="33" spans="1:6">
      <c r="D33"/>
      <c r="E33"/>
      <c r="F33"/>
    </row>
    <row r="34" spans="1:6">
      <c r="D34"/>
      <c r="E34"/>
      <c r="F34"/>
    </row>
    <row r="35" spans="1:6">
      <c r="D35"/>
      <c r="E35"/>
      <c r="F35"/>
    </row>
    <row r="36" spans="1:6">
      <c r="D36"/>
      <c r="E36"/>
      <c r="F36"/>
    </row>
    <row r="37" spans="1:6">
      <c r="D37"/>
      <c r="E37"/>
      <c r="F37"/>
    </row>
    <row r="38" spans="1:6" customFormat="1">
      <c r="A38" s="6"/>
      <c r="B38" s="6"/>
      <c r="C38" s="6"/>
    </row>
    <row r="39" spans="1:6" customFormat="1">
      <c r="A39" s="6"/>
      <c r="B39" s="6"/>
      <c r="C39" s="6"/>
    </row>
    <row r="40" spans="1:6" customFormat="1">
      <c r="A40" s="6"/>
      <c r="B40" s="6"/>
      <c r="C40" s="6"/>
    </row>
    <row r="41" spans="1:6" customFormat="1">
      <c r="A41" s="6"/>
      <c r="B41" s="6"/>
      <c r="C41" s="6"/>
    </row>
    <row r="42" spans="1:6" customFormat="1">
      <c r="A42" s="6"/>
      <c r="B42" s="6"/>
      <c r="C42" s="6"/>
    </row>
    <row r="43" spans="1:6" customFormat="1">
      <c r="A43" s="6"/>
      <c r="B43" s="6"/>
      <c r="C43" s="6"/>
    </row>
    <row r="44" spans="1:6" customFormat="1">
      <c r="A44" s="6"/>
      <c r="B44" s="6"/>
      <c r="C44" s="6"/>
    </row>
    <row r="45" spans="1:6" customFormat="1">
      <c r="A45" s="6"/>
      <c r="B45" s="6"/>
      <c r="C45" s="6"/>
    </row>
    <row r="46" spans="1:6" customFormat="1">
      <c r="A46" s="6"/>
      <c r="B46" s="6"/>
      <c r="C46" s="6"/>
    </row>
    <row r="47" spans="1:6" customFormat="1">
      <c r="A47" s="6"/>
      <c r="B47" s="6"/>
      <c r="C47" s="6"/>
    </row>
    <row r="48" spans="1:6" customFormat="1">
      <c r="A48" s="6"/>
      <c r="B48" s="6"/>
      <c r="C48" s="6"/>
    </row>
    <row r="49" spans="1:24" customFormat="1">
      <c r="A49" s="6"/>
      <c r="B49" s="6"/>
      <c r="C49" s="6"/>
    </row>
    <row r="50" spans="1:24" customFormat="1">
      <c r="A50" s="6"/>
      <c r="B50" s="6"/>
      <c r="C50" s="6"/>
    </row>
    <row r="51" spans="1:24" customFormat="1">
      <c r="A51" s="6"/>
      <c r="B51" s="6"/>
      <c r="C51" s="6"/>
    </row>
    <row r="52" spans="1:24" customFormat="1">
      <c r="A52" s="6"/>
      <c r="B52" s="6"/>
      <c r="C52" s="6"/>
    </row>
    <row r="53" spans="1:24" customFormat="1">
      <c r="A53" s="6"/>
      <c r="B53" s="6"/>
      <c r="C53" s="6"/>
    </row>
    <row r="54" spans="1:24" customFormat="1">
      <c r="A54" s="6"/>
      <c r="B54" s="6"/>
      <c r="C54" s="6"/>
      <c r="Q54" s="6"/>
      <c r="R54" s="6"/>
      <c r="S54" s="6"/>
      <c r="T54" s="6"/>
      <c r="U54" s="6"/>
      <c r="V54" s="6"/>
      <c r="W54" s="6"/>
      <c r="X54" s="6"/>
    </row>
    <row r="55" spans="1:24" customFormat="1">
      <c r="A55" s="6"/>
      <c r="B55" s="6"/>
      <c r="C55" s="6"/>
      <c r="Q55" s="6"/>
      <c r="R55" s="6"/>
      <c r="S55" s="6"/>
      <c r="T55" s="6"/>
      <c r="U55" s="6"/>
      <c r="V55" s="6"/>
      <c r="W55" s="6"/>
      <c r="X55" s="6"/>
    </row>
    <row r="56" spans="1:24" customFormat="1">
      <c r="A56" s="6"/>
      <c r="B56" s="6"/>
      <c r="C56" s="6"/>
      <c r="Q56" s="6"/>
      <c r="R56" s="6"/>
      <c r="S56" s="6"/>
      <c r="T56" s="6"/>
      <c r="U56" s="6"/>
      <c r="V56" s="6"/>
      <c r="W56" s="6"/>
      <c r="X56" s="6"/>
    </row>
    <row r="57" spans="1:24" customFormat="1">
      <c r="A57" s="6"/>
      <c r="B57" s="6"/>
      <c r="C57" s="6"/>
      <c r="Q57" s="6"/>
      <c r="R57" s="6"/>
      <c r="S57" s="6"/>
      <c r="T57" s="6"/>
      <c r="U57" s="6"/>
      <c r="V57" s="6"/>
      <c r="W57" s="6"/>
      <c r="X57" s="6"/>
    </row>
    <row r="58" spans="1:24" customFormat="1">
      <c r="A58" s="6"/>
      <c r="B58" s="6"/>
      <c r="C58" s="6"/>
      <c r="Q58" s="6"/>
      <c r="R58" s="6"/>
      <c r="S58" s="6"/>
      <c r="T58" s="6"/>
      <c r="U58" s="6"/>
      <c r="V58" s="6"/>
      <c r="W58" s="6"/>
      <c r="X58" s="6"/>
    </row>
    <row r="59" spans="1:24" customFormat="1">
      <c r="Q59" s="6"/>
      <c r="R59" s="6"/>
      <c r="S59" s="6"/>
      <c r="T59" s="6"/>
      <c r="U59" s="6"/>
      <c r="V59" s="6"/>
      <c r="W59" s="6"/>
      <c r="X59" s="6"/>
    </row>
    <row r="60" spans="1:24" customFormat="1">
      <c r="Q60" s="6"/>
      <c r="R60" s="6"/>
      <c r="S60" s="6"/>
      <c r="T60" s="6"/>
      <c r="U60" s="6"/>
      <c r="V60" s="6"/>
      <c r="W60" s="6"/>
      <c r="X60" s="6"/>
    </row>
    <row r="61" spans="1:24" customFormat="1">
      <c r="A61" s="6"/>
      <c r="B61" s="6"/>
      <c r="C61" s="6"/>
      <c r="D61" s="6"/>
      <c r="E61" s="6"/>
      <c r="F61" s="6"/>
      <c r="Q61" s="6"/>
      <c r="R61" s="6"/>
      <c r="S61" s="6"/>
      <c r="T61" s="6"/>
      <c r="U61" s="6"/>
      <c r="V61" s="6"/>
      <c r="W61" s="6"/>
      <c r="X61" s="6"/>
    </row>
    <row r="62" spans="1:24" customFormat="1">
      <c r="A62" s="6"/>
      <c r="B62" s="6"/>
      <c r="C62" s="6"/>
      <c r="D62" s="6"/>
      <c r="E62" s="6"/>
      <c r="F62" s="6"/>
      <c r="Q62" s="6"/>
      <c r="R62" s="6"/>
      <c r="S62" s="6"/>
      <c r="T62" s="6"/>
      <c r="U62" s="6"/>
      <c r="V62" s="6"/>
      <c r="W62" s="6"/>
      <c r="X62" s="6"/>
    </row>
    <row r="63" spans="1:24" customFormat="1">
      <c r="A63" s="6"/>
      <c r="B63" s="6"/>
      <c r="C63" s="6"/>
      <c r="D63" s="6"/>
      <c r="E63" s="6"/>
      <c r="F63" s="6"/>
      <c r="Q63" s="6"/>
      <c r="R63" s="6"/>
      <c r="S63" s="6"/>
      <c r="T63" s="6"/>
      <c r="U63" s="6"/>
      <c r="V63" s="6"/>
      <c r="W63" s="6"/>
      <c r="X63" s="6"/>
    </row>
    <row r="64" spans="1:24" customFormat="1">
      <c r="A64" s="6"/>
      <c r="B64" s="6"/>
      <c r="C64" s="6"/>
      <c r="D64" s="6"/>
      <c r="E64" s="6"/>
      <c r="F64" s="6"/>
      <c r="Q64" s="6"/>
      <c r="R64" s="6"/>
      <c r="S64" s="6"/>
      <c r="T64" s="6"/>
      <c r="U64" s="6"/>
      <c r="V64" s="6"/>
      <c r="W64" s="6"/>
      <c r="X64" s="6"/>
    </row>
    <row r="65" spans="1:24" customFormat="1">
      <c r="A65" s="6"/>
      <c r="B65" s="6"/>
      <c r="C65" s="6"/>
      <c r="D65" s="6"/>
      <c r="E65" s="6"/>
      <c r="F65" s="6"/>
      <c r="Q65" s="6"/>
      <c r="R65" s="6"/>
      <c r="S65" s="6"/>
      <c r="T65" s="6"/>
      <c r="U65" s="6"/>
      <c r="V65" s="6"/>
      <c r="W65" s="6"/>
      <c r="X65" s="6"/>
    </row>
    <row r="66" spans="1:24" customFormat="1">
      <c r="A66" s="6"/>
      <c r="B66" s="6"/>
      <c r="C66" s="6"/>
      <c r="D66" s="6"/>
      <c r="E66" s="6"/>
      <c r="F66" s="6"/>
      <c r="Q66" s="6"/>
      <c r="R66" s="6"/>
      <c r="S66" s="6"/>
      <c r="T66" s="6"/>
      <c r="U66" s="6"/>
      <c r="V66" s="6"/>
      <c r="W66" s="6"/>
      <c r="X66" s="6"/>
    </row>
    <row r="67" spans="1:24" customFormat="1">
      <c r="A67" s="6"/>
      <c r="B67" s="6"/>
      <c r="C67" s="6"/>
      <c r="D67" s="6"/>
      <c r="E67" s="6"/>
      <c r="F67" s="6"/>
      <c r="Q67" s="6"/>
      <c r="R67" s="6"/>
      <c r="S67" s="6"/>
      <c r="T67" s="6"/>
      <c r="U67" s="6"/>
      <c r="V67" s="6"/>
      <c r="W67" s="6"/>
      <c r="X67" s="6"/>
    </row>
    <row r="68" spans="1:24" customFormat="1">
      <c r="A68" s="6"/>
      <c r="B68" s="6"/>
      <c r="C68" s="6"/>
      <c r="D68" s="6"/>
      <c r="E68" s="6"/>
      <c r="F68" s="6"/>
      <c r="Q68" s="6"/>
      <c r="R68" s="6"/>
      <c r="S68" s="6"/>
      <c r="T68" s="6"/>
      <c r="U68" s="6"/>
      <c r="V68" s="6"/>
      <c r="W68" s="6"/>
      <c r="X68" s="6"/>
    </row>
    <row r="69" spans="1:24" customFormat="1">
      <c r="A69" s="6"/>
      <c r="B69" s="6"/>
      <c r="C69" s="6"/>
      <c r="D69" s="6"/>
      <c r="E69" s="6"/>
      <c r="F69" s="6"/>
      <c r="Q69" s="6"/>
      <c r="R69" s="6"/>
      <c r="S69" s="6"/>
      <c r="T69" s="6"/>
      <c r="U69" s="6"/>
      <c r="V69" s="6"/>
      <c r="W69" s="6"/>
      <c r="X69" s="6"/>
    </row>
    <row r="70" spans="1:24" customFormat="1">
      <c r="A70" s="6"/>
      <c r="B70" s="6"/>
      <c r="C70" s="6"/>
      <c r="D70" s="6"/>
      <c r="E70" s="6"/>
      <c r="F70" s="6"/>
      <c r="Q70" s="6"/>
      <c r="R70" s="6"/>
      <c r="S70" s="6"/>
      <c r="T70" s="6"/>
      <c r="U70" s="6"/>
      <c r="V70" s="6"/>
      <c r="W70" s="6"/>
      <c r="X70" s="6"/>
    </row>
    <row r="71" spans="1:24" customFormat="1">
      <c r="A71" s="6"/>
      <c r="B71" s="6"/>
      <c r="C71" s="6"/>
      <c r="D71" s="6"/>
      <c r="E71" s="6"/>
      <c r="F71" s="6"/>
      <c r="Q71" s="6"/>
      <c r="R71" s="6"/>
      <c r="S71" s="6"/>
      <c r="T71" s="6"/>
      <c r="U71" s="6"/>
      <c r="V71" s="6"/>
      <c r="W71" s="6"/>
      <c r="X71" s="6"/>
    </row>
    <row r="72" spans="1:24" customFormat="1">
      <c r="A72" s="6"/>
      <c r="B72" s="6"/>
      <c r="C72" s="6"/>
      <c r="D72" s="6"/>
      <c r="E72" s="6"/>
      <c r="F72" s="6"/>
      <c r="Q72" s="6"/>
      <c r="R72" s="6"/>
      <c r="S72" s="6"/>
      <c r="T72" s="6"/>
      <c r="U72" s="6"/>
      <c r="V72" s="6"/>
      <c r="W72" s="6"/>
      <c r="X72" s="6"/>
    </row>
    <row r="73" spans="1:24" customFormat="1">
      <c r="A73" s="6"/>
      <c r="B73" s="6"/>
      <c r="C73" s="6"/>
      <c r="D73" s="6"/>
      <c r="E73" s="6"/>
      <c r="F73" s="6"/>
      <c r="Q73" s="6"/>
      <c r="R73" s="6"/>
      <c r="S73" s="6"/>
      <c r="T73" s="6"/>
      <c r="U73" s="6"/>
      <c r="V73" s="6"/>
      <c r="W73" s="6"/>
      <c r="X73" s="6"/>
    </row>
    <row r="74" spans="1:24" customFormat="1">
      <c r="A74" s="6"/>
      <c r="B74" s="6"/>
      <c r="C74" s="6"/>
      <c r="D74" s="6"/>
      <c r="E74" s="6"/>
      <c r="F74" s="6"/>
      <c r="Q74" s="6"/>
      <c r="R74" s="6"/>
      <c r="S74" s="6"/>
      <c r="T74" s="6"/>
      <c r="U74" s="6"/>
      <c r="V74" s="6"/>
      <c r="W74" s="6"/>
      <c r="X74" s="6"/>
    </row>
    <row r="75" spans="1:24" customFormat="1">
      <c r="A75" s="6"/>
      <c r="B75" s="6"/>
      <c r="C75" s="6"/>
      <c r="D75" s="6"/>
      <c r="E75" s="6"/>
      <c r="F75" s="6"/>
      <c r="Q75" s="6"/>
      <c r="R75" s="6"/>
      <c r="S75" s="6"/>
      <c r="T75" s="6"/>
      <c r="U75" s="6"/>
      <c r="V75" s="6"/>
      <c r="W75" s="6"/>
      <c r="X75" s="6"/>
    </row>
    <row r="76" spans="1:24" customFormat="1">
      <c r="A76" s="6"/>
      <c r="B76" s="6"/>
      <c r="C76" s="6"/>
      <c r="D76" s="6"/>
      <c r="E76" s="6"/>
      <c r="F76" s="6"/>
      <c r="Q76" s="6"/>
      <c r="R76" s="6"/>
      <c r="S76" s="6"/>
      <c r="T76" s="6"/>
      <c r="U76" s="6"/>
      <c r="V76" s="6"/>
      <c r="W76" s="6"/>
      <c r="X76" s="6"/>
    </row>
    <row r="77" spans="1:24" customFormat="1">
      <c r="A77" s="6"/>
      <c r="B77" s="6"/>
      <c r="C77" s="6"/>
      <c r="D77" s="6"/>
      <c r="E77" s="6"/>
      <c r="F77" s="6"/>
      <c r="Q77" s="6"/>
      <c r="R77" s="6"/>
      <c r="S77" s="6"/>
      <c r="T77" s="6"/>
      <c r="U77" s="6"/>
      <c r="V77" s="6"/>
      <c r="W77" s="6"/>
      <c r="X77" s="6"/>
    </row>
    <row r="78" spans="1:24" customFormat="1">
      <c r="A78" s="6"/>
      <c r="B78" s="6"/>
      <c r="C78" s="6"/>
      <c r="D78" s="6"/>
      <c r="E78" s="6"/>
      <c r="F78" s="6"/>
      <c r="Q78" s="6"/>
      <c r="R78" s="6"/>
      <c r="S78" s="6"/>
      <c r="T78" s="6"/>
      <c r="U78" s="6"/>
      <c r="V78" s="6"/>
      <c r="W78" s="6"/>
      <c r="X78" s="6"/>
    </row>
    <row r="79" spans="1:24" customFormat="1">
      <c r="A79" s="6"/>
      <c r="B79" s="6"/>
      <c r="C79" s="6"/>
      <c r="D79" s="6"/>
      <c r="E79" s="6"/>
      <c r="F79" s="6"/>
      <c r="Q79" s="6"/>
      <c r="R79" s="6"/>
      <c r="S79" s="6"/>
      <c r="T79" s="6"/>
      <c r="U79" s="6"/>
      <c r="V79" s="6"/>
      <c r="W79" s="6"/>
      <c r="X79" s="6"/>
    </row>
    <row r="80" spans="1:24" customFormat="1">
      <c r="A80" s="6"/>
      <c r="B80" s="6"/>
      <c r="C80" s="6"/>
      <c r="D80" s="6"/>
      <c r="E80" s="6"/>
      <c r="F80" s="6"/>
      <c r="Q80" s="6"/>
      <c r="R80" s="6"/>
      <c r="S80" s="6"/>
      <c r="T80" s="6"/>
      <c r="U80" s="6"/>
      <c r="V80" s="6"/>
      <c r="W80" s="6"/>
      <c r="X80" s="6"/>
    </row>
    <row r="97" spans="1:8">
      <c r="A97"/>
      <c r="B97"/>
      <c r="C97"/>
      <c r="D97"/>
      <c r="E97"/>
      <c r="F97"/>
      <c r="G97"/>
      <c r="H97"/>
    </row>
    <row r="98" spans="1:8">
      <c r="A98"/>
      <c r="B98"/>
      <c r="C98"/>
      <c r="D98"/>
      <c r="E98"/>
      <c r="F98"/>
      <c r="G98"/>
      <c r="H98"/>
    </row>
    <row r="99" spans="1:8">
      <c r="A99"/>
      <c r="B99"/>
      <c r="C99"/>
      <c r="D99"/>
      <c r="E99"/>
      <c r="F99"/>
      <c r="G99"/>
      <c r="H99"/>
    </row>
    <row r="100" spans="1:8">
      <c r="A100"/>
      <c r="B100"/>
      <c r="C100"/>
      <c r="D100"/>
      <c r="E100"/>
      <c r="F100"/>
      <c r="G100"/>
      <c r="H100"/>
    </row>
    <row r="101" spans="1:8">
      <c r="A101"/>
      <c r="B101"/>
      <c r="C101"/>
      <c r="D101"/>
      <c r="E101"/>
      <c r="F101"/>
      <c r="G101"/>
      <c r="H101"/>
    </row>
    <row r="102" spans="1:8">
      <c r="A102"/>
      <c r="B102"/>
      <c r="C102"/>
      <c r="D102"/>
      <c r="E102"/>
      <c r="F102"/>
      <c r="G102"/>
      <c r="H102"/>
    </row>
    <row r="103" spans="1:8">
      <c r="A103"/>
      <c r="B103"/>
      <c r="C103" s="395" t="s">
        <v>915</v>
      </c>
      <c r="D103" s="395"/>
      <c r="E103" s="143"/>
      <c r="F103"/>
      <c r="G103"/>
      <c r="H103"/>
    </row>
    <row r="104" spans="1:8">
      <c r="A104"/>
      <c r="B104"/>
      <c r="C104"/>
      <c r="D104"/>
      <c r="E104" s="143"/>
      <c r="F104"/>
      <c r="G104"/>
      <c r="H104"/>
    </row>
    <row r="105" spans="1:8">
      <c r="A105"/>
      <c r="B105"/>
      <c r="C105" s="2"/>
      <c r="D105" s="2"/>
      <c r="E105" s="143"/>
      <c r="F105"/>
      <c r="G105"/>
      <c r="H105"/>
    </row>
    <row r="106" spans="1:8">
      <c r="A106"/>
      <c r="B106"/>
      <c r="C106" t="s">
        <v>910</v>
      </c>
      <c r="D106"/>
      <c r="E106" s="143"/>
      <c r="F106"/>
      <c r="G106"/>
      <c r="H106"/>
    </row>
    <row r="107" spans="1:8">
      <c r="A107"/>
      <c r="B107"/>
      <c r="C107" s="332">
        <v>525</v>
      </c>
      <c r="D107"/>
      <c r="E107" s="143"/>
      <c r="F107"/>
      <c r="G107"/>
      <c r="H107"/>
    </row>
    <row r="108" spans="1:8">
      <c r="A108"/>
      <c r="B108"/>
      <c r="C108"/>
      <c r="D108"/>
      <c r="E108" s="143"/>
      <c r="F108"/>
      <c r="G108"/>
      <c r="H108"/>
    </row>
    <row r="109" spans="1:8">
      <c r="A109"/>
      <c r="B109"/>
      <c r="C109"/>
      <c r="D109"/>
      <c r="E109" s="143"/>
      <c r="F109"/>
      <c r="G109"/>
      <c r="H109"/>
    </row>
    <row r="110" spans="1:8">
      <c r="A110"/>
      <c r="B110"/>
      <c r="C110"/>
      <c r="D110"/>
      <c r="E110" s="143"/>
      <c r="F110"/>
      <c r="G110"/>
      <c r="H110"/>
    </row>
    <row r="111" spans="1:8">
      <c r="A111"/>
      <c r="B111"/>
      <c r="C111"/>
      <c r="D111"/>
      <c r="E111" s="143"/>
      <c r="F111"/>
      <c r="G111"/>
      <c r="H111"/>
    </row>
    <row r="112" spans="1:8">
      <c r="A112"/>
      <c r="B112"/>
      <c r="C112"/>
      <c r="D112"/>
      <c r="E112" s="143"/>
      <c r="F112"/>
      <c r="G112"/>
      <c r="H112"/>
    </row>
    <row r="113" spans="1:8">
      <c r="A113"/>
      <c r="B113"/>
      <c r="C113"/>
      <c r="D113"/>
      <c r="E113" s="143"/>
      <c r="F113"/>
      <c r="G113"/>
      <c r="H113"/>
    </row>
    <row r="114" spans="1:8">
      <c r="A114"/>
      <c r="B114"/>
      <c r="C114"/>
      <c r="D114"/>
      <c r="E114" s="143"/>
      <c r="F114"/>
      <c r="G114"/>
      <c r="H114"/>
    </row>
    <row r="115" spans="1:8">
      <c r="A115"/>
      <c r="B115"/>
      <c r="C115"/>
      <c r="D115"/>
      <c r="E115" s="143"/>
      <c r="F115"/>
      <c r="G115"/>
      <c r="H115"/>
    </row>
    <row r="116" spans="1:8">
      <c r="A116"/>
      <c r="B116"/>
      <c r="C116"/>
      <c r="D116"/>
      <c r="E116" s="143"/>
      <c r="F116"/>
      <c r="G116"/>
      <c r="H116"/>
    </row>
    <row r="117" spans="1:8">
      <c r="A117"/>
      <c r="B117"/>
      <c r="C117"/>
      <c r="D117"/>
      <c r="E117" s="143"/>
      <c r="F117"/>
      <c r="G117"/>
      <c r="H117"/>
    </row>
    <row r="118" spans="1:8">
      <c r="A118"/>
      <c r="B118"/>
      <c r="C118"/>
      <c r="D118"/>
      <c r="E118" s="143"/>
      <c r="F118"/>
      <c r="G118"/>
      <c r="H118"/>
    </row>
    <row r="119" spans="1:8">
      <c r="A119"/>
      <c r="B119"/>
      <c r="C119"/>
      <c r="D119"/>
      <c r="E119" s="143"/>
      <c r="F119"/>
      <c r="G119"/>
      <c r="H119"/>
    </row>
    <row r="120" spans="1:8">
      <c r="A120"/>
      <c r="B120"/>
      <c r="C120"/>
      <c r="D120"/>
      <c r="E120" s="143"/>
      <c r="F120"/>
      <c r="G120"/>
      <c r="H120"/>
    </row>
    <row r="121" spans="1:8">
      <c r="A121"/>
      <c r="B121"/>
      <c r="C121"/>
      <c r="D121"/>
      <c r="E121" s="143"/>
      <c r="F121"/>
      <c r="G121"/>
      <c r="H121"/>
    </row>
    <row r="122" spans="1:8">
      <c r="A122"/>
      <c r="B122"/>
      <c r="C122"/>
      <c r="D122"/>
      <c r="E122" s="143"/>
      <c r="F122"/>
      <c r="G122"/>
      <c r="H122"/>
    </row>
    <row r="123" spans="1:8">
      <c r="A123"/>
      <c r="B123"/>
      <c r="C123"/>
      <c r="D123"/>
      <c r="E123" s="143"/>
      <c r="F123"/>
      <c r="G123"/>
      <c r="H123"/>
    </row>
    <row r="124" spans="1:8">
      <c r="C124"/>
      <c r="D124"/>
      <c r="E124" s="143"/>
    </row>
    <row r="125" spans="1:8">
      <c r="C125"/>
      <c r="D125"/>
      <c r="E125" s="143"/>
    </row>
    <row r="126" spans="1:8">
      <c r="C126"/>
      <c r="D126"/>
      <c r="E126" s="143"/>
    </row>
    <row r="127" spans="1:8">
      <c r="C127"/>
      <c r="D127"/>
      <c r="E127" s="143"/>
    </row>
    <row r="128" spans="1:8">
      <c r="C128"/>
      <c r="D128"/>
      <c r="E128" s="143"/>
    </row>
    <row r="129" spans="3:5">
      <c r="C129"/>
      <c r="D129"/>
      <c r="E129" s="143"/>
    </row>
    <row r="130" spans="3:5">
      <c r="C130"/>
      <c r="D130"/>
      <c r="E130" s="143"/>
    </row>
    <row r="131" spans="3:5">
      <c r="C131"/>
      <c r="D131"/>
      <c r="E131" s="143"/>
    </row>
    <row r="132" spans="3:5">
      <c r="C132"/>
      <c r="D132"/>
      <c r="E132" s="143"/>
    </row>
    <row r="133" spans="3:5">
      <c r="C133"/>
      <c r="D133"/>
      <c r="E133" s="143"/>
    </row>
    <row r="134" spans="3:5">
      <c r="C134"/>
      <c r="D134"/>
      <c r="E134" s="143"/>
    </row>
    <row r="135" spans="3:5">
      <c r="C135"/>
      <c r="D135"/>
      <c r="E135" s="143"/>
    </row>
    <row r="136" spans="3:5">
      <c r="C136"/>
      <c r="D136"/>
      <c r="E136" s="143"/>
    </row>
    <row r="137" spans="3:5">
      <c r="C137"/>
      <c r="D137"/>
      <c r="E137" s="143"/>
    </row>
    <row r="138" spans="3:5">
      <c r="C138"/>
      <c r="D138"/>
      <c r="E138" s="143"/>
    </row>
    <row r="139" spans="3:5">
      <c r="C139"/>
      <c r="D139"/>
      <c r="E139"/>
    </row>
  </sheetData>
  <sortState ref="A5:N16">
    <sortCondition ref="L5:L16"/>
  </sortState>
  <mergeCells count="1">
    <mergeCell ref="C103:D103"/>
  </mergeCells>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6"/>
  <sheetViews>
    <sheetView workbookViewId="0">
      <selection activeCell="F7" sqref="F7"/>
    </sheetView>
  </sheetViews>
  <sheetFormatPr baseColWidth="10" defaultRowHeight="14.5"/>
  <cols>
    <col min="1" max="2" width="11.453125" style="339"/>
    <col min="4" max="4" width="12.1796875" bestFit="1" customWidth="1"/>
    <col min="5" max="5" width="11.453125" style="2"/>
    <col min="6" max="7" width="11.54296875" style="2"/>
  </cols>
  <sheetData>
    <row r="1" spans="1:11" s="206" customFormat="1">
      <c r="A1" s="339"/>
      <c r="B1" s="339"/>
    </row>
    <row r="2" spans="1:11" s="97" customFormat="1" ht="87">
      <c r="A2" s="97" t="s">
        <v>383</v>
      </c>
      <c r="B2" s="97" t="s">
        <v>4112</v>
      </c>
      <c r="C2" s="115"/>
      <c r="D2" s="116" t="s">
        <v>4110</v>
      </c>
      <c r="E2" s="117" t="s">
        <v>4111</v>
      </c>
      <c r="F2" s="118"/>
      <c r="I2" s="398" t="str">
        <f>CONCATENATE("Evolution annuelle du nombre de dossiers validés ou en cours d'instruction",CHAR(10),"Total=",J8)</f>
        <v>Evolution annuelle du nombre de dossiers validés ou en cours d'instruction
Total=425</v>
      </c>
      <c r="J2" s="399"/>
    </row>
    <row r="3" spans="1:11" s="97" customFormat="1">
      <c r="A3" s="339">
        <f>YEAR(C3)</f>
        <v>2020</v>
      </c>
      <c r="B3" s="339">
        <f>MONTH(C3)</f>
        <v>7</v>
      </c>
      <c r="C3" s="85">
        <v>44013</v>
      </c>
      <c r="D3" s="114">
        <f>COUNTIFS('3_BD instruction total'!A:A,'2_donnees EIE et dossiers'!A3,'3_BD instruction total'!B:B,'2_donnees EIE et dossiers'!B3,'3_BD instruction total'!C:C,"non")</f>
        <v>1</v>
      </c>
      <c r="E3" s="113">
        <f>D3</f>
        <v>1</v>
      </c>
      <c r="F3" s="341"/>
      <c r="I3" s="86">
        <v>2020</v>
      </c>
      <c r="J3" s="76">
        <f>COUNTIFS('3_BD instruction total'!A:A,'2_donnees EIE et dossiers'!I3,'3_BD instruction total'!C:C,"non")</f>
        <v>11</v>
      </c>
    </row>
    <row r="4" spans="1:11" s="2" customFormat="1">
      <c r="A4" s="339">
        <f t="shared" ref="A4:A32" si="0">YEAR(C4)</f>
        <v>2020</v>
      </c>
      <c r="B4" s="339">
        <f t="shared" ref="B4:B56" si="1">MONTH(C4)</f>
        <v>8</v>
      </c>
      <c r="C4" s="85">
        <v>44044</v>
      </c>
      <c r="D4" s="114">
        <f>COUNTIFS('3_BD instruction total'!A:A,'2_donnees EIE et dossiers'!A4,'3_BD instruction total'!B:B,'2_donnees EIE et dossiers'!B4,'3_BD instruction total'!C:C,"non")</f>
        <v>1</v>
      </c>
      <c r="E4" s="113">
        <f t="shared" ref="E4:E12" si="2">D4+E3</f>
        <v>2</v>
      </c>
      <c r="I4" s="86">
        <v>2021</v>
      </c>
      <c r="J4" s="76">
        <f>COUNTIFS('3_BD instruction total'!A:A,'2_donnees EIE et dossiers'!I4,'3_BD instruction total'!C:C,"non")</f>
        <v>206</v>
      </c>
    </row>
    <row r="5" spans="1:11" s="2" customFormat="1">
      <c r="A5" s="339">
        <f t="shared" si="0"/>
        <v>2020</v>
      </c>
      <c r="B5" s="339">
        <f t="shared" si="1"/>
        <v>9</v>
      </c>
      <c r="C5" s="85">
        <v>44075</v>
      </c>
      <c r="D5" s="114">
        <f>COUNTIFS('3_BD instruction total'!A:A,'2_donnees EIE et dossiers'!A5,'3_BD instruction total'!B:B,'2_donnees EIE et dossiers'!B5,'3_BD instruction total'!C:C,"non")</f>
        <v>2</v>
      </c>
      <c r="E5" s="113">
        <f t="shared" si="2"/>
        <v>4</v>
      </c>
      <c r="I5" s="86">
        <v>2022</v>
      </c>
      <c r="J5" s="76">
        <f>COUNTIFS('3_BD instruction total'!A:A,'2_donnees EIE et dossiers'!I5,'3_BD instruction total'!C:C,"non")</f>
        <v>208</v>
      </c>
    </row>
    <row r="6" spans="1:11" s="2" customFormat="1">
      <c r="A6" s="339">
        <f t="shared" si="0"/>
        <v>2020</v>
      </c>
      <c r="B6" s="339">
        <f t="shared" si="1"/>
        <v>10</v>
      </c>
      <c r="C6" s="85">
        <v>44105</v>
      </c>
      <c r="D6" s="114">
        <f>COUNTIFS('3_BD instruction total'!A:A,'2_donnees EIE et dossiers'!A6,'3_BD instruction total'!B:B,'2_donnees EIE et dossiers'!B6,'3_BD instruction total'!C:C,"non")</f>
        <v>2</v>
      </c>
      <c r="E6" s="113">
        <f t="shared" si="2"/>
        <v>6</v>
      </c>
      <c r="I6" s="86">
        <v>2023</v>
      </c>
      <c r="J6" s="76">
        <f>COUNTIFS('3_BD instruction total'!A:A,'2_donnees EIE et dossiers'!I6,'3_BD instruction total'!C:C,"non")</f>
        <v>0</v>
      </c>
    </row>
    <row r="7" spans="1:11" s="2" customFormat="1">
      <c r="A7" s="339">
        <f t="shared" si="0"/>
        <v>2020</v>
      </c>
      <c r="B7" s="339">
        <f t="shared" si="1"/>
        <v>11</v>
      </c>
      <c r="C7" s="85">
        <v>44136</v>
      </c>
      <c r="D7" s="114">
        <f>COUNTIFS('3_BD instruction total'!A:A,'2_donnees EIE et dossiers'!A7,'3_BD instruction total'!B:B,'2_donnees EIE et dossiers'!B7,'3_BD instruction total'!C:C,"non")</f>
        <v>3</v>
      </c>
      <c r="E7" s="113">
        <f t="shared" si="2"/>
        <v>9</v>
      </c>
      <c r="I7" s="86">
        <v>2024</v>
      </c>
      <c r="J7" s="76">
        <f>COUNTIFS('3_BD instruction total'!A:A,'2_donnees EIE et dossiers'!I7,'3_BD instruction total'!C:C,"non")</f>
        <v>0</v>
      </c>
    </row>
    <row r="8" spans="1:11" s="2" customFormat="1">
      <c r="A8" s="339">
        <f t="shared" si="0"/>
        <v>2020</v>
      </c>
      <c r="B8" s="339">
        <f t="shared" si="1"/>
        <v>12</v>
      </c>
      <c r="C8" s="85">
        <v>44166</v>
      </c>
      <c r="D8" s="114">
        <f>COUNTIFS('3_BD instruction total'!A:A,'2_donnees EIE et dossiers'!A8,'3_BD instruction total'!B:B,'2_donnees EIE et dossiers'!B8,'3_BD instruction total'!C:C,"non")</f>
        <v>2</v>
      </c>
      <c r="E8" s="113">
        <f t="shared" si="2"/>
        <v>11</v>
      </c>
      <c r="I8" s="77" t="s">
        <v>439</v>
      </c>
      <c r="J8" s="76">
        <f>SUM(J3:J7)</f>
        <v>425</v>
      </c>
    </row>
    <row r="9" spans="1:11" s="2" customFormat="1">
      <c r="A9" s="339">
        <f t="shared" si="0"/>
        <v>2021</v>
      </c>
      <c r="B9" s="339">
        <f t="shared" si="1"/>
        <v>1</v>
      </c>
      <c r="C9" s="85">
        <v>44197</v>
      </c>
      <c r="D9" s="114">
        <f>COUNTIFS('3_BD instruction total'!A:A,'2_donnees EIE et dossiers'!A9,'3_BD instruction total'!B:B,'2_donnees EIE et dossiers'!B9,'3_BD instruction total'!C:C,"non")</f>
        <v>15</v>
      </c>
      <c r="E9" s="113">
        <f t="shared" si="2"/>
        <v>26</v>
      </c>
    </row>
    <row r="10" spans="1:11" s="2" customFormat="1">
      <c r="A10" s="339">
        <f t="shared" si="0"/>
        <v>2021</v>
      </c>
      <c r="B10" s="339">
        <f t="shared" si="1"/>
        <v>2</v>
      </c>
      <c r="C10" s="85">
        <v>44228</v>
      </c>
      <c r="D10" s="114">
        <f>COUNTIFS('3_BD instruction total'!A:A,'2_donnees EIE et dossiers'!A10,'3_BD instruction total'!B:B,'2_donnees EIE et dossiers'!B10,'3_BD instruction total'!C:C,"non")</f>
        <v>10</v>
      </c>
      <c r="E10" s="113">
        <f t="shared" si="2"/>
        <v>36</v>
      </c>
    </row>
    <row r="11" spans="1:11" s="2" customFormat="1">
      <c r="A11" s="339">
        <f t="shared" si="0"/>
        <v>2021</v>
      </c>
      <c r="B11" s="339">
        <f t="shared" si="1"/>
        <v>3</v>
      </c>
      <c r="C11" s="85">
        <v>44256</v>
      </c>
      <c r="D11" s="114">
        <f>COUNTIFS('3_BD instruction total'!A:A,'2_donnees EIE et dossiers'!A11,'3_BD instruction total'!B:B,'2_donnees EIE et dossiers'!B11,'3_BD instruction total'!C:C,"non")</f>
        <v>18</v>
      </c>
      <c r="E11" s="113">
        <f t="shared" si="2"/>
        <v>54</v>
      </c>
    </row>
    <row r="12" spans="1:11" s="2" customFormat="1">
      <c r="A12" s="339">
        <f t="shared" si="0"/>
        <v>2021</v>
      </c>
      <c r="B12" s="339">
        <f t="shared" si="1"/>
        <v>4</v>
      </c>
      <c r="C12" s="85">
        <v>44287</v>
      </c>
      <c r="D12" s="114">
        <f>COUNTIFS('3_BD instruction total'!A:A,'2_donnees EIE et dossiers'!A12,'3_BD instruction total'!B:B,'2_donnees EIE et dossiers'!B12,'3_BD instruction total'!C:C,"non")</f>
        <v>23</v>
      </c>
      <c r="E12" s="113">
        <f t="shared" si="2"/>
        <v>77</v>
      </c>
    </row>
    <row r="13" spans="1:11" s="2" customFormat="1" ht="15" thickBot="1">
      <c r="A13" s="339">
        <f t="shared" si="0"/>
        <v>2021</v>
      </c>
      <c r="B13" s="339">
        <f t="shared" si="1"/>
        <v>5</v>
      </c>
      <c r="C13" s="85">
        <v>44317</v>
      </c>
      <c r="D13" s="114">
        <f>COUNTIFS('3_BD instruction total'!A:A,'2_donnees EIE et dossiers'!A13,'3_BD instruction total'!B:B,'2_donnees EIE et dossiers'!B13,'3_BD instruction total'!C:C,"non")</f>
        <v>20</v>
      </c>
      <c r="E13" s="113">
        <f t="shared" ref="E13:E20" si="3">D13+E12</f>
        <v>97</v>
      </c>
    </row>
    <row r="14" spans="1:11" s="2" customFormat="1" ht="15" thickBot="1">
      <c r="A14" s="339">
        <f t="shared" si="0"/>
        <v>2021</v>
      </c>
      <c r="B14" s="339">
        <f t="shared" si="1"/>
        <v>6</v>
      </c>
      <c r="C14" s="85">
        <v>44348</v>
      </c>
      <c r="D14" s="114">
        <f>COUNTIFS('3_BD instruction total'!A:A,'2_donnees EIE et dossiers'!A14,'3_BD instruction total'!B:B,'2_donnees EIE et dossiers'!B14,'3_BD instruction total'!C:C,"non")</f>
        <v>16</v>
      </c>
      <c r="E14" s="113">
        <f t="shared" si="3"/>
        <v>113</v>
      </c>
      <c r="G14" s="365" t="s">
        <v>4126</v>
      </c>
      <c r="H14" s="366"/>
      <c r="I14" s="366"/>
      <c r="J14" s="366"/>
      <c r="K14" s="367">
        <f>COUNTIFS('3_BD instruction total'!C:C,"oui")</f>
        <v>36</v>
      </c>
    </row>
    <row r="15" spans="1:11" s="2" customFormat="1">
      <c r="A15" s="339">
        <f t="shared" si="0"/>
        <v>2021</v>
      </c>
      <c r="B15" s="339">
        <f t="shared" si="1"/>
        <v>7</v>
      </c>
      <c r="C15" s="85">
        <v>44378</v>
      </c>
      <c r="D15" s="114">
        <f>COUNTIFS('3_BD instruction total'!A:A,'2_donnees EIE et dossiers'!A15,'3_BD instruction total'!B:B,'2_donnees EIE et dossiers'!B15,'3_BD instruction total'!C:C,"non")</f>
        <v>16</v>
      </c>
      <c r="E15" s="113">
        <f t="shared" si="3"/>
        <v>129</v>
      </c>
    </row>
    <row r="16" spans="1:11" s="2" customFormat="1">
      <c r="A16" s="339">
        <f t="shared" si="0"/>
        <v>2021</v>
      </c>
      <c r="B16" s="339">
        <f t="shared" si="1"/>
        <v>8</v>
      </c>
      <c r="C16" s="85">
        <v>44409</v>
      </c>
      <c r="D16" s="114">
        <f>COUNTIFS('3_BD instruction total'!A:A,'2_donnees EIE et dossiers'!A16,'3_BD instruction total'!B:B,'2_donnees EIE et dossiers'!B16,'3_BD instruction total'!C:C,"non")</f>
        <v>12</v>
      </c>
      <c r="E16" s="113">
        <f t="shared" si="3"/>
        <v>141</v>
      </c>
    </row>
    <row r="17" spans="1:5" s="2" customFormat="1">
      <c r="A17" s="339">
        <f t="shared" si="0"/>
        <v>2021</v>
      </c>
      <c r="B17" s="339">
        <f t="shared" si="1"/>
        <v>9</v>
      </c>
      <c r="C17" s="85">
        <v>44440</v>
      </c>
      <c r="D17" s="114">
        <f>COUNTIFS('3_BD instruction total'!A:A,'2_donnees EIE et dossiers'!A17,'3_BD instruction total'!B:B,'2_donnees EIE et dossiers'!B17,'3_BD instruction total'!C:C,"non")</f>
        <v>20</v>
      </c>
      <c r="E17" s="113">
        <f t="shared" si="3"/>
        <v>161</v>
      </c>
    </row>
    <row r="18" spans="1:5" s="2" customFormat="1">
      <c r="A18" s="339">
        <f t="shared" si="0"/>
        <v>2021</v>
      </c>
      <c r="B18" s="339">
        <f t="shared" si="1"/>
        <v>10</v>
      </c>
      <c r="C18" s="85">
        <v>44470</v>
      </c>
      <c r="D18" s="114">
        <f>COUNTIFS('3_BD instruction total'!A:A,'2_donnees EIE et dossiers'!A18,'3_BD instruction total'!B:B,'2_donnees EIE et dossiers'!B18,'3_BD instruction total'!C:C,"non")</f>
        <v>23</v>
      </c>
      <c r="E18" s="113">
        <f t="shared" si="3"/>
        <v>184</v>
      </c>
    </row>
    <row r="19" spans="1:5" s="2" customFormat="1">
      <c r="A19" s="339">
        <f t="shared" si="0"/>
        <v>2021</v>
      </c>
      <c r="B19" s="339">
        <f t="shared" si="1"/>
        <v>11</v>
      </c>
      <c r="C19" s="85">
        <v>44501</v>
      </c>
      <c r="D19" s="114">
        <f>COUNTIFS('3_BD instruction total'!A:A,'2_donnees EIE et dossiers'!A19,'3_BD instruction total'!B:B,'2_donnees EIE et dossiers'!B19,'3_BD instruction total'!C:C,"non")</f>
        <v>14</v>
      </c>
      <c r="E19" s="113">
        <f t="shared" si="3"/>
        <v>198</v>
      </c>
    </row>
    <row r="20" spans="1:5" s="2" customFormat="1">
      <c r="A20" s="339">
        <f t="shared" si="0"/>
        <v>2021</v>
      </c>
      <c r="B20" s="339">
        <f t="shared" si="1"/>
        <v>12</v>
      </c>
      <c r="C20" s="85">
        <v>44531</v>
      </c>
      <c r="D20" s="114">
        <f>COUNTIFS('3_BD instruction total'!A:A,'2_donnees EIE et dossiers'!A20,'3_BD instruction total'!B:B,'2_donnees EIE et dossiers'!B20,'3_BD instruction total'!C:C,"non")</f>
        <v>19</v>
      </c>
      <c r="E20" s="113">
        <f t="shared" si="3"/>
        <v>217</v>
      </c>
    </row>
    <row r="21" spans="1:5" s="2" customFormat="1">
      <c r="A21" s="339">
        <f t="shared" si="0"/>
        <v>2022</v>
      </c>
      <c r="B21" s="339">
        <f t="shared" si="1"/>
        <v>1</v>
      </c>
      <c r="C21" s="85">
        <v>44562</v>
      </c>
      <c r="D21" s="114">
        <f>COUNTIFS('3_BD instruction total'!A:A,'2_donnees EIE et dossiers'!A21,'3_BD instruction total'!B:B,'2_donnees EIE et dossiers'!B21,'3_BD instruction total'!C:C,"non")</f>
        <v>12</v>
      </c>
      <c r="E21" s="113">
        <f t="shared" ref="E21:E32" si="4">D21+E20</f>
        <v>229</v>
      </c>
    </row>
    <row r="22" spans="1:5" s="2" customFormat="1">
      <c r="A22" s="339">
        <f t="shared" si="0"/>
        <v>2022</v>
      </c>
      <c r="B22" s="339">
        <f t="shared" si="1"/>
        <v>2</v>
      </c>
      <c r="C22" s="85">
        <v>44593</v>
      </c>
      <c r="D22" s="114">
        <f>COUNTIFS('3_BD instruction total'!A:A,'2_donnees EIE et dossiers'!A22,'3_BD instruction total'!B:B,'2_donnees EIE et dossiers'!B22,'3_BD instruction total'!C:C,"non")</f>
        <v>20</v>
      </c>
      <c r="E22" s="113">
        <f t="shared" si="4"/>
        <v>249</v>
      </c>
    </row>
    <row r="23" spans="1:5" s="2" customFormat="1">
      <c r="A23" s="339">
        <f t="shared" si="0"/>
        <v>2022</v>
      </c>
      <c r="B23" s="339">
        <f t="shared" si="1"/>
        <v>3</v>
      </c>
      <c r="C23" s="85">
        <v>44621</v>
      </c>
      <c r="D23" s="114">
        <f>COUNTIFS('3_BD instruction total'!A:A,'2_donnees EIE et dossiers'!A23,'3_BD instruction total'!B:B,'2_donnees EIE et dossiers'!B23,'3_BD instruction total'!C:C,"non")</f>
        <v>24</v>
      </c>
      <c r="E23" s="113">
        <f t="shared" si="4"/>
        <v>273</v>
      </c>
    </row>
    <row r="24" spans="1:5" s="2" customFormat="1">
      <c r="A24" s="339">
        <f t="shared" si="0"/>
        <v>2022</v>
      </c>
      <c r="B24" s="339">
        <f t="shared" si="1"/>
        <v>4</v>
      </c>
      <c r="C24" s="85">
        <v>44652</v>
      </c>
      <c r="D24" s="114">
        <f>COUNTIFS('3_BD instruction total'!A:A,'2_donnees EIE et dossiers'!A24,'3_BD instruction total'!B:B,'2_donnees EIE et dossiers'!B24,'3_BD instruction total'!C:C,"non")</f>
        <v>31</v>
      </c>
      <c r="E24" s="113">
        <f t="shared" si="4"/>
        <v>304</v>
      </c>
    </row>
    <row r="25" spans="1:5" s="2" customFormat="1">
      <c r="A25" s="339">
        <f t="shared" si="0"/>
        <v>2022</v>
      </c>
      <c r="B25" s="339">
        <f t="shared" si="1"/>
        <v>5</v>
      </c>
      <c r="C25" s="85">
        <v>44682</v>
      </c>
      <c r="D25" s="114">
        <f>COUNTIFS('3_BD instruction total'!A:A,'2_donnees EIE et dossiers'!A25,'3_BD instruction total'!B:B,'2_donnees EIE et dossiers'!B25,'3_BD instruction total'!C:C,"non")</f>
        <v>7</v>
      </c>
      <c r="E25" s="113">
        <f t="shared" si="4"/>
        <v>311</v>
      </c>
    </row>
    <row r="26" spans="1:5" s="2" customFormat="1">
      <c r="A26" s="339">
        <f t="shared" si="0"/>
        <v>2022</v>
      </c>
      <c r="B26" s="339">
        <f t="shared" si="1"/>
        <v>6</v>
      </c>
      <c r="C26" s="85">
        <v>44713</v>
      </c>
      <c r="D26" s="114">
        <f>COUNTIFS('3_BD instruction total'!A:A,'2_donnees EIE et dossiers'!A26,'3_BD instruction total'!B:B,'2_donnees EIE et dossiers'!B26,'3_BD instruction total'!C:C,"non")</f>
        <v>17</v>
      </c>
      <c r="E26" s="113">
        <f t="shared" si="4"/>
        <v>328</v>
      </c>
    </row>
    <row r="27" spans="1:5" s="2" customFormat="1">
      <c r="A27" s="339">
        <f t="shared" si="0"/>
        <v>2022</v>
      </c>
      <c r="B27" s="339">
        <f t="shared" si="1"/>
        <v>7</v>
      </c>
      <c r="C27" s="85">
        <v>44743</v>
      </c>
      <c r="D27" s="114">
        <f>COUNTIFS('3_BD instruction total'!A:A,'2_donnees EIE et dossiers'!A27,'3_BD instruction total'!B:B,'2_donnees EIE et dossiers'!B27,'3_BD instruction total'!C:C,"non")</f>
        <v>25</v>
      </c>
      <c r="E27" s="113">
        <f t="shared" si="4"/>
        <v>353</v>
      </c>
    </row>
    <row r="28" spans="1:5" s="2" customFormat="1">
      <c r="A28" s="339">
        <f t="shared" si="0"/>
        <v>2022</v>
      </c>
      <c r="B28" s="339">
        <f t="shared" si="1"/>
        <v>8</v>
      </c>
      <c r="C28" s="85">
        <v>44774</v>
      </c>
      <c r="D28" s="114">
        <f>COUNTIFS('3_BD instruction total'!A:A,'2_donnees EIE et dossiers'!A28,'3_BD instruction total'!B:B,'2_donnees EIE et dossiers'!B28,'3_BD instruction total'!C:C,"non")</f>
        <v>13</v>
      </c>
      <c r="E28" s="113">
        <f t="shared" si="4"/>
        <v>366</v>
      </c>
    </row>
    <row r="29" spans="1:5" s="2" customFormat="1">
      <c r="A29" s="339">
        <f t="shared" si="0"/>
        <v>2022</v>
      </c>
      <c r="B29" s="339">
        <f t="shared" si="1"/>
        <v>9</v>
      </c>
      <c r="C29" s="85">
        <v>44805</v>
      </c>
      <c r="D29" s="114">
        <f>COUNTIFS('3_BD instruction total'!A:A,'2_donnees EIE et dossiers'!A29,'3_BD instruction total'!B:B,'2_donnees EIE et dossiers'!B29,'3_BD instruction total'!C:C,"non")</f>
        <v>12</v>
      </c>
      <c r="E29" s="113">
        <f t="shared" si="4"/>
        <v>378</v>
      </c>
    </row>
    <row r="30" spans="1:5" s="2" customFormat="1">
      <c r="A30" s="339">
        <f t="shared" si="0"/>
        <v>2022</v>
      </c>
      <c r="B30" s="339">
        <f t="shared" si="1"/>
        <v>10</v>
      </c>
      <c r="C30" s="85">
        <v>44835</v>
      </c>
      <c r="D30" s="114">
        <f>COUNTIFS('3_BD instruction total'!A:A,'2_donnees EIE et dossiers'!A30,'3_BD instruction total'!B:B,'2_donnees EIE et dossiers'!B30,'3_BD instruction total'!C:C,"non")</f>
        <v>12</v>
      </c>
      <c r="E30" s="113">
        <f t="shared" si="4"/>
        <v>390</v>
      </c>
    </row>
    <row r="31" spans="1:5" s="2" customFormat="1">
      <c r="A31" s="339">
        <f t="shared" si="0"/>
        <v>2022</v>
      </c>
      <c r="B31" s="339">
        <f t="shared" si="1"/>
        <v>11</v>
      </c>
      <c r="C31" s="85">
        <v>44866</v>
      </c>
      <c r="D31" s="114">
        <f>COUNTIFS('3_BD instruction total'!A:A,'2_donnees EIE et dossiers'!A31,'3_BD instruction total'!B:B,'2_donnees EIE et dossiers'!B31,'3_BD instruction total'!C:C,"non")</f>
        <v>24</v>
      </c>
      <c r="E31" s="113">
        <f t="shared" si="4"/>
        <v>414</v>
      </c>
    </row>
    <row r="32" spans="1:5" s="2" customFormat="1">
      <c r="A32" s="339">
        <f t="shared" si="0"/>
        <v>2022</v>
      </c>
      <c r="B32" s="339">
        <f t="shared" si="1"/>
        <v>12</v>
      </c>
      <c r="C32" s="85">
        <v>44896</v>
      </c>
      <c r="D32" s="114">
        <f>COUNTIFS('3_BD instruction total'!A:A,'2_donnees EIE et dossiers'!A32,'3_BD instruction total'!B:B,'2_donnees EIE et dossiers'!B32,'3_BD instruction total'!C:C,"non")</f>
        <v>11</v>
      </c>
      <c r="E32" s="113">
        <f t="shared" si="4"/>
        <v>425</v>
      </c>
    </row>
    <row r="33" spans="1:5" s="2" customFormat="1">
      <c r="A33" s="339">
        <f t="shared" ref="A33:A56" si="5">YEAR(C33)</f>
        <v>2023</v>
      </c>
      <c r="B33" s="339">
        <f t="shared" si="1"/>
        <v>1</v>
      </c>
      <c r="C33" s="85">
        <v>44927</v>
      </c>
      <c r="D33" s="114">
        <f>COUNTIFS('3_BD instruction total'!A:A,'2_donnees EIE et dossiers'!A33,'3_BD instruction total'!B:B,'2_donnees EIE et dossiers'!B33,'3_BD instruction total'!C:C,"non")</f>
        <v>0</v>
      </c>
      <c r="E33" s="113">
        <f t="shared" ref="E33:E56" si="6">D33+E32</f>
        <v>425</v>
      </c>
    </row>
    <row r="34" spans="1:5" s="2" customFormat="1">
      <c r="A34" s="339">
        <f t="shared" si="5"/>
        <v>2023</v>
      </c>
      <c r="B34" s="339">
        <f t="shared" si="1"/>
        <v>2</v>
      </c>
      <c r="C34" s="85">
        <v>44958</v>
      </c>
      <c r="D34" s="114">
        <f>COUNTIFS('3_BD instruction total'!A:A,'2_donnees EIE et dossiers'!A34,'3_BD instruction total'!B:B,'2_donnees EIE et dossiers'!B34,'3_BD instruction total'!C:C,"non")</f>
        <v>0</v>
      </c>
      <c r="E34" s="113">
        <f t="shared" si="6"/>
        <v>425</v>
      </c>
    </row>
    <row r="35" spans="1:5" s="2" customFormat="1">
      <c r="A35" s="339">
        <f t="shared" si="5"/>
        <v>2023</v>
      </c>
      <c r="B35" s="339">
        <f t="shared" si="1"/>
        <v>3</v>
      </c>
      <c r="C35" s="85">
        <v>44986</v>
      </c>
      <c r="D35" s="114">
        <f>COUNTIFS('3_BD instruction total'!A:A,'2_donnees EIE et dossiers'!A35,'3_BD instruction total'!B:B,'2_donnees EIE et dossiers'!B35,'3_BD instruction total'!C:C,"non")</f>
        <v>0</v>
      </c>
      <c r="E35" s="113">
        <f t="shared" si="6"/>
        <v>425</v>
      </c>
    </row>
    <row r="36" spans="1:5" s="2" customFormat="1">
      <c r="A36" s="339">
        <f t="shared" si="5"/>
        <v>2023</v>
      </c>
      <c r="B36" s="339">
        <f t="shared" si="1"/>
        <v>4</v>
      </c>
      <c r="C36" s="85">
        <v>45017</v>
      </c>
      <c r="D36" s="114">
        <f>COUNTIFS('3_BD instruction total'!A:A,'2_donnees EIE et dossiers'!A36,'3_BD instruction total'!B:B,'2_donnees EIE et dossiers'!B36,'3_BD instruction total'!C:C,"non")</f>
        <v>0</v>
      </c>
      <c r="E36" s="113">
        <f t="shared" si="6"/>
        <v>425</v>
      </c>
    </row>
    <row r="37" spans="1:5" s="2" customFormat="1">
      <c r="A37" s="339">
        <f t="shared" si="5"/>
        <v>2023</v>
      </c>
      <c r="B37" s="339">
        <f t="shared" si="1"/>
        <v>5</v>
      </c>
      <c r="C37" s="85">
        <v>45047</v>
      </c>
      <c r="D37" s="114">
        <f>COUNTIFS('3_BD instruction total'!A:A,'2_donnees EIE et dossiers'!A37,'3_BD instruction total'!B:B,'2_donnees EIE et dossiers'!B37,'3_BD instruction total'!C:C,"non")</f>
        <v>0</v>
      </c>
      <c r="E37" s="113">
        <f t="shared" si="6"/>
        <v>425</v>
      </c>
    </row>
    <row r="38" spans="1:5">
      <c r="A38" s="339">
        <f t="shared" si="5"/>
        <v>2023</v>
      </c>
      <c r="B38" s="339">
        <f t="shared" si="1"/>
        <v>6</v>
      </c>
      <c r="C38" s="85">
        <v>45078</v>
      </c>
      <c r="D38" s="114">
        <f>COUNTIFS('3_BD instruction total'!A:A,'2_donnees EIE et dossiers'!A38,'3_BD instruction total'!B:B,'2_donnees EIE et dossiers'!B38,'3_BD instruction total'!C:C,"non")</f>
        <v>0</v>
      </c>
      <c r="E38" s="113">
        <f t="shared" si="6"/>
        <v>425</v>
      </c>
    </row>
    <row r="39" spans="1:5" ht="15" customHeight="1">
      <c r="A39" s="339">
        <f t="shared" si="5"/>
        <v>2023</v>
      </c>
      <c r="B39" s="339">
        <f t="shared" si="1"/>
        <v>7</v>
      </c>
      <c r="C39" s="85">
        <v>45108</v>
      </c>
      <c r="D39" s="114">
        <f>COUNTIFS('3_BD instruction total'!A:A,'2_donnees EIE et dossiers'!A39,'3_BD instruction total'!B:B,'2_donnees EIE et dossiers'!B39,'3_BD instruction total'!C:C,"non")</f>
        <v>0</v>
      </c>
      <c r="E39" s="113">
        <f t="shared" si="6"/>
        <v>425</v>
      </c>
    </row>
    <row r="40" spans="1:5" s="2" customFormat="1">
      <c r="A40" s="339">
        <f t="shared" si="5"/>
        <v>2023</v>
      </c>
      <c r="B40" s="339">
        <f t="shared" si="1"/>
        <v>8</v>
      </c>
      <c r="C40" s="85">
        <v>45139</v>
      </c>
      <c r="D40" s="114">
        <f>COUNTIFS('3_BD instruction total'!A:A,'2_donnees EIE et dossiers'!A40,'3_BD instruction total'!B:B,'2_donnees EIE et dossiers'!B40,'3_BD instruction total'!C:C,"non")</f>
        <v>0</v>
      </c>
      <c r="E40" s="113">
        <f t="shared" si="6"/>
        <v>425</v>
      </c>
    </row>
    <row r="41" spans="1:5" s="2" customFormat="1">
      <c r="A41" s="339">
        <f t="shared" si="5"/>
        <v>2023</v>
      </c>
      <c r="B41" s="339">
        <f t="shared" si="1"/>
        <v>9</v>
      </c>
      <c r="C41" s="85">
        <v>45170</v>
      </c>
      <c r="D41" s="114">
        <f>COUNTIFS('3_BD instruction total'!A:A,'2_donnees EIE et dossiers'!A41,'3_BD instruction total'!B:B,'2_donnees EIE et dossiers'!B41,'3_BD instruction total'!C:C,"non")</f>
        <v>0</v>
      </c>
      <c r="E41" s="113">
        <f t="shared" si="6"/>
        <v>425</v>
      </c>
    </row>
    <row r="42" spans="1:5" s="216" customFormat="1">
      <c r="A42" s="339">
        <f t="shared" si="5"/>
        <v>2023</v>
      </c>
      <c r="B42" s="339">
        <f t="shared" si="1"/>
        <v>10</v>
      </c>
      <c r="C42" s="85">
        <v>45200</v>
      </c>
      <c r="D42" s="114">
        <f>COUNTIFS('3_BD instruction total'!A:A,'2_donnees EIE et dossiers'!A42,'3_BD instruction total'!B:B,'2_donnees EIE et dossiers'!B42,'3_BD instruction total'!C:C,"non")</f>
        <v>0</v>
      </c>
      <c r="E42" s="113">
        <f t="shared" si="6"/>
        <v>425</v>
      </c>
    </row>
    <row r="43" spans="1:5" s="216" customFormat="1">
      <c r="A43" s="339">
        <f t="shared" si="5"/>
        <v>2023</v>
      </c>
      <c r="B43" s="339">
        <f t="shared" si="1"/>
        <v>11</v>
      </c>
      <c r="C43" s="85">
        <v>45231</v>
      </c>
      <c r="D43" s="114">
        <f>COUNTIFS('3_BD instruction total'!A:A,'2_donnees EIE et dossiers'!A43,'3_BD instruction total'!B:B,'2_donnees EIE et dossiers'!B43,'3_BD instruction total'!C:C,"non")</f>
        <v>0</v>
      </c>
      <c r="E43" s="113">
        <f t="shared" si="6"/>
        <v>425</v>
      </c>
    </row>
    <row r="44" spans="1:5" s="216" customFormat="1">
      <c r="A44" s="339">
        <f t="shared" si="5"/>
        <v>2023</v>
      </c>
      <c r="B44" s="339">
        <f t="shared" si="1"/>
        <v>12</v>
      </c>
      <c r="C44" s="85">
        <v>45261</v>
      </c>
      <c r="D44" s="114">
        <f>COUNTIFS('3_BD instruction total'!A:A,'2_donnees EIE et dossiers'!A44,'3_BD instruction total'!B:B,'2_donnees EIE et dossiers'!B44,'3_BD instruction total'!C:C,"non")</f>
        <v>0</v>
      </c>
      <c r="E44" s="113">
        <f t="shared" si="6"/>
        <v>425</v>
      </c>
    </row>
    <row r="45" spans="1:5">
      <c r="A45" s="339">
        <f t="shared" si="5"/>
        <v>2024</v>
      </c>
      <c r="B45" s="339">
        <f t="shared" si="1"/>
        <v>1</v>
      </c>
      <c r="C45" s="85">
        <v>45292</v>
      </c>
      <c r="D45" s="114">
        <f>COUNTIFS('3_BD instruction total'!A:A,'2_donnees EIE et dossiers'!A45,'3_BD instruction total'!B:B,'2_donnees EIE et dossiers'!B45,'3_BD instruction total'!C:C,"non")</f>
        <v>0</v>
      </c>
      <c r="E45" s="113">
        <f t="shared" si="6"/>
        <v>425</v>
      </c>
    </row>
    <row r="46" spans="1:5">
      <c r="A46" s="339">
        <f t="shared" si="5"/>
        <v>2024</v>
      </c>
      <c r="B46" s="339">
        <f t="shared" si="1"/>
        <v>2</v>
      </c>
      <c r="C46" s="85">
        <v>45323</v>
      </c>
      <c r="D46" s="114">
        <f>COUNTIFS('3_BD instruction total'!A:A,'2_donnees EIE et dossiers'!A46,'3_BD instruction total'!B:B,'2_donnees EIE et dossiers'!B46,'3_BD instruction total'!C:C,"non")</f>
        <v>0</v>
      </c>
      <c r="E46" s="113">
        <f t="shared" si="6"/>
        <v>425</v>
      </c>
    </row>
    <row r="47" spans="1:5">
      <c r="A47" s="339">
        <f t="shared" si="5"/>
        <v>2024</v>
      </c>
      <c r="B47" s="339">
        <f t="shared" si="1"/>
        <v>3</v>
      </c>
      <c r="C47" s="85">
        <v>45352</v>
      </c>
      <c r="D47" s="114">
        <f>COUNTIFS('3_BD instruction total'!A:A,'2_donnees EIE et dossiers'!A47,'3_BD instruction total'!B:B,'2_donnees EIE et dossiers'!B47,'3_BD instruction total'!C:C,"non")</f>
        <v>0</v>
      </c>
      <c r="E47" s="113">
        <f t="shared" si="6"/>
        <v>425</v>
      </c>
    </row>
    <row r="48" spans="1:5">
      <c r="A48" s="339">
        <f t="shared" si="5"/>
        <v>2024</v>
      </c>
      <c r="B48" s="339">
        <f t="shared" si="1"/>
        <v>4</v>
      </c>
      <c r="C48" s="85">
        <v>45383</v>
      </c>
      <c r="D48" s="114">
        <f>COUNTIFS('3_BD instruction total'!A:A,'2_donnees EIE et dossiers'!A48,'3_BD instruction total'!B:B,'2_donnees EIE et dossiers'!B48,'3_BD instruction total'!C:C,"non")</f>
        <v>0</v>
      </c>
      <c r="E48" s="113">
        <f t="shared" si="6"/>
        <v>425</v>
      </c>
    </row>
    <row r="49" spans="1:5">
      <c r="A49" s="339">
        <f t="shared" si="5"/>
        <v>2024</v>
      </c>
      <c r="B49" s="339">
        <f t="shared" si="1"/>
        <v>5</v>
      </c>
      <c r="C49" s="85">
        <v>45413</v>
      </c>
      <c r="D49" s="114">
        <f>COUNTIFS('3_BD instruction total'!A:A,'2_donnees EIE et dossiers'!A49,'3_BD instruction total'!B:B,'2_donnees EIE et dossiers'!B49,'3_BD instruction total'!C:C,"non")</f>
        <v>0</v>
      </c>
      <c r="E49" s="113">
        <f t="shared" si="6"/>
        <v>425</v>
      </c>
    </row>
    <row r="50" spans="1:5">
      <c r="A50" s="339">
        <f t="shared" si="5"/>
        <v>2024</v>
      </c>
      <c r="B50" s="339">
        <f t="shared" si="1"/>
        <v>6</v>
      </c>
      <c r="C50" s="85">
        <v>45444</v>
      </c>
      <c r="D50" s="114">
        <f>COUNTIFS('3_BD instruction total'!A:A,'2_donnees EIE et dossiers'!A50,'3_BD instruction total'!B:B,'2_donnees EIE et dossiers'!B50,'3_BD instruction total'!C:C,"non")</f>
        <v>0</v>
      </c>
      <c r="E50" s="113">
        <f t="shared" si="6"/>
        <v>425</v>
      </c>
    </row>
    <row r="51" spans="1:5">
      <c r="A51" s="339">
        <f t="shared" si="5"/>
        <v>2024</v>
      </c>
      <c r="B51" s="339">
        <f t="shared" si="1"/>
        <v>7</v>
      </c>
      <c r="C51" s="85">
        <v>45474</v>
      </c>
      <c r="D51" s="114">
        <f>COUNTIFS('3_BD instruction total'!A:A,'2_donnees EIE et dossiers'!A51,'3_BD instruction total'!B:B,'2_donnees EIE et dossiers'!B51,'3_BD instruction total'!C:C,"non")</f>
        <v>0</v>
      </c>
      <c r="E51" s="113">
        <f t="shared" si="6"/>
        <v>425</v>
      </c>
    </row>
    <row r="52" spans="1:5">
      <c r="A52" s="339">
        <f t="shared" si="5"/>
        <v>2024</v>
      </c>
      <c r="B52" s="339">
        <f t="shared" si="1"/>
        <v>8</v>
      </c>
      <c r="C52" s="85">
        <v>45505</v>
      </c>
      <c r="D52" s="114">
        <f>COUNTIFS('3_BD instruction total'!A:A,'2_donnees EIE et dossiers'!A52,'3_BD instruction total'!B:B,'2_donnees EIE et dossiers'!B52,'3_BD instruction total'!C:C,"non")</f>
        <v>0</v>
      </c>
      <c r="E52" s="113">
        <f t="shared" si="6"/>
        <v>425</v>
      </c>
    </row>
    <row r="53" spans="1:5">
      <c r="A53" s="339">
        <f t="shared" si="5"/>
        <v>2024</v>
      </c>
      <c r="B53" s="339">
        <f t="shared" si="1"/>
        <v>9</v>
      </c>
      <c r="C53" s="85">
        <v>45536</v>
      </c>
      <c r="D53" s="114">
        <f>COUNTIFS('3_BD instruction total'!A:A,'2_donnees EIE et dossiers'!A53,'3_BD instruction total'!B:B,'2_donnees EIE et dossiers'!B53,'3_BD instruction total'!C:C,"non")</f>
        <v>0</v>
      </c>
      <c r="E53" s="113">
        <f t="shared" si="6"/>
        <v>425</v>
      </c>
    </row>
    <row r="54" spans="1:5">
      <c r="A54" s="339">
        <f t="shared" si="5"/>
        <v>2024</v>
      </c>
      <c r="B54" s="339">
        <f t="shared" si="1"/>
        <v>10</v>
      </c>
      <c r="C54" s="85">
        <v>45566</v>
      </c>
      <c r="D54" s="114">
        <f>COUNTIFS('3_BD instruction total'!A:A,'2_donnees EIE et dossiers'!A54,'3_BD instruction total'!B:B,'2_donnees EIE et dossiers'!B54,'3_BD instruction total'!C:C,"non")</f>
        <v>0</v>
      </c>
      <c r="E54" s="113">
        <f t="shared" si="6"/>
        <v>425</v>
      </c>
    </row>
    <row r="55" spans="1:5">
      <c r="A55" s="339">
        <f t="shared" si="5"/>
        <v>2024</v>
      </c>
      <c r="B55" s="339">
        <f t="shared" si="1"/>
        <v>11</v>
      </c>
      <c r="C55" s="85">
        <v>45597</v>
      </c>
      <c r="D55" s="114">
        <f>COUNTIFS('3_BD instruction total'!A:A,'2_donnees EIE et dossiers'!A55,'3_BD instruction total'!B:B,'2_donnees EIE et dossiers'!B55,'3_BD instruction total'!C:C,"non")</f>
        <v>0</v>
      </c>
      <c r="E55" s="113">
        <f t="shared" si="6"/>
        <v>425</v>
      </c>
    </row>
    <row r="56" spans="1:5">
      <c r="A56" s="339">
        <f t="shared" si="5"/>
        <v>2024</v>
      </c>
      <c r="B56" s="339">
        <f t="shared" si="1"/>
        <v>12</v>
      </c>
      <c r="C56" s="85">
        <v>45627</v>
      </c>
      <c r="D56" s="114">
        <f>COUNTIFS('3_BD instruction total'!A:A,'2_donnees EIE et dossiers'!A56,'3_BD instruction total'!B:B,'2_donnees EIE et dossiers'!B56,'3_BD instruction total'!C:C,"non")</f>
        <v>0</v>
      </c>
      <c r="E56" s="113">
        <f t="shared" si="6"/>
        <v>425</v>
      </c>
    </row>
  </sheetData>
  <mergeCells count="1">
    <mergeCell ref="I2:J2"/>
  </mergeCells>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C000"/>
  </sheetPr>
  <dimension ref="A1:BY582"/>
  <sheetViews>
    <sheetView tabSelected="1" topLeftCell="Z1" workbookViewId="0">
      <selection activeCell="AB12" sqref="AB12"/>
    </sheetView>
  </sheetViews>
  <sheetFormatPr baseColWidth="10" defaultColWidth="11.453125" defaultRowHeight="14.5"/>
  <cols>
    <col min="1" max="1" width="7.7265625" style="63" customWidth="1"/>
    <col min="2" max="2" width="11.1796875" style="63" customWidth="1"/>
    <col min="3" max="3" width="7.7265625" style="63" customWidth="1"/>
    <col min="4" max="4" width="8.7265625" style="63" customWidth="1"/>
    <col min="5" max="5" width="11.453125" style="2"/>
    <col min="6" max="41" width="11.453125" style="2" customWidth="1"/>
    <col min="42" max="42" width="60" style="2" customWidth="1"/>
    <col min="43" max="43" width="11.453125" style="2" customWidth="1"/>
    <col min="44" max="44" width="24.453125" style="63" customWidth="1"/>
    <col min="45" max="46" width="11.453125" style="2" customWidth="1"/>
    <col min="47" max="47" width="11.453125" style="107" customWidth="1"/>
    <col min="48" max="58" width="11.453125" style="2" customWidth="1"/>
    <col min="59" max="59" width="11.453125" style="1" customWidth="1"/>
    <col min="60" max="68" width="11.453125" style="2" customWidth="1"/>
    <col min="69" max="69" width="11.453125" style="112" customWidth="1"/>
    <col min="70" max="75" width="11.453125" style="2" customWidth="1"/>
    <col min="76" max="76" width="18.453125" style="330" customWidth="1"/>
    <col min="77" max="16384" width="11.453125" style="2"/>
  </cols>
  <sheetData>
    <row r="1" spans="1:77" s="32" customFormat="1" ht="57" customHeight="1">
      <c r="A1" s="63" t="s">
        <v>383</v>
      </c>
      <c r="B1" s="63" t="s">
        <v>4112</v>
      </c>
      <c r="C1" s="167" t="s">
        <v>4105</v>
      </c>
      <c r="D1" s="63" t="s">
        <v>619</v>
      </c>
      <c r="E1" s="302" t="s">
        <v>4046</v>
      </c>
      <c r="F1" s="302" t="s">
        <v>4047</v>
      </c>
      <c r="G1" s="303" t="s">
        <v>4048</v>
      </c>
      <c r="H1" s="304" t="s">
        <v>4049</v>
      </c>
      <c r="I1" s="304" t="s">
        <v>4049</v>
      </c>
      <c r="J1" s="305" t="s">
        <v>4050</v>
      </c>
      <c r="K1" s="304" t="s">
        <v>4051</v>
      </c>
      <c r="L1" s="305" t="s">
        <v>4052</v>
      </c>
      <c r="M1" s="305" t="s">
        <v>4053</v>
      </c>
      <c r="N1" s="306" t="s">
        <v>4054</v>
      </c>
      <c r="O1" s="325" t="s">
        <v>176</v>
      </c>
      <c r="P1" s="304" t="s">
        <v>4055</v>
      </c>
      <c r="Q1" s="304" t="s">
        <v>4056</v>
      </c>
      <c r="R1" s="304" t="s">
        <v>4057</v>
      </c>
      <c r="S1" s="304" t="s">
        <v>4058</v>
      </c>
      <c r="T1" s="304" t="s">
        <v>4059</v>
      </c>
      <c r="U1" s="307" t="s">
        <v>4060</v>
      </c>
      <c r="V1" s="326" t="s">
        <v>176</v>
      </c>
      <c r="W1" s="304" t="s">
        <v>4061</v>
      </c>
      <c r="X1" s="308" t="s">
        <v>4062</v>
      </c>
      <c r="Y1" s="309" t="s">
        <v>177</v>
      </c>
      <c r="Z1" s="309" t="s">
        <v>178</v>
      </c>
      <c r="AA1" s="309" t="s">
        <v>4063</v>
      </c>
      <c r="AB1" s="310" t="s">
        <v>856</v>
      </c>
      <c r="AC1" s="309" t="s">
        <v>4064</v>
      </c>
      <c r="AD1" s="309" t="s">
        <v>4065</v>
      </c>
      <c r="AE1" s="309" t="s">
        <v>4066</v>
      </c>
      <c r="AF1" s="309" t="s">
        <v>4067</v>
      </c>
      <c r="AG1" s="311" t="s">
        <v>4068</v>
      </c>
      <c r="AH1" s="309" t="s">
        <v>4069</v>
      </c>
      <c r="AI1" s="309" t="s">
        <v>4070</v>
      </c>
      <c r="AJ1" s="309" t="s">
        <v>4096</v>
      </c>
      <c r="AK1" s="309" t="s">
        <v>4097</v>
      </c>
      <c r="AL1" s="309" t="s">
        <v>4071</v>
      </c>
      <c r="AM1" s="309" t="s">
        <v>4072</v>
      </c>
      <c r="AN1" s="309" t="s">
        <v>4073</v>
      </c>
      <c r="AO1" s="309" t="s">
        <v>4074</v>
      </c>
      <c r="AP1" s="312" t="s">
        <v>4075</v>
      </c>
      <c r="AQ1" s="312" t="s">
        <v>4076</v>
      </c>
      <c r="AR1" s="312" t="s">
        <v>4077</v>
      </c>
      <c r="AS1" s="312" t="s">
        <v>4078</v>
      </c>
      <c r="AT1" s="313" t="s">
        <v>4079</v>
      </c>
      <c r="AU1" s="312" t="s">
        <v>4080</v>
      </c>
      <c r="AV1" s="312" t="s">
        <v>4081</v>
      </c>
      <c r="AW1" s="314" t="s">
        <v>4082</v>
      </c>
      <c r="AX1" s="315" t="s">
        <v>4083</v>
      </c>
      <c r="AY1" s="316" t="s">
        <v>4084</v>
      </c>
      <c r="AZ1" s="315" t="s">
        <v>179</v>
      </c>
      <c r="BA1" s="315" t="s">
        <v>180</v>
      </c>
      <c r="BB1" s="315" t="s">
        <v>4085</v>
      </c>
      <c r="BC1" s="317" t="s">
        <v>181</v>
      </c>
      <c r="BD1" s="318" t="s">
        <v>182</v>
      </c>
      <c r="BE1" s="318" t="s">
        <v>183</v>
      </c>
      <c r="BF1" s="318" t="s">
        <v>184</v>
      </c>
      <c r="BG1" s="318" t="s">
        <v>185</v>
      </c>
      <c r="BH1" s="318" t="s">
        <v>4086</v>
      </c>
      <c r="BI1" s="327" t="s">
        <v>4098</v>
      </c>
      <c r="BJ1" s="319" t="s">
        <v>4087</v>
      </c>
      <c r="BK1" s="328" t="s">
        <v>176</v>
      </c>
      <c r="BL1" s="328" t="s">
        <v>4099</v>
      </c>
      <c r="BM1" s="328" t="s">
        <v>176</v>
      </c>
      <c r="BN1" s="319" t="s">
        <v>4088</v>
      </c>
      <c r="BO1" s="319" t="s">
        <v>4089</v>
      </c>
      <c r="BP1" s="319" t="s">
        <v>4090</v>
      </c>
      <c r="BQ1" s="319" t="s">
        <v>4091</v>
      </c>
      <c r="BR1" s="319" t="s">
        <v>4091</v>
      </c>
      <c r="BS1" s="320" t="s">
        <v>186</v>
      </c>
      <c r="BT1" s="321" t="s">
        <v>4092</v>
      </c>
      <c r="BU1" s="322" t="s">
        <v>4093</v>
      </c>
      <c r="BV1" s="323" t="s">
        <v>4094</v>
      </c>
      <c r="BW1" s="324" t="s">
        <v>967</v>
      </c>
      <c r="BX1" s="329" t="s">
        <v>4101</v>
      </c>
      <c r="BY1" s="324" t="s">
        <v>4095</v>
      </c>
    </row>
    <row r="2" spans="1:77" ht="13.5" customHeight="1">
      <c r="A2" s="64" t="e">
        <f>YEAR(L2)</f>
        <v>#VALUE!</v>
      </c>
      <c r="B2" s="64" t="e">
        <f>MONTH(L2)</f>
        <v>#VALUE!</v>
      </c>
      <c r="C2" s="125" t="s">
        <v>4125</v>
      </c>
      <c r="D2" s="168" t="str">
        <f>BX2</f>
        <v>NC</v>
      </c>
      <c r="E2" s="291" t="s">
        <v>670</v>
      </c>
      <c r="F2" s="291" t="s">
        <v>1224</v>
      </c>
      <c r="G2" s="221" t="s">
        <v>176</v>
      </c>
      <c r="H2" s="222">
        <v>43837</v>
      </c>
      <c r="I2" s="222">
        <v>43837</v>
      </c>
      <c r="J2" s="223">
        <v>43839</v>
      </c>
      <c r="K2" s="222" t="s">
        <v>1868</v>
      </c>
      <c r="L2" s="223" t="s">
        <v>176</v>
      </c>
      <c r="M2" s="223" t="s">
        <v>176</v>
      </c>
      <c r="N2" s="223" t="s">
        <v>176</v>
      </c>
      <c r="O2" s="222"/>
      <c r="P2" s="222" t="s">
        <v>176</v>
      </c>
      <c r="Q2" s="222" t="s">
        <v>176</v>
      </c>
      <c r="R2" s="222" t="s">
        <v>176</v>
      </c>
      <c r="S2" s="222" t="s">
        <v>176</v>
      </c>
      <c r="T2" s="222" t="s">
        <v>176</v>
      </c>
      <c r="U2" s="222" t="s">
        <v>176</v>
      </c>
      <c r="V2" s="224"/>
      <c r="W2" s="222">
        <v>44165</v>
      </c>
      <c r="X2" s="225" t="s">
        <v>1869</v>
      </c>
      <c r="Y2" s="225"/>
      <c r="Z2" s="225"/>
      <c r="AA2" s="225">
        <v>2</v>
      </c>
      <c r="AB2" s="225">
        <v>40801</v>
      </c>
      <c r="AC2" s="225">
        <v>72</v>
      </c>
      <c r="AD2" s="225" t="s">
        <v>1870</v>
      </c>
      <c r="AE2" s="225">
        <v>38620</v>
      </c>
      <c r="AF2" s="225" t="s">
        <v>1871</v>
      </c>
      <c r="AG2" s="226" t="s">
        <v>1872</v>
      </c>
      <c r="AH2" s="246" t="s">
        <v>1873</v>
      </c>
      <c r="AI2" s="225" t="s">
        <v>1168</v>
      </c>
      <c r="AJ2" s="225"/>
      <c r="AK2" s="225"/>
      <c r="AL2" s="225" t="s">
        <v>176</v>
      </c>
      <c r="AM2" s="225" t="s">
        <v>176</v>
      </c>
      <c r="AN2" s="225" t="s">
        <v>176</v>
      </c>
      <c r="AO2" s="225" t="s">
        <v>176</v>
      </c>
      <c r="AP2" s="225" t="s">
        <v>1874</v>
      </c>
      <c r="AQ2" s="225" t="s">
        <v>1875</v>
      </c>
      <c r="AR2" s="225" t="s">
        <v>1876</v>
      </c>
      <c r="AS2" s="246" t="s">
        <v>1877</v>
      </c>
      <c r="AT2" s="226" t="s">
        <v>434</v>
      </c>
      <c r="AU2" s="225" t="s">
        <v>176</v>
      </c>
      <c r="AV2" s="241" t="s">
        <v>1878</v>
      </c>
      <c r="AW2" s="223">
        <v>44152</v>
      </c>
      <c r="AX2" s="225" t="s">
        <v>1879</v>
      </c>
      <c r="AY2" s="225">
        <v>2001</v>
      </c>
      <c r="AZ2" s="225" t="s">
        <v>1880</v>
      </c>
      <c r="BA2" s="225" t="s">
        <v>267</v>
      </c>
      <c r="BB2" s="225" t="s">
        <v>190</v>
      </c>
      <c r="BC2" s="225" t="s">
        <v>1881</v>
      </c>
      <c r="BD2" s="225">
        <v>11</v>
      </c>
      <c r="BE2" s="225">
        <v>12</v>
      </c>
      <c r="BF2" s="225">
        <v>88.5</v>
      </c>
      <c r="BG2" s="225">
        <v>0.01</v>
      </c>
      <c r="BH2" s="225" t="s">
        <v>1882</v>
      </c>
      <c r="BI2" s="225"/>
      <c r="BJ2" s="225">
        <v>6334.64</v>
      </c>
      <c r="BK2" s="225">
        <v>590</v>
      </c>
      <c r="BL2" s="225">
        <v>6924.64</v>
      </c>
      <c r="BM2" s="230">
        <v>380.85520000000002</v>
      </c>
      <c r="BN2" s="230">
        <v>590</v>
      </c>
      <c r="BO2" s="225">
        <f t="shared" ref="BO2:BO65" si="0">BJ2+BN2</f>
        <v>6924.64</v>
      </c>
      <c r="BP2" s="230">
        <f t="shared" ref="BP2:BP65" si="1">BO2*0.055</f>
        <v>380.85520000000002</v>
      </c>
      <c r="BQ2" s="230">
        <f t="shared" ref="BQ2:BQ65" si="2">BO2+BP2</f>
        <v>7305.4952000000003</v>
      </c>
      <c r="BR2" s="230"/>
      <c r="BS2" s="225" t="s">
        <v>188</v>
      </c>
      <c r="BT2" s="225"/>
      <c r="BU2" s="225"/>
      <c r="BV2" s="301">
        <v>0</v>
      </c>
      <c r="BW2" s="301" t="s">
        <v>214</v>
      </c>
      <c r="BX2" s="301" t="s">
        <v>214</v>
      </c>
      <c r="BY2" s="301" t="s">
        <v>176</v>
      </c>
    </row>
    <row r="3" spans="1:77" ht="13.5" customHeight="1">
      <c r="A3" s="64">
        <f t="shared" ref="A3:A66" si="3">YEAR(L3)</f>
        <v>2020</v>
      </c>
      <c r="B3" s="64">
        <f t="shared" ref="B3:B66" si="4">MONTH(L3)</f>
        <v>12</v>
      </c>
      <c r="C3" s="125" t="s">
        <v>214</v>
      </c>
      <c r="D3" s="168" t="str">
        <f t="shared" ref="D3:D66" si="5">BX3</f>
        <v>NC</v>
      </c>
      <c r="E3" s="291" t="s">
        <v>670</v>
      </c>
      <c r="F3" s="291" t="s">
        <v>1225</v>
      </c>
      <c r="G3" s="221" t="s">
        <v>176</v>
      </c>
      <c r="H3" s="222">
        <v>43844</v>
      </c>
      <c r="I3" s="222">
        <v>43844</v>
      </c>
      <c r="J3" s="223">
        <v>43847</v>
      </c>
      <c r="K3" s="222" t="s">
        <v>1883</v>
      </c>
      <c r="L3" s="223">
        <v>44169</v>
      </c>
      <c r="M3" s="223">
        <v>44169</v>
      </c>
      <c r="N3" s="223">
        <v>44176</v>
      </c>
      <c r="O3" s="222"/>
      <c r="P3" s="222">
        <v>44245</v>
      </c>
      <c r="Q3" s="222">
        <v>44195</v>
      </c>
      <c r="R3" s="222" t="s">
        <v>176</v>
      </c>
      <c r="S3" s="222">
        <v>44246</v>
      </c>
      <c r="T3" s="222">
        <v>44246</v>
      </c>
      <c r="U3" s="222">
        <v>44309</v>
      </c>
      <c r="V3" s="224"/>
      <c r="W3" s="222">
        <v>44293</v>
      </c>
      <c r="X3" s="225" t="s">
        <v>1884</v>
      </c>
      <c r="Y3" s="225"/>
      <c r="Z3" s="225"/>
      <c r="AA3" s="225">
        <v>1</v>
      </c>
      <c r="AB3" s="225">
        <v>19533</v>
      </c>
      <c r="AC3" s="225">
        <v>16</v>
      </c>
      <c r="AD3" s="225" t="s">
        <v>1885</v>
      </c>
      <c r="AE3" s="225">
        <v>38500</v>
      </c>
      <c r="AF3" s="225" t="s">
        <v>225</v>
      </c>
      <c r="AG3" s="226" t="s">
        <v>1886</v>
      </c>
      <c r="AH3" s="295" t="s">
        <v>1887</v>
      </c>
      <c r="AI3" s="225" t="s">
        <v>1168</v>
      </c>
      <c r="AJ3" s="225"/>
      <c r="AK3" s="225"/>
      <c r="AL3" s="225" t="s">
        <v>176</v>
      </c>
      <c r="AM3" s="225" t="s">
        <v>176</v>
      </c>
      <c r="AN3" s="225" t="s">
        <v>176</v>
      </c>
      <c r="AO3" s="225" t="s">
        <v>176</v>
      </c>
      <c r="AP3" s="225" t="s">
        <v>1888</v>
      </c>
      <c r="AQ3" s="225" t="s">
        <v>225</v>
      </c>
      <c r="AR3" s="225" t="s">
        <v>1889</v>
      </c>
      <c r="AS3" s="295" t="s">
        <v>269</v>
      </c>
      <c r="AT3" s="226" t="s">
        <v>600</v>
      </c>
      <c r="AU3" s="225" t="s">
        <v>176</v>
      </c>
      <c r="AV3" s="251" t="s">
        <v>188</v>
      </c>
      <c r="AW3" s="223">
        <v>44138</v>
      </c>
      <c r="AX3" s="225" t="s">
        <v>1880</v>
      </c>
      <c r="AY3" s="225">
        <v>1999</v>
      </c>
      <c r="AZ3" s="225" t="s">
        <v>1880</v>
      </c>
      <c r="BA3" s="225" t="s">
        <v>267</v>
      </c>
      <c r="BB3" s="225" t="s">
        <v>221</v>
      </c>
      <c r="BC3" s="225" t="s">
        <v>1890</v>
      </c>
      <c r="BD3" s="225">
        <v>17</v>
      </c>
      <c r="BE3" s="225">
        <v>8.1</v>
      </c>
      <c r="BF3" s="225">
        <v>90.9</v>
      </c>
      <c r="BG3" s="225">
        <v>2E-3</v>
      </c>
      <c r="BH3" s="225" t="s">
        <v>1882</v>
      </c>
      <c r="BI3" s="225"/>
      <c r="BJ3" s="225">
        <v>3591.47</v>
      </c>
      <c r="BK3" s="225"/>
      <c r="BL3" s="225"/>
      <c r="BM3" s="225"/>
      <c r="BN3" s="225">
        <v>420</v>
      </c>
      <c r="BO3" s="225">
        <f t="shared" si="0"/>
        <v>4011.47</v>
      </c>
      <c r="BP3" s="230">
        <f t="shared" si="1"/>
        <v>220.63084999999998</v>
      </c>
      <c r="BQ3" s="230">
        <f t="shared" si="2"/>
        <v>4232.1008499999998</v>
      </c>
      <c r="BR3" s="230"/>
      <c r="BS3" s="225" t="s">
        <v>191</v>
      </c>
      <c r="BT3" s="225"/>
      <c r="BU3" s="225"/>
      <c r="BV3" s="225">
        <v>0</v>
      </c>
      <c r="BW3" s="301" t="s">
        <v>214</v>
      </c>
      <c r="BX3" s="301" t="s">
        <v>214</v>
      </c>
      <c r="BY3" s="225" t="s">
        <v>176</v>
      </c>
    </row>
    <row r="4" spans="1:77" ht="13.5" customHeight="1">
      <c r="A4" s="64">
        <f t="shared" si="3"/>
        <v>2020</v>
      </c>
      <c r="B4" s="64">
        <f t="shared" si="4"/>
        <v>7</v>
      </c>
      <c r="C4" s="125" t="s">
        <v>214</v>
      </c>
      <c r="D4" s="168" t="str">
        <f t="shared" si="5"/>
        <v>NC</v>
      </c>
      <c r="E4" s="291" t="s">
        <v>670</v>
      </c>
      <c r="F4" s="291" t="s">
        <v>1226</v>
      </c>
      <c r="G4" s="221" t="s">
        <v>176</v>
      </c>
      <c r="H4" s="222">
        <v>44000</v>
      </c>
      <c r="I4" s="222">
        <v>44001</v>
      </c>
      <c r="J4" s="223">
        <v>44005</v>
      </c>
      <c r="K4" s="222" t="s">
        <v>1891</v>
      </c>
      <c r="L4" s="223">
        <v>44014</v>
      </c>
      <c r="M4" s="223">
        <v>44014</v>
      </c>
      <c r="N4" s="223">
        <v>44018</v>
      </c>
      <c r="O4" s="222"/>
      <c r="P4" s="222">
        <v>44034</v>
      </c>
      <c r="Q4" s="222">
        <v>44019</v>
      </c>
      <c r="R4" s="222" t="s">
        <v>176</v>
      </c>
      <c r="S4" s="222">
        <v>44077</v>
      </c>
      <c r="T4" s="222">
        <v>44077</v>
      </c>
      <c r="U4" s="222">
        <v>44078</v>
      </c>
      <c r="V4" s="224"/>
      <c r="W4" s="222">
        <v>44293</v>
      </c>
      <c r="X4" s="225" t="s">
        <v>1884</v>
      </c>
      <c r="Y4" s="225"/>
      <c r="Z4" s="225"/>
      <c r="AA4" s="225">
        <v>2</v>
      </c>
      <c r="AB4" s="225">
        <v>41987</v>
      </c>
      <c r="AC4" s="225">
        <v>10</v>
      </c>
      <c r="AD4" s="225" t="s">
        <v>1892</v>
      </c>
      <c r="AE4" s="225">
        <v>38430</v>
      </c>
      <c r="AF4" s="225" t="s">
        <v>1893</v>
      </c>
      <c r="AG4" s="226">
        <v>663401396</v>
      </c>
      <c r="AH4" s="246" t="s">
        <v>1894</v>
      </c>
      <c r="AI4" s="225" t="s">
        <v>1168</v>
      </c>
      <c r="AJ4" s="225"/>
      <c r="AK4" s="225"/>
      <c r="AL4" s="225" t="s">
        <v>176</v>
      </c>
      <c r="AM4" s="225" t="s">
        <v>176</v>
      </c>
      <c r="AN4" s="225" t="s">
        <v>176</v>
      </c>
      <c r="AO4" s="225" t="s">
        <v>176</v>
      </c>
      <c r="AP4" s="225" t="s">
        <v>579</v>
      </c>
      <c r="AQ4" s="225" t="s">
        <v>1895</v>
      </c>
      <c r="AR4" s="225" t="s">
        <v>1896</v>
      </c>
      <c r="AS4" s="241" t="s">
        <v>201</v>
      </c>
      <c r="AT4" s="226">
        <v>608287337</v>
      </c>
      <c r="AU4" s="225" t="s">
        <v>176</v>
      </c>
      <c r="AV4" s="241" t="s">
        <v>188</v>
      </c>
      <c r="AW4" s="223">
        <v>44417</v>
      </c>
      <c r="AX4" s="225" t="s">
        <v>4113</v>
      </c>
      <c r="AY4" s="225">
        <v>1990</v>
      </c>
      <c r="AZ4" s="225" t="s">
        <v>1880</v>
      </c>
      <c r="BA4" s="225" t="s">
        <v>267</v>
      </c>
      <c r="BB4" s="225" t="s">
        <v>1897</v>
      </c>
      <c r="BC4" s="225" t="s">
        <v>1898</v>
      </c>
      <c r="BD4" s="225">
        <v>15.1</v>
      </c>
      <c r="BE4" s="225">
        <v>10.4</v>
      </c>
      <c r="BF4" s="225">
        <v>90.8</v>
      </c>
      <c r="BG4" s="225">
        <v>1.2E-2</v>
      </c>
      <c r="BH4" s="225" t="s">
        <v>1899</v>
      </c>
      <c r="BI4" s="225"/>
      <c r="BJ4" s="225">
        <f>3577+201+230+115+325+86</f>
        <v>4534</v>
      </c>
      <c r="BK4" s="225"/>
      <c r="BL4" s="225"/>
      <c r="BM4" s="225"/>
      <c r="BN4" s="225">
        <f>386+850</f>
        <v>1236</v>
      </c>
      <c r="BO4" s="225">
        <f t="shared" si="0"/>
        <v>5770</v>
      </c>
      <c r="BP4" s="230">
        <f t="shared" si="1"/>
        <v>317.35000000000002</v>
      </c>
      <c r="BQ4" s="230">
        <f t="shared" si="2"/>
        <v>6087.35</v>
      </c>
      <c r="BR4" s="230">
        <v>4950</v>
      </c>
      <c r="BS4" s="225" t="s">
        <v>188</v>
      </c>
      <c r="BT4" s="225"/>
      <c r="BU4" s="225"/>
      <c r="BV4" s="301">
        <v>0</v>
      </c>
      <c r="BW4" s="301" t="s">
        <v>214</v>
      </c>
      <c r="BX4" s="301" t="s">
        <v>214</v>
      </c>
      <c r="BY4" s="301" t="s">
        <v>176</v>
      </c>
    </row>
    <row r="5" spans="1:77" ht="13.5" customHeight="1">
      <c r="A5" s="64" t="e">
        <f t="shared" si="3"/>
        <v>#VALUE!</v>
      </c>
      <c r="B5" s="64" t="e">
        <f t="shared" si="4"/>
        <v>#VALUE!</v>
      </c>
      <c r="C5" s="125" t="s">
        <v>214</v>
      </c>
      <c r="D5" s="168" t="str">
        <f t="shared" si="5"/>
        <v>NC</v>
      </c>
      <c r="E5" s="291" t="s">
        <v>670</v>
      </c>
      <c r="F5" s="291" t="s">
        <v>1227</v>
      </c>
      <c r="G5" s="221" t="s">
        <v>176</v>
      </c>
      <c r="H5" s="222">
        <v>43873</v>
      </c>
      <c r="I5" s="222">
        <v>43874</v>
      </c>
      <c r="J5" s="223">
        <v>43874</v>
      </c>
      <c r="K5" s="222" t="s">
        <v>1901</v>
      </c>
      <c r="L5" s="223" t="s">
        <v>176</v>
      </c>
      <c r="M5" s="223" t="s">
        <v>176</v>
      </c>
      <c r="N5" s="223" t="s">
        <v>176</v>
      </c>
      <c r="O5" s="222"/>
      <c r="P5" s="222" t="s">
        <v>176</v>
      </c>
      <c r="Q5" s="222" t="s">
        <v>176</v>
      </c>
      <c r="R5" s="222" t="s">
        <v>176</v>
      </c>
      <c r="S5" s="222" t="s">
        <v>176</v>
      </c>
      <c r="T5" s="222" t="s">
        <v>176</v>
      </c>
      <c r="U5" s="222" t="s">
        <v>176</v>
      </c>
      <c r="V5" s="224"/>
      <c r="W5" s="222">
        <v>44165</v>
      </c>
      <c r="X5" s="225" t="s">
        <v>1869</v>
      </c>
      <c r="Y5" s="225"/>
      <c r="Z5" s="225"/>
      <c r="AA5" s="225">
        <v>2</v>
      </c>
      <c r="AB5" s="225">
        <v>42444</v>
      </c>
      <c r="AC5" s="225">
        <v>545</v>
      </c>
      <c r="AD5" s="225" t="s">
        <v>1902</v>
      </c>
      <c r="AE5" s="225">
        <v>38210</v>
      </c>
      <c r="AF5" s="225" t="s">
        <v>1903</v>
      </c>
      <c r="AG5" s="226">
        <v>645646622</v>
      </c>
      <c r="AH5" s="246" t="s">
        <v>1904</v>
      </c>
      <c r="AI5" s="225" t="s">
        <v>1168</v>
      </c>
      <c r="AJ5" s="225"/>
      <c r="AK5" s="225"/>
      <c r="AL5" s="225" t="s">
        <v>176</v>
      </c>
      <c r="AM5" s="225" t="s">
        <v>176</v>
      </c>
      <c r="AN5" s="225" t="s">
        <v>176</v>
      </c>
      <c r="AO5" s="225" t="s">
        <v>176</v>
      </c>
      <c r="AP5" s="225" t="s">
        <v>579</v>
      </c>
      <c r="AQ5" s="225" t="s">
        <v>1895</v>
      </c>
      <c r="AR5" s="225" t="s">
        <v>1896</v>
      </c>
      <c r="AS5" s="241" t="s">
        <v>201</v>
      </c>
      <c r="AT5" s="226">
        <v>608287337</v>
      </c>
      <c r="AU5" s="225" t="s">
        <v>176</v>
      </c>
      <c r="AV5" s="241" t="s">
        <v>188</v>
      </c>
      <c r="AW5" s="223">
        <v>44417</v>
      </c>
      <c r="AX5" s="225" t="s">
        <v>4113</v>
      </c>
      <c r="AY5" s="225">
        <v>1987</v>
      </c>
      <c r="AZ5" s="225" t="s">
        <v>1880</v>
      </c>
      <c r="BA5" s="225" t="s">
        <v>267</v>
      </c>
      <c r="BB5" s="225" t="s">
        <v>1897</v>
      </c>
      <c r="BC5" s="225" t="s">
        <v>176</v>
      </c>
      <c r="BD5" s="225" t="s">
        <v>176</v>
      </c>
      <c r="BE5" s="225" t="s">
        <v>176</v>
      </c>
      <c r="BF5" s="225" t="s">
        <v>176</v>
      </c>
      <c r="BG5" s="225" t="s">
        <v>176</v>
      </c>
      <c r="BH5" s="225" t="s">
        <v>176</v>
      </c>
      <c r="BI5" s="225"/>
      <c r="BJ5" s="225"/>
      <c r="BK5" s="225"/>
      <c r="BL5" s="225"/>
      <c r="BM5" s="225"/>
      <c r="BN5" s="225"/>
      <c r="BO5" s="225">
        <f t="shared" si="0"/>
        <v>0</v>
      </c>
      <c r="BP5" s="230">
        <f t="shared" si="1"/>
        <v>0</v>
      </c>
      <c r="BQ5" s="230">
        <f t="shared" si="2"/>
        <v>0</v>
      </c>
      <c r="BR5" s="230"/>
      <c r="BS5" s="225"/>
      <c r="BT5" s="225"/>
      <c r="BU5" s="225"/>
      <c r="BV5" s="301">
        <v>0</v>
      </c>
      <c r="BW5" s="301" t="s">
        <v>214</v>
      </c>
      <c r="BX5" s="301" t="s">
        <v>214</v>
      </c>
      <c r="BY5" s="301" t="s">
        <v>176</v>
      </c>
    </row>
    <row r="6" spans="1:77" ht="13.5" customHeight="1">
      <c r="A6" s="64">
        <f t="shared" si="3"/>
        <v>2020</v>
      </c>
      <c r="B6" s="64">
        <f t="shared" si="4"/>
        <v>7</v>
      </c>
      <c r="C6" s="125" t="s">
        <v>4106</v>
      </c>
      <c r="D6" s="168" t="str">
        <f t="shared" si="5"/>
        <v>non maj</v>
      </c>
      <c r="E6" s="292" t="s">
        <v>670</v>
      </c>
      <c r="F6" s="292" t="s">
        <v>1228</v>
      </c>
      <c r="G6" s="221">
        <v>400</v>
      </c>
      <c r="H6" s="222">
        <v>43978</v>
      </c>
      <c r="I6" s="222">
        <v>43987</v>
      </c>
      <c r="J6" s="223">
        <v>43990</v>
      </c>
      <c r="K6" s="222" t="s">
        <v>1905</v>
      </c>
      <c r="L6" s="223">
        <v>44015</v>
      </c>
      <c r="M6" s="223">
        <v>44015</v>
      </c>
      <c r="N6" s="223">
        <v>44020</v>
      </c>
      <c r="O6" s="222"/>
      <c r="P6" s="222">
        <v>44145</v>
      </c>
      <c r="Q6" s="222">
        <v>44120</v>
      </c>
      <c r="R6" s="222" t="s">
        <v>176</v>
      </c>
      <c r="S6" s="222">
        <v>44148</v>
      </c>
      <c r="T6" s="222">
        <v>44148</v>
      </c>
      <c r="U6" s="222">
        <v>44153</v>
      </c>
      <c r="V6" s="224"/>
      <c r="W6" s="222"/>
      <c r="X6" s="225"/>
      <c r="Y6" s="225"/>
      <c r="Z6" s="225"/>
      <c r="AA6" s="225">
        <v>3</v>
      </c>
      <c r="AB6" s="225">
        <v>64803</v>
      </c>
      <c r="AC6" s="225">
        <v>997</v>
      </c>
      <c r="AD6" s="225" t="s">
        <v>1906</v>
      </c>
      <c r="AE6" s="225">
        <v>38500</v>
      </c>
      <c r="AF6" s="225" t="s">
        <v>1907</v>
      </c>
      <c r="AG6" s="226">
        <v>644291492</v>
      </c>
      <c r="AH6" s="246" t="s">
        <v>1908</v>
      </c>
      <c r="AI6" s="225" t="s">
        <v>1168</v>
      </c>
      <c r="AJ6" s="225"/>
      <c r="AK6" s="225"/>
      <c r="AL6" s="225" t="s">
        <v>176</v>
      </c>
      <c r="AM6" s="225" t="s">
        <v>176</v>
      </c>
      <c r="AN6" s="225" t="s">
        <v>176</v>
      </c>
      <c r="AO6" s="225" t="s">
        <v>176</v>
      </c>
      <c r="AP6" s="225" t="s">
        <v>1909</v>
      </c>
      <c r="AQ6" s="225" t="s">
        <v>1910</v>
      </c>
      <c r="AR6" s="225" t="s">
        <v>781</v>
      </c>
      <c r="AS6" s="246" t="s">
        <v>1911</v>
      </c>
      <c r="AT6" s="226">
        <v>474937373</v>
      </c>
      <c r="AU6" s="225" t="s">
        <v>176</v>
      </c>
      <c r="AV6" s="241" t="s">
        <v>188</v>
      </c>
      <c r="AW6" s="223">
        <v>44314</v>
      </c>
      <c r="AX6" s="225" t="s">
        <v>1879</v>
      </c>
      <c r="AY6" s="225" t="s">
        <v>1912</v>
      </c>
      <c r="AZ6" s="225" t="s">
        <v>1880</v>
      </c>
      <c r="BA6" s="225" t="s">
        <v>380</v>
      </c>
      <c r="BB6" s="225" t="s">
        <v>199</v>
      </c>
      <c r="BC6" s="225" t="s">
        <v>1913</v>
      </c>
      <c r="BD6" s="225">
        <v>25</v>
      </c>
      <c r="BE6" s="225">
        <v>10.199999999999999</v>
      </c>
      <c r="BF6" s="225">
        <v>76</v>
      </c>
      <c r="BG6" s="225">
        <v>7.0000000000000007E-2</v>
      </c>
      <c r="BH6" s="225" t="s">
        <v>1882</v>
      </c>
      <c r="BI6" s="225"/>
      <c r="BJ6" s="225">
        <f>2920+30</f>
        <v>2950</v>
      </c>
      <c r="BK6" s="225"/>
      <c r="BL6" s="225"/>
      <c r="BM6" s="225"/>
      <c r="BN6" s="225">
        <v>1380</v>
      </c>
      <c r="BO6" s="225">
        <f t="shared" si="0"/>
        <v>4330</v>
      </c>
      <c r="BP6" s="230">
        <f t="shared" si="1"/>
        <v>238.15</v>
      </c>
      <c r="BQ6" s="230">
        <f t="shared" si="2"/>
        <v>4568.1499999999996</v>
      </c>
      <c r="BR6" s="230">
        <v>4500</v>
      </c>
      <c r="BS6" s="225" t="s">
        <v>188</v>
      </c>
      <c r="BT6" s="225"/>
      <c r="BU6" s="225"/>
      <c r="BV6" s="301" t="s">
        <v>1900</v>
      </c>
      <c r="BW6" s="301" t="s">
        <v>214</v>
      </c>
      <c r="BX6" s="301" t="s">
        <v>620</v>
      </c>
      <c r="BY6" s="301">
        <v>2020</v>
      </c>
    </row>
    <row r="7" spans="1:77" ht="13.5" customHeight="1">
      <c r="A7" s="64">
        <f t="shared" si="3"/>
        <v>2020</v>
      </c>
      <c r="B7" s="64">
        <f t="shared" si="4"/>
        <v>7</v>
      </c>
      <c r="C7" s="125" t="s">
        <v>4106</v>
      </c>
      <c r="D7" s="168" t="str">
        <f t="shared" si="5"/>
        <v>maj</v>
      </c>
      <c r="E7" s="292" t="s">
        <v>670</v>
      </c>
      <c r="F7" s="292" t="s">
        <v>1229</v>
      </c>
      <c r="G7" s="221">
        <v>800</v>
      </c>
      <c r="H7" s="222">
        <v>44002</v>
      </c>
      <c r="I7" s="222">
        <v>44007</v>
      </c>
      <c r="J7" s="223">
        <v>44014</v>
      </c>
      <c r="K7" s="222" t="s">
        <v>1914</v>
      </c>
      <c r="L7" s="223">
        <v>44043</v>
      </c>
      <c r="M7" s="223">
        <v>44043</v>
      </c>
      <c r="N7" s="223">
        <v>44074</v>
      </c>
      <c r="O7" s="222"/>
      <c r="P7" s="222">
        <v>44250</v>
      </c>
      <c r="Q7" s="222">
        <v>44165</v>
      </c>
      <c r="R7" s="222" t="s">
        <v>176</v>
      </c>
      <c r="S7" s="222">
        <v>44252</v>
      </c>
      <c r="T7" s="222">
        <v>44252</v>
      </c>
      <c r="U7" s="222">
        <v>44264</v>
      </c>
      <c r="V7" s="224"/>
      <c r="W7" s="222"/>
      <c r="X7" s="225"/>
      <c r="Y7" s="225"/>
      <c r="Z7" s="225"/>
      <c r="AA7" s="225">
        <v>3</v>
      </c>
      <c r="AB7" s="225">
        <v>30558</v>
      </c>
      <c r="AC7" s="225">
        <v>325</v>
      </c>
      <c r="AD7" s="225" t="s">
        <v>1915</v>
      </c>
      <c r="AE7" s="225">
        <v>38850</v>
      </c>
      <c r="AF7" s="225" t="s">
        <v>1916</v>
      </c>
      <c r="AG7" s="226">
        <v>670048542</v>
      </c>
      <c r="AH7" s="246" t="s">
        <v>1917</v>
      </c>
      <c r="AI7" s="225" t="s">
        <v>1168</v>
      </c>
      <c r="AJ7" s="225"/>
      <c r="AK7" s="225"/>
      <c r="AL7" s="225" t="s">
        <v>176</v>
      </c>
      <c r="AM7" s="225" t="s">
        <v>176</v>
      </c>
      <c r="AN7" s="225" t="s">
        <v>176</v>
      </c>
      <c r="AO7" s="225" t="s">
        <v>176</v>
      </c>
      <c r="AP7" s="225" t="s">
        <v>1918</v>
      </c>
      <c r="AQ7" s="225" t="s">
        <v>1919</v>
      </c>
      <c r="AR7" s="225" t="s">
        <v>1920</v>
      </c>
      <c r="AS7" s="241" t="s">
        <v>695</v>
      </c>
      <c r="AT7" s="226">
        <v>609856323</v>
      </c>
      <c r="AU7" s="225" t="s">
        <v>176</v>
      </c>
      <c r="AV7" s="241" t="s">
        <v>188</v>
      </c>
      <c r="AW7" s="223">
        <v>44395</v>
      </c>
      <c r="AX7" s="225" t="s">
        <v>4113</v>
      </c>
      <c r="AY7" s="225">
        <v>2000</v>
      </c>
      <c r="AZ7" s="225" t="s">
        <v>1179</v>
      </c>
      <c r="BA7" s="225" t="s">
        <v>380</v>
      </c>
      <c r="BB7" s="225" t="s">
        <v>272</v>
      </c>
      <c r="BC7" s="225" t="s">
        <v>1921</v>
      </c>
      <c r="BD7" s="225">
        <v>30</v>
      </c>
      <c r="BE7" s="225">
        <v>14.5</v>
      </c>
      <c r="BF7" s="225">
        <v>81</v>
      </c>
      <c r="BG7" s="225">
        <v>0.09</v>
      </c>
      <c r="BH7" s="225" t="s">
        <v>1882</v>
      </c>
      <c r="BI7" s="225"/>
      <c r="BJ7" s="225">
        <f>6063+54+51+44+35+18</f>
        <v>6265</v>
      </c>
      <c r="BK7" s="225"/>
      <c r="BL7" s="225"/>
      <c r="BM7" s="225"/>
      <c r="BN7" s="225">
        <f>964.81+375.9</f>
        <v>1340.71</v>
      </c>
      <c r="BO7" s="225">
        <f t="shared" si="0"/>
        <v>7605.71</v>
      </c>
      <c r="BP7" s="230">
        <f t="shared" si="1"/>
        <v>418.31405000000001</v>
      </c>
      <c r="BQ7" s="230">
        <f t="shared" si="2"/>
        <v>8024.02405</v>
      </c>
      <c r="BR7" s="230">
        <v>8024.02</v>
      </c>
      <c r="BS7" s="225" t="s">
        <v>188</v>
      </c>
      <c r="BT7" s="225"/>
      <c r="BU7" s="225"/>
      <c r="BV7" s="301" t="s">
        <v>1900</v>
      </c>
      <c r="BW7" s="301" t="s">
        <v>214</v>
      </c>
      <c r="BX7" s="222" t="s">
        <v>618</v>
      </c>
      <c r="BY7" s="301">
        <v>2020</v>
      </c>
    </row>
    <row r="8" spans="1:77" ht="13.5" customHeight="1">
      <c r="A8" s="64">
        <f t="shared" si="3"/>
        <v>2020</v>
      </c>
      <c r="B8" s="64">
        <f t="shared" si="4"/>
        <v>7</v>
      </c>
      <c r="C8" s="125" t="s">
        <v>4106</v>
      </c>
      <c r="D8" s="168" t="str">
        <f t="shared" si="5"/>
        <v>non maj</v>
      </c>
      <c r="E8" s="292" t="s">
        <v>670</v>
      </c>
      <c r="F8" s="292" t="s">
        <v>1231</v>
      </c>
      <c r="G8" s="221">
        <v>400</v>
      </c>
      <c r="H8" s="222">
        <v>44004</v>
      </c>
      <c r="I8" s="222">
        <v>44007</v>
      </c>
      <c r="J8" s="223">
        <v>44012</v>
      </c>
      <c r="K8" s="222" t="s">
        <v>1922</v>
      </c>
      <c r="L8" s="223">
        <v>44015</v>
      </c>
      <c r="M8" s="223">
        <v>44015</v>
      </c>
      <c r="N8" s="223">
        <v>44020</v>
      </c>
      <c r="O8" s="222"/>
      <c r="P8" s="222">
        <v>44123</v>
      </c>
      <c r="Q8" s="222">
        <v>44033</v>
      </c>
      <c r="R8" s="222" t="s">
        <v>176</v>
      </c>
      <c r="S8" s="222">
        <v>44126</v>
      </c>
      <c r="T8" s="222">
        <v>44126</v>
      </c>
      <c r="U8" s="222">
        <v>44139</v>
      </c>
      <c r="V8" s="224"/>
      <c r="W8" s="222"/>
      <c r="X8" s="225"/>
      <c r="Y8" s="225"/>
      <c r="Z8" s="225"/>
      <c r="AA8" s="225">
        <v>2</v>
      </c>
      <c r="AB8" s="225">
        <v>56056</v>
      </c>
      <c r="AC8" s="225" t="s">
        <v>1923</v>
      </c>
      <c r="AD8" s="225" t="s">
        <v>852</v>
      </c>
      <c r="AE8" s="225">
        <v>38140</v>
      </c>
      <c r="AF8" s="225" t="s">
        <v>1924</v>
      </c>
      <c r="AG8" s="226">
        <v>476894851</v>
      </c>
      <c r="AH8" s="246" t="s">
        <v>1925</v>
      </c>
      <c r="AI8" s="225" t="s">
        <v>1168</v>
      </c>
      <c r="AJ8" s="225"/>
      <c r="AK8" s="225"/>
      <c r="AL8" s="225" t="s">
        <v>176</v>
      </c>
      <c r="AM8" s="225" t="s">
        <v>176</v>
      </c>
      <c r="AN8" s="225" t="s">
        <v>176</v>
      </c>
      <c r="AO8" s="225" t="s">
        <v>176</v>
      </c>
      <c r="AP8" s="225" t="s">
        <v>778</v>
      </c>
      <c r="AQ8" s="225" t="s">
        <v>1926</v>
      </c>
      <c r="AR8" s="225" t="s">
        <v>1927</v>
      </c>
      <c r="AS8" s="241" t="s">
        <v>593</v>
      </c>
      <c r="AT8" s="226">
        <v>474934316</v>
      </c>
      <c r="AU8" s="225" t="s">
        <v>176</v>
      </c>
      <c r="AV8" s="241" t="s">
        <v>188</v>
      </c>
      <c r="AW8" s="223">
        <v>44276</v>
      </c>
      <c r="AX8" s="225" t="s">
        <v>1879</v>
      </c>
      <c r="AY8" s="225">
        <v>1998</v>
      </c>
      <c r="AZ8" s="225" t="s">
        <v>4113</v>
      </c>
      <c r="BA8" s="225" t="s">
        <v>380</v>
      </c>
      <c r="BB8" s="225" t="s">
        <v>244</v>
      </c>
      <c r="BC8" s="225">
        <v>3268</v>
      </c>
      <c r="BD8" s="225">
        <v>18</v>
      </c>
      <c r="BE8" s="225">
        <v>13</v>
      </c>
      <c r="BF8" s="225">
        <v>76</v>
      </c>
      <c r="BG8" s="225">
        <v>0.09</v>
      </c>
      <c r="BH8" s="225" t="s">
        <v>1882</v>
      </c>
      <c r="BI8" s="225"/>
      <c r="BJ8" s="225">
        <f>3847+2177+92+142+117+698+200+300+95+67+400</f>
        <v>8135</v>
      </c>
      <c r="BK8" s="225"/>
      <c r="BL8" s="225"/>
      <c r="BM8" s="225"/>
      <c r="BN8" s="225">
        <f>662+892</f>
        <v>1554</v>
      </c>
      <c r="BO8" s="225">
        <f t="shared" si="0"/>
        <v>9689</v>
      </c>
      <c r="BP8" s="230">
        <f t="shared" si="1"/>
        <v>532.89499999999998</v>
      </c>
      <c r="BQ8" s="230">
        <f t="shared" si="2"/>
        <v>10221.895</v>
      </c>
      <c r="BR8" s="230">
        <v>8275</v>
      </c>
      <c r="BS8" s="225" t="s">
        <v>188</v>
      </c>
      <c r="BT8" s="225"/>
      <c r="BU8" s="225"/>
      <c r="BV8" s="301" t="s">
        <v>1900</v>
      </c>
      <c r="BW8" s="301" t="s">
        <v>214</v>
      </c>
      <c r="BX8" s="301" t="s">
        <v>620</v>
      </c>
      <c r="BY8" s="301">
        <v>2020</v>
      </c>
    </row>
    <row r="9" spans="1:77" ht="13.5" customHeight="1">
      <c r="A9" s="64">
        <f t="shared" si="3"/>
        <v>2020</v>
      </c>
      <c r="B9" s="64">
        <f t="shared" si="4"/>
        <v>10</v>
      </c>
      <c r="C9" s="125" t="s">
        <v>4106</v>
      </c>
      <c r="D9" s="168" t="str">
        <f t="shared" si="5"/>
        <v>non maj</v>
      </c>
      <c r="E9" s="292" t="s">
        <v>670</v>
      </c>
      <c r="F9" s="292" t="s">
        <v>1928</v>
      </c>
      <c r="G9" s="221">
        <v>400</v>
      </c>
      <c r="H9" s="222">
        <v>44004</v>
      </c>
      <c r="I9" s="222">
        <v>44007</v>
      </c>
      <c r="J9" s="223">
        <v>44012</v>
      </c>
      <c r="K9" s="222" t="s">
        <v>1929</v>
      </c>
      <c r="L9" s="223">
        <v>44133</v>
      </c>
      <c r="M9" s="223">
        <v>44133</v>
      </c>
      <c r="N9" s="223">
        <v>44137</v>
      </c>
      <c r="O9" s="222"/>
      <c r="P9" s="222">
        <v>44210</v>
      </c>
      <c r="Q9" s="222">
        <v>44133</v>
      </c>
      <c r="R9" s="222" t="s">
        <v>176</v>
      </c>
      <c r="S9" s="222">
        <v>44214</v>
      </c>
      <c r="T9" s="222">
        <v>44214</v>
      </c>
      <c r="U9" s="222">
        <v>44242</v>
      </c>
      <c r="V9" s="224"/>
      <c r="W9" s="222"/>
      <c r="X9" s="225"/>
      <c r="Y9" s="225"/>
      <c r="Z9" s="225"/>
      <c r="AA9" s="225">
        <v>4</v>
      </c>
      <c r="AB9" s="225">
        <v>160304</v>
      </c>
      <c r="AC9" s="225">
        <v>312</v>
      </c>
      <c r="AD9" s="225" t="s">
        <v>1930</v>
      </c>
      <c r="AE9" s="225">
        <v>38850</v>
      </c>
      <c r="AF9" s="225" t="s">
        <v>1931</v>
      </c>
      <c r="AG9" s="226">
        <v>769671315</v>
      </c>
      <c r="AH9" s="246" t="s">
        <v>1932</v>
      </c>
      <c r="AI9" s="225" t="s">
        <v>1168</v>
      </c>
      <c r="AJ9" s="225"/>
      <c r="AK9" s="225"/>
      <c r="AL9" s="225" t="s">
        <v>176</v>
      </c>
      <c r="AM9" s="225" t="s">
        <v>176</v>
      </c>
      <c r="AN9" s="225" t="s">
        <v>176</v>
      </c>
      <c r="AO9" s="225" t="s">
        <v>176</v>
      </c>
      <c r="AP9" s="225" t="s">
        <v>268</v>
      </c>
      <c r="AQ9" s="225" t="s">
        <v>1893</v>
      </c>
      <c r="AR9" s="225" t="s">
        <v>1933</v>
      </c>
      <c r="AS9" s="246" t="s">
        <v>1934</v>
      </c>
      <c r="AT9" s="226">
        <v>476355605</v>
      </c>
      <c r="AU9" s="225" t="s">
        <v>176</v>
      </c>
      <c r="AV9" s="241" t="s">
        <v>188</v>
      </c>
      <c r="AW9" s="223">
        <v>44495</v>
      </c>
      <c r="AX9" s="225" t="s">
        <v>1879</v>
      </c>
      <c r="AY9" s="225" t="s">
        <v>1935</v>
      </c>
      <c r="AZ9" s="225" t="s">
        <v>1880</v>
      </c>
      <c r="BA9" s="225" t="s">
        <v>267</v>
      </c>
      <c r="BB9" s="225" t="s">
        <v>1936</v>
      </c>
      <c r="BC9" s="225" t="s">
        <v>1937</v>
      </c>
      <c r="BD9" s="225">
        <v>8</v>
      </c>
      <c r="BE9" s="225">
        <v>8.1999999999999993</v>
      </c>
      <c r="BF9" s="225">
        <v>87.7</v>
      </c>
      <c r="BG9" s="225">
        <v>0.01</v>
      </c>
      <c r="BH9" s="225" t="s">
        <v>1882</v>
      </c>
      <c r="BI9" s="225"/>
      <c r="BJ9" s="225">
        <f>172.31+94+320+99.09+94+242.38+104.65+140.69+69.15+70.27+2099.5+62.35</f>
        <v>3568.39</v>
      </c>
      <c r="BK9" s="225"/>
      <c r="BL9" s="225"/>
      <c r="BM9" s="225"/>
      <c r="BN9" s="225">
        <f>609.8+425</f>
        <v>1034.8</v>
      </c>
      <c r="BO9" s="225">
        <f t="shared" si="0"/>
        <v>4603.1899999999996</v>
      </c>
      <c r="BP9" s="230">
        <f t="shared" si="1"/>
        <v>253.17544999999998</v>
      </c>
      <c r="BQ9" s="230">
        <f t="shared" si="2"/>
        <v>4856.3654499999993</v>
      </c>
      <c r="BR9" s="230">
        <v>4856.37</v>
      </c>
      <c r="BS9" s="225" t="s">
        <v>191</v>
      </c>
      <c r="BT9" s="225"/>
      <c r="BU9" s="225"/>
      <c r="BV9" s="301" t="s">
        <v>1900</v>
      </c>
      <c r="BW9" s="301" t="s">
        <v>214</v>
      </c>
      <c r="BX9" s="301" t="s">
        <v>620</v>
      </c>
      <c r="BY9" s="301" t="s">
        <v>176</v>
      </c>
    </row>
    <row r="10" spans="1:77" ht="13.5" customHeight="1">
      <c r="A10" s="64" t="e">
        <f t="shared" si="3"/>
        <v>#VALUE!</v>
      </c>
      <c r="B10" s="64" t="e">
        <f t="shared" si="4"/>
        <v>#VALUE!</v>
      </c>
      <c r="C10" s="125" t="s">
        <v>4125</v>
      </c>
      <c r="D10" s="168" t="str">
        <f t="shared" si="5"/>
        <v>NC</v>
      </c>
      <c r="E10" s="291" t="s">
        <v>670</v>
      </c>
      <c r="F10" s="291" t="s">
        <v>4102</v>
      </c>
      <c r="G10" s="221" t="s">
        <v>176</v>
      </c>
      <c r="H10" s="222">
        <v>43981</v>
      </c>
      <c r="I10" s="222">
        <v>43987</v>
      </c>
      <c r="J10" s="223">
        <v>43990</v>
      </c>
      <c r="K10" s="222" t="s">
        <v>1938</v>
      </c>
      <c r="L10" s="223" t="s">
        <v>176</v>
      </c>
      <c r="M10" s="223" t="s">
        <v>176</v>
      </c>
      <c r="N10" s="223" t="s">
        <v>176</v>
      </c>
      <c r="O10" s="222"/>
      <c r="P10" s="222" t="s">
        <v>176</v>
      </c>
      <c r="Q10" s="222" t="s">
        <v>176</v>
      </c>
      <c r="R10" s="222" t="s">
        <v>176</v>
      </c>
      <c r="S10" s="222" t="s">
        <v>176</v>
      </c>
      <c r="T10" s="222" t="s">
        <v>176</v>
      </c>
      <c r="U10" s="222" t="s">
        <v>176</v>
      </c>
      <c r="V10" s="224"/>
      <c r="W10" s="222">
        <v>44033</v>
      </c>
      <c r="X10" s="222" t="s">
        <v>1939</v>
      </c>
      <c r="Y10" s="225"/>
      <c r="Z10" s="225"/>
      <c r="AA10" s="225">
        <v>4</v>
      </c>
      <c r="AB10" s="225">
        <v>52921</v>
      </c>
      <c r="AC10" s="225">
        <v>120</v>
      </c>
      <c r="AD10" s="225" t="s">
        <v>1940</v>
      </c>
      <c r="AE10" s="225">
        <v>38210</v>
      </c>
      <c r="AF10" s="225" t="s">
        <v>1903</v>
      </c>
      <c r="AG10" s="226">
        <v>671158825</v>
      </c>
      <c r="AH10" s="246" t="s">
        <v>1941</v>
      </c>
      <c r="AI10" s="225" t="s">
        <v>1168</v>
      </c>
      <c r="AJ10" s="225"/>
      <c r="AK10" s="225"/>
      <c r="AL10" s="225" t="s">
        <v>176</v>
      </c>
      <c r="AM10" s="225" t="s">
        <v>176</v>
      </c>
      <c r="AN10" s="225" t="s">
        <v>176</v>
      </c>
      <c r="AO10" s="225" t="s">
        <v>176</v>
      </c>
      <c r="AP10" s="225" t="s">
        <v>268</v>
      </c>
      <c r="AQ10" s="225" t="s">
        <v>1893</v>
      </c>
      <c r="AR10" s="225" t="s">
        <v>1933</v>
      </c>
      <c r="AS10" s="246" t="s">
        <v>1934</v>
      </c>
      <c r="AT10" s="226">
        <v>476355605</v>
      </c>
      <c r="AU10" s="225" t="s">
        <v>176</v>
      </c>
      <c r="AV10" s="241" t="s">
        <v>188</v>
      </c>
      <c r="AW10" s="223">
        <v>44495</v>
      </c>
      <c r="AX10" s="225" t="s">
        <v>4113</v>
      </c>
      <c r="AY10" s="225">
        <v>2001</v>
      </c>
      <c r="AZ10" s="225" t="s">
        <v>1880</v>
      </c>
      <c r="BA10" s="225" t="s">
        <v>380</v>
      </c>
      <c r="BB10" s="225" t="s">
        <v>1936</v>
      </c>
      <c r="BC10" s="225" t="s">
        <v>1942</v>
      </c>
      <c r="BD10" s="225">
        <v>23</v>
      </c>
      <c r="BE10" s="225">
        <v>7</v>
      </c>
      <c r="BF10" s="225">
        <v>79</v>
      </c>
      <c r="BG10" s="225">
        <v>0.09</v>
      </c>
      <c r="BH10" s="225" t="s">
        <v>191</v>
      </c>
      <c r="BI10" s="225"/>
      <c r="BJ10" s="225">
        <v>3467.63</v>
      </c>
      <c r="BK10" s="225">
        <v>525</v>
      </c>
      <c r="BL10" s="225"/>
      <c r="BM10" s="225"/>
      <c r="BN10" s="225">
        <v>525</v>
      </c>
      <c r="BO10" s="225">
        <f t="shared" si="0"/>
        <v>3992.63</v>
      </c>
      <c r="BP10" s="230">
        <f t="shared" si="1"/>
        <v>219.59465</v>
      </c>
      <c r="BQ10" s="230">
        <f t="shared" si="2"/>
        <v>4212.2246500000001</v>
      </c>
      <c r="BR10" s="230">
        <v>4212.22</v>
      </c>
      <c r="BS10" s="225" t="s">
        <v>191</v>
      </c>
      <c r="BT10" s="225"/>
      <c r="BU10" s="225"/>
      <c r="BV10" s="301">
        <v>0</v>
      </c>
      <c r="BW10" s="301" t="s">
        <v>214</v>
      </c>
      <c r="BX10" s="301" t="s">
        <v>214</v>
      </c>
      <c r="BY10" s="301" t="s">
        <v>176</v>
      </c>
    </row>
    <row r="11" spans="1:77" ht="13.5" customHeight="1">
      <c r="A11" s="64">
        <f t="shared" si="3"/>
        <v>2020</v>
      </c>
      <c r="B11" s="64">
        <f t="shared" si="4"/>
        <v>7</v>
      </c>
      <c r="C11" s="125" t="s">
        <v>4106</v>
      </c>
      <c r="D11" s="168" t="str">
        <f t="shared" si="5"/>
        <v>non maj</v>
      </c>
      <c r="E11" s="292" t="s">
        <v>670</v>
      </c>
      <c r="F11" s="292" t="s">
        <v>4103</v>
      </c>
      <c r="G11" s="221">
        <v>400</v>
      </c>
      <c r="H11" s="222">
        <v>43985</v>
      </c>
      <c r="I11" s="222">
        <v>43987</v>
      </c>
      <c r="J11" s="223">
        <v>43990</v>
      </c>
      <c r="K11" s="222" t="s">
        <v>1943</v>
      </c>
      <c r="L11" s="223">
        <v>44014</v>
      </c>
      <c r="M11" s="223">
        <v>44014</v>
      </c>
      <c r="N11" s="223">
        <v>44018</v>
      </c>
      <c r="O11" s="222"/>
      <c r="P11" s="222">
        <v>44102</v>
      </c>
      <c r="Q11" s="222">
        <v>44100</v>
      </c>
      <c r="R11" s="222" t="s">
        <v>1944</v>
      </c>
      <c r="S11" s="222">
        <v>44172</v>
      </c>
      <c r="T11" s="222">
        <v>44172</v>
      </c>
      <c r="U11" s="222">
        <v>44174</v>
      </c>
      <c r="V11" s="224"/>
      <c r="W11" s="222"/>
      <c r="X11" s="225"/>
      <c r="Y11" s="225"/>
      <c r="Z11" s="225"/>
      <c r="AA11" s="225">
        <v>3</v>
      </c>
      <c r="AB11" s="225">
        <v>66803</v>
      </c>
      <c r="AC11" s="225">
        <v>2</v>
      </c>
      <c r="AD11" s="225" t="s">
        <v>1945</v>
      </c>
      <c r="AE11" s="225">
        <v>38140</v>
      </c>
      <c r="AF11" s="225" t="s">
        <v>1946</v>
      </c>
      <c r="AG11" s="226">
        <v>633431935</v>
      </c>
      <c r="AH11" s="246" t="s">
        <v>1947</v>
      </c>
      <c r="AI11" s="225" t="s">
        <v>1168</v>
      </c>
      <c r="AJ11" s="225"/>
      <c r="AK11" s="225"/>
      <c r="AL11" s="225" t="s">
        <v>176</v>
      </c>
      <c r="AM11" s="225" t="s">
        <v>176</v>
      </c>
      <c r="AN11" s="225" t="s">
        <v>176</v>
      </c>
      <c r="AO11" s="225" t="s">
        <v>176</v>
      </c>
      <c r="AP11" s="225" t="s">
        <v>675</v>
      </c>
      <c r="AQ11" s="225" t="s">
        <v>225</v>
      </c>
      <c r="AR11" s="225" t="s">
        <v>1948</v>
      </c>
      <c r="AS11" s="241" t="s">
        <v>673</v>
      </c>
      <c r="AT11" s="226">
        <v>951096343</v>
      </c>
      <c r="AU11" s="225" t="s">
        <v>176</v>
      </c>
      <c r="AV11" s="241" t="s">
        <v>188</v>
      </c>
      <c r="AW11" s="223">
        <v>44433</v>
      </c>
      <c r="AX11" s="225" t="s">
        <v>1879</v>
      </c>
      <c r="AY11" s="225" t="s">
        <v>1912</v>
      </c>
      <c r="AZ11" s="225" t="s">
        <v>1880</v>
      </c>
      <c r="BA11" s="225" t="s">
        <v>267</v>
      </c>
      <c r="BB11" s="225" t="s">
        <v>229</v>
      </c>
      <c r="BC11" s="225" t="s">
        <v>783</v>
      </c>
      <c r="BD11" s="225">
        <v>20</v>
      </c>
      <c r="BE11" s="225">
        <v>8.3000000000000007</v>
      </c>
      <c r="BF11" s="225">
        <v>87</v>
      </c>
      <c r="BG11" s="225">
        <v>1.7999999999999999E-2</v>
      </c>
      <c r="BH11" s="225" t="s">
        <v>1899</v>
      </c>
      <c r="BI11" s="225"/>
      <c r="BJ11" s="225">
        <f>6490+444.22+271.35+354</f>
        <v>7559.5700000000006</v>
      </c>
      <c r="BK11" s="225"/>
      <c r="BL11" s="225"/>
      <c r="BM11" s="225"/>
      <c r="BN11" s="225">
        <v>630</v>
      </c>
      <c r="BO11" s="225">
        <f t="shared" si="0"/>
        <v>8189.5700000000006</v>
      </c>
      <c r="BP11" s="230">
        <f t="shared" si="1"/>
        <v>450.42635000000001</v>
      </c>
      <c r="BQ11" s="230">
        <f t="shared" si="2"/>
        <v>8639.9963500000013</v>
      </c>
      <c r="BR11" s="230">
        <v>7800</v>
      </c>
      <c r="BS11" s="225" t="s">
        <v>188</v>
      </c>
      <c r="BT11" s="225"/>
      <c r="BU11" s="225"/>
      <c r="BV11" s="301" t="s">
        <v>1900</v>
      </c>
      <c r="BW11" s="301" t="s">
        <v>214</v>
      </c>
      <c r="BX11" s="301" t="s">
        <v>620</v>
      </c>
      <c r="BY11" s="301" t="s">
        <v>176</v>
      </c>
    </row>
    <row r="12" spans="1:77" ht="13.5" customHeight="1">
      <c r="A12" s="64">
        <f t="shared" si="3"/>
        <v>2020</v>
      </c>
      <c r="B12" s="64">
        <f t="shared" si="4"/>
        <v>7</v>
      </c>
      <c r="C12" s="125" t="s">
        <v>4106</v>
      </c>
      <c r="D12" s="168" t="str">
        <f t="shared" si="5"/>
        <v>non maj</v>
      </c>
      <c r="E12" s="292" t="s">
        <v>670</v>
      </c>
      <c r="F12" s="292" t="s">
        <v>4104</v>
      </c>
      <c r="G12" s="221">
        <v>400</v>
      </c>
      <c r="H12" s="222">
        <v>43987</v>
      </c>
      <c r="I12" s="222">
        <v>43990</v>
      </c>
      <c r="J12" s="223">
        <v>43991</v>
      </c>
      <c r="K12" s="222" t="s">
        <v>1949</v>
      </c>
      <c r="L12" s="223">
        <v>44014</v>
      </c>
      <c r="M12" s="223">
        <v>44014</v>
      </c>
      <c r="N12" s="223">
        <v>44018</v>
      </c>
      <c r="O12" s="222"/>
      <c r="P12" s="222">
        <v>44046</v>
      </c>
      <c r="Q12" s="222">
        <v>44034</v>
      </c>
      <c r="R12" s="222" t="s">
        <v>176</v>
      </c>
      <c r="S12" s="222">
        <v>44056</v>
      </c>
      <c r="T12" s="222">
        <v>44056</v>
      </c>
      <c r="U12" s="222">
        <v>44074</v>
      </c>
      <c r="V12" s="224"/>
      <c r="W12" s="222"/>
      <c r="X12" s="225"/>
      <c r="Y12" s="225"/>
      <c r="Z12" s="225"/>
      <c r="AA12" s="225">
        <v>1</v>
      </c>
      <c r="AB12" s="225">
        <v>19593</v>
      </c>
      <c r="AC12" s="225">
        <v>78</v>
      </c>
      <c r="AD12" s="225" t="s">
        <v>1950</v>
      </c>
      <c r="AE12" s="225">
        <v>38850</v>
      </c>
      <c r="AF12" s="225" t="s">
        <v>1951</v>
      </c>
      <c r="AG12" s="226">
        <v>782135932</v>
      </c>
      <c r="AH12" s="246" t="s">
        <v>1952</v>
      </c>
      <c r="AI12" s="225" t="s">
        <v>1168</v>
      </c>
      <c r="AJ12" s="225"/>
      <c r="AK12" s="225"/>
      <c r="AL12" s="225" t="s">
        <v>176</v>
      </c>
      <c r="AM12" s="225" t="s">
        <v>176</v>
      </c>
      <c r="AN12" s="225" t="s">
        <v>176</v>
      </c>
      <c r="AO12" s="225" t="s">
        <v>176</v>
      </c>
      <c r="AP12" s="225" t="s">
        <v>675</v>
      </c>
      <c r="AQ12" s="225" t="s">
        <v>225</v>
      </c>
      <c r="AR12" s="225" t="s">
        <v>1948</v>
      </c>
      <c r="AS12" s="241" t="s">
        <v>673</v>
      </c>
      <c r="AT12" s="226">
        <v>951096343</v>
      </c>
      <c r="AU12" s="225" t="s">
        <v>176</v>
      </c>
      <c r="AV12" s="241" t="s">
        <v>188</v>
      </c>
      <c r="AW12" s="223">
        <v>44068</v>
      </c>
      <c r="AX12" s="225" t="s">
        <v>4113</v>
      </c>
      <c r="AY12" s="225">
        <v>1984</v>
      </c>
      <c r="AZ12" s="225" t="s">
        <v>1880</v>
      </c>
      <c r="BA12" s="225" t="s">
        <v>380</v>
      </c>
      <c r="BB12" s="225" t="s">
        <v>420</v>
      </c>
      <c r="BC12" s="225" t="s">
        <v>1953</v>
      </c>
      <c r="BD12" s="225">
        <v>17</v>
      </c>
      <c r="BE12" s="225">
        <v>9</v>
      </c>
      <c r="BF12" s="225">
        <v>84</v>
      </c>
      <c r="BG12" s="225">
        <v>0.09</v>
      </c>
      <c r="BH12" s="225" t="s">
        <v>1882</v>
      </c>
      <c r="BI12" s="225"/>
      <c r="BJ12" s="225">
        <f>4860+369+222.32</f>
        <v>5451.32</v>
      </c>
      <c r="BK12" s="225"/>
      <c r="BL12" s="225"/>
      <c r="BM12" s="225"/>
      <c r="BN12" s="225">
        <v>1070</v>
      </c>
      <c r="BO12" s="225">
        <f t="shared" si="0"/>
        <v>6521.32</v>
      </c>
      <c r="BP12" s="230">
        <f t="shared" si="1"/>
        <v>358.67259999999999</v>
      </c>
      <c r="BQ12" s="230">
        <f t="shared" si="2"/>
        <v>6879.9925999999996</v>
      </c>
      <c r="BR12" s="230">
        <v>6300.01</v>
      </c>
      <c r="BS12" s="225" t="s">
        <v>191</v>
      </c>
      <c r="BT12" s="225"/>
      <c r="BU12" s="225"/>
      <c r="BV12" s="301" t="s">
        <v>1900</v>
      </c>
      <c r="BW12" s="301" t="s">
        <v>214</v>
      </c>
      <c r="BX12" s="301" t="s">
        <v>620</v>
      </c>
      <c r="BY12" s="301">
        <v>2020</v>
      </c>
    </row>
    <row r="13" spans="1:77" ht="13.5" customHeight="1">
      <c r="A13" s="64">
        <f t="shared" si="3"/>
        <v>2020</v>
      </c>
      <c r="B13" s="64">
        <f t="shared" si="4"/>
        <v>7</v>
      </c>
      <c r="C13" s="125" t="s">
        <v>4106</v>
      </c>
      <c r="D13" s="168" t="str">
        <f t="shared" si="5"/>
        <v>non maj</v>
      </c>
      <c r="E13" s="292" t="s">
        <v>670</v>
      </c>
      <c r="F13" s="292" t="s">
        <v>1232</v>
      </c>
      <c r="G13" s="221">
        <v>400</v>
      </c>
      <c r="H13" s="222">
        <v>44011</v>
      </c>
      <c r="I13" s="222">
        <v>44012</v>
      </c>
      <c r="J13" s="223">
        <v>44012</v>
      </c>
      <c r="K13" s="222" t="s">
        <v>1954</v>
      </c>
      <c r="L13" s="223">
        <v>44014</v>
      </c>
      <c r="M13" s="223">
        <v>44014</v>
      </c>
      <c r="N13" s="223">
        <v>44018</v>
      </c>
      <c r="O13" s="222"/>
      <c r="P13" s="222">
        <v>44172</v>
      </c>
      <c r="Q13" s="222">
        <v>44165</v>
      </c>
      <c r="R13" s="222" t="s">
        <v>1955</v>
      </c>
      <c r="S13" s="222">
        <v>44217</v>
      </c>
      <c r="T13" s="222">
        <v>44217</v>
      </c>
      <c r="U13" s="222">
        <v>44242</v>
      </c>
      <c r="V13" s="224"/>
      <c r="W13" s="222"/>
      <c r="X13" s="225"/>
      <c r="Y13" s="225"/>
      <c r="Z13" s="225"/>
      <c r="AA13" s="225">
        <v>4</v>
      </c>
      <c r="AB13" s="225">
        <v>53947</v>
      </c>
      <c r="AC13" s="225">
        <v>620</v>
      </c>
      <c r="AD13" s="225" t="s">
        <v>1956</v>
      </c>
      <c r="AE13" s="225">
        <v>38140</v>
      </c>
      <c r="AF13" s="225" t="s">
        <v>1957</v>
      </c>
      <c r="AG13" s="226">
        <v>682170017</v>
      </c>
      <c r="AH13" s="246" t="s">
        <v>1958</v>
      </c>
      <c r="AI13" s="225" t="s">
        <v>1168</v>
      </c>
      <c r="AJ13" s="225"/>
      <c r="AK13" s="225"/>
      <c r="AL13" s="225" t="s">
        <v>176</v>
      </c>
      <c r="AM13" s="225" t="s">
        <v>176</v>
      </c>
      <c r="AN13" s="225" t="s">
        <v>176</v>
      </c>
      <c r="AO13" s="225" t="s">
        <v>176</v>
      </c>
      <c r="AP13" s="225" t="s">
        <v>385</v>
      </c>
      <c r="AQ13" s="225" t="s">
        <v>265</v>
      </c>
      <c r="AR13" s="225" t="s">
        <v>1959</v>
      </c>
      <c r="AS13" s="241" t="s">
        <v>1960</v>
      </c>
      <c r="AT13" s="226">
        <v>476065876</v>
      </c>
      <c r="AU13" s="225" t="s">
        <v>176</v>
      </c>
      <c r="AV13" s="241" t="s">
        <v>188</v>
      </c>
      <c r="AW13" s="223">
        <v>44398</v>
      </c>
      <c r="AX13" s="225" t="s">
        <v>4113</v>
      </c>
      <c r="AY13" s="225" t="s">
        <v>1935</v>
      </c>
      <c r="AZ13" s="225" t="s">
        <v>1880</v>
      </c>
      <c r="BA13" s="225" t="s">
        <v>267</v>
      </c>
      <c r="BB13" s="225" t="s">
        <v>190</v>
      </c>
      <c r="BC13" s="225" t="s">
        <v>1961</v>
      </c>
      <c r="BD13" s="225">
        <v>8</v>
      </c>
      <c r="BE13" s="225">
        <v>9</v>
      </c>
      <c r="BF13" s="225">
        <v>90.5</v>
      </c>
      <c r="BG13" s="225">
        <v>8.9999999999999993E-3</v>
      </c>
      <c r="BH13" s="225" t="s">
        <v>1882</v>
      </c>
      <c r="BI13" s="225"/>
      <c r="BJ13" s="225">
        <f>2934+270+130+720</f>
        <v>4054</v>
      </c>
      <c r="BK13" s="225"/>
      <c r="BL13" s="225"/>
      <c r="BM13" s="225"/>
      <c r="BN13" s="225">
        <f>640</f>
        <v>640</v>
      </c>
      <c r="BO13" s="225">
        <f t="shared" si="0"/>
        <v>4694</v>
      </c>
      <c r="BP13" s="230">
        <f t="shared" si="1"/>
        <v>258.17</v>
      </c>
      <c r="BQ13" s="230">
        <f t="shared" si="2"/>
        <v>4952.17</v>
      </c>
      <c r="BR13" s="230">
        <v>4952.17</v>
      </c>
      <c r="BS13" s="225" t="s">
        <v>188</v>
      </c>
      <c r="BT13" s="225"/>
      <c r="BU13" s="225"/>
      <c r="BV13" s="301" t="s">
        <v>1900</v>
      </c>
      <c r="BW13" s="301" t="s">
        <v>214</v>
      </c>
      <c r="BX13" s="301" t="s">
        <v>620</v>
      </c>
      <c r="BY13" s="301" t="s">
        <v>176</v>
      </c>
    </row>
    <row r="14" spans="1:77" ht="13.5" customHeight="1">
      <c r="A14" s="64">
        <f t="shared" si="3"/>
        <v>2020</v>
      </c>
      <c r="B14" s="64">
        <f t="shared" si="4"/>
        <v>7</v>
      </c>
      <c r="C14" s="125" t="s">
        <v>4106</v>
      </c>
      <c r="D14" s="168" t="str">
        <f t="shared" si="5"/>
        <v>non maj</v>
      </c>
      <c r="E14" s="292" t="s">
        <v>670</v>
      </c>
      <c r="F14" s="292" t="s">
        <v>1233</v>
      </c>
      <c r="G14" s="221">
        <v>400</v>
      </c>
      <c r="H14" s="222">
        <v>44012</v>
      </c>
      <c r="I14" s="222">
        <v>44014</v>
      </c>
      <c r="J14" s="223">
        <v>44014</v>
      </c>
      <c r="K14" s="222" t="s">
        <v>1962</v>
      </c>
      <c r="L14" s="223">
        <v>44033</v>
      </c>
      <c r="M14" s="223">
        <v>44033</v>
      </c>
      <c r="N14" s="223">
        <v>44046</v>
      </c>
      <c r="O14" s="222"/>
      <c r="P14" s="222">
        <v>44085</v>
      </c>
      <c r="Q14" s="222">
        <v>44084</v>
      </c>
      <c r="R14" s="222" t="s">
        <v>176</v>
      </c>
      <c r="S14" s="222">
        <v>44116</v>
      </c>
      <c r="T14" s="222">
        <v>44116</v>
      </c>
      <c r="U14" s="222">
        <v>44116</v>
      </c>
      <c r="V14" s="224"/>
      <c r="W14" s="222"/>
      <c r="X14" s="225"/>
      <c r="Y14" s="225"/>
      <c r="Z14" s="225"/>
      <c r="AA14" s="225">
        <v>2</v>
      </c>
      <c r="AB14" s="225">
        <v>37714</v>
      </c>
      <c r="AC14" s="225">
        <v>848</v>
      </c>
      <c r="AD14" s="225" t="s">
        <v>1963</v>
      </c>
      <c r="AE14" s="225">
        <v>38960</v>
      </c>
      <c r="AF14" s="225" t="s">
        <v>1964</v>
      </c>
      <c r="AG14" s="226">
        <v>659127875</v>
      </c>
      <c r="AH14" s="246" t="s">
        <v>1965</v>
      </c>
      <c r="AI14" s="225" t="s">
        <v>1168</v>
      </c>
      <c r="AJ14" s="225"/>
      <c r="AK14" s="225"/>
      <c r="AL14" s="225" t="s">
        <v>176</v>
      </c>
      <c r="AM14" s="225" t="s">
        <v>176</v>
      </c>
      <c r="AN14" s="225" t="s">
        <v>176</v>
      </c>
      <c r="AO14" s="225" t="s">
        <v>176</v>
      </c>
      <c r="AP14" s="225" t="s">
        <v>845</v>
      </c>
      <c r="AQ14" s="225" t="s">
        <v>1910</v>
      </c>
      <c r="AR14" s="225" t="s">
        <v>1966</v>
      </c>
      <c r="AS14" s="241" t="s">
        <v>430</v>
      </c>
      <c r="AT14" s="226">
        <v>474432868</v>
      </c>
      <c r="AU14" s="225" t="s">
        <v>176</v>
      </c>
      <c r="AV14" s="241" t="s">
        <v>188</v>
      </c>
      <c r="AW14" s="223">
        <v>44149</v>
      </c>
      <c r="AX14" s="225" t="s">
        <v>1879</v>
      </c>
      <c r="AY14" s="225" t="s">
        <v>1967</v>
      </c>
      <c r="AZ14" s="225" t="s">
        <v>1880</v>
      </c>
      <c r="BA14" s="225" t="s">
        <v>267</v>
      </c>
      <c r="BB14" s="225" t="s">
        <v>853</v>
      </c>
      <c r="BC14" s="225" t="s">
        <v>1968</v>
      </c>
      <c r="BD14" s="225">
        <v>14.6</v>
      </c>
      <c r="BE14" s="225">
        <v>7.9</v>
      </c>
      <c r="BF14" s="225">
        <v>91.4</v>
      </c>
      <c r="BG14" s="225">
        <v>4.0000000000000001E-3</v>
      </c>
      <c r="BH14" s="225" t="s">
        <v>1899</v>
      </c>
      <c r="BI14" s="225"/>
      <c r="BJ14" s="225">
        <f>3070+216+634+96+212</f>
        <v>4228</v>
      </c>
      <c r="BK14" s="225"/>
      <c r="BL14" s="225"/>
      <c r="BM14" s="225"/>
      <c r="BN14" s="225">
        <v>650</v>
      </c>
      <c r="BO14" s="225">
        <f t="shared" si="0"/>
        <v>4878</v>
      </c>
      <c r="BP14" s="230">
        <f t="shared" si="1"/>
        <v>268.29000000000002</v>
      </c>
      <c r="BQ14" s="230">
        <f t="shared" si="2"/>
        <v>5146.29</v>
      </c>
      <c r="BR14" s="230">
        <v>4528.0600000000004</v>
      </c>
      <c r="BS14" s="225" t="s">
        <v>191</v>
      </c>
      <c r="BT14" s="225"/>
      <c r="BU14" s="225"/>
      <c r="BV14" s="301" t="s">
        <v>1900</v>
      </c>
      <c r="BW14" s="301" t="s">
        <v>214</v>
      </c>
      <c r="BX14" s="301" t="s">
        <v>620</v>
      </c>
      <c r="BY14" s="301" t="s">
        <v>176</v>
      </c>
    </row>
    <row r="15" spans="1:77" ht="13.5" customHeight="1">
      <c r="A15" s="64">
        <f t="shared" si="3"/>
        <v>2020</v>
      </c>
      <c r="B15" s="64">
        <f t="shared" si="4"/>
        <v>9</v>
      </c>
      <c r="C15" s="125" t="s">
        <v>4106</v>
      </c>
      <c r="D15" s="168" t="str">
        <f t="shared" si="5"/>
        <v>non maj</v>
      </c>
      <c r="E15" s="292" t="s">
        <v>670</v>
      </c>
      <c r="F15" s="292" t="s">
        <v>1234</v>
      </c>
      <c r="G15" s="221">
        <v>400</v>
      </c>
      <c r="H15" s="222">
        <v>44013</v>
      </c>
      <c r="I15" s="222">
        <v>44014</v>
      </c>
      <c r="J15" s="223">
        <v>44015</v>
      </c>
      <c r="K15" s="222" t="s">
        <v>1969</v>
      </c>
      <c r="L15" s="223">
        <v>44102</v>
      </c>
      <c r="M15" s="223">
        <v>44102</v>
      </c>
      <c r="N15" s="223">
        <v>44125</v>
      </c>
      <c r="O15" s="222"/>
      <c r="P15" s="222">
        <v>44144</v>
      </c>
      <c r="Q15" s="222">
        <v>44130</v>
      </c>
      <c r="R15" s="222" t="s">
        <v>176</v>
      </c>
      <c r="S15" s="222">
        <v>44145</v>
      </c>
      <c r="T15" s="222">
        <v>44145</v>
      </c>
      <c r="U15" s="222">
        <v>44147</v>
      </c>
      <c r="V15" s="224"/>
      <c r="W15" s="222"/>
      <c r="X15" s="225"/>
      <c r="Y15" s="225"/>
      <c r="Z15" s="225"/>
      <c r="AA15" s="225">
        <v>1</v>
      </c>
      <c r="AB15" s="225">
        <v>22291</v>
      </c>
      <c r="AC15" s="225">
        <v>65</v>
      </c>
      <c r="AD15" s="225" t="s">
        <v>1970</v>
      </c>
      <c r="AE15" s="225">
        <v>38140</v>
      </c>
      <c r="AF15" s="225" t="s">
        <v>1971</v>
      </c>
      <c r="AG15" s="226">
        <v>689398788</v>
      </c>
      <c r="AH15" s="246" t="s">
        <v>1972</v>
      </c>
      <c r="AI15" s="225" t="s">
        <v>1168</v>
      </c>
      <c r="AJ15" s="225"/>
      <c r="AK15" s="225"/>
      <c r="AL15" s="225" t="s">
        <v>176</v>
      </c>
      <c r="AM15" s="225" t="s">
        <v>176</v>
      </c>
      <c r="AN15" s="225" t="s">
        <v>176</v>
      </c>
      <c r="AO15" s="225" t="s">
        <v>176</v>
      </c>
      <c r="AP15" s="222" t="s">
        <v>818</v>
      </c>
      <c r="AQ15" s="225" t="s">
        <v>225</v>
      </c>
      <c r="AR15" s="225" t="s">
        <v>1973</v>
      </c>
      <c r="AS15" s="241" t="s">
        <v>1974</v>
      </c>
      <c r="AT15" s="226">
        <v>476323235</v>
      </c>
      <c r="AU15" s="225" t="s">
        <v>176</v>
      </c>
      <c r="AV15" s="241" t="s">
        <v>188</v>
      </c>
      <c r="AW15" s="223">
        <v>44429</v>
      </c>
      <c r="AX15" s="225" t="s">
        <v>4113</v>
      </c>
      <c r="AY15" s="225">
        <v>1984</v>
      </c>
      <c r="AZ15" s="225" t="s">
        <v>1880</v>
      </c>
      <c r="BA15" s="225" t="s">
        <v>380</v>
      </c>
      <c r="BB15" s="225" t="s">
        <v>256</v>
      </c>
      <c r="BC15" s="225" t="s">
        <v>1975</v>
      </c>
      <c r="BD15" s="225">
        <v>12</v>
      </c>
      <c r="BE15" s="225">
        <v>9.1999999999999993</v>
      </c>
      <c r="BF15" s="225">
        <v>77</v>
      </c>
      <c r="BG15" s="225">
        <v>0.04</v>
      </c>
      <c r="BH15" s="225" t="s">
        <v>1882</v>
      </c>
      <c r="BI15" s="225"/>
      <c r="BJ15" s="225">
        <f>550+40+135+2350+80+90+69+41+41+29+26+120</f>
        <v>3571</v>
      </c>
      <c r="BK15" s="225"/>
      <c r="BL15" s="225"/>
      <c r="BM15" s="225"/>
      <c r="BN15" s="225">
        <f>30+235+30+285+35</f>
        <v>615</v>
      </c>
      <c r="BO15" s="225">
        <f t="shared" si="0"/>
        <v>4186</v>
      </c>
      <c r="BP15" s="230">
        <f t="shared" si="1"/>
        <v>230.23</v>
      </c>
      <c r="BQ15" s="230">
        <f t="shared" si="2"/>
        <v>4416.2299999999996</v>
      </c>
      <c r="BR15" s="230">
        <v>4214.21</v>
      </c>
      <c r="BS15" s="225" t="s">
        <v>188</v>
      </c>
      <c r="BT15" s="225"/>
      <c r="BU15" s="225"/>
      <c r="BV15" s="301" t="s">
        <v>1900</v>
      </c>
      <c r="BW15" s="301" t="s">
        <v>214</v>
      </c>
      <c r="BX15" s="301" t="s">
        <v>620</v>
      </c>
      <c r="BY15" s="301">
        <v>2020</v>
      </c>
    </row>
    <row r="16" spans="1:77" ht="13.5" customHeight="1">
      <c r="A16" s="64">
        <f t="shared" si="3"/>
        <v>2020</v>
      </c>
      <c r="B16" s="64">
        <f t="shared" si="4"/>
        <v>7</v>
      </c>
      <c r="C16" s="125" t="s">
        <v>4106</v>
      </c>
      <c r="D16" s="168" t="str">
        <f t="shared" si="5"/>
        <v>non maj</v>
      </c>
      <c r="E16" s="292" t="s">
        <v>670</v>
      </c>
      <c r="F16" s="292" t="s">
        <v>1235</v>
      </c>
      <c r="G16" s="221">
        <v>400</v>
      </c>
      <c r="H16" s="222">
        <v>44013</v>
      </c>
      <c r="I16" s="222">
        <v>44014</v>
      </c>
      <c r="J16" s="223" t="s">
        <v>176</v>
      </c>
      <c r="K16" s="222" t="s">
        <v>176</v>
      </c>
      <c r="L16" s="223">
        <v>44015</v>
      </c>
      <c r="M16" s="223">
        <v>44015</v>
      </c>
      <c r="N16" s="223">
        <v>44020</v>
      </c>
      <c r="O16" s="222"/>
      <c r="P16" s="222">
        <v>44092</v>
      </c>
      <c r="Q16" s="222">
        <v>44028</v>
      </c>
      <c r="R16" s="222" t="s">
        <v>176</v>
      </c>
      <c r="S16" s="222">
        <v>44096</v>
      </c>
      <c r="T16" s="222">
        <v>44096</v>
      </c>
      <c r="U16" s="222">
        <v>44096</v>
      </c>
      <c r="V16" s="224"/>
      <c r="W16" s="222"/>
      <c r="X16" s="225"/>
      <c r="Y16" s="225"/>
      <c r="Z16" s="225"/>
      <c r="AA16" s="225">
        <v>2</v>
      </c>
      <c r="AB16" s="225">
        <v>31407</v>
      </c>
      <c r="AC16" s="225">
        <v>95</v>
      </c>
      <c r="AD16" s="225" t="s">
        <v>1976</v>
      </c>
      <c r="AE16" s="225">
        <v>38140</v>
      </c>
      <c r="AF16" s="225" t="s">
        <v>1946</v>
      </c>
      <c r="AG16" s="226">
        <v>476057023</v>
      </c>
      <c r="AH16" s="246" t="s">
        <v>1977</v>
      </c>
      <c r="AI16" s="225" t="s">
        <v>1168</v>
      </c>
      <c r="AJ16" s="225"/>
      <c r="AK16" s="225"/>
      <c r="AL16" s="225" t="s">
        <v>176</v>
      </c>
      <c r="AM16" s="225" t="s">
        <v>176</v>
      </c>
      <c r="AN16" s="225" t="s">
        <v>176</v>
      </c>
      <c r="AO16" s="225" t="s">
        <v>176</v>
      </c>
      <c r="AP16" s="225" t="s">
        <v>778</v>
      </c>
      <c r="AQ16" s="225" t="s">
        <v>1926</v>
      </c>
      <c r="AR16" s="225" t="s">
        <v>779</v>
      </c>
      <c r="AS16" s="241" t="s">
        <v>251</v>
      </c>
      <c r="AT16" s="226">
        <v>438021901</v>
      </c>
      <c r="AU16" s="225" t="s">
        <v>176</v>
      </c>
      <c r="AV16" s="241" t="s">
        <v>188</v>
      </c>
      <c r="AW16" s="223">
        <v>44276</v>
      </c>
      <c r="AX16" s="225" t="s">
        <v>4113</v>
      </c>
      <c r="AY16" s="225">
        <v>1985</v>
      </c>
      <c r="AZ16" s="225" t="s">
        <v>1880</v>
      </c>
      <c r="BA16" s="225" t="s">
        <v>267</v>
      </c>
      <c r="BB16" s="225" t="s">
        <v>674</v>
      </c>
      <c r="BC16" s="225" t="s">
        <v>1978</v>
      </c>
      <c r="BD16" s="225">
        <v>20</v>
      </c>
      <c r="BE16" s="225">
        <v>11.5</v>
      </c>
      <c r="BF16" s="225">
        <v>87</v>
      </c>
      <c r="BG16" s="225">
        <v>0.02</v>
      </c>
      <c r="BH16" s="225" t="s">
        <v>1882</v>
      </c>
      <c r="BI16" s="225"/>
      <c r="BJ16" s="225">
        <f>5028+1461+800</f>
        <v>7289</v>
      </c>
      <c r="BK16" s="225"/>
      <c r="BL16" s="225"/>
      <c r="BM16" s="225"/>
      <c r="BN16" s="225">
        <v>1492</v>
      </c>
      <c r="BO16" s="225">
        <f t="shared" si="0"/>
        <v>8781</v>
      </c>
      <c r="BP16" s="230">
        <f t="shared" si="1"/>
        <v>482.95499999999998</v>
      </c>
      <c r="BQ16" s="230">
        <f t="shared" si="2"/>
        <v>9263.9549999999999</v>
      </c>
      <c r="BR16" s="230">
        <v>9300</v>
      </c>
      <c r="BS16" s="225" t="s">
        <v>188</v>
      </c>
      <c r="BT16" s="225"/>
      <c r="BU16" s="225"/>
      <c r="BV16" s="301" t="s">
        <v>1900</v>
      </c>
      <c r="BW16" s="301" t="s">
        <v>214</v>
      </c>
      <c r="BX16" s="301" t="s">
        <v>620</v>
      </c>
      <c r="BY16" s="301" t="s">
        <v>176</v>
      </c>
    </row>
    <row r="17" spans="1:77" ht="13.5" customHeight="1">
      <c r="A17" s="64">
        <f t="shared" si="3"/>
        <v>2020</v>
      </c>
      <c r="B17" s="64">
        <f t="shared" si="4"/>
        <v>7</v>
      </c>
      <c r="C17" s="125" t="s">
        <v>191</v>
      </c>
      <c r="D17" s="168" t="str">
        <f t="shared" si="5"/>
        <v>non maj</v>
      </c>
      <c r="E17" s="292" t="s">
        <v>670</v>
      </c>
      <c r="F17" s="292" t="s">
        <v>1236</v>
      </c>
      <c r="G17" s="221">
        <v>400</v>
      </c>
      <c r="H17" s="222">
        <v>44014</v>
      </c>
      <c r="I17" s="222">
        <v>44015</v>
      </c>
      <c r="J17" s="223">
        <v>44015</v>
      </c>
      <c r="K17" s="222" t="s">
        <v>1969</v>
      </c>
      <c r="L17" s="223">
        <v>44033</v>
      </c>
      <c r="M17" s="223">
        <v>44033</v>
      </c>
      <c r="N17" s="223">
        <v>44046</v>
      </c>
      <c r="O17" s="222"/>
      <c r="P17" s="222">
        <v>44464</v>
      </c>
      <c r="Q17" s="222">
        <v>44141</v>
      </c>
      <c r="R17" s="222" t="s">
        <v>176</v>
      </c>
      <c r="S17" s="222">
        <v>44469</v>
      </c>
      <c r="T17" s="222">
        <v>44469</v>
      </c>
      <c r="U17" s="222">
        <v>44469</v>
      </c>
      <c r="V17" s="224"/>
      <c r="W17" s="222"/>
      <c r="X17" s="225"/>
      <c r="Y17" s="225"/>
      <c r="Z17" s="225"/>
      <c r="AA17" s="225">
        <v>2</v>
      </c>
      <c r="AB17" s="225">
        <v>78641</v>
      </c>
      <c r="AC17" s="225">
        <v>345</v>
      </c>
      <c r="AD17" s="225" t="s">
        <v>1979</v>
      </c>
      <c r="AE17" s="225">
        <v>38850</v>
      </c>
      <c r="AF17" s="225" t="s">
        <v>1951</v>
      </c>
      <c r="AG17" s="226">
        <v>631227897</v>
      </c>
      <c r="AH17" s="246" t="s">
        <v>1980</v>
      </c>
      <c r="AI17" s="225" t="s">
        <v>1168</v>
      </c>
      <c r="AJ17" s="225"/>
      <c r="AK17" s="225"/>
      <c r="AL17" s="225" t="s">
        <v>176</v>
      </c>
      <c r="AM17" s="225" t="s">
        <v>176</v>
      </c>
      <c r="AN17" s="225" t="s">
        <v>176</v>
      </c>
      <c r="AO17" s="225" t="s">
        <v>176</v>
      </c>
      <c r="AP17" s="225" t="s">
        <v>675</v>
      </c>
      <c r="AQ17" s="225" t="s">
        <v>225</v>
      </c>
      <c r="AR17" s="225" t="s">
        <v>1948</v>
      </c>
      <c r="AS17" s="241" t="s">
        <v>673</v>
      </c>
      <c r="AT17" s="226">
        <v>951096343</v>
      </c>
      <c r="AU17" s="225" t="s">
        <v>176</v>
      </c>
      <c r="AV17" s="241" t="s">
        <v>188</v>
      </c>
      <c r="AW17" s="223">
        <v>44068</v>
      </c>
      <c r="AX17" s="225" t="s">
        <v>4113</v>
      </c>
      <c r="AY17" s="225">
        <v>1988</v>
      </c>
      <c r="AZ17" s="225" t="s">
        <v>1880</v>
      </c>
      <c r="BA17" s="225" t="s">
        <v>267</v>
      </c>
      <c r="BB17" s="225" t="s">
        <v>229</v>
      </c>
      <c r="BC17" s="225" t="s">
        <v>783</v>
      </c>
      <c r="BD17" s="225">
        <v>20</v>
      </c>
      <c r="BE17" s="225">
        <v>8.3000000000000007</v>
      </c>
      <c r="BF17" s="225">
        <v>87</v>
      </c>
      <c r="BG17" s="225">
        <v>1.7999999999999999E-2</v>
      </c>
      <c r="BH17" s="225" t="s">
        <v>1899</v>
      </c>
      <c r="BI17" s="225"/>
      <c r="BJ17" s="225">
        <f>4953.67+401.06+269.37+263.57</f>
        <v>5887.67</v>
      </c>
      <c r="BK17" s="225"/>
      <c r="BL17" s="225"/>
      <c r="BM17" s="225"/>
      <c r="BN17" s="225">
        <v>625.39</v>
      </c>
      <c r="BO17" s="225">
        <f t="shared" si="0"/>
        <v>6513.06</v>
      </c>
      <c r="BP17" s="230">
        <f t="shared" si="1"/>
        <v>358.2183</v>
      </c>
      <c r="BQ17" s="230">
        <f t="shared" si="2"/>
        <v>6871.2782999999999</v>
      </c>
      <c r="BR17" s="230">
        <v>6400</v>
      </c>
      <c r="BS17" s="225" t="s">
        <v>191</v>
      </c>
      <c r="BT17" s="225"/>
      <c r="BU17" s="225"/>
      <c r="BV17" s="301" t="s">
        <v>1981</v>
      </c>
      <c r="BW17" s="301" t="s">
        <v>214</v>
      </c>
      <c r="BX17" s="301" t="s">
        <v>620</v>
      </c>
      <c r="BY17" s="301" t="s">
        <v>176</v>
      </c>
    </row>
    <row r="18" spans="1:77" ht="13.5" customHeight="1">
      <c r="A18" s="64">
        <f t="shared" si="3"/>
        <v>2020</v>
      </c>
      <c r="B18" s="64">
        <f t="shared" si="4"/>
        <v>7</v>
      </c>
      <c r="C18" s="125" t="s">
        <v>4106</v>
      </c>
      <c r="D18" s="168" t="str">
        <f t="shared" si="5"/>
        <v>non maj</v>
      </c>
      <c r="E18" s="292" t="s">
        <v>670</v>
      </c>
      <c r="F18" s="292" t="s">
        <v>1237</v>
      </c>
      <c r="G18" s="221">
        <v>400</v>
      </c>
      <c r="H18" s="222">
        <v>44018</v>
      </c>
      <c r="I18" s="222">
        <v>44036</v>
      </c>
      <c r="J18" s="223">
        <v>44036</v>
      </c>
      <c r="K18" s="222" t="s">
        <v>1982</v>
      </c>
      <c r="L18" s="223">
        <v>44043</v>
      </c>
      <c r="M18" s="223">
        <v>44043</v>
      </c>
      <c r="N18" s="223">
        <v>44074</v>
      </c>
      <c r="O18" s="222"/>
      <c r="P18" s="222">
        <v>44070</v>
      </c>
      <c r="Q18" s="222">
        <v>44119</v>
      </c>
      <c r="R18" s="222" t="s">
        <v>176</v>
      </c>
      <c r="S18" s="222">
        <v>44126</v>
      </c>
      <c r="T18" s="222">
        <v>44126</v>
      </c>
      <c r="U18" s="222">
        <v>44139</v>
      </c>
      <c r="V18" s="224"/>
      <c r="W18" s="222"/>
      <c r="X18" s="225"/>
      <c r="Y18" s="225"/>
      <c r="Z18" s="225"/>
      <c r="AA18" s="225">
        <v>2</v>
      </c>
      <c r="AB18" s="225">
        <v>34556</v>
      </c>
      <c r="AC18" s="225">
        <v>250</v>
      </c>
      <c r="AD18" s="225" t="s">
        <v>1983</v>
      </c>
      <c r="AE18" s="225">
        <v>38500</v>
      </c>
      <c r="AF18" s="225" t="s">
        <v>1984</v>
      </c>
      <c r="AG18" s="226" t="s">
        <v>1985</v>
      </c>
      <c r="AH18" s="246" t="s">
        <v>176</v>
      </c>
      <c r="AI18" s="225" t="s">
        <v>1168</v>
      </c>
      <c r="AJ18" s="225"/>
      <c r="AK18" s="225"/>
      <c r="AL18" s="225" t="s">
        <v>176</v>
      </c>
      <c r="AM18" s="225" t="s">
        <v>176</v>
      </c>
      <c r="AN18" s="225" t="s">
        <v>176</v>
      </c>
      <c r="AO18" s="225" t="s">
        <v>176</v>
      </c>
      <c r="AP18" s="225" t="s">
        <v>1874</v>
      </c>
      <c r="AQ18" s="225" t="s">
        <v>1875</v>
      </c>
      <c r="AR18" s="225" t="s">
        <v>1876</v>
      </c>
      <c r="AS18" s="246" t="s">
        <v>1877</v>
      </c>
      <c r="AT18" s="226" t="s">
        <v>434</v>
      </c>
      <c r="AU18" s="225" t="s">
        <v>176</v>
      </c>
      <c r="AV18" s="241" t="s">
        <v>1878</v>
      </c>
      <c r="AW18" s="223">
        <v>44152</v>
      </c>
      <c r="AX18" s="225" t="s">
        <v>1880</v>
      </c>
      <c r="AY18" s="225" t="s">
        <v>1986</v>
      </c>
      <c r="AZ18" s="225" t="s">
        <v>1880</v>
      </c>
      <c r="BA18" s="225" t="s">
        <v>267</v>
      </c>
      <c r="BB18" s="225" t="s">
        <v>190</v>
      </c>
      <c r="BC18" s="225" t="s">
        <v>1987</v>
      </c>
      <c r="BD18" s="225">
        <v>11</v>
      </c>
      <c r="BE18" s="225">
        <v>12</v>
      </c>
      <c r="BF18" s="225">
        <v>88.5</v>
      </c>
      <c r="BG18" s="225">
        <v>0.01</v>
      </c>
      <c r="BH18" s="225" t="s">
        <v>1882</v>
      </c>
      <c r="BI18" s="225"/>
      <c r="BJ18" s="225">
        <f>2850+695+258.5+263+198+165</f>
        <v>4429.5</v>
      </c>
      <c r="BK18" s="225"/>
      <c r="BL18" s="225"/>
      <c r="BM18" s="225"/>
      <c r="BN18" s="225">
        <f>590</f>
        <v>590</v>
      </c>
      <c r="BO18" s="225">
        <f t="shared" si="0"/>
        <v>5019.5</v>
      </c>
      <c r="BP18" s="230">
        <f t="shared" si="1"/>
        <v>276.07249999999999</v>
      </c>
      <c r="BQ18" s="230">
        <f t="shared" si="2"/>
        <v>5295.5725000000002</v>
      </c>
      <c r="BR18" s="230">
        <v>5295.57</v>
      </c>
      <c r="BS18" s="225" t="s">
        <v>188</v>
      </c>
      <c r="BT18" s="225"/>
      <c r="BU18" s="225"/>
      <c r="BV18" s="301" t="s">
        <v>1900</v>
      </c>
      <c r="BW18" s="301" t="s">
        <v>214</v>
      </c>
      <c r="BX18" s="301" t="s">
        <v>620</v>
      </c>
      <c r="BY18" s="301" t="s">
        <v>176</v>
      </c>
    </row>
    <row r="19" spans="1:77" ht="13.5" customHeight="1">
      <c r="A19" s="64">
        <f t="shared" si="3"/>
        <v>2020</v>
      </c>
      <c r="B19" s="64">
        <f t="shared" si="4"/>
        <v>7</v>
      </c>
      <c r="C19" s="125" t="s">
        <v>4106</v>
      </c>
      <c r="D19" s="168" t="str">
        <f t="shared" si="5"/>
        <v>non maj</v>
      </c>
      <c r="E19" s="292" t="s">
        <v>670</v>
      </c>
      <c r="F19" s="292" t="s">
        <v>1239</v>
      </c>
      <c r="G19" s="221">
        <v>400</v>
      </c>
      <c r="H19" s="222">
        <v>44016</v>
      </c>
      <c r="I19" s="222">
        <v>44019</v>
      </c>
      <c r="J19" s="223" t="s">
        <v>176</v>
      </c>
      <c r="K19" s="222" t="s">
        <v>176</v>
      </c>
      <c r="L19" s="223">
        <v>44036</v>
      </c>
      <c r="M19" s="223">
        <v>44036</v>
      </c>
      <c r="N19" s="223">
        <v>44046</v>
      </c>
      <c r="O19" s="222"/>
      <c r="P19" s="222">
        <v>44123</v>
      </c>
      <c r="Q19" s="222">
        <v>44088</v>
      </c>
      <c r="R19" s="222" t="s">
        <v>1988</v>
      </c>
      <c r="S19" s="222">
        <v>44140</v>
      </c>
      <c r="T19" s="222">
        <v>44140</v>
      </c>
      <c r="U19" s="222">
        <v>44147</v>
      </c>
      <c r="V19" s="224"/>
      <c r="W19" s="222"/>
      <c r="X19" s="225"/>
      <c r="Y19" s="225"/>
      <c r="Z19" s="225"/>
      <c r="AA19" s="225">
        <v>2</v>
      </c>
      <c r="AB19" s="225">
        <v>39775</v>
      </c>
      <c r="AC19" s="225">
        <v>1787</v>
      </c>
      <c r="AD19" s="225" t="s">
        <v>1989</v>
      </c>
      <c r="AE19" s="225">
        <v>38620</v>
      </c>
      <c r="AF19" s="225" t="s">
        <v>1990</v>
      </c>
      <c r="AG19" s="226" t="s">
        <v>1991</v>
      </c>
      <c r="AH19" s="246" t="s">
        <v>1992</v>
      </c>
      <c r="AI19" s="225" t="s">
        <v>1168</v>
      </c>
      <c r="AJ19" s="225"/>
      <c r="AK19" s="225"/>
      <c r="AL19" s="225" t="s">
        <v>176</v>
      </c>
      <c r="AM19" s="225" t="s">
        <v>176</v>
      </c>
      <c r="AN19" s="225" t="s">
        <v>176</v>
      </c>
      <c r="AO19" s="225" t="s">
        <v>176</v>
      </c>
      <c r="AP19" s="225" t="s">
        <v>1909</v>
      </c>
      <c r="AQ19" s="225" t="s">
        <v>1910</v>
      </c>
      <c r="AR19" s="225" t="s">
        <v>781</v>
      </c>
      <c r="AS19" s="246" t="s">
        <v>1911</v>
      </c>
      <c r="AT19" s="226">
        <v>474937373</v>
      </c>
      <c r="AU19" s="225" t="s">
        <v>176</v>
      </c>
      <c r="AV19" s="241" t="s">
        <v>188</v>
      </c>
      <c r="AW19" s="223">
        <v>44314</v>
      </c>
      <c r="AX19" s="225" t="s">
        <v>1879</v>
      </c>
      <c r="AY19" s="225" t="s">
        <v>1967</v>
      </c>
      <c r="AZ19" s="225" t="s">
        <v>1880</v>
      </c>
      <c r="BA19" s="225" t="s">
        <v>267</v>
      </c>
      <c r="BB19" s="225" t="s">
        <v>1897</v>
      </c>
      <c r="BC19" s="225" t="s">
        <v>1993</v>
      </c>
      <c r="BD19" s="225">
        <v>17.899999999999999</v>
      </c>
      <c r="BE19" s="225">
        <v>9.61</v>
      </c>
      <c r="BF19" s="225">
        <v>87.5</v>
      </c>
      <c r="BG19" s="225">
        <v>0.02</v>
      </c>
      <c r="BH19" s="225" t="s">
        <v>1899</v>
      </c>
      <c r="BI19" s="225"/>
      <c r="BJ19" s="225">
        <v>3490</v>
      </c>
      <c r="BK19" s="225"/>
      <c r="BL19" s="225"/>
      <c r="BM19" s="225"/>
      <c r="BN19" s="225">
        <v>1890</v>
      </c>
      <c r="BO19" s="225">
        <f t="shared" si="0"/>
        <v>5380</v>
      </c>
      <c r="BP19" s="230">
        <f t="shared" si="1"/>
        <v>295.89999999999998</v>
      </c>
      <c r="BQ19" s="230">
        <f t="shared" si="2"/>
        <v>5675.9</v>
      </c>
      <c r="BR19" s="230">
        <v>5675.9</v>
      </c>
      <c r="BS19" s="225" t="s">
        <v>176</v>
      </c>
      <c r="BT19" s="225"/>
      <c r="BU19" s="225"/>
      <c r="BV19" s="301" t="s">
        <v>1900</v>
      </c>
      <c r="BW19" s="301" t="s">
        <v>214</v>
      </c>
      <c r="BX19" s="301" t="s">
        <v>620</v>
      </c>
      <c r="BY19" s="301" t="s">
        <v>176</v>
      </c>
    </row>
    <row r="20" spans="1:77" ht="13.5" customHeight="1">
      <c r="A20" s="64">
        <f t="shared" si="3"/>
        <v>2020</v>
      </c>
      <c r="B20" s="64">
        <f t="shared" si="4"/>
        <v>7</v>
      </c>
      <c r="C20" s="125" t="s">
        <v>4106</v>
      </c>
      <c r="D20" s="168" t="str">
        <f t="shared" si="5"/>
        <v>non maj</v>
      </c>
      <c r="E20" s="292" t="s">
        <v>670</v>
      </c>
      <c r="F20" s="292" t="s">
        <v>1240</v>
      </c>
      <c r="G20" s="221">
        <v>400</v>
      </c>
      <c r="H20" s="222">
        <v>44027</v>
      </c>
      <c r="I20" s="222">
        <v>44028</v>
      </c>
      <c r="J20" s="223">
        <v>44036</v>
      </c>
      <c r="K20" s="222" t="s">
        <v>1994</v>
      </c>
      <c r="L20" s="223">
        <v>44043</v>
      </c>
      <c r="M20" s="223">
        <v>44043</v>
      </c>
      <c r="N20" s="223">
        <v>44074</v>
      </c>
      <c r="O20" s="222"/>
      <c r="P20" s="222">
        <v>44102</v>
      </c>
      <c r="Q20" s="222">
        <v>44074</v>
      </c>
      <c r="R20" s="222" t="s">
        <v>176</v>
      </c>
      <c r="S20" s="222">
        <v>44109</v>
      </c>
      <c r="T20" s="222">
        <v>44109</v>
      </c>
      <c r="U20" s="222">
        <v>44109</v>
      </c>
      <c r="V20" s="224"/>
      <c r="W20" s="222"/>
      <c r="X20" s="225"/>
      <c r="Y20" s="225"/>
      <c r="Z20" s="225"/>
      <c r="AA20" s="225">
        <v>2</v>
      </c>
      <c r="AB20" s="225">
        <v>34847</v>
      </c>
      <c r="AC20" s="225">
        <v>150</v>
      </c>
      <c r="AD20" s="225" t="s">
        <v>1995</v>
      </c>
      <c r="AE20" s="225">
        <v>38210</v>
      </c>
      <c r="AF20" s="225" t="s">
        <v>1903</v>
      </c>
      <c r="AG20" s="226" t="s">
        <v>1996</v>
      </c>
      <c r="AH20" s="295" t="s">
        <v>1997</v>
      </c>
      <c r="AI20" s="225" t="s">
        <v>1168</v>
      </c>
      <c r="AJ20" s="225"/>
      <c r="AK20" s="225"/>
      <c r="AL20" s="225" t="s">
        <v>176</v>
      </c>
      <c r="AM20" s="225" t="s">
        <v>176</v>
      </c>
      <c r="AN20" s="225" t="s">
        <v>176</v>
      </c>
      <c r="AO20" s="225" t="s">
        <v>176</v>
      </c>
      <c r="AP20" s="225" t="s">
        <v>1888</v>
      </c>
      <c r="AQ20" s="225" t="s">
        <v>225</v>
      </c>
      <c r="AR20" s="225" t="s">
        <v>1889</v>
      </c>
      <c r="AS20" s="295" t="s">
        <v>269</v>
      </c>
      <c r="AT20" s="226" t="s">
        <v>600</v>
      </c>
      <c r="AU20" s="225" t="s">
        <v>176</v>
      </c>
      <c r="AV20" s="251" t="s">
        <v>188</v>
      </c>
      <c r="AW20" s="223">
        <v>44138</v>
      </c>
      <c r="AX20" s="225" t="s">
        <v>1880</v>
      </c>
      <c r="AY20" s="225">
        <v>2000</v>
      </c>
      <c r="AZ20" s="225" t="s">
        <v>1880</v>
      </c>
      <c r="BA20" s="225" t="s">
        <v>267</v>
      </c>
      <c r="BB20" s="225" t="s">
        <v>221</v>
      </c>
      <c r="BC20" s="225" t="s">
        <v>424</v>
      </c>
      <c r="BD20" s="225">
        <v>17</v>
      </c>
      <c r="BE20" s="225">
        <v>6.3</v>
      </c>
      <c r="BF20" s="225">
        <v>91.5</v>
      </c>
      <c r="BG20" s="225">
        <v>0.01</v>
      </c>
      <c r="BH20" s="225" t="s">
        <v>1882</v>
      </c>
      <c r="BI20" s="225"/>
      <c r="BJ20" s="225">
        <f>1705+89+62+90+120+132+31+15</f>
        <v>2244</v>
      </c>
      <c r="BK20" s="225"/>
      <c r="BL20" s="225"/>
      <c r="BM20" s="225"/>
      <c r="BN20" s="225">
        <f>50+420</f>
        <v>470</v>
      </c>
      <c r="BO20" s="225">
        <f t="shared" si="0"/>
        <v>2714</v>
      </c>
      <c r="BP20" s="230">
        <f t="shared" si="1"/>
        <v>149.27000000000001</v>
      </c>
      <c r="BQ20" s="230">
        <f t="shared" si="2"/>
        <v>2863.27</v>
      </c>
      <c r="BR20" s="230">
        <v>2724.01</v>
      </c>
      <c r="BS20" s="225" t="s">
        <v>188</v>
      </c>
      <c r="BT20" s="225"/>
      <c r="BU20" s="225"/>
      <c r="BV20" s="225" t="s">
        <v>1900</v>
      </c>
      <c r="BW20" s="301" t="s">
        <v>214</v>
      </c>
      <c r="BX20" s="301" t="s">
        <v>620</v>
      </c>
      <c r="BY20" s="301" t="s">
        <v>176</v>
      </c>
    </row>
    <row r="21" spans="1:77" s="166" customFormat="1" ht="13.5" customHeight="1">
      <c r="A21" s="64">
        <f t="shared" si="3"/>
        <v>2020</v>
      </c>
      <c r="B21" s="64">
        <f t="shared" si="4"/>
        <v>8</v>
      </c>
      <c r="C21" s="125" t="s">
        <v>4106</v>
      </c>
      <c r="D21" s="168" t="str">
        <f t="shared" si="5"/>
        <v>non maj</v>
      </c>
      <c r="E21" s="292" t="s">
        <v>670</v>
      </c>
      <c r="F21" s="292" t="s">
        <v>1241</v>
      </c>
      <c r="G21" s="221">
        <v>400</v>
      </c>
      <c r="H21" s="222">
        <v>44029</v>
      </c>
      <c r="I21" s="222">
        <v>44029</v>
      </c>
      <c r="J21" s="223">
        <v>44036</v>
      </c>
      <c r="K21" s="222" t="s">
        <v>1998</v>
      </c>
      <c r="L21" s="223">
        <v>44056</v>
      </c>
      <c r="M21" s="223">
        <v>44056</v>
      </c>
      <c r="N21" s="223">
        <v>44076</v>
      </c>
      <c r="O21" s="222"/>
      <c r="P21" s="222">
        <v>44104</v>
      </c>
      <c r="Q21" s="222">
        <v>44092</v>
      </c>
      <c r="R21" s="222" t="s">
        <v>176</v>
      </c>
      <c r="S21" s="222">
        <v>44109</v>
      </c>
      <c r="T21" s="222">
        <v>44109</v>
      </c>
      <c r="U21" s="222">
        <v>44109</v>
      </c>
      <c r="V21" s="224"/>
      <c r="W21" s="222"/>
      <c r="X21" s="225"/>
      <c r="Y21" s="225"/>
      <c r="Z21" s="225"/>
      <c r="AA21" s="225">
        <v>2</v>
      </c>
      <c r="AB21" s="225">
        <v>49157</v>
      </c>
      <c r="AC21" s="225">
        <v>80</v>
      </c>
      <c r="AD21" s="225" t="s">
        <v>1999</v>
      </c>
      <c r="AE21" s="225">
        <v>38210</v>
      </c>
      <c r="AF21" s="225" t="s">
        <v>1903</v>
      </c>
      <c r="AG21" s="226" t="s">
        <v>2000</v>
      </c>
      <c r="AH21" s="246" t="s">
        <v>2001</v>
      </c>
      <c r="AI21" s="225" t="s">
        <v>1168</v>
      </c>
      <c r="AJ21" s="225"/>
      <c r="AK21" s="225"/>
      <c r="AL21" s="225" t="s">
        <v>176</v>
      </c>
      <c r="AM21" s="225" t="s">
        <v>176</v>
      </c>
      <c r="AN21" s="225" t="s">
        <v>176</v>
      </c>
      <c r="AO21" s="225" t="s">
        <v>176</v>
      </c>
      <c r="AP21" s="225" t="s">
        <v>2002</v>
      </c>
      <c r="AQ21" s="225" t="s">
        <v>1895</v>
      </c>
      <c r="AR21" s="225" t="s">
        <v>2003</v>
      </c>
      <c r="AS21" s="241" t="s">
        <v>245</v>
      </c>
      <c r="AT21" s="226">
        <v>476452433</v>
      </c>
      <c r="AU21" s="225" t="s">
        <v>176</v>
      </c>
      <c r="AV21" s="241" t="s">
        <v>188</v>
      </c>
      <c r="AW21" s="223">
        <v>44118</v>
      </c>
      <c r="AX21" s="225" t="s">
        <v>4113</v>
      </c>
      <c r="AY21" s="225">
        <v>2001</v>
      </c>
      <c r="AZ21" s="225" t="s">
        <v>1880</v>
      </c>
      <c r="BA21" s="225" t="s">
        <v>380</v>
      </c>
      <c r="BB21" s="225" t="s">
        <v>246</v>
      </c>
      <c r="BC21" s="225" t="s">
        <v>1057</v>
      </c>
      <c r="BD21" s="225">
        <v>16</v>
      </c>
      <c r="BE21" s="225">
        <v>6.4</v>
      </c>
      <c r="BF21" s="225">
        <v>81</v>
      </c>
      <c r="BG21" s="225">
        <v>0.08</v>
      </c>
      <c r="BH21" s="225" t="s">
        <v>1882</v>
      </c>
      <c r="BI21" s="225"/>
      <c r="BJ21" s="225">
        <f>3971.56+765.62+255+175.3+354.98+304.38+279.8</f>
        <v>6106.6400000000012</v>
      </c>
      <c r="BK21" s="225"/>
      <c r="BL21" s="225"/>
      <c r="BM21" s="225"/>
      <c r="BN21" s="225">
        <f>580+450+400</f>
        <v>1430</v>
      </c>
      <c r="BO21" s="225">
        <f t="shared" si="0"/>
        <v>7536.6400000000012</v>
      </c>
      <c r="BP21" s="230">
        <f t="shared" si="1"/>
        <v>414.51520000000005</v>
      </c>
      <c r="BQ21" s="230">
        <f t="shared" si="2"/>
        <v>7951.1552000000011</v>
      </c>
      <c r="BR21" s="230">
        <v>6896.16</v>
      </c>
      <c r="BS21" s="225" t="s">
        <v>176</v>
      </c>
      <c r="BT21" s="225"/>
      <c r="BU21" s="225"/>
      <c r="BV21" s="301" t="s">
        <v>1900</v>
      </c>
      <c r="BW21" s="301" t="s">
        <v>214</v>
      </c>
      <c r="BX21" s="301" t="s">
        <v>620</v>
      </c>
      <c r="BY21" s="301">
        <v>2020</v>
      </c>
    </row>
    <row r="22" spans="1:77" ht="13.5" customHeight="1">
      <c r="A22" s="64">
        <f t="shared" si="3"/>
        <v>2020</v>
      </c>
      <c r="B22" s="64">
        <f t="shared" si="4"/>
        <v>7</v>
      </c>
      <c r="C22" s="125" t="s">
        <v>4106</v>
      </c>
      <c r="D22" s="168" t="str">
        <f t="shared" si="5"/>
        <v>maj</v>
      </c>
      <c r="E22" s="292" t="s">
        <v>670</v>
      </c>
      <c r="F22" s="292" t="s">
        <v>1243</v>
      </c>
      <c r="G22" s="221">
        <v>800</v>
      </c>
      <c r="H22" s="222">
        <v>44032</v>
      </c>
      <c r="I22" s="222">
        <v>44033</v>
      </c>
      <c r="J22" s="223">
        <v>44036</v>
      </c>
      <c r="K22" s="222" t="s">
        <v>2004</v>
      </c>
      <c r="L22" s="223">
        <v>44043</v>
      </c>
      <c r="M22" s="223">
        <v>44043</v>
      </c>
      <c r="N22" s="223">
        <v>44074</v>
      </c>
      <c r="O22" s="222"/>
      <c r="P22" s="222">
        <v>44096</v>
      </c>
      <c r="Q22" s="222">
        <v>44088</v>
      </c>
      <c r="R22" s="222" t="s">
        <v>176</v>
      </c>
      <c r="S22" s="222">
        <v>44096</v>
      </c>
      <c r="T22" s="222">
        <v>44102</v>
      </c>
      <c r="U22" s="222">
        <v>44102</v>
      </c>
      <c r="V22" s="224"/>
      <c r="W22" s="222"/>
      <c r="X22" s="225"/>
      <c r="Y22" s="225"/>
      <c r="Z22" s="225"/>
      <c r="AA22" s="225">
        <v>4</v>
      </c>
      <c r="AB22" s="225">
        <v>23841</v>
      </c>
      <c r="AC22" s="225">
        <v>14</v>
      </c>
      <c r="AD22" s="225" t="s">
        <v>780</v>
      </c>
      <c r="AE22" s="225">
        <v>38210</v>
      </c>
      <c r="AF22" s="225" t="s">
        <v>265</v>
      </c>
      <c r="AG22" s="226" t="s">
        <v>2005</v>
      </c>
      <c r="AH22" s="246" t="s">
        <v>2006</v>
      </c>
      <c r="AI22" s="225" t="s">
        <v>1168</v>
      </c>
      <c r="AJ22" s="225"/>
      <c r="AK22" s="225"/>
      <c r="AL22" s="225" t="s">
        <v>176</v>
      </c>
      <c r="AM22" s="225" t="s">
        <v>176</v>
      </c>
      <c r="AN22" s="225" t="s">
        <v>176</v>
      </c>
      <c r="AO22" s="225" t="s">
        <v>176</v>
      </c>
      <c r="AP22" s="225" t="s">
        <v>268</v>
      </c>
      <c r="AQ22" s="225" t="s">
        <v>1893</v>
      </c>
      <c r="AR22" s="225" t="s">
        <v>1933</v>
      </c>
      <c r="AS22" s="246" t="s">
        <v>1934</v>
      </c>
      <c r="AT22" s="226">
        <v>476355605</v>
      </c>
      <c r="AU22" s="225" t="s">
        <v>176</v>
      </c>
      <c r="AV22" s="241" t="s">
        <v>188</v>
      </c>
      <c r="AW22" s="223">
        <v>44495</v>
      </c>
      <c r="AX22" s="225" t="s">
        <v>1879</v>
      </c>
      <c r="AY22" s="225">
        <v>1990</v>
      </c>
      <c r="AZ22" s="225" t="s">
        <v>1880</v>
      </c>
      <c r="BA22" s="225" t="s">
        <v>380</v>
      </c>
      <c r="BB22" s="225" t="s">
        <v>2007</v>
      </c>
      <c r="BC22" s="225" t="s">
        <v>2008</v>
      </c>
      <c r="BD22" s="225">
        <v>34</v>
      </c>
      <c r="BE22" s="225">
        <v>7.3</v>
      </c>
      <c r="BF22" s="225">
        <v>77</v>
      </c>
      <c r="BG22" s="225">
        <v>0.04</v>
      </c>
      <c r="BH22" s="225" t="s">
        <v>1882</v>
      </c>
      <c r="BI22" s="225"/>
      <c r="BJ22" s="225">
        <f>540+24.5+41.4+74+94+47.56+1980+198+89.6+33.54</f>
        <v>3122.6</v>
      </c>
      <c r="BK22" s="225"/>
      <c r="BL22" s="225"/>
      <c r="BM22" s="225"/>
      <c r="BN22" s="225">
        <f>99.09+350+425</f>
        <v>874.09</v>
      </c>
      <c r="BO22" s="225">
        <f t="shared" si="0"/>
        <v>3996.69</v>
      </c>
      <c r="BP22" s="230">
        <f t="shared" si="1"/>
        <v>219.81795</v>
      </c>
      <c r="BQ22" s="230">
        <f t="shared" si="2"/>
        <v>4216.5079500000002</v>
      </c>
      <c r="BR22" s="230">
        <v>4216.51</v>
      </c>
      <c r="BS22" s="225" t="s">
        <v>188</v>
      </c>
      <c r="BT22" s="225"/>
      <c r="BU22" s="225"/>
      <c r="BV22" s="301" t="s">
        <v>1900</v>
      </c>
      <c r="BW22" s="301" t="s">
        <v>214</v>
      </c>
      <c r="BX22" s="222" t="s">
        <v>618</v>
      </c>
      <c r="BY22" s="301">
        <v>2020</v>
      </c>
    </row>
    <row r="23" spans="1:77" ht="13.5" customHeight="1">
      <c r="A23" s="64">
        <f t="shared" si="3"/>
        <v>2020</v>
      </c>
      <c r="B23" s="64">
        <f t="shared" si="4"/>
        <v>7</v>
      </c>
      <c r="C23" s="125" t="s">
        <v>4106</v>
      </c>
      <c r="D23" s="168" t="str">
        <f t="shared" si="5"/>
        <v>non maj</v>
      </c>
      <c r="E23" s="292" t="s">
        <v>670</v>
      </c>
      <c r="F23" s="292" t="s">
        <v>1244</v>
      </c>
      <c r="G23" s="221">
        <v>400</v>
      </c>
      <c r="H23" s="222">
        <v>44033</v>
      </c>
      <c r="I23" s="222">
        <v>44035</v>
      </c>
      <c r="J23" s="223" t="s">
        <v>176</v>
      </c>
      <c r="K23" s="222" t="s">
        <v>176</v>
      </c>
      <c r="L23" s="223">
        <v>44036</v>
      </c>
      <c r="M23" s="223">
        <v>44036</v>
      </c>
      <c r="N23" s="223">
        <v>44046</v>
      </c>
      <c r="O23" s="222"/>
      <c r="P23" s="222">
        <v>44158</v>
      </c>
      <c r="Q23" s="222">
        <v>44135</v>
      </c>
      <c r="R23" s="222" t="s">
        <v>176</v>
      </c>
      <c r="S23" s="222">
        <v>44161</v>
      </c>
      <c r="T23" s="222">
        <v>44161</v>
      </c>
      <c r="U23" s="222">
        <v>44166</v>
      </c>
      <c r="V23" s="224"/>
      <c r="W23" s="222"/>
      <c r="X23" s="225"/>
      <c r="Y23" s="225"/>
      <c r="Z23" s="225"/>
      <c r="AA23" s="225">
        <v>1</v>
      </c>
      <c r="AB23" s="225">
        <v>21341</v>
      </c>
      <c r="AC23" s="225">
        <v>244</v>
      </c>
      <c r="AD23" s="225" t="s">
        <v>2009</v>
      </c>
      <c r="AE23" s="225">
        <v>38620</v>
      </c>
      <c r="AF23" s="225" t="s">
        <v>2010</v>
      </c>
      <c r="AG23" s="226">
        <v>476323529</v>
      </c>
      <c r="AH23" s="246" t="s">
        <v>176</v>
      </c>
      <c r="AI23" s="225" t="s">
        <v>1168</v>
      </c>
      <c r="AJ23" s="225"/>
      <c r="AK23" s="225"/>
      <c r="AL23" s="225" t="s">
        <v>176</v>
      </c>
      <c r="AM23" s="225" t="s">
        <v>176</v>
      </c>
      <c r="AN23" s="225" t="s">
        <v>176</v>
      </c>
      <c r="AO23" s="225" t="s">
        <v>176</v>
      </c>
      <c r="AP23" s="225" t="s">
        <v>1874</v>
      </c>
      <c r="AQ23" s="225" t="s">
        <v>1875</v>
      </c>
      <c r="AR23" s="225" t="s">
        <v>1876</v>
      </c>
      <c r="AS23" s="246" t="s">
        <v>1877</v>
      </c>
      <c r="AT23" s="226" t="s">
        <v>434</v>
      </c>
      <c r="AU23" s="225" t="s">
        <v>176</v>
      </c>
      <c r="AV23" s="241" t="s">
        <v>1878</v>
      </c>
      <c r="AW23" s="223">
        <v>44517</v>
      </c>
      <c r="AX23" s="225" t="s">
        <v>4113</v>
      </c>
      <c r="AY23" s="225">
        <v>1999</v>
      </c>
      <c r="AZ23" s="225" t="s">
        <v>1880</v>
      </c>
      <c r="BA23" s="225" t="s">
        <v>267</v>
      </c>
      <c r="BB23" s="225" t="s">
        <v>190</v>
      </c>
      <c r="BC23" s="225" t="s">
        <v>2011</v>
      </c>
      <c r="BD23" s="225">
        <v>10</v>
      </c>
      <c r="BE23" s="225">
        <v>9.1</v>
      </c>
      <c r="BF23" s="225">
        <v>90</v>
      </c>
      <c r="BG23" s="225">
        <v>0.01</v>
      </c>
      <c r="BH23" s="225" t="s">
        <v>1882</v>
      </c>
      <c r="BI23" s="225"/>
      <c r="BJ23" s="225">
        <f>3560+595+288.5+163+138</f>
        <v>4744.5</v>
      </c>
      <c r="BK23" s="225"/>
      <c r="BL23" s="225"/>
      <c r="BM23" s="225"/>
      <c r="BN23" s="225">
        <v>590</v>
      </c>
      <c r="BO23" s="225">
        <f t="shared" si="0"/>
        <v>5334.5</v>
      </c>
      <c r="BP23" s="230">
        <f t="shared" si="1"/>
        <v>293.39749999999998</v>
      </c>
      <c r="BQ23" s="230">
        <f t="shared" si="2"/>
        <v>5627.8975</v>
      </c>
      <c r="BR23" s="230">
        <v>5627.9</v>
      </c>
      <c r="BS23" s="225" t="s">
        <v>188</v>
      </c>
      <c r="BT23" s="225"/>
      <c r="BU23" s="225"/>
      <c r="BV23" s="301" t="s">
        <v>1900</v>
      </c>
      <c r="BW23" s="301" t="s">
        <v>214</v>
      </c>
      <c r="BX23" s="301" t="s">
        <v>620</v>
      </c>
      <c r="BY23" s="301" t="s">
        <v>176</v>
      </c>
    </row>
    <row r="24" spans="1:77" ht="13.5" customHeight="1">
      <c r="A24" s="64">
        <f t="shared" si="3"/>
        <v>2020</v>
      </c>
      <c r="B24" s="64">
        <f t="shared" si="4"/>
        <v>7</v>
      </c>
      <c r="C24" s="125" t="s">
        <v>4106</v>
      </c>
      <c r="D24" s="168" t="str">
        <f t="shared" si="5"/>
        <v>non maj</v>
      </c>
      <c r="E24" s="292" t="s">
        <v>670</v>
      </c>
      <c r="F24" s="292" t="s">
        <v>1245</v>
      </c>
      <c r="G24" s="221">
        <v>400</v>
      </c>
      <c r="H24" s="222">
        <v>44034</v>
      </c>
      <c r="I24" s="222">
        <v>44035</v>
      </c>
      <c r="J24" s="223" t="s">
        <v>176</v>
      </c>
      <c r="K24" s="222" t="s">
        <v>176</v>
      </c>
      <c r="L24" s="223">
        <v>44036</v>
      </c>
      <c r="M24" s="223">
        <v>44036</v>
      </c>
      <c r="N24" s="223">
        <v>44046</v>
      </c>
      <c r="O24" s="222"/>
      <c r="P24" s="222">
        <v>44088</v>
      </c>
      <c r="Q24" s="222">
        <v>44076</v>
      </c>
      <c r="R24" s="222" t="s">
        <v>176</v>
      </c>
      <c r="S24" s="222">
        <v>44102</v>
      </c>
      <c r="T24" s="222">
        <v>44102</v>
      </c>
      <c r="U24" s="222">
        <v>44102</v>
      </c>
      <c r="V24" s="224"/>
      <c r="W24" s="222"/>
      <c r="X24" s="225"/>
      <c r="Y24" s="225"/>
      <c r="Z24" s="225"/>
      <c r="AA24" s="225">
        <v>4</v>
      </c>
      <c r="AB24" s="225">
        <v>81244</v>
      </c>
      <c r="AC24" s="225">
        <v>116</v>
      </c>
      <c r="AD24" s="225" t="s">
        <v>2012</v>
      </c>
      <c r="AE24" s="225">
        <v>38340</v>
      </c>
      <c r="AF24" s="225" t="s">
        <v>232</v>
      </c>
      <c r="AG24" s="226">
        <v>686941243</v>
      </c>
      <c r="AH24" s="246" t="s">
        <v>2013</v>
      </c>
      <c r="AI24" s="225" t="s">
        <v>1168</v>
      </c>
      <c r="AJ24" s="225"/>
      <c r="AK24" s="225"/>
      <c r="AL24" s="225" t="s">
        <v>176</v>
      </c>
      <c r="AM24" s="225" t="s">
        <v>176</v>
      </c>
      <c r="AN24" s="225" t="s">
        <v>176</v>
      </c>
      <c r="AO24" s="225" t="s">
        <v>176</v>
      </c>
      <c r="AP24" s="225" t="s">
        <v>678</v>
      </c>
      <c r="AQ24" s="225" t="s">
        <v>2014</v>
      </c>
      <c r="AR24" s="225" t="s">
        <v>2015</v>
      </c>
      <c r="AS24" s="241" t="s">
        <v>274</v>
      </c>
      <c r="AT24" s="226">
        <v>437064566</v>
      </c>
      <c r="AU24" s="225" t="s">
        <v>176</v>
      </c>
      <c r="AV24" s="241" t="s">
        <v>188</v>
      </c>
      <c r="AW24" s="223">
        <v>44268</v>
      </c>
      <c r="AX24" s="225" t="s">
        <v>4113</v>
      </c>
      <c r="AY24" s="225">
        <v>1985</v>
      </c>
      <c r="AZ24" s="225" t="s">
        <v>1880</v>
      </c>
      <c r="BA24" s="225" t="s">
        <v>380</v>
      </c>
      <c r="BB24" s="225" t="s">
        <v>258</v>
      </c>
      <c r="BC24" s="225" t="s">
        <v>599</v>
      </c>
      <c r="BD24" s="225">
        <v>28</v>
      </c>
      <c r="BE24" s="225">
        <v>7</v>
      </c>
      <c r="BF24" s="225">
        <v>81.3</v>
      </c>
      <c r="BG24" s="225">
        <v>0.1</v>
      </c>
      <c r="BH24" s="225" t="s">
        <v>1882</v>
      </c>
      <c r="BI24" s="225"/>
      <c r="BJ24" s="225">
        <f>3068.29+115.99+131.5+114.63+6.81+5.36+267.28+42.14+76.21+49.24+16.26+62.09+15.82</f>
        <v>3971.62</v>
      </c>
      <c r="BK24" s="225"/>
      <c r="BL24" s="225"/>
      <c r="BM24" s="225"/>
      <c r="BN24" s="225">
        <f>1520.95+149</f>
        <v>1669.95</v>
      </c>
      <c r="BO24" s="225">
        <f t="shared" si="0"/>
        <v>5641.57</v>
      </c>
      <c r="BP24" s="230">
        <f t="shared" si="1"/>
        <v>310.28634999999997</v>
      </c>
      <c r="BQ24" s="230">
        <f t="shared" si="2"/>
        <v>5951.85635</v>
      </c>
      <c r="BR24" s="230">
        <v>5798.97</v>
      </c>
      <c r="BS24" s="225" t="s">
        <v>188</v>
      </c>
      <c r="BT24" s="225"/>
      <c r="BU24" s="225"/>
      <c r="BV24" s="301" t="s">
        <v>1900</v>
      </c>
      <c r="BW24" s="301" t="s">
        <v>214</v>
      </c>
      <c r="BX24" s="301" t="s">
        <v>620</v>
      </c>
      <c r="BY24" s="301">
        <v>2020</v>
      </c>
    </row>
    <row r="25" spans="1:77" ht="13.5" customHeight="1">
      <c r="A25" s="64">
        <f t="shared" si="3"/>
        <v>2020</v>
      </c>
      <c r="B25" s="64">
        <f t="shared" si="4"/>
        <v>7</v>
      </c>
      <c r="C25" s="125" t="s">
        <v>4106</v>
      </c>
      <c r="D25" s="168" t="str">
        <f t="shared" si="5"/>
        <v>non maj</v>
      </c>
      <c r="E25" s="292" t="s">
        <v>670</v>
      </c>
      <c r="F25" s="292" t="s">
        <v>1246</v>
      </c>
      <c r="G25" s="221">
        <v>400</v>
      </c>
      <c r="H25" s="222">
        <v>44035</v>
      </c>
      <c r="I25" s="222">
        <v>44035</v>
      </c>
      <c r="J25" s="223" t="s">
        <v>176</v>
      </c>
      <c r="K25" s="222" t="s">
        <v>176</v>
      </c>
      <c r="L25" s="223">
        <v>44036</v>
      </c>
      <c r="M25" s="223">
        <v>44036</v>
      </c>
      <c r="N25" s="223">
        <v>44046</v>
      </c>
      <c r="O25" s="222"/>
      <c r="P25" s="222">
        <v>44116</v>
      </c>
      <c r="Q25" s="222">
        <v>44088</v>
      </c>
      <c r="R25" s="222" t="s">
        <v>176</v>
      </c>
      <c r="S25" s="222">
        <v>44123</v>
      </c>
      <c r="T25" s="222">
        <v>44123</v>
      </c>
      <c r="U25" s="222">
        <v>44133</v>
      </c>
      <c r="V25" s="224"/>
      <c r="W25" s="222"/>
      <c r="X25" s="225"/>
      <c r="Y25" s="225"/>
      <c r="Z25" s="225"/>
      <c r="AA25" s="225">
        <v>3</v>
      </c>
      <c r="AB25" s="225">
        <v>86749</v>
      </c>
      <c r="AC25" s="225">
        <v>950</v>
      </c>
      <c r="AD25" s="225" t="s">
        <v>2016</v>
      </c>
      <c r="AE25" s="225">
        <v>38430</v>
      </c>
      <c r="AF25" s="225" t="s">
        <v>1893</v>
      </c>
      <c r="AG25" s="226">
        <v>672955839</v>
      </c>
      <c r="AH25" s="246" t="s">
        <v>2017</v>
      </c>
      <c r="AI25" s="225" t="s">
        <v>1168</v>
      </c>
      <c r="AJ25" s="225"/>
      <c r="AK25" s="225"/>
      <c r="AL25" s="225" t="s">
        <v>176</v>
      </c>
      <c r="AM25" s="225" t="s">
        <v>176</v>
      </c>
      <c r="AN25" s="225" t="s">
        <v>176</v>
      </c>
      <c r="AO25" s="225" t="s">
        <v>176</v>
      </c>
      <c r="AP25" s="225" t="s">
        <v>2018</v>
      </c>
      <c r="AQ25" s="225" t="s">
        <v>225</v>
      </c>
      <c r="AR25" s="225" t="s">
        <v>2019</v>
      </c>
      <c r="AS25" s="241" t="s">
        <v>273</v>
      </c>
      <c r="AT25" s="226">
        <v>476059444</v>
      </c>
      <c r="AU25" s="225" t="s">
        <v>176</v>
      </c>
      <c r="AV25" s="241" t="s">
        <v>188</v>
      </c>
      <c r="AW25" s="223">
        <v>44424</v>
      </c>
      <c r="AX25" s="225" t="s">
        <v>1879</v>
      </c>
      <c r="AY25" s="225">
        <v>2001</v>
      </c>
      <c r="AZ25" s="225" t="s">
        <v>1880</v>
      </c>
      <c r="BA25" s="225" t="s">
        <v>267</v>
      </c>
      <c r="BB25" s="225" t="s">
        <v>208</v>
      </c>
      <c r="BC25" s="225" t="s">
        <v>2020</v>
      </c>
      <c r="BD25" s="225">
        <v>14</v>
      </c>
      <c r="BE25" s="225">
        <v>8</v>
      </c>
      <c r="BF25" s="225">
        <v>90.7</v>
      </c>
      <c r="BG25" s="225">
        <v>0.01</v>
      </c>
      <c r="BH25" s="225" t="s">
        <v>1899</v>
      </c>
      <c r="BI25" s="225"/>
      <c r="BJ25" s="225">
        <f>4700+175+796+580</f>
        <v>6251</v>
      </c>
      <c r="BK25" s="225"/>
      <c r="BL25" s="225"/>
      <c r="BM25" s="225"/>
      <c r="BN25" s="225">
        <v>695</v>
      </c>
      <c r="BO25" s="225">
        <f t="shared" si="0"/>
        <v>6946</v>
      </c>
      <c r="BP25" s="230">
        <f t="shared" si="1"/>
        <v>382.03000000000003</v>
      </c>
      <c r="BQ25" s="230">
        <f t="shared" si="2"/>
        <v>7328.03</v>
      </c>
      <c r="BR25" s="230">
        <v>7328.03</v>
      </c>
      <c r="BS25" s="225" t="s">
        <v>188</v>
      </c>
      <c r="BT25" s="225"/>
      <c r="BU25" s="225"/>
      <c r="BV25" s="301" t="s">
        <v>1900</v>
      </c>
      <c r="BW25" s="301" t="s">
        <v>214</v>
      </c>
      <c r="BX25" s="301" t="s">
        <v>620</v>
      </c>
      <c r="BY25" s="301" t="s">
        <v>176</v>
      </c>
    </row>
    <row r="26" spans="1:77" ht="13.5" customHeight="1">
      <c r="A26" s="64">
        <f t="shared" si="3"/>
        <v>2020</v>
      </c>
      <c r="B26" s="64">
        <f t="shared" si="4"/>
        <v>7</v>
      </c>
      <c r="C26" s="125" t="s">
        <v>4106</v>
      </c>
      <c r="D26" s="168" t="str">
        <f t="shared" si="5"/>
        <v>non maj</v>
      </c>
      <c r="E26" s="292" t="s">
        <v>670</v>
      </c>
      <c r="F26" s="292" t="s">
        <v>1248</v>
      </c>
      <c r="G26" s="221">
        <v>400</v>
      </c>
      <c r="H26" s="222">
        <v>44035</v>
      </c>
      <c r="I26" s="222">
        <v>44039</v>
      </c>
      <c r="J26" s="223" t="s">
        <v>176</v>
      </c>
      <c r="K26" s="222" t="s">
        <v>176</v>
      </c>
      <c r="L26" s="223">
        <v>44043</v>
      </c>
      <c r="M26" s="223">
        <v>44043</v>
      </c>
      <c r="N26" s="223">
        <v>44074</v>
      </c>
      <c r="O26" s="222"/>
      <c r="P26" s="222">
        <v>44127</v>
      </c>
      <c r="Q26" s="222">
        <v>44120</v>
      </c>
      <c r="R26" s="222" t="s">
        <v>176</v>
      </c>
      <c r="S26" s="222">
        <v>44131</v>
      </c>
      <c r="T26" s="222">
        <v>44131</v>
      </c>
      <c r="U26" s="222">
        <v>44133</v>
      </c>
      <c r="V26" s="224"/>
      <c r="W26" s="222"/>
      <c r="X26" s="225"/>
      <c r="Y26" s="225"/>
      <c r="Z26" s="225"/>
      <c r="AA26" s="225">
        <v>2</v>
      </c>
      <c r="AB26" s="225">
        <v>113152</v>
      </c>
      <c r="AC26" s="225">
        <v>3907</v>
      </c>
      <c r="AD26" s="225" t="s">
        <v>2021</v>
      </c>
      <c r="AE26" s="225">
        <v>38960</v>
      </c>
      <c r="AF26" s="225" t="s">
        <v>1964</v>
      </c>
      <c r="AG26" s="226">
        <v>608288769</v>
      </c>
      <c r="AH26" s="246" t="s">
        <v>2022</v>
      </c>
      <c r="AI26" s="225" t="s">
        <v>1168</v>
      </c>
      <c r="AJ26" s="225"/>
      <c r="AK26" s="225"/>
      <c r="AL26" s="225" t="s">
        <v>176</v>
      </c>
      <c r="AM26" s="225" t="s">
        <v>176</v>
      </c>
      <c r="AN26" s="225" t="s">
        <v>176</v>
      </c>
      <c r="AO26" s="225" t="s">
        <v>176</v>
      </c>
      <c r="AP26" s="225" t="s">
        <v>675</v>
      </c>
      <c r="AQ26" s="225" t="s">
        <v>225</v>
      </c>
      <c r="AR26" s="225" t="s">
        <v>1948</v>
      </c>
      <c r="AS26" s="241" t="s">
        <v>673</v>
      </c>
      <c r="AT26" s="226">
        <v>951096343</v>
      </c>
      <c r="AU26" s="225" t="s">
        <v>176</v>
      </c>
      <c r="AV26" s="241" t="s">
        <v>188</v>
      </c>
      <c r="AW26" s="223">
        <v>44433</v>
      </c>
      <c r="AX26" s="225" t="s">
        <v>1879</v>
      </c>
      <c r="AY26" s="225" t="s">
        <v>1935</v>
      </c>
      <c r="AZ26" s="225" t="s">
        <v>1880</v>
      </c>
      <c r="BA26" s="225" t="s">
        <v>267</v>
      </c>
      <c r="BB26" s="225" t="s">
        <v>229</v>
      </c>
      <c r="BC26" s="225" t="s">
        <v>793</v>
      </c>
      <c r="BD26" s="225">
        <v>15</v>
      </c>
      <c r="BE26" s="225">
        <v>9.3000000000000007</v>
      </c>
      <c r="BF26" s="225">
        <v>87</v>
      </c>
      <c r="BG26" s="225">
        <v>1.7999999999999999E-2</v>
      </c>
      <c r="BH26" s="225" t="s">
        <v>1899</v>
      </c>
      <c r="BI26" s="225"/>
      <c r="BJ26" s="225">
        <f>4990+404+271.35+267+269.9</f>
        <v>6202.25</v>
      </c>
      <c r="BK26" s="225"/>
      <c r="BL26" s="225"/>
      <c r="BM26" s="225"/>
      <c r="BN26" s="225">
        <v>630</v>
      </c>
      <c r="BO26" s="225">
        <f t="shared" si="0"/>
        <v>6832.25</v>
      </c>
      <c r="BP26" s="230">
        <f t="shared" si="1"/>
        <v>375.77375000000001</v>
      </c>
      <c r="BQ26" s="230">
        <f t="shared" si="2"/>
        <v>7208.0237500000003</v>
      </c>
      <c r="BR26" s="230">
        <v>6733.27</v>
      </c>
      <c r="BS26" s="225" t="s">
        <v>188</v>
      </c>
      <c r="BT26" s="225"/>
      <c r="BU26" s="225"/>
      <c r="BV26" s="301" t="s">
        <v>1900</v>
      </c>
      <c r="BW26" s="301" t="s">
        <v>214</v>
      </c>
      <c r="BX26" s="301" t="s">
        <v>620</v>
      </c>
      <c r="BY26" s="301" t="s">
        <v>176</v>
      </c>
    </row>
    <row r="27" spans="1:77" ht="13.5" customHeight="1">
      <c r="A27" s="64">
        <f t="shared" si="3"/>
        <v>2020</v>
      </c>
      <c r="B27" s="64">
        <f t="shared" si="4"/>
        <v>8</v>
      </c>
      <c r="C27" s="125" t="s">
        <v>4106</v>
      </c>
      <c r="D27" s="168" t="str">
        <f t="shared" si="5"/>
        <v>maj</v>
      </c>
      <c r="E27" s="292" t="s">
        <v>670</v>
      </c>
      <c r="F27" s="292" t="s">
        <v>1251</v>
      </c>
      <c r="G27" s="221">
        <v>800</v>
      </c>
      <c r="H27" s="222">
        <v>44040</v>
      </c>
      <c r="I27" s="222">
        <v>44042</v>
      </c>
      <c r="J27" s="223">
        <v>44043</v>
      </c>
      <c r="K27" s="222" t="s">
        <v>2023</v>
      </c>
      <c r="L27" s="223">
        <v>44056</v>
      </c>
      <c r="M27" s="223">
        <v>44056</v>
      </c>
      <c r="N27" s="223">
        <v>44076</v>
      </c>
      <c r="O27" s="222"/>
      <c r="P27" s="222">
        <v>44138</v>
      </c>
      <c r="Q27" s="222">
        <v>44137</v>
      </c>
      <c r="R27" s="222" t="s">
        <v>176</v>
      </c>
      <c r="S27" s="222">
        <v>44140</v>
      </c>
      <c r="T27" s="222">
        <v>44140</v>
      </c>
      <c r="U27" s="222">
        <v>44147</v>
      </c>
      <c r="V27" s="224"/>
      <c r="W27" s="222"/>
      <c r="X27" s="225"/>
      <c r="Y27" s="225"/>
      <c r="Z27" s="225"/>
      <c r="AA27" s="225">
        <v>1</v>
      </c>
      <c r="AB27" s="225">
        <v>10652</v>
      </c>
      <c r="AC27" s="225">
        <v>1454</v>
      </c>
      <c r="AD27" s="225" t="s">
        <v>2024</v>
      </c>
      <c r="AE27" s="225">
        <v>38500</v>
      </c>
      <c r="AF27" s="225" t="s">
        <v>271</v>
      </c>
      <c r="AG27" s="226">
        <v>476056625</v>
      </c>
      <c r="AH27" s="246" t="s">
        <v>2025</v>
      </c>
      <c r="AI27" s="225" t="s">
        <v>1168</v>
      </c>
      <c r="AJ27" s="225"/>
      <c r="AK27" s="225"/>
      <c r="AL27" s="225" t="s">
        <v>176</v>
      </c>
      <c r="AM27" s="225" t="s">
        <v>176</v>
      </c>
      <c r="AN27" s="225" t="s">
        <v>176</v>
      </c>
      <c r="AO27" s="225" t="s">
        <v>176</v>
      </c>
      <c r="AP27" s="222" t="s">
        <v>587</v>
      </c>
      <c r="AQ27" s="225" t="s">
        <v>225</v>
      </c>
      <c r="AR27" s="225" t="s">
        <v>2026</v>
      </c>
      <c r="AS27" s="241" t="s">
        <v>266</v>
      </c>
      <c r="AT27" s="226">
        <v>476069938</v>
      </c>
      <c r="AU27" s="225" t="s">
        <v>176</v>
      </c>
      <c r="AV27" s="241" t="s">
        <v>188</v>
      </c>
      <c r="AW27" s="223">
        <v>44457</v>
      </c>
      <c r="AX27" s="225" t="s">
        <v>1880</v>
      </c>
      <c r="AY27" s="242">
        <v>2000</v>
      </c>
      <c r="AZ27" s="225" t="s">
        <v>1880</v>
      </c>
      <c r="BA27" s="225" t="s">
        <v>380</v>
      </c>
      <c r="BB27" s="225" t="s">
        <v>190</v>
      </c>
      <c r="BC27" s="225" t="s">
        <v>2027</v>
      </c>
      <c r="BD27" s="242">
        <v>18</v>
      </c>
      <c r="BE27" s="242">
        <v>7</v>
      </c>
      <c r="BF27" s="242">
        <v>77</v>
      </c>
      <c r="BG27" s="242">
        <v>7.0000000000000007E-2</v>
      </c>
      <c r="BH27" s="225" t="s">
        <v>1882</v>
      </c>
      <c r="BI27" s="225"/>
      <c r="BJ27" s="242">
        <f>510+290+945</f>
        <v>1745</v>
      </c>
      <c r="BK27" s="225"/>
      <c r="BL27" s="225"/>
      <c r="BM27" s="225"/>
      <c r="BN27" s="242">
        <f>450+300</f>
        <v>750</v>
      </c>
      <c r="BO27" s="242">
        <f t="shared" si="0"/>
        <v>2495</v>
      </c>
      <c r="BP27" s="242">
        <f t="shared" si="1"/>
        <v>137.22499999999999</v>
      </c>
      <c r="BQ27" s="242">
        <f t="shared" si="2"/>
        <v>2632.2249999999999</v>
      </c>
      <c r="BR27" s="230">
        <v>2632.23</v>
      </c>
      <c r="BS27" s="225" t="s">
        <v>188</v>
      </c>
      <c r="BT27" s="225"/>
      <c r="BU27" s="225"/>
      <c r="BV27" s="301" t="s">
        <v>1900</v>
      </c>
      <c r="BW27" s="301" t="s">
        <v>214</v>
      </c>
      <c r="BX27" s="222" t="s">
        <v>618</v>
      </c>
      <c r="BY27" s="301">
        <v>2020</v>
      </c>
    </row>
    <row r="28" spans="1:77" ht="13.5" customHeight="1">
      <c r="A28" s="64">
        <f t="shared" si="3"/>
        <v>2020</v>
      </c>
      <c r="B28" s="64">
        <f t="shared" si="4"/>
        <v>7</v>
      </c>
      <c r="C28" s="125" t="s">
        <v>4106</v>
      </c>
      <c r="D28" s="168" t="str">
        <f t="shared" si="5"/>
        <v>maj</v>
      </c>
      <c r="E28" s="292" t="s">
        <v>670</v>
      </c>
      <c r="F28" s="292" t="s">
        <v>1252</v>
      </c>
      <c r="G28" s="221">
        <v>800</v>
      </c>
      <c r="H28" s="222">
        <v>44040</v>
      </c>
      <c r="I28" s="222">
        <v>44042</v>
      </c>
      <c r="J28" s="223">
        <v>44043</v>
      </c>
      <c r="K28" s="222" t="s">
        <v>2028</v>
      </c>
      <c r="L28" s="223">
        <v>44043</v>
      </c>
      <c r="M28" s="223">
        <v>44043</v>
      </c>
      <c r="N28" s="223">
        <v>44074</v>
      </c>
      <c r="O28" s="222"/>
      <c r="P28" s="222">
        <v>44077</v>
      </c>
      <c r="Q28" s="222">
        <v>44069</v>
      </c>
      <c r="R28" s="222" t="s">
        <v>2029</v>
      </c>
      <c r="S28" s="222">
        <v>44126</v>
      </c>
      <c r="T28" s="222">
        <v>44126</v>
      </c>
      <c r="U28" s="222">
        <v>44139</v>
      </c>
      <c r="V28" s="224"/>
      <c r="W28" s="222"/>
      <c r="X28" s="225"/>
      <c r="Y28" s="225"/>
      <c r="Z28" s="225"/>
      <c r="AA28" s="225">
        <v>1</v>
      </c>
      <c r="AB28" s="225">
        <v>13973</v>
      </c>
      <c r="AC28" s="225">
        <v>930</v>
      </c>
      <c r="AD28" s="225" t="s">
        <v>2030</v>
      </c>
      <c r="AE28" s="225">
        <v>38730</v>
      </c>
      <c r="AF28" s="225" t="s">
        <v>2031</v>
      </c>
      <c r="AG28" s="226" t="s">
        <v>2032</v>
      </c>
      <c r="AH28" s="246" t="s">
        <v>2033</v>
      </c>
      <c r="AI28" s="225" t="s">
        <v>1168</v>
      </c>
      <c r="AJ28" s="225"/>
      <c r="AK28" s="225"/>
      <c r="AL28" s="225" t="s">
        <v>176</v>
      </c>
      <c r="AM28" s="225" t="s">
        <v>176</v>
      </c>
      <c r="AN28" s="225" t="s">
        <v>176</v>
      </c>
      <c r="AO28" s="225" t="s">
        <v>176</v>
      </c>
      <c r="AP28" s="222" t="s">
        <v>587</v>
      </c>
      <c r="AQ28" s="225" t="s">
        <v>225</v>
      </c>
      <c r="AR28" s="225" t="s">
        <v>2026</v>
      </c>
      <c r="AS28" s="241" t="s">
        <v>266</v>
      </c>
      <c r="AT28" s="226">
        <v>476069938</v>
      </c>
      <c r="AU28" s="225" t="s">
        <v>176</v>
      </c>
      <c r="AV28" s="241" t="s">
        <v>188</v>
      </c>
      <c r="AW28" s="223">
        <v>44092</v>
      </c>
      <c r="AX28" s="225" t="s">
        <v>1880</v>
      </c>
      <c r="AY28" s="242">
        <v>1992</v>
      </c>
      <c r="AZ28" s="225" t="s">
        <v>1880</v>
      </c>
      <c r="BA28" s="225" t="s">
        <v>267</v>
      </c>
      <c r="BB28" s="225" t="s">
        <v>190</v>
      </c>
      <c r="BC28" s="225" t="s">
        <v>2034</v>
      </c>
      <c r="BD28" s="242">
        <v>8</v>
      </c>
      <c r="BE28" s="242">
        <v>8.1999999999999993</v>
      </c>
      <c r="BF28" s="242">
        <v>87.7</v>
      </c>
      <c r="BG28" s="242">
        <v>2E-3</v>
      </c>
      <c r="BH28" s="225" t="s">
        <v>1882</v>
      </c>
      <c r="BI28" s="225"/>
      <c r="BJ28" s="242">
        <f>80.1+135+225+351+1611</f>
        <v>2402.1</v>
      </c>
      <c r="BK28" s="225"/>
      <c r="BL28" s="225"/>
      <c r="BM28" s="225"/>
      <c r="BN28" s="242">
        <f>315+405+100.65</f>
        <v>820.65</v>
      </c>
      <c r="BO28" s="242">
        <f t="shared" si="0"/>
        <v>3222.75</v>
      </c>
      <c r="BP28" s="242">
        <f t="shared" si="1"/>
        <v>177.25125</v>
      </c>
      <c r="BQ28" s="242">
        <f t="shared" si="2"/>
        <v>3400.0012499999998</v>
      </c>
      <c r="BR28" s="230">
        <v>3400</v>
      </c>
      <c r="BS28" s="225" t="s">
        <v>191</v>
      </c>
      <c r="BT28" s="225"/>
      <c r="BU28" s="225"/>
      <c r="BV28" s="301" t="s">
        <v>1900</v>
      </c>
      <c r="BW28" s="301" t="s">
        <v>214</v>
      </c>
      <c r="BX28" s="222" t="s">
        <v>618</v>
      </c>
      <c r="BY28" s="301" t="s">
        <v>176</v>
      </c>
    </row>
    <row r="29" spans="1:77" ht="13.5" customHeight="1">
      <c r="A29" s="64">
        <f t="shared" si="3"/>
        <v>2020</v>
      </c>
      <c r="B29" s="64">
        <f t="shared" si="4"/>
        <v>9</v>
      </c>
      <c r="C29" s="125" t="s">
        <v>4106</v>
      </c>
      <c r="D29" s="168" t="str">
        <f t="shared" si="5"/>
        <v>maj</v>
      </c>
      <c r="E29" s="292" t="s">
        <v>670</v>
      </c>
      <c r="F29" s="292" t="s">
        <v>1254</v>
      </c>
      <c r="G29" s="221">
        <v>800</v>
      </c>
      <c r="H29" s="222">
        <v>44042</v>
      </c>
      <c r="I29" s="222">
        <v>44042</v>
      </c>
      <c r="J29" s="223">
        <v>44043</v>
      </c>
      <c r="K29" s="222" t="s">
        <v>2035</v>
      </c>
      <c r="L29" s="223">
        <v>44099</v>
      </c>
      <c r="M29" s="223">
        <v>44102</v>
      </c>
      <c r="N29" s="223">
        <v>44109</v>
      </c>
      <c r="O29" s="222"/>
      <c r="P29" s="222">
        <v>44118</v>
      </c>
      <c r="Q29" s="222">
        <v>44106</v>
      </c>
      <c r="R29" s="222" t="s">
        <v>176</v>
      </c>
      <c r="S29" s="222">
        <v>44123</v>
      </c>
      <c r="T29" s="222">
        <v>44123</v>
      </c>
      <c r="U29" s="222">
        <v>44133</v>
      </c>
      <c r="V29" s="224"/>
      <c r="W29" s="222"/>
      <c r="X29" s="225"/>
      <c r="Y29" s="225"/>
      <c r="Z29" s="225"/>
      <c r="AA29" s="225">
        <v>2</v>
      </c>
      <c r="AB29" s="225">
        <v>17935</v>
      </c>
      <c r="AC29" s="225">
        <v>10</v>
      </c>
      <c r="AD29" s="225" t="s">
        <v>2036</v>
      </c>
      <c r="AE29" s="225">
        <v>38140</v>
      </c>
      <c r="AF29" s="225" t="s">
        <v>1924</v>
      </c>
      <c r="AG29" s="226">
        <v>651795408</v>
      </c>
      <c r="AH29" s="246" t="s">
        <v>2037</v>
      </c>
      <c r="AI29" s="225" t="s">
        <v>1168</v>
      </c>
      <c r="AJ29" s="225"/>
      <c r="AK29" s="225"/>
      <c r="AL29" s="225" t="s">
        <v>176</v>
      </c>
      <c r="AM29" s="225" t="s">
        <v>176</v>
      </c>
      <c r="AN29" s="225" t="s">
        <v>176</v>
      </c>
      <c r="AO29" s="225" t="s">
        <v>176</v>
      </c>
      <c r="AP29" s="225" t="s">
        <v>222</v>
      </c>
      <c r="AQ29" s="225" t="s">
        <v>2038</v>
      </c>
      <c r="AR29" s="225" t="s">
        <v>1043</v>
      </c>
      <c r="AS29" s="241" t="s">
        <v>224</v>
      </c>
      <c r="AT29" s="226">
        <v>479750979</v>
      </c>
      <c r="AU29" s="225" t="s">
        <v>176</v>
      </c>
      <c r="AV29" s="241" t="s">
        <v>188</v>
      </c>
      <c r="AW29" s="223">
        <v>44433</v>
      </c>
      <c r="AX29" s="225" t="s">
        <v>4113</v>
      </c>
      <c r="AY29" s="225" t="s">
        <v>1912</v>
      </c>
      <c r="AZ29" s="225" t="s">
        <v>1880</v>
      </c>
      <c r="BA29" s="225" t="s">
        <v>380</v>
      </c>
      <c r="BB29" s="225" t="s">
        <v>2039</v>
      </c>
      <c r="BC29" s="225" t="s">
        <v>2040</v>
      </c>
      <c r="BD29" s="225">
        <v>15</v>
      </c>
      <c r="BE29" s="225">
        <v>5.5</v>
      </c>
      <c r="BF29" s="225">
        <v>81</v>
      </c>
      <c r="BG29" s="225">
        <v>7.5999999999999998E-2</v>
      </c>
      <c r="BH29" s="225" t="s">
        <v>1899</v>
      </c>
      <c r="BI29" s="225"/>
      <c r="BJ29" s="225">
        <f>55+35+510+107+85+285+80+2480</f>
        <v>3637</v>
      </c>
      <c r="BK29" s="225"/>
      <c r="BL29" s="225"/>
      <c r="BM29" s="225"/>
      <c r="BN29" s="225">
        <v>760</v>
      </c>
      <c r="BO29" s="225">
        <f t="shared" si="0"/>
        <v>4397</v>
      </c>
      <c r="BP29" s="230">
        <f t="shared" si="1"/>
        <v>241.83500000000001</v>
      </c>
      <c r="BQ29" s="230">
        <f t="shared" si="2"/>
        <v>4638.835</v>
      </c>
      <c r="BR29" s="230">
        <v>4331.6499999999996</v>
      </c>
      <c r="BS29" s="225" t="s">
        <v>188</v>
      </c>
      <c r="BT29" s="225"/>
      <c r="BU29" s="225"/>
      <c r="BV29" s="301" t="s">
        <v>1900</v>
      </c>
      <c r="BW29" s="301" t="s">
        <v>214</v>
      </c>
      <c r="BX29" s="222" t="s">
        <v>618</v>
      </c>
      <c r="BY29" s="301">
        <v>2020</v>
      </c>
    </row>
    <row r="30" spans="1:77" ht="13.5" customHeight="1">
      <c r="A30" s="64">
        <f t="shared" si="3"/>
        <v>2020</v>
      </c>
      <c r="B30" s="64">
        <f t="shared" si="4"/>
        <v>7</v>
      </c>
      <c r="C30" s="125" t="s">
        <v>4106</v>
      </c>
      <c r="D30" s="168" t="str">
        <f t="shared" si="5"/>
        <v>non maj</v>
      </c>
      <c r="E30" s="292" t="s">
        <v>670</v>
      </c>
      <c r="F30" s="292" t="s">
        <v>1255</v>
      </c>
      <c r="G30" s="221">
        <v>400</v>
      </c>
      <c r="H30" s="222">
        <v>44042</v>
      </c>
      <c r="I30" s="222">
        <v>44042</v>
      </c>
      <c r="J30" s="223" t="s">
        <v>176</v>
      </c>
      <c r="K30" s="222" t="s">
        <v>176</v>
      </c>
      <c r="L30" s="223">
        <v>44043</v>
      </c>
      <c r="M30" s="223">
        <v>44043</v>
      </c>
      <c r="N30" s="223">
        <v>44074</v>
      </c>
      <c r="O30" s="222"/>
      <c r="P30" s="222">
        <v>44201</v>
      </c>
      <c r="Q30" s="222">
        <v>44111</v>
      </c>
      <c r="R30" s="222" t="s">
        <v>176</v>
      </c>
      <c r="S30" s="222">
        <v>44204</v>
      </c>
      <c r="T30" s="222">
        <v>44204</v>
      </c>
      <c r="U30" s="222">
        <v>44211</v>
      </c>
      <c r="V30" s="224"/>
      <c r="W30" s="222"/>
      <c r="X30" s="225"/>
      <c r="Y30" s="225"/>
      <c r="Z30" s="225"/>
      <c r="AA30" s="225">
        <v>2</v>
      </c>
      <c r="AB30" s="225">
        <v>96787</v>
      </c>
      <c r="AC30" s="225">
        <v>66</v>
      </c>
      <c r="AD30" s="225" t="s">
        <v>2041</v>
      </c>
      <c r="AE30" s="225">
        <v>38500</v>
      </c>
      <c r="AF30" s="225" t="s">
        <v>271</v>
      </c>
      <c r="AG30" s="226">
        <v>628254334</v>
      </c>
      <c r="AH30" s="246" t="s">
        <v>2042</v>
      </c>
      <c r="AI30" s="225" t="s">
        <v>1168</v>
      </c>
      <c r="AJ30" s="225"/>
      <c r="AK30" s="225"/>
      <c r="AL30" s="225" t="s">
        <v>176</v>
      </c>
      <c r="AM30" s="225" t="s">
        <v>176</v>
      </c>
      <c r="AN30" s="225" t="s">
        <v>176</v>
      </c>
      <c r="AO30" s="225" t="s">
        <v>176</v>
      </c>
      <c r="AP30" s="225" t="s">
        <v>579</v>
      </c>
      <c r="AQ30" s="225" t="s">
        <v>1895</v>
      </c>
      <c r="AR30" s="225" t="s">
        <v>1896</v>
      </c>
      <c r="AS30" s="241" t="s">
        <v>201</v>
      </c>
      <c r="AT30" s="226">
        <v>608287337</v>
      </c>
      <c r="AU30" s="225" t="s">
        <v>176</v>
      </c>
      <c r="AV30" s="241" t="s">
        <v>188</v>
      </c>
      <c r="AW30" s="223">
        <v>44417</v>
      </c>
      <c r="AX30" s="225" t="s">
        <v>1879</v>
      </c>
      <c r="AY30" s="225">
        <v>1988</v>
      </c>
      <c r="AZ30" s="225" t="s">
        <v>1880</v>
      </c>
      <c r="BA30" s="225" t="s">
        <v>380</v>
      </c>
      <c r="BB30" s="225" t="s">
        <v>196</v>
      </c>
      <c r="BC30" s="225" t="s">
        <v>2043</v>
      </c>
      <c r="BD30" s="225">
        <v>8</v>
      </c>
      <c r="BE30" s="225">
        <v>5.2</v>
      </c>
      <c r="BF30" s="225">
        <v>81</v>
      </c>
      <c r="BG30" s="225">
        <v>0.11</v>
      </c>
      <c r="BH30" s="225" t="s">
        <v>1882</v>
      </c>
      <c r="BI30" s="225"/>
      <c r="BJ30" s="225">
        <f>3554+280+110+550+122</f>
        <v>4616</v>
      </c>
      <c r="BK30" s="225"/>
      <c r="BL30" s="225"/>
      <c r="BM30" s="225"/>
      <c r="BN30" s="225">
        <f>250+680+134+900</f>
        <v>1964</v>
      </c>
      <c r="BO30" s="225">
        <f t="shared" si="0"/>
        <v>6580</v>
      </c>
      <c r="BP30" s="230">
        <f t="shared" si="1"/>
        <v>361.9</v>
      </c>
      <c r="BQ30" s="230">
        <f t="shared" si="2"/>
        <v>6941.9</v>
      </c>
      <c r="BR30" s="230">
        <v>6500</v>
      </c>
      <c r="BS30" s="225" t="s">
        <v>188</v>
      </c>
      <c r="BT30" s="225"/>
      <c r="BU30" s="225"/>
      <c r="BV30" s="301" t="s">
        <v>1900</v>
      </c>
      <c r="BW30" s="301" t="s">
        <v>214</v>
      </c>
      <c r="BX30" s="301" t="s">
        <v>620</v>
      </c>
      <c r="BY30" s="301">
        <v>2020</v>
      </c>
    </row>
    <row r="31" spans="1:77" ht="13.5" customHeight="1">
      <c r="A31" s="64">
        <f t="shared" si="3"/>
        <v>2020</v>
      </c>
      <c r="B31" s="64">
        <f t="shared" si="4"/>
        <v>8</v>
      </c>
      <c r="C31" s="125" t="s">
        <v>4106</v>
      </c>
      <c r="D31" s="168" t="str">
        <f t="shared" si="5"/>
        <v>non maj</v>
      </c>
      <c r="E31" s="292" t="s">
        <v>670</v>
      </c>
      <c r="F31" s="292" t="s">
        <v>1256</v>
      </c>
      <c r="G31" s="221">
        <v>400</v>
      </c>
      <c r="H31" s="222">
        <v>44046</v>
      </c>
      <c r="I31" s="222">
        <v>44053</v>
      </c>
      <c r="J31" s="223">
        <v>44056</v>
      </c>
      <c r="K31" s="222" t="s">
        <v>2044</v>
      </c>
      <c r="L31" s="223">
        <v>44063</v>
      </c>
      <c r="M31" s="223">
        <v>44063</v>
      </c>
      <c r="N31" s="223">
        <v>44076</v>
      </c>
      <c r="O31" s="222"/>
      <c r="P31" s="222">
        <v>44176</v>
      </c>
      <c r="Q31" s="222">
        <v>44166</v>
      </c>
      <c r="R31" s="222" t="s">
        <v>176</v>
      </c>
      <c r="S31" s="222">
        <v>44179</v>
      </c>
      <c r="T31" s="222">
        <v>44179</v>
      </c>
      <c r="U31" s="222">
        <v>44203</v>
      </c>
      <c r="V31" s="224"/>
      <c r="W31" s="222"/>
      <c r="X31" s="225"/>
      <c r="Y31" s="225"/>
      <c r="Z31" s="225"/>
      <c r="AA31" s="225">
        <v>2</v>
      </c>
      <c r="AB31" s="225">
        <v>36207</v>
      </c>
      <c r="AC31" s="225">
        <v>122</v>
      </c>
      <c r="AD31" s="225" t="s">
        <v>2045</v>
      </c>
      <c r="AE31" s="225">
        <v>38340</v>
      </c>
      <c r="AF31" s="225" t="s">
        <v>232</v>
      </c>
      <c r="AG31" s="226">
        <v>688911103</v>
      </c>
      <c r="AH31" s="246" t="s">
        <v>2046</v>
      </c>
      <c r="AI31" s="225" t="s">
        <v>1168</v>
      </c>
      <c r="AJ31" s="225"/>
      <c r="AK31" s="225"/>
      <c r="AL31" s="225" t="s">
        <v>176</v>
      </c>
      <c r="AM31" s="225" t="s">
        <v>176</v>
      </c>
      <c r="AN31" s="225" t="s">
        <v>176</v>
      </c>
      <c r="AO31" s="225" t="s">
        <v>176</v>
      </c>
      <c r="AP31" s="225" t="s">
        <v>2002</v>
      </c>
      <c r="AQ31" s="225" t="s">
        <v>1895</v>
      </c>
      <c r="AR31" s="225" t="s">
        <v>2003</v>
      </c>
      <c r="AS31" s="241" t="s">
        <v>245</v>
      </c>
      <c r="AT31" s="226">
        <v>476452433</v>
      </c>
      <c r="AU31" s="225" t="s">
        <v>176</v>
      </c>
      <c r="AV31" s="241" t="s">
        <v>188</v>
      </c>
      <c r="AW31" s="223">
        <v>44118</v>
      </c>
      <c r="AX31" s="225" t="s">
        <v>1880</v>
      </c>
      <c r="AY31" s="225">
        <v>2001</v>
      </c>
      <c r="AZ31" s="225" t="s">
        <v>1880</v>
      </c>
      <c r="BA31" s="225" t="s">
        <v>267</v>
      </c>
      <c r="BB31" s="225" t="s">
        <v>796</v>
      </c>
      <c r="BC31" s="225" t="s">
        <v>2047</v>
      </c>
      <c r="BD31" s="225">
        <v>11.4</v>
      </c>
      <c r="BE31" s="225">
        <v>11.4</v>
      </c>
      <c r="BF31" s="225">
        <v>86.6</v>
      </c>
      <c r="BG31" s="225">
        <v>7.0000000000000001E-3</v>
      </c>
      <c r="BH31" s="225" t="s">
        <v>1899</v>
      </c>
      <c r="BI31" s="225"/>
      <c r="BJ31" s="225">
        <f>3896+489.16+218.45+87.66+69.78</f>
        <v>4761.0499999999993</v>
      </c>
      <c r="BK31" s="225"/>
      <c r="BL31" s="225"/>
      <c r="BM31" s="225"/>
      <c r="BN31" s="225">
        <f>450+400</f>
        <v>850</v>
      </c>
      <c r="BO31" s="225">
        <f t="shared" si="0"/>
        <v>5611.0499999999993</v>
      </c>
      <c r="BP31" s="230">
        <f t="shared" si="1"/>
        <v>308.60774999999995</v>
      </c>
      <c r="BQ31" s="230">
        <f t="shared" si="2"/>
        <v>5919.6577499999994</v>
      </c>
      <c r="BR31" s="230">
        <v>5682.28</v>
      </c>
      <c r="BS31" s="225" t="s">
        <v>188</v>
      </c>
      <c r="BT31" s="225"/>
      <c r="BU31" s="225"/>
      <c r="BV31" s="301" t="s">
        <v>1900</v>
      </c>
      <c r="BW31" s="301" t="s">
        <v>214</v>
      </c>
      <c r="BX31" s="301" t="s">
        <v>620</v>
      </c>
      <c r="BY31" s="301" t="s">
        <v>176</v>
      </c>
    </row>
    <row r="32" spans="1:77" s="166" customFormat="1" ht="13.5" customHeight="1">
      <c r="A32" s="64">
        <f t="shared" si="3"/>
        <v>2020</v>
      </c>
      <c r="B32" s="64">
        <f t="shared" si="4"/>
        <v>8</v>
      </c>
      <c r="C32" s="125" t="s">
        <v>191</v>
      </c>
      <c r="D32" s="168" t="str">
        <f t="shared" si="5"/>
        <v>non maj</v>
      </c>
      <c r="E32" s="292" t="s">
        <v>670</v>
      </c>
      <c r="F32" s="292" t="s">
        <v>1257</v>
      </c>
      <c r="G32" s="221">
        <v>400</v>
      </c>
      <c r="H32" s="222">
        <v>44049</v>
      </c>
      <c r="I32" s="222">
        <v>44053</v>
      </c>
      <c r="J32" s="223">
        <v>44056</v>
      </c>
      <c r="K32" s="222" t="s">
        <v>2048</v>
      </c>
      <c r="L32" s="223">
        <v>44063</v>
      </c>
      <c r="M32" s="223">
        <v>44063</v>
      </c>
      <c r="N32" s="223">
        <v>44076</v>
      </c>
      <c r="O32" s="222"/>
      <c r="P32" s="222">
        <v>44417</v>
      </c>
      <c r="Q32" s="222">
        <v>44144</v>
      </c>
      <c r="R32" s="222" t="s">
        <v>2049</v>
      </c>
      <c r="S32" s="222">
        <v>44512</v>
      </c>
      <c r="T32" s="222">
        <v>44512</v>
      </c>
      <c r="U32" s="222">
        <v>44518</v>
      </c>
      <c r="V32" s="224"/>
      <c r="W32" s="222"/>
      <c r="X32" s="225"/>
      <c r="Y32" s="225"/>
      <c r="Z32" s="225"/>
      <c r="AA32" s="225">
        <v>2</v>
      </c>
      <c r="AB32" s="225">
        <v>32421</v>
      </c>
      <c r="AC32" s="225">
        <v>264</v>
      </c>
      <c r="AD32" s="225" t="s">
        <v>2050</v>
      </c>
      <c r="AE32" s="225">
        <v>38850</v>
      </c>
      <c r="AF32" s="225" t="s">
        <v>1916</v>
      </c>
      <c r="AG32" s="226">
        <v>632479145</v>
      </c>
      <c r="AH32" s="246" t="s">
        <v>2051</v>
      </c>
      <c r="AI32" s="225" t="s">
        <v>1168</v>
      </c>
      <c r="AJ32" s="225"/>
      <c r="AK32" s="225"/>
      <c r="AL32" s="225" t="s">
        <v>176</v>
      </c>
      <c r="AM32" s="225" t="s">
        <v>176</v>
      </c>
      <c r="AN32" s="225" t="s">
        <v>176</v>
      </c>
      <c r="AO32" s="225" t="s">
        <v>176</v>
      </c>
      <c r="AP32" s="225" t="s">
        <v>2052</v>
      </c>
      <c r="AQ32" s="225" t="s">
        <v>232</v>
      </c>
      <c r="AR32" s="225" t="s">
        <v>233</v>
      </c>
      <c r="AS32" s="241" t="s">
        <v>234</v>
      </c>
      <c r="AT32" s="226">
        <v>476500550</v>
      </c>
      <c r="AU32" s="225" t="s">
        <v>176</v>
      </c>
      <c r="AV32" s="241" t="s">
        <v>188</v>
      </c>
      <c r="AW32" s="223">
        <v>44740</v>
      </c>
      <c r="AX32" s="225" t="s">
        <v>4113</v>
      </c>
      <c r="AY32" s="225">
        <v>1987</v>
      </c>
      <c r="AZ32" s="225" t="s">
        <v>1880</v>
      </c>
      <c r="BA32" s="225" t="s">
        <v>380</v>
      </c>
      <c r="BB32" s="225" t="s">
        <v>270</v>
      </c>
      <c r="BC32" s="225" t="s">
        <v>2053</v>
      </c>
      <c r="BD32" s="225">
        <v>26</v>
      </c>
      <c r="BE32" s="225">
        <v>5</v>
      </c>
      <c r="BF32" s="225">
        <v>80.3</v>
      </c>
      <c r="BG32" s="225">
        <v>2.7E-2</v>
      </c>
      <c r="BH32" s="225" t="s">
        <v>1882</v>
      </c>
      <c r="BI32" s="225"/>
      <c r="BJ32" s="225">
        <f>191.29+74.25+170.13+208.42+64.02+305.73+177.13+163.18+81.44+63.61+288.96+89+164.46+182.53+2583.32+200.1</f>
        <v>5007.5700000000006</v>
      </c>
      <c r="BK32" s="225"/>
      <c r="BL32" s="225"/>
      <c r="BM32" s="225"/>
      <c r="BN32" s="225">
        <f>570.8+415+1400</f>
        <v>2385.8000000000002</v>
      </c>
      <c r="BO32" s="225">
        <f t="shared" si="0"/>
        <v>7393.3700000000008</v>
      </c>
      <c r="BP32" s="230">
        <f t="shared" si="1"/>
        <v>406.63535000000007</v>
      </c>
      <c r="BQ32" s="230">
        <f t="shared" si="2"/>
        <v>7800.0053500000013</v>
      </c>
      <c r="BR32" s="230">
        <v>7800.01</v>
      </c>
      <c r="BS32" s="225" t="s">
        <v>188</v>
      </c>
      <c r="BT32" s="225"/>
      <c r="BU32" s="225"/>
      <c r="BV32" s="301" t="s">
        <v>1981</v>
      </c>
      <c r="BW32" s="301" t="s">
        <v>214</v>
      </c>
      <c r="BX32" s="301" t="s">
        <v>620</v>
      </c>
      <c r="BY32" s="301">
        <v>2020</v>
      </c>
    </row>
    <row r="33" spans="1:77" ht="13.5" customHeight="1">
      <c r="A33" s="64">
        <f t="shared" si="3"/>
        <v>2020</v>
      </c>
      <c r="B33" s="64">
        <f t="shared" si="4"/>
        <v>9</v>
      </c>
      <c r="C33" s="125" t="s">
        <v>4106</v>
      </c>
      <c r="D33" s="168" t="str">
        <f t="shared" si="5"/>
        <v>non maj</v>
      </c>
      <c r="E33" s="292" t="s">
        <v>670</v>
      </c>
      <c r="F33" s="292" t="s">
        <v>1258</v>
      </c>
      <c r="G33" s="221">
        <v>400</v>
      </c>
      <c r="H33" s="222">
        <v>44043</v>
      </c>
      <c r="I33" s="222">
        <v>44053</v>
      </c>
      <c r="J33" s="223">
        <v>44056</v>
      </c>
      <c r="K33" s="222" t="s">
        <v>2054</v>
      </c>
      <c r="L33" s="223">
        <v>44077</v>
      </c>
      <c r="M33" s="223">
        <v>44077</v>
      </c>
      <c r="N33" s="223">
        <v>44084</v>
      </c>
      <c r="O33" s="222"/>
      <c r="P33" s="222">
        <v>44155</v>
      </c>
      <c r="Q33" s="222">
        <v>44130</v>
      </c>
      <c r="R33" s="222" t="s">
        <v>176</v>
      </c>
      <c r="S33" s="222">
        <v>44161</v>
      </c>
      <c r="T33" s="222">
        <v>44161</v>
      </c>
      <c r="U33" s="222">
        <v>44166</v>
      </c>
      <c r="V33" s="224"/>
      <c r="W33" s="222"/>
      <c r="X33" s="225"/>
      <c r="Y33" s="225"/>
      <c r="Z33" s="225"/>
      <c r="AA33" s="225">
        <v>2</v>
      </c>
      <c r="AB33" s="225">
        <v>124036</v>
      </c>
      <c r="AC33" s="225">
        <v>1605</v>
      </c>
      <c r="AD33" s="225" t="s">
        <v>2055</v>
      </c>
      <c r="AE33" s="225">
        <v>63500</v>
      </c>
      <c r="AF33" s="225" t="s">
        <v>2056</v>
      </c>
      <c r="AG33" s="226">
        <v>686439685</v>
      </c>
      <c r="AH33" s="246" t="s">
        <v>2057</v>
      </c>
      <c r="AI33" s="225" t="s">
        <v>1168</v>
      </c>
      <c r="AJ33" s="225"/>
      <c r="AK33" s="225"/>
      <c r="AL33" s="225">
        <v>46</v>
      </c>
      <c r="AM33" s="225" t="s">
        <v>2058</v>
      </c>
      <c r="AN33" s="225">
        <v>38500</v>
      </c>
      <c r="AO33" s="225" t="s">
        <v>225</v>
      </c>
      <c r="AP33" s="222" t="s">
        <v>818</v>
      </c>
      <c r="AQ33" s="225" t="s">
        <v>225</v>
      </c>
      <c r="AR33" s="225" t="s">
        <v>1973</v>
      </c>
      <c r="AS33" s="241" t="s">
        <v>1974</v>
      </c>
      <c r="AT33" s="226">
        <v>476323235</v>
      </c>
      <c r="AU33" s="225" t="s">
        <v>176</v>
      </c>
      <c r="AV33" s="241" t="s">
        <v>188</v>
      </c>
      <c r="AW33" s="223">
        <v>44429</v>
      </c>
      <c r="AX33" s="225" t="s">
        <v>1879</v>
      </c>
      <c r="AY33" s="225" t="s">
        <v>1967</v>
      </c>
      <c r="AZ33" s="225" t="s">
        <v>4113</v>
      </c>
      <c r="BA33" s="225" t="s">
        <v>380</v>
      </c>
      <c r="BB33" s="225" t="s">
        <v>2059</v>
      </c>
      <c r="BC33" s="225" t="s">
        <v>2060</v>
      </c>
      <c r="BD33" s="225">
        <v>4</v>
      </c>
      <c r="BE33" s="225">
        <v>7</v>
      </c>
      <c r="BF33" s="225">
        <v>78</v>
      </c>
      <c r="BG33" s="225">
        <v>0.06</v>
      </c>
      <c r="BH33" s="225" t="s">
        <v>1882</v>
      </c>
      <c r="BI33" s="225"/>
      <c r="BJ33" s="225">
        <f>635+148+315+2050+90+135+280+60</f>
        <v>3713</v>
      </c>
      <c r="BK33" s="225"/>
      <c r="BL33" s="225"/>
      <c r="BM33" s="225"/>
      <c r="BN33" s="225">
        <f>55+734+498+49.33</f>
        <v>1336.33</v>
      </c>
      <c r="BO33" s="225">
        <f t="shared" si="0"/>
        <v>5049.33</v>
      </c>
      <c r="BP33" s="230">
        <f t="shared" si="1"/>
        <v>277.71314999999998</v>
      </c>
      <c r="BQ33" s="230">
        <f t="shared" si="2"/>
        <v>5327.0431499999995</v>
      </c>
      <c r="BR33" s="230">
        <v>5400</v>
      </c>
      <c r="BS33" s="225" t="s">
        <v>188</v>
      </c>
      <c r="BT33" s="225"/>
      <c r="BU33" s="225"/>
      <c r="BV33" s="301" t="s">
        <v>1900</v>
      </c>
      <c r="BW33" s="301" t="s">
        <v>214</v>
      </c>
      <c r="BX33" s="301" t="s">
        <v>620</v>
      </c>
      <c r="BY33" s="301">
        <v>2020</v>
      </c>
    </row>
    <row r="34" spans="1:77" ht="13.5" customHeight="1">
      <c r="A34" s="64">
        <f t="shared" si="3"/>
        <v>2020</v>
      </c>
      <c r="B34" s="64">
        <f t="shared" si="4"/>
        <v>9</v>
      </c>
      <c r="C34" s="125" t="s">
        <v>4106</v>
      </c>
      <c r="D34" s="168" t="str">
        <f t="shared" si="5"/>
        <v>non maj</v>
      </c>
      <c r="E34" s="292" t="s">
        <v>670</v>
      </c>
      <c r="F34" s="292" t="s">
        <v>1259</v>
      </c>
      <c r="G34" s="221">
        <v>400</v>
      </c>
      <c r="H34" s="222">
        <v>44047</v>
      </c>
      <c r="I34" s="222">
        <v>44054</v>
      </c>
      <c r="J34" s="223">
        <v>44056</v>
      </c>
      <c r="K34" s="222" t="s">
        <v>2061</v>
      </c>
      <c r="L34" s="223">
        <v>44096</v>
      </c>
      <c r="M34" s="223">
        <v>44096</v>
      </c>
      <c r="N34" s="223">
        <v>44102</v>
      </c>
      <c r="O34" s="222"/>
      <c r="P34" s="222">
        <v>44137</v>
      </c>
      <c r="Q34" s="222">
        <v>44137</v>
      </c>
      <c r="R34" s="222" t="s">
        <v>176</v>
      </c>
      <c r="S34" s="222">
        <v>44145</v>
      </c>
      <c r="T34" s="222">
        <v>44145</v>
      </c>
      <c r="U34" s="222">
        <v>44147</v>
      </c>
      <c r="V34" s="224"/>
      <c r="W34" s="222"/>
      <c r="X34" s="225"/>
      <c r="Y34" s="225"/>
      <c r="Z34" s="225"/>
      <c r="AA34" s="225">
        <v>3</v>
      </c>
      <c r="AB34" s="225">
        <v>77705</v>
      </c>
      <c r="AC34" s="225">
        <v>51</v>
      </c>
      <c r="AD34" s="225" t="s">
        <v>2062</v>
      </c>
      <c r="AE34" s="225">
        <v>38210</v>
      </c>
      <c r="AF34" s="225" t="s">
        <v>265</v>
      </c>
      <c r="AG34" s="226">
        <v>611953404</v>
      </c>
      <c r="AH34" s="246" t="s">
        <v>2063</v>
      </c>
      <c r="AI34" s="225" t="s">
        <v>1168</v>
      </c>
      <c r="AJ34" s="225"/>
      <c r="AK34" s="225"/>
      <c r="AL34" s="225" t="s">
        <v>176</v>
      </c>
      <c r="AM34" s="225" t="s">
        <v>176</v>
      </c>
      <c r="AN34" s="225" t="s">
        <v>176</v>
      </c>
      <c r="AO34" s="225" t="s">
        <v>176</v>
      </c>
      <c r="AP34" s="225" t="s">
        <v>2064</v>
      </c>
      <c r="AQ34" s="225" t="s">
        <v>265</v>
      </c>
      <c r="AR34" s="225" t="s">
        <v>1051</v>
      </c>
      <c r="AS34" s="241" t="s">
        <v>2065</v>
      </c>
      <c r="AT34" s="226">
        <v>611953404</v>
      </c>
      <c r="AU34" s="225" t="s">
        <v>176</v>
      </c>
      <c r="AV34" s="241" t="s">
        <v>188</v>
      </c>
      <c r="AW34" s="223">
        <v>44369</v>
      </c>
      <c r="AX34" s="225" t="s">
        <v>1879</v>
      </c>
      <c r="AY34" s="225">
        <v>1993</v>
      </c>
      <c r="AZ34" s="225" t="s">
        <v>1880</v>
      </c>
      <c r="BA34" s="225" t="s">
        <v>380</v>
      </c>
      <c r="BB34" s="225" t="s">
        <v>2066</v>
      </c>
      <c r="BC34" s="225" t="s">
        <v>2067</v>
      </c>
      <c r="BD34" s="225">
        <v>30</v>
      </c>
      <c r="BE34" s="225">
        <v>8</v>
      </c>
      <c r="BF34" s="225">
        <v>75</v>
      </c>
      <c r="BG34" s="225">
        <v>0.12</v>
      </c>
      <c r="BH34" s="225" t="s">
        <v>1882</v>
      </c>
      <c r="BI34" s="225"/>
      <c r="BJ34" s="225">
        <f>2638+613</f>
        <v>3251</v>
      </c>
      <c r="BK34" s="225"/>
      <c r="BL34" s="225"/>
      <c r="BM34" s="225"/>
      <c r="BN34" s="225">
        <v>2380</v>
      </c>
      <c r="BO34" s="225">
        <f t="shared" si="0"/>
        <v>5631</v>
      </c>
      <c r="BP34" s="230">
        <f t="shared" si="1"/>
        <v>309.70499999999998</v>
      </c>
      <c r="BQ34" s="230">
        <f t="shared" si="2"/>
        <v>5940.7049999999999</v>
      </c>
      <c r="BR34" s="230">
        <v>5940.7</v>
      </c>
      <c r="BS34" s="225" t="s">
        <v>188</v>
      </c>
      <c r="BT34" s="225"/>
      <c r="BU34" s="225"/>
      <c r="BV34" s="301" t="s">
        <v>1900</v>
      </c>
      <c r="BW34" s="301" t="s">
        <v>214</v>
      </c>
      <c r="BX34" s="301" t="s">
        <v>620</v>
      </c>
      <c r="BY34" s="301">
        <v>2020</v>
      </c>
    </row>
    <row r="35" spans="1:77" ht="13.5" customHeight="1">
      <c r="A35" s="64">
        <f t="shared" si="3"/>
        <v>2020</v>
      </c>
      <c r="B35" s="64">
        <f t="shared" si="4"/>
        <v>9</v>
      </c>
      <c r="C35" s="125" t="s">
        <v>4106</v>
      </c>
      <c r="D35" s="168" t="str">
        <f t="shared" si="5"/>
        <v>non maj</v>
      </c>
      <c r="E35" s="292" t="s">
        <v>670</v>
      </c>
      <c r="F35" s="292" t="s">
        <v>1260</v>
      </c>
      <c r="G35" s="221">
        <v>400</v>
      </c>
      <c r="H35" s="222">
        <v>44055</v>
      </c>
      <c r="I35" s="222">
        <v>44056</v>
      </c>
      <c r="J35" s="223">
        <v>44056</v>
      </c>
      <c r="K35" s="222" t="s">
        <v>1994</v>
      </c>
      <c r="L35" s="223">
        <v>44103</v>
      </c>
      <c r="M35" s="223">
        <v>44103</v>
      </c>
      <c r="N35" s="223">
        <v>44109</v>
      </c>
      <c r="O35" s="222"/>
      <c r="P35" s="222">
        <v>44137</v>
      </c>
      <c r="Q35" s="222">
        <v>44130</v>
      </c>
      <c r="R35" s="222" t="s">
        <v>176</v>
      </c>
      <c r="S35" s="222">
        <v>44140</v>
      </c>
      <c r="T35" s="222">
        <v>44140</v>
      </c>
      <c r="U35" s="222">
        <v>44147</v>
      </c>
      <c r="V35" s="224"/>
      <c r="W35" s="222"/>
      <c r="X35" s="225"/>
      <c r="Y35" s="225"/>
      <c r="Z35" s="225"/>
      <c r="AA35" s="225">
        <v>2</v>
      </c>
      <c r="AB35" s="225">
        <v>71344</v>
      </c>
      <c r="AC35" s="225">
        <v>200</v>
      </c>
      <c r="AD35" s="225" t="s">
        <v>1999</v>
      </c>
      <c r="AE35" s="225">
        <v>38210</v>
      </c>
      <c r="AF35" s="225" t="s">
        <v>1903</v>
      </c>
      <c r="AG35" s="226">
        <v>680763945</v>
      </c>
      <c r="AH35" s="246" t="s">
        <v>2068</v>
      </c>
      <c r="AI35" s="225" t="s">
        <v>1168</v>
      </c>
      <c r="AJ35" s="225"/>
      <c r="AK35" s="225"/>
      <c r="AL35" s="225" t="s">
        <v>176</v>
      </c>
      <c r="AM35" s="225" t="s">
        <v>176</v>
      </c>
      <c r="AN35" s="225" t="s">
        <v>176</v>
      </c>
      <c r="AO35" s="225" t="s">
        <v>176</v>
      </c>
      <c r="AP35" s="222" t="s">
        <v>818</v>
      </c>
      <c r="AQ35" s="225" t="s">
        <v>225</v>
      </c>
      <c r="AR35" s="225" t="s">
        <v>1973</v>
      </c>
      <c r="AS35" s="241" t="s">
        <v>1974</v>
      </c>
      <c r="AT35" s="226">
        <v>476323235</v>
      </c>
      <c r="AU35" s="225" t="s">
        <v>176</v>
      </c>
      <c r="AV35" s="241" t="s">
        <v>188</v>
      </c>
      <c r="AW35" s="223">
        <v>44429</v>
      </c>
      <c r="AX35" s="225" t="s">
        <v>4113</v>
      </c>
      <c r="AY35" s="225">
        <v>1995</v>
      </c>
      <c r="AZ35" s="225" t="s">
        <v>1880</v>
      </c>
      <c r="BA35" s="225" t="s">
        <v>267</v>
      </c>
      <c r="BB35" s="225" t="s">
        <v>221</v>
      </c>
      <c r="BC35" s="225" t="s">
        <v>2069</v>
      </c>
      <c r="BD35" s="225">
        <v>18</v>
      </c>
      <c r="BE35" s="225">
        <v>10</v>
      </c>
      <c r="BF35" s="225">
        <v>90.4</v>
      </c>
      <c r="BG35" s="225">
        <v>3.0000000000000001E-3</v>
      </c>
      <c r="BH35" s="225" t="s">
        <v>1882</v>
      </c>
      <c r="BI35" s="225"/>
      <c r="BJ35" s="225">
        <f>485+40+3450+148+95+40</f>
        <v>4258</v>
      </c>
      <c r="BK35" s="225"/>
      <c r="BL35" s="225"/>
      <c r="BM35" s="225"/>
      <c r="BN35" s="225">
        <f>30+290+380</f>
        <v>700</v>
      </c>
      <c r="BO35" s="225">
        <f t="shared" si="0"/>
        <v>4958</v>
      </c>
      <c r="BP35" s="230">
        <f t="shared" si="1"/>
        <v>272.69</v>
      </c>
      <c r="BQ35" s="230">
        <f t="shared" si="2"/>
        <v>5230.6899999999996</v>
      </c>
      <c r="BR35" s="230">
        <v>4793.97</v>
      </c>
      <c r="BS35" s="225" t="s">
        <v>188</v>
      </c>
      <c r="BT35" s="225"/>
      <c r="BU35" s="225"/>
      <c r="BV35" s="301" t="s">
        <v>1900</v>
      </c>
      <c r="BW35" s="301" t="s">
        <v>214</v>
      </c>
      <c r="BX35" s="301" t="s">
        <v>620</v>
      </c>
      <c r="BY35" s="301" t="s">
        <v>176</v>
      </c>
    </row>
    <row r="36" spans="1:77" ht="13.5" customHeight="1">
      <c r="A36" s="64">
        <f t="shared" si="3"/>
        <v>2020</v>
      </c>
      <c r="B36" s="64">
        <f t="shared" si="4"/>
        <v>8</v>
      </c>
      <c r="C36" s="125" t="s">
        <v>4106</v>
      </c>
      <c r="D36" s="168" t="str">
        <f t="shared" si="5"/>
        <v>maj</v>
      </c>
      <c r="E36" s="292" t="s">
        <v>670</v>
      </c>
      <c r="F36" s="292" t="s">
        <v>1261</v>
      </c>
      <c r="G36" s="221">
        <v>800</v>
      </c>
      <c r="H36" s="222">
        <v>44059</v>
      </c>
      <c r="I36" s="222">
        <v>44060</v>
      </c>
      <c r="J36" s="223" t="s">
        <v>176</v>
      </c>
      <c r="K36" s="222" t="s">
        <v>176</v>
      </c>
      <c r="L36" s="223">
        <v>44067</v>
      </c>
      <c r="M36" s="223">
        <v>44067</v>
      </c>
      <c r="N36" s="223">
        <v>44089</v>
      </c>
      <c r="O36" s="222"/>
      <c r="P36" s="222">
        <v>44139</v>
      </c>
      <c r="Q36" s="222">
        <v>44064</v>
      </c>
      <c r="R36" s="222" t="s">
        <v>2070</v>
      </c>
      <c r="S36" s="222">
        <v>44176</v>
      </c>
      <c r="T36" s="222">
        <v>44176</v>
      </c>
      <c r="U36" s="222">
        <v>44182</v>
      </c>
      <c r="V36" s="224"/>
      <c r="W36" s="222"/>
      <c r="X36" s="225"/>
      <c r="Y36" s="225"/>
      <c r="Z36" s="225"/>
      <c r="AA36" s="225">
        <v>3</v>
      </c>
      <c r="AB36" s="225">
        <v>31464</v>
      </c>
      <c r="AC36" s="225">
        <v>23</v>
      </c>
      <c r="AD36" s="225" t="s">
        <v>2071</v>
      </c>
      <c r="AE36" s="225">
        <v>38210</v>
      </c>
      <c r="AF36" s="225" t="s">
        <v>265</v>
      </c>
      <c r="AG36" s="226">
        <v>782143733</v>
      </c>
      <c r="AH36" s="246" t="s">
        <v>2072</v>
      </c>
      <c r="AI36" s="225" t="s">
        <v>1168</v>
      </c>
      <c r="AJ36" s="225"/>
      <c r="AK36" s="225"/>
      <c r="AL36" s="225" t="s">
        <v>176</v>
      </c>
      <c r="AM36" s="225" t="s">
        <v>176</v>
      </c>
      <c r="AN36" s="225" t="s">
        <v>176</v>
      </c>
      <c r="AO36" s="225" t="s">
        <v>176</v>
      </c>
      <c r="AP36" s="225" t="s">
        <v>579</v>
      </c>
      <c r="AQ36" s="225" t="s">
        <v>1895</v>
      </c>
      <c r="AR36" s="225" t="s">
        <v>1896</v>
      </c>
      <c r="AS36" s="241" t="s">
        <v>201</v>
      </c>
      <c r="AT36" s="226">
        <v>608287337</v>
      </c>
      <c r="AU36" s="225" t="s">
        <v>176</v>
      </c>
      <c r="AV36" s="241" t="s">
        <v>188</v>
      </c>
      <c r="AW36" s="223">
        <v>44417</v>
      </c>
      <c r="AX36" s="225" t="s">
        <v>1880</v>
      </c>
      <c r="AY36" s="225">
        <v>1999</v>
      </c>
      <c r="AZ36" s="225" t="s">
        <v>1880</v>
      </c>
      <c r="BA36" s="225" t="s">
        <v>380</v>
      </c>
      <c r="BB36" s="225" t="s">
        <v>1897</v>
      </c>
      <c r="BC36" s="225" t="s">
        <v>2073</v>
      </c>
      <c r="BD36" s="225">
        <v>27.2</v>
      </c>
      <c r="BE36" s="225">
        <v>5.48</v>
      </c>
      <c r="BF36" s="225">
        <v>82.3</v>
      </c>
      <c r="BG36" s="225">
        <v>4.9000000000000002E-2</v>
      </c>
      <c r="BH36" s="225" t="s">
        <v>1899</v>
      </c>
      <c r="BI36" s="225"/>
      <c r="BJ36" s="225">
        <v>1500</v>
      </c>
      <c r="BK36" s="225"/>
      <c r="BL36" s="225"/>
      <c r="BM36" s="225"/>
      <c r="BN36" s="225">
        <v>1000</v>
      </c>
      <c r="BO36" s="225">
        <f t="shared" si="0"/>
        <v>2500</v>
      </c>
      <c r="BP36" s="230">
        <f t="shared" si="1"/>
        <v>137.5</v>
      </c>
      <c r="BQ36" s="230">
        <f t="shared" si="2"/>
        <v>2637.5</v>
      </c>
      <c r="BR36" s="230">
        <v>2500</v>
      </c>
      <c r="BS36" s="225" t="s">
        <v>191</v>
      </c>
      <c r="BT36" s="225"/>
      <c r="BU36" s="225"/>
      <c r="BV36" s="301" t="s">
        <v>1900</v>
      </c>
      <c r="BW36" s="301" t="s">
        <v>214</v>
      </c>
      <c r="BX36" s="222" t="s">
        <v>618</v>
      </c>
      <c r="BY36" s="301">
        <v>2020</v>
      </c>
    </row>
    <row r="37" spans="1:77" ht="13.5" customHeight="1">
      <c r="A37" s="64">
        <f t="shared" si="3"/>
        <v>2020</v>
      </c>
      <c r="B37" s="64">
        <f t="shared" si="4"/>
        <v>8</v>
      </c>
      <c r="C37" s="125" t="s">
        <v>4106</v>
      </c>
      <c r="D37" s="168" t="str">
        <f t="shared" si="5"/>
        <v>non maj</v>
      </c>
      <c r="E37" s="292" t="s">
        <v>670</v>
      </c>
      <c r="F37" s="292" t="s">
        <v>1262</v>
      </c>
      <c r="G37" s="221">
        <v>400</v>
      </c>
      <c r="H37" s="222">
        <v>44062</v>
      </c>
      <c r="I37" s="222">
        <v>44063</v>
      </c>
      <c r="J37" s="223" t="s">
        <v>176</v>
      </c>
      <c r="K37" s="222" t="s">
        <v>176</v>
      </c>
      <c r="L37" s="223">
        <v>44067</v>
      </c>
      <c r="M37" s="223">
        <v>44067</v>
      </c>
      <c r="N37" s="223">
        <v>44089</v>
      </c>
      <c r="O37" s="222"/>
      <c r="P37" s="222">
        <v>44151</v>
      </c>
      <c r="Q37" s="222">
        <v>44106</v>
      </c>
      <c r="R37" s="222" t="s">
        <v>176</v>
      </c>
      <c r="S37" s="222">
        <v>44158</v>
      </c>
      <c r="T37" s="222">
        <v>44158</v>
      </c>
      <c r="U37" s="222">
        <v>44166</v>
      </c>
      <c r="V37" s="224"/>
      <c r="W37" s="222"/>
      <c r="X37" s="225"/>
      <c r="Y37" s="225"/>
      <c r="Z37" s="225"/>
      <c r="AA37" s="225">
        <v>4</v>
      </c>
      <c r="AB37" s="225">
        <v>65715</v>
      </c>
      <c r="AC37" s="225">
        <v>4</v>
      </c>
      <c r="AD37" s="225" t="s">
        <v>2074</v>
      </c>
      <c r="AE37" s="225">
        <v>38140</v>
      </c>
      <c r="AF37" s="225" t="s">
        <v>1946</v>
      </c>
      <c r="AG37" s="226">
        <v>476919840</v>
      </c>
      <c r="AH37" s="295" t="s">
        <v>2075</v>
      </c>
      <c r="AI37" s="225" t="s">
        <v>1168</v>
      </c>
      <c r="AJ37" s="225"/>
      <c r="AK37" s="225"/>
      <c r="AL37" s="225" t="s">
        <v>176</v>
      </c>
      <c r="AM37" s="225" t="s">
        <v>176</v>
      </c>
      <c r="AN37" s="225" t="s">
        <v>176</v>
      </c>
      <c r="AO37" s="225" t="s">
        <v>176</v>
      </c>
      <c r="AP37" s="225" t="s">
        <v>1888</v>
      </c>
      <c r="AQ37" s="225" t="s">
        <v>225</v>
      </c>
      <c r="AR37" s="225" t="s">
        <v>1889</v>
      </c>
      <c r="AS37" s="295" t="s">
        <v>269</v>
      </c>
      <c r="AT37" s="226" t="s">
        <v>600</v>
      </c>
      <c r="AU37" s="225" t="s">
        <v>176</v>
      </c>
      <c r="AV37" s="251" t="s">
        <v>188</v>
      </c>
      <c r="AW37" s="223">
        <v>44138</v>
      </c>
      <c r="AX37" s="225" t="s">
        <v>4113</v>
      </c>
      <c r="AY37" s="225">
        <v>1987</v>
      </c>
      <c r="AZ37" s="225" t="s">
        <v>1880</v>
      </c>
      <c r="BA37" s="225" t="s">
        <v>380</v>
      </c>
      <c r="BB37" s="225" t="s">
        <v>1936</v>
      </c>
      <c r="BC37" s="225" t="s">
        <v>2076</v>
      </c>
      <c r="BD37" s="225">
        <v>14</v>
      </c>
      <c r="BE37" s="225">
        <v>8.6999999999999993</v>
      </c>
      <c r="BF37" s="225">
        <v>83</v>
      </c>
      <c r="BG37" s="225">
        <v>0.1</v>
      </c>
      <c r="BH37" s="225" t="s">
        <v>1882</v>
      </c>
      <c r="BI37" s="225"/>
      <c r="BJ37" s="225">
        <f>2725.94+89+87+120+90+47+43+22+101+15</f>
        <v>3339.94</v>
      </c>
      <c r="BK37" s="225"/>
      <c r="BL37" s="225"/>
      <c r="BM37" s="225"/>
      <c r="BN37" s="225">
        <f>30+450</f>
        <v>480</v>
      </c>
      <c r="BO37" s="225">
        <f t="shared" si="0"/>
        <v>3819.94</v>
      </c>
      <c r="BP37" s="230">
        <f t="shared" si="1"/>
        <v>210.0967</v>
      </c>
      <c r="BQ37" s="230">
        <f t="shared" si="2"/>
        <v>4030.0367000000001</v>
      </c>
      <c r="BR37" s="230">
        <v>3423.41</v>
      </c>
      <c r="BS37" s="225" t="s">
        <v>191</v>
      </c>
      <c r="BT37" s="225"/>
      <c r="BU37" s="225"/>
      <c r="BV37" s="225" t="s">
        <v>1900</v>
      </c>
      <c r="BW37" s="301" t="s">
        <v>214</v>
      </c>
      <c r="BX37" s="301" t="s">
        <v>620</v>
      </c>
      <c r="BY37" s="225">
        <v>2020</v>
      </c>
    </row>
    <row r="38" spans="1:77" ht="13.5" customHeight="1">
      <c r="A38" s="64">
        <f t="shared" si="3"/>
        <v>2020</v>
      </c>
      <c r="B38" s="64">
        <f t="shared" si="4"/>
        <v>9</v>
      </c>
      <c r="C38" s="125" t="s">
        <v>191</v>
      </c>
      <c r="D38" s="168" t="str">
        <f t="shared" si="5"/>
        <v>non maj</v>
      </c>
      <c r="E38" s="292" t="s">
        <v>670</v>
      </c>
      <c r="F38" s="292" t="s">
        <v>1263</v>
      </c>
      <c r="G38" s="221">
        <v>400</v>
      </c>
      <c r="H38" s="222">
        <v>44062</v>
      </c>
      <c r="I38" s="222">
        <v>44063</v>
      </c>
      <c r="J38" s="223">
        <v>44067</v>
      </c>
      <c r="K38" s="222" t="s">
        <v>2077</v>
      </c>
      <c r="L38" s="223">
        <v>44077</v>
      </c>
      <c r="M38" s="223">
        <v>44077</v>
      </c>
      <c r="N38" s="223">
        <v>44084</v>
      </c>
      <c r="O38" s="222"/>
      <c r="P38" s="222">
        <v>44398</v>
      </c>
      <c r="Q38" s="222">
        <v>44362</v>
      </c>
      <c r="R38" s="222" t="s">
        <v>176</v>
      </c>
      <c r="S38" s="222">
        <v>44413</v>
      </c>
      <c r="T38" s="222">
        <v>44413</v>
      </c>
      <c r="U38" s="222">
        <v>44453</v>
      </c>
      <c r="V38" s="224"/>
      <c r="W38" s="222"/>
      <c r="X38" s="225"/>
      <c r="Y38" s="225"/>
      <c r="Z38" s="225"/>
      <c r="AA38" s="225">
        <v>2</v>
      </c>
      <c r="AB38" s="225">
        <v>30931</v>
      </c>
      <c r="AC38" s="225">
        <v>21</v>
      </c>
      <c r="AD38" s="225" t="s">
        <v>2078</v>
      </c>
      <c r="AE38" s="225">
        <v>76680</v>
      </c>
      <c r="AF38" s="225" t="s">
        <v>2079</v>
      </c>
      <c r="AG38" s="226">
        <v>671936440</v>
      </c>
      <c r="AH38" s="246" t="s">
        <v>176</v>
      </c>
      <c r="AI38" s="225" t="s">
        <v>1168</v>
      </c>
      <c r="AJ38" s="225"/>
      <c r="AK38" s="225"/>
      <c r="AL38" s="225">
        <v>781</v>
      </c>
      <c r="AM38" s="225" t="s">
        <v>2080</v>
      </c>
      <c r="AN38" s="225">
        <v>38430</v>
      </c>
      <c r="AO38" s="225" t="s">
        <v>2081</v>
      </c>
      <c r="AP38" s="225" t="s">
        <v>2082</v>
      </c>
      <c r="AQ38" s="225" t="s">
        <v>2083</v>
      </c>
      <c r="AR38" s="225" t="s">
        <v>2084</v>
      </c>
      <c r="AS38" s="241" t="s">
        <v>2085</v>
      </c>
      <c r="AT38" s="226">
        <v>478900404</v>
      </c>
      <c r="AU38" s="225" t="s">
        <v>176</v>
      </c>
      <c r="AV38" s="241" t="s">
        <v>188</v>
      </c>
      <c r="AW38" s="223">
        <v>44265</v>
      </c>
      <c r="AX38" s="225" t="s">
        <v>4113</v>
      </c>
      <c r="AY38" s="225" t="s">
        <v>1967</v>
      </c>
      <c r="AZ38" s="225" t="s">
        <v>1880</v>
      </c>
      <c r="BA38" s="225" t="s">
        <v>267</v>
      </c>
      <c r="BB38" s="225" t="s">
        <v>413</v>
      </c>
      <c r="BC38" s="225" t="s">
        <v>2086</v>
      </c>
      <c r="BD38" s="225">
        <v>20</v>
      </c>
      <c r="BE38" s="225">
        <v>8.5</v>
      </c>
      <c r="BF38" s="225">
        <v>87.5</v>
      </c>
      <c r="BG38" s="225">
        <v>0.01</v>
      </c>
      <c r="BH38" s="225" t="s">
        <v>1882</v>
      </c>
      <c r="BI38" s="225"/>
      <c r="BJ38" s="225">
        <f>5367.77+329.86+118.48+205.69</f>
        <v>6021.7999999999993</v>
      </c>
      <c r="BK38" s="225"/>
      <c r="BL38" s="225"/>
      <c r="BM38" s="225"/>
      <c r="BN38" s="225">
        <f>464.45+805.69+132.7+876.78</f>
        <v>2279.62</v>
      </c>
      <c r="BO38" s="225">
        <f t="shared" si="0"/>
        <v>8301.4199999999983</v>
      </c>
      <c r="BP38" s="230">
        <f t="shared" si="1"/>
        <v>456.57809999999989</v>
      </c>
      <c r="BQ38" s="230">
        <f t="shared" si="2"/>
        <v>8757.9980999999989</v>
      </c>
      <c r="BR38" s="230">
        <v>8400</v>
      </c>
      <c r="BS38" s="225" t="s">
        <v>191</v>
      </c>
      <c r="BT38" s="225"/>
      <c r="BU38" s="225"/>
      <c r="BV38" s="301" t="s">
        <v>1981</v>
      </c>
      <c r="BW38" s="301" t="s">
        <v>214</v>
      </c>
      <c r="BX38" s="301" t="s">
        <v>620</v>
      </c>
      <c r="BY38" s="301" t="s">
        <v>176</v>
      </c>
    </row>
    <row r="39" spans="1:77" ht="13.5" customHeight="1">
      <c r="A39" s="64">
        <f t="shared" si="3"/>
        <v>2020</v>
      </c>
      <c r="B39" s="64">
        <f t="shared" si="4"/>
        <v>8</v>
      </c>
      <c r="C39" s="125" t="s">
        <v>4106</v>
      </c>
      <c r="D39" s="168" t="str">
        <f t="shared" si="5"/>
        <v>maj</v>
      </c>
      <c r="E39" s="292" t="s">
        <v>670</v>
      </c>
      <c r="F39" s="292" t="s">
        <v>1264</v>
      </c>
      <c r="G39" s="221">
        <v>800</v>
      </c>
      <c r="H39" s="222">
        <v>44062</v>
      </c>
      <c r="I39" s="222">
        <v>44063</v>
      </c>
      <c r="J39" s="223" t="s">
        <v>176</v>
      </c>
      <c r="K39" s="222" t="s">
        <v>176</v>
      </c>
      <c r="L39" s="223">
        <v>44067</v>
      </c>
      <c r="M39" s="223">
        <v>44067</v>
      </c>
      <c r="N39" s="223">
        <v>44089</v>
      </c>
      <c r="O39" s="222"/>
      <c r="P39" s="222">
        <v>44229</v>
      </c>
      <c r="Q39" s="222">
        <v>44120</v>
      </c>
      <c r="R39" s="222" t="s">
        <v>176</v>
      </c>
      <c r="S39" s="222">
        <v>44229</v>
      </c>
      <c r="T39" s="222">
        <v>44229</v>
      </c>
      <c r="U39" s="222">
        <v>44243</v>
      </c>
      <c r="V39" s="224"/>
      <c r="W39" s="222"/>
      <c r="X39" s="225"/>
      <c r="Y39" s="225"/>
      <c r="Z39" s="225"/>
      <c r="AA39" s="225">
        <v>3</v>
      </c>
      <c r="AB39" s="225">
        <v>31024</v>
      </c>
      <c r="AC39" s="225">
        <v>1065</v>
      </c>
      <c r="AD39" s="225" t="s">
        <v>2087</v>
      </c>
      <c r="AE39" s="225">
        <v>38960</v>
      </c>
      <c r="AF39" s="225" t="s">
        <v>2088</v>
      </c>
      <c r="AG39" s="226">
        <v>668717844</v>
      </c>
      <c r="AH39" s="246" t="s">
        <v>2089</v>
      </c>
      <c r="AI39" s="225" t="s">
        <v>1168</v>
      </c>
      <c r="AJ39" s="225"/>
      <c r="AK39" s="225"/>
      <c r="AL39" s="225" t="s">
        <v>176</v>
      </c>
      <c r="AM39" s="225" t="s">
        <v>176</v>
      </c>
      <c r="AN39" s="225" t="s">
        <v>176</v>
      </c>
      <c r="AO39" s="225" t="s">
        <v>176</v>
      </c>
      <c r="AP39" s="225" t="s">
        <v>1909</v>
      </c>
      <c r="AQ39" s="225" t="s">
        <v>1910</v>
      </c>
      <c r="AR39" s="225" t="s">
        <v>781</v>
      </c>
      <c r="AS39" s="246" t="s">
        <v>1911</v>
      </c>
      <c r="AT39" s="226">
        <v>474937373</v>
      </c>
      <c r="AU39" s="225" t="s">
        <v>176</v>
      </c>
      <c r="AV39" s="241" t="s">
        <v>188</v>
      </c>
      <c r="AW39" s="223">
        <v>44314</v>
      </c>
      <c r="AX39" s="225" t="s">
        <v>4113</v>
      </c>
      <c r="AY39" s="225">
        <v>1990</v>
      </c>
      <c r="AZ39" s="225" t="s">
        <v>1880</v>
      </c>
      <c r="BA39" s="225" t="s">
        <v>267</v>
      </c>
      <c r="BB39" s="225" t="s">
        <v>279</v>
      </c>
      <c r="BC39" s="225" t="s">
        <v>2090</v>
      </c>
      <c r="BD39" s="225">
        <v>19</v>
      </c>
      <c r="BE39" s="225">
        <v>8.1999999999999993</v>
      </c>
      <c r="BF39" s="225">
        <v>91.1</v>
      </c>
      <c r="BG39" s="225">
        <v>1.0999999999999999E-2</v>
      </c>
      <c r="BH39" s="225" t="s">
        <v>1899</v>
      </c>
      <c r="BI39" s="225"/>
      <c r="BJ39" s="225">
        <v>3740</v>
      </c>
      <c r="BK39" s="225"/>
      <c r="BL39" s="225"/>
      <c r="BM39" s="225"/>
      <c r="BN39" s="225">
        <v>1250</v>
      </c>
      <c r="BO39" s="225">
        <f t="shared" si="0"/>
        <v>4990</v>
      </c>
      <c r="BP39" s="230">
        <f t="shared" si="1"/>
        <v>274.45</v>
      </c>
      <c r="BQ39" s="230">
        <f t="shared" si="2"/>
        <v>5264.45</v>
      </c>
      <c r="BR39" s="230">
        <v>5264.45</v>
      </c>
      <c r="BS39" s="225" t="s">
        <v>188</v>
      </c>
      <c r="BT39" s="225"/>
      <c r="BU39" s="225"/>
      <c r="BV39" s="301" t="s">
        <v>1900</v>
      </c>
      <c r="BW39" s="301" t="s">
        <v>214</v>
      </c>
      <c r="BX39" s="222" t="s">
        <v>618</v>
      </c>
      <c r="BY39" s="301" t="s">
        <v>176</v>
      </c>
    </row>
    <row r="40" spans="1:77" ht="13.5" customHeight="1">
      <c r="A40" s="64">
        <f t="shared" si="3"/>
        <v>2020</v>
      </c>
      <c r="B40" s="64">
        <f t="shared" si="4"/>
        <v>9</v>
      </c>
      <c r="C40" s="125" t="s">
        <v>4106</v>
      </c>
      <c r="D40" s="168" t="str">
        <f t="shared" si="5"/>
        <v>non maj</v>
      </c>
      <c r="E40" s="292" t="s">
        <v>670</v>
      </c>
      <c r="F40" s="292" t="s">
        <v>1265</v>
      </c>
      <c r="G40" s="221">
        <v>400</v>
      </c>
      <c r="H40" s="222">
        <v>44063</v>
      </c>
      <c r="I40" s="222">
        <v>44064</v>
      </c>
      <c r="J40" s="223">
        <v>44067</v>
      </c>
      <c r="K40" s="222" t="s">
        <v>2091</v>
      </c>
      <c r="L40" s="223">
        <v>44077</v>
      </c>
      <c r="M40" s="223">
        <v>44077</v>
      </c>
      <c r="N40" s="223">
        <v>44084</v>
      </c>
      <c r="O40" s="222"/>
      <c r="P40" s="222">
        <v>44139</v>
      </c>
      <c r="Q40" s="222">
        <v>44113</v>
      </c>
      <c r="R40" s="222" t="s">
        <v>176</v>
      </c>
      <c r="S40" s="222">
        <v>44145</v>
      </c>
      <c r="T40" s="222">
        <v>44145</v>
      </c>
      <c r="U40" s="222">
        <v>44147</v>
      </c>
      <c r="V40" s="224"/>
      <c r="W40" s="222"/>
      <c r="X40" s="225"/>
      <c r="Y40" s="225"/>
      <c r="Z40" s="225"/>
      <c r="AA40" s="225">
        <v>5</v>
      </c>
      <c r="AB40" s="225">
        <v>60396</v>
      </c>
      <c r="AC40" s="225">
        <v>204</v>
      </c>
      <c r="AD40" s="225" t="s">
        <v>800</v>
      </c>
      <c r="AE40" s="225">
        <v>38500</v>
      </c>
      <c r="AF40" s="225" t="s">
        <v>1984</v>
      </c>
      <c r="AG40" s="226">
        <v>676189274</v>
      </c>
      <c r="AH40" s="246" t="s">
        <v>2092</v>
      </c>
      <c r="AI40" s="225" t="s">
        <v>1168</v>
      </c>
      <c r="AJ40" s="225"/>
      <c r="AK40" s="225"/>
      <c r="AL40" s="225" t="s">
        <v>176</v>
      </c>
      <c r="AM40" s="225" t="s">
        <v>176</v>
      </c>
      <c r="AN40" s="225" t="s">
        <v>176</v>
      </c>
      <c r="AO40" s="225" t="s">
        <v>176</v>
      </c>
      <c r="AP40" s="225" t="s">
        <v>675</v>
      </c>
      <c r="AQ40" s="225" t="s">
        <v>225</v>
      </c>
      <c r="AR40" s="225" t="s">
        <v>1948</v>
      </c>
      <c r="AS40" s="241" t="s">
        <v>673</v>
      </c>
      <c r="AT40" s="226">
        <v>951096343</v>
      </c>
      <c r="AU40" s="225" t="s">
        <v>176</v>
      </c>
      <c r="AV40" s="241" t="s">
        <v>188</v>
      </c>
      <c r="AW40" s="223">
        <v>44433</v>
      </c>
      <c r="AX40" s="225" t="s">
        <v>1880</v>
      </c>
      <c r="AY40" s="225">
        <v>1998</v>
      </c>
      <c r="AZ40" s="225" t="s">
        <v>1880</v>
      </c>
      <c r="BA40" s="225" t="s">
        <v>267</v>
      </c>
      <c r="BB40" s="225" t="s">
        <v>229</v>
      </c>
      <c r="BC40" s="225" t="s">
        <v>2093</v>
      </c>
      <c r="BD40" s="225">
        <v>20</v>
      </c>
      <c r="BE40" s="225">
        <v>7.9</v>
      </c>
      <c r="BF40" s="225">
        <v>89</v>
      </c>
      <c r="BG40" s="225">
        <v>1.7999999999999999E-2</v>
      </c>
      <c r="BH40" s="225" t="s">
        <v>1899</v>
      </c>
      <c r="BI40" s="225"/>
      <c r="BJ40" s="225">
        <f>5885+250.44+271.35+236+119.9</f>
        <v>6762.69</v>
      </c>
      <c r="BK40" s="225"/>
      <c r="BL40" s="225"/>
      <c r="BM40" s="225"/>
      <c r="BN40" s="225">
        <v>630</v>
      </c>
      <c r="BO40" s="225">
        <f t="shared" si="0"/>
        <v>7392.69</v>
      </c>
      <c r="BP40" s="230">
        <f t="shared" si="1"/>
        <v>406.59794999999997</v>
      </c>
      <c r="BQ40" s="230">
        <f t="shared" si="2"/>
        <v>7799.2879499999999</v>
      </c>
      <c r="BR40" s="230">
        <v>7500</v>
      </c>
      <c r="BS40" s="225" t="s">
        <v>188</v>
      </c>
      <c r="BT40" s="225"/>
      <c r="BU40" s="225"/>
      <c r="BV40" s="301" t="s">
        <v>1900</v>
      </c>
      <c r="BW40" s="301" t="s">
        <v>214</v>
      </c>
      <c r="BX40" s="301" t="s">
        <v>620</v>
      </c>
      <c r="BY40" s="301" t="s">
        <v>176</v>
      </c>
    </row>
    <row r="41" spans="1:77" ht="13.5" customHeight="1">
      <c r="A41" s="64">
        <f t="shared" si="3"/>
        <v>2020</v>
      </c>
      <c r="B41" s="64">
        <f t="shared" si="4"/>
        <v>8</v>
      </c>
      <c r="C41" s="125" t="s">
        <v>4106</v>
      </c>
      <c r="D41" s="168" t="str">
        <f t="shared" si="5"/>
        <v>maj</v>
      </c>
      <c r="E41" s="292" t="s">
        <v>670</v>
      </c>
      <c r="F41" s="292" t="s">
        <v>1266</v>
      </c>
      <c r="G41" s="221">
        <v>800</v>
      </c>
      <c r="H41" s="222">
        <v>44063</v>
      </c>
      <c r="I41" s="222">
        <v>44064</v>
      </c>
      <c r="J41" s="223" t="s">
        <v>176</v>
      </c>
      <c r="K41" s="222" t="s">
        <v>176</v>
      </c>
      <c r="L41" s="223">
        <v>44067</v>
      </c>
      <c r="M41" s="223">
        <v>44067</v>
      </c>
      <c r="N41" s="223">
        <v>44089</v>
      </c>
      <c r="O41" s="222"/>
      <c r="P41" s="222">
        <v>44160</v>
      </c>
      <c r="Q41" s="222">
        <v>44135</v>
      </c>
      <c r="R41" s="222" t="s">
        <v>176</v>
      </c>
      <c r="S41" s="222">
        <v>44165</v>
      </c>
      <c r="T41" s="222">
        <v>44165</v>
      </c>
      <c r="U41" s="222">
        <v>44166</v>
      </c>
      <c r="V41" s="224"/>
      <c r="W41" s="222"/>
      <c r="X41" s="225"/>
      <c r="Y41" s="225"/>
      <c r="Z41" s="225"/>
      <c r="AA41" s="225">
        <v>3</v>
      </c>
      <c r="AB41" s="225">
        <v>22527</v>
      </c>
      <c r="AC41" s="225">
        <v>21</v>
      </c>
      <c r="AD41" s="225" t="s">
        <v>2094</v>
      </c>
      <c r="AE41" s="225">
        <v>38340</v>
      </c>
      <c r="AF41" s="225" t="s">
        <v>232</v>
      </c>
      <c r="AG41" s="226">
        <v>695006498</v>
      </c>
      <c r="AH41" s="246" t="s">
        <v>2095</v>
      </c>
      <c r="AI41" s="225" t="s">
        <v>1168</v>
      </c>
      <c r="AJ41" s="225"/>
      <c r="AK41" s="225"/>
      <c r="AL41" s="225" t="s">
        <v>176</v>
      </c>
      <c r="AM41" s="225" t="s">
        <v>176</v>
      </c>
      <c r="AN41" s="225" t="s">
        <v>176</v>
      </c>
      <c r="AO41" s="225" t="s">
        <v>176</v>
      </c>
      <c r="AP41" s="222" t="s">
        <v>818</v>
      </c>
      <c r="AQ41" s="225" t="s">
        <v>225</v>
      </c>
      <c r="AR41" s="225" t="s">
        <v>1973</v>
      </c>
      <c r="AS41" s="241" t="s">
        <v>1974</v>
      </c>
      <c r="AT41" s="226">
        <v>476323235</v>
      </c>
      <c r="AU41" s="225" t="s">
        <v>176</v>
      </c>
      <c r="AV41" s="241" t="s">
        <v>188</v>
      </c>
      <c r="AW41" s="223">
        <v>44429</v>
      </c>
      <c r="AX41" s="225" t="s">
        <v>1879</v>
      </c>
      <c r="AY41" s="225">
        <v>1990</v>
      </c>
      <c r="AZ41" s="225" t="s">
        <v>1880</v>
      </c>
      <c r="BA41" s="225" t="s">
        <v>380</v>
      </c>
      <c r="BB41" s="225" t="s">
        <v>219</v>
      </c>
      <c r="BC41" s="225" t="s">
        <v>409</v>
      </c>
      <c r="BD41" s="225">
        <v>20</v>
      </c>
      <c r="BE41" s="225">
        <v>5</v>
      </c>
      <c r="BF41" s="225">
        <v>83</v>
      </c>
      <c r="BG41" s="225">
        <v>0.06</v>
      </c>
      <c r="BH41" s="225" t="s">
        <v>1882</v>
      </c>
      <c r="BI41" s="225"/>
      <c r="BJ41" s="225">
        <f>530+30+390+1490+80+69+42+42+30+29+110</f>
        <v>2842</v>
      </c>
      <c r="BK41" s="225"/>
      <c r="BL41" s="225"/>
      <c r="BM41" s="225"/>
      <c r="BN41" s="225">
        <f>38+260+48+190</f>
        <v>536</v>
      </c>
      <c r="BO41" s="225">
        <f t="shared" si="0"/>
        <v>3378</v>
      </c>
      <c r="BP41" s="230">
        <f t="shared" si="1"/>
        <v>185.79</v>
      </c>
      <c r="BQ41" s="230">
        <f t="shared" si="2"/>
        <v>3563.79</v>
      </c>
      <c r="BR41" s="230">
        <v>3509.18</v>
      </c>
      <c r="BS41" s="225" t="s">
        <v>191</v>
      </c>
      <c r="BT41" s="225"/>
      <c r="BU41" s="225"/>
      <c r="BV41" s="301" t="s">
        <v>1900</v>
      </c>
      <c r="BW41" s="301" t="s">
        <v>214</v>
      </c>
      <c r="BX41" s="222" t="s">
        <v>618</v>
      </c>
      <c r="BY41" s="301">
        <v>2020</v>
      </c>
    </row>
    <row r="42" spans="1:77" ht="13.5" customHeight="1">
      <c r="A42" s="64">
        <f t="shared" si="3"/>
        <v>2020</v>
      </c>
      <c r="B42" s="64">
        <f t="shared" si="4"/>
        <v>9</v>
      </c>
      <c r="C42" s="125" t="s">
        <v>4106</v>
      </c>
      <c r="D42" s="168" t="str">
        <f t="shared" si="5"/>
        <v>non maj</v>
      </c>
      <c r="E42" s="292" t="s">
        <v>670</v>
      </c>
      <c r="F42" s="292" t="s">
        <v>1267</v>
      </c>
      <c r="G42" s="221">
        <v>400</v>
      </c>
      <c r="H42" s="222">
        <v>44070</v>
      </c>
      <c r="I42" s="222">
        <v>44071</v>
      </c>
      <c r="J42" s="223" t="s">
        <v>176</v>
      </c>
      <c r="K42" s="222" t="s">
        <v>176</v>
      </c>
      <c r="L42" s="223">
        <v>44077</v>
      </c>
      <c r="M42" s="223">
        <v>44077</v>
      </c>
      <c r="N42" s="223">
        <v>44084</v>
      </c>
      <c r="O42" s="222"/>
      <c r="P42" s="222">
        <v>44176</v>
      </c>
      <c r="Q42" s="222">
        <v>44126</v>
      </c>
      <c r="R42" s="222" t="s">
        <v>176</v>
      </c>
      <c r="S42" s="222">
        <v>44179</v>
      </c>
      <c r="T42" s="222">
        <v>44179</v>
      </c>
      <c r="U42" s="222">
        <v>44203</v>
      </c>
      <c r="V42" s="224"/>
      <c r="W42" s="222"/>
      <c r="X42" s="225"/>
      <c r="Y42" s="225"/>
      <c r="Z42" s="225"/>
      <c r="AA42" s="225">
        <v>4</v>
      </c>
      <c r="AB42" s="225">
        <v>41575</v>
      </c>
      <c r="AC42" s="225">
        <v>174</v>
      </c>
      <c r="AD42" s="225" t="s">
        <v>2096</v>
      </c>
      <c r="AE42" s="225">
        <v>38850</v>
      </c>
      <c r="AF42" s="225" t="s">
        <v>1931</v>
      </c>
      <c r="AG42" s="226">
        <v>651828216</v>
      </c>
      <c r="AH42" s="246" t="s">
        <v>2097</v>
      </c>
      <c r="AI42" s="225" t="s">
        <v>1168</v>
      </c>
      <c r="AJ42" s="225"/>
      <c r="AK42" s="225"/>
      <c r="AL42" s="225" t="s">
        <v>176</v>
      </c>
      <c r="AM42" s="225" t="s">
        <v>176</v>
      </c>
      <c r="AN42" s="225" t="s">
        <v>176</v>
      </c>
      <c r="AO42" s="225" t="s">
        <v>176</v>
      </c>
      <c r="AP42" s="225" t="s">
        <v>268</v>
      </c>
      <c r="AQ42" s="225" t="s">
        <v>1893</v>
      </c>
      <c r="AR42" s="225" t="s">
        <v>1933</v>
      </c>
      <c r="AS42" s="246" t="s">
        <v>1934</v>
      </c>
      <c r="AT42" s="226">
        <v>476355605</v>
      </c>
      <c r="AU42" s="225" t="s">
        <v>176</v>
      </c>
      <c r="AV42" s="241" t="s">
        <v>188</v>
      </c>
      <c r="AW42" s="223">
        <v>44495</v>
      </c>
      <c r="AX42" s="225" t="s">
        <v>4113</v>
      </c>
      <c r="AY42" s="225">
        <v>1985</v>
      </c>
      <c r="AZ42" s="225" t="s">
        <v>1880</v>
      </c>
      <c r="BA42" s="225" t="s">
        <v>380</v>
      </c>
      <c r="BB42" s="225" t="s">
        <v>1936</v>
      </c>
      <c r="BC42" s="225" t="s">
        <v>436</v>
      </c>
      <c r="BD42" s="225">
        <v>31</v>
      </c>
      <c r="BE42" s="225">
        <v>6</v>
      </c>
      <c r="BF42" s="225">
        <v>80</v>
      </c>
      <c r="BG42" s="225">
        <v>0.08</v>
      </c>
      <c r="BH42" s="225" t="s">
        <v>1882</v>
      </c>
      <c r="BI42" s="225"/>
      <c r="BJ42" s="225">
        <f>1892+148.5+89.6+33.54</f>
        <v>2163.64</v>
      </c>
      <c r="BK42" s="225"/>
      <c r="BL42" s="225"/>
      <c r="BM42" s="225"/>
      <c r="BN42" s="225">
        <v>225</v>
      </c>
      <c r="BO42" s="225">
        <f t="shared" si="0"/>
        <v>2388.64</v>
      </c>
      <c r="BP42" s="230">
        <f t="shared" si="1"/>
        <v>131.37520000000001</v>
      </c>
      <c r="BQ42" s="230">
        <f t="shared" si="2"/>
        <v>2520.0151999999998</v>
      </c>
      <c r="BR42" s="230">
        <v>2520.02</v>
      </c>
      <c r="BS42" s="225" t="s">
        <v>191</v>
      </c>
      <c r="BT42" s="225"/>
      <c r="BU42" s="225"/>
      <c r="BV42" s="301" t="s">
        <v>1900</v>
      </c>
      <c r="BW42" s="301" t="s">
        <v>214</v>
      </c>
      <c r="BX42" s="301" t="s">
        <v>620</v>
      </c>
      <c r="BY42" s="301">
        <v>2020</v>
      </c>
    </row>
    <row r="43" spans="1:77" ht="13.5" customHeight="1">
      <c r="A43" s="64">
        <f t="shared" si="3"/>
        <v>2020</v>
      </c>
      <c r="B43" s="64">
        <f t="shared" si="4"/>
        <v>9</v>
      </c>
      <c r="C43" s="125" t="s">
        <v>4106</v>
      </c>
      <c r="D43" s="168" t="str">
        <f t="shared" si="5"/>
        <v>non maj</v>
      </c>
      <c r="E43" s="292" t="s">
        <v>670</v>
      </c>
      <c r="F43" s="292" t="s">
        <v>1269</v>
      </c>
      <c r="G43" s="221">
        <v>400</v>
      </c>
      <c r="H43" s="222">
        <v>44071</v>
      </c>
      <c r="I43" s="222">
        <v>44074</v>
      </c>
      <c r="J43" s="223" t="s">
        <v>176</v>
      </c>
      <c r="K43" s="222" t="s">
        <v>176</v>
      </c>
      <c r="L43" s="223">
        <v>44077</v>
      </c>
      <c r="M43" s="223">
        <v>44077</v>
      </c>
      <c r="N43" s="223">
        <v>44084</v>
      </c>
      <c r="O43" s="222"/>
      <c r="P43" s="222">
        <v>44104</v>
      </c>
      <c r="Q43" s="222">
        <v>44096</v>
      </c>
      <c r="R43" s="222" t="s">
        <v>176</v>
      </c>
      <c r="S43" s="222">
        <v>44109</v>
      </c>
      <c r="T43" s="222">
        <v>44109</v>
      </c>
      <c r="U43" s="222">
        <v>44109</v>
      </c>
      <c r="V43" s="224"/>
      <c r="W43" s="222"/>
      <c r="X43" s="225"/>
      <c r="Y43" s="225"/>
      <c r="Z43" s="225"/>
      <c r="AA43" s="225">
        <v>1</v>
      </c>
      <c r="AB43" s="225">
        <v>26532</v>
      </c>
      <c r="AC43" s="225">
        <v>743</v>
      </c>
      <c r="AD43" s="225" t="s">
        <v>2098</v>
      </c>
      <c r="AE43" s="225">
        <v>38850</v>
      </c>
      <c r="AF43" s="225" t="s">
        <v>1931</v>
      </c>
      <c r="AG43" s="226">
        <v>476358382</v>
      </c>
      <c r="AH43" s="246" t="s">
        <v>2099</v>
      </c>
      <c r="AI43" s="225" t="s">
        <v>1168</v>
      </c>
      <c r="AJ43" s="225"/>
      <c r="AK43" s="225"/>
      <c r="AL43" s="225" t="s">
        <v>176</v>
      </c>
      <c r="AM43" s="225" t="s">
        <v>176</v>
      </c>
      <c r="AN43" s="225" t="s">
        <v>176</v>
      </c>
      <c r="AO43" s="225" t="s">
        <v>176</v>
      </c>
      <c r="AP43" s="225" t="s">
        <v>1874</v>
      </c>
      <c r="AQ43" s="225" t="s">
        <v>1875</v>
      </c>
      <c r="AR43" s="225" t="s">
        <v>1876</v>
      </c>
      <c r="AS43" s="246" t="s">
        <v>1877</v>
      </c>
      <c r="AT43" s="226" t="s">
        <v>434</v>
      </c>
      <c r="AU43" s="225" t="s">
        <v>176</v>
      </c>
      <c r="AV43" s="241" t="s">
        <v>1878</v>
      </c>
      <c r="AW43" s="223">
        <v>44152</v>
      </c>
      <c r="AX43" s="225" t="s">
        <v>1880</v>
      </c>
      <c r="AY43" s="225">
        <v>1995</v>
      </c>
      <c r="AZ43" s="225" t="s">
        <v>1880</v>
      </c>
      <c r="BA43" s="225" t="s">
        <v>267</v>
      </c>
      <c r="BB43" s="225" t="s">
        <v>190</v>
      </c>
      <c r="BC43" s="225" t="s">
        <v>2100</v>
      </c>
      <c r="BD43" s="225">
        <v>11</v>
      </c>
      <c r="BE43" s="225">
        <v>12</v>
      </c>
      <c r="BF43" s="225">
        <v>88.5</v>
      </c>
      <c r="BG43" s="225">
        <v>7.0000000000000001E-3</v>
      </c>
      <c r="BH43" s="225" t="s">
        <v>1882</v>
      </c>
      <c r="BI43" s="225"/>
      <c r="BJ43" s="225">
        <f>3760+69+223</f>
        <v>4052</v>
      </c>
      <c r="BK43" s="225"/>
      <c r="BL43" s="225"/>
      <c r="BM43" s="225"/>
      <c r="BN43" s="225">
        <v>590</v>
      </c>
      <c r="BO43" s="225">
        <f t="shared" si="0"/>
        <v>4642</v>
      </c>
      <c r="BP43" s="230">
        <f t="shared" si="1"/>
        <v>255.31</v>
      </c>
      <c r="BQ43" s="230">
        <f t="shared" si="2"/>
        <v>4897.3100000000004</v>
      </c>
      <c r="BR43" s="230">
        <v>4897.3100000000004</v>
      </c>
      <c r="BS43" s="225" t="s">
        <v>188</v>
      </c>
      <c r="BT43" s="225"/>
      <c r="BU43" s="225"/>
      <c r="BV43" s="301" t="s">
        <v>1900</v>
      </c>
      <c r="BW43" s="301" t="s">
        <v>214</v>
      </c>
      <c r="BX43" s="301" t="s">
        <v>620</v>
      </c>
      <c r="BY43" s="301" t="s">
        <v>176</v>
      </c>
    </row>
    <row r="44" spans="1:77" ht="13.5" customHeight="1">
      <c r="A44" s="64">
        <f t="shared" si="3"/>
        <v>2020</v>
      </c>
      <c r="B44" s="64">
        <f t="shared" si="4"/>
        <v>9</v>
      </c>
      <c r="C44" s="125" t="s">
        <v>191</v>
      </c>
      <c r="D44" s="168" t="str">
        <f t="shared" si="5"/>
        <v>non maj</v>
      </c>
      <c r="E44" s="292" t="s">
        <v>670</v>
      </c>
      <c r="F44" s="292" t="s">
        <v>1270</v>
      </c>
      <c r="G44" s="221">
        <v>400</v>
      </c>
      <c r="H44" s="222">
        <v>44072</v>
      </c>
      <c r="I44" s="222">
        <v>44074</v>
      </c>
      <c r="J44" s="223">
        <v>44077</v>
      </c>
      <c r="K44" s="222" t="s">
        <v>2101</v>
      </c>
      <c r="L44" s="223">
        <v>44096</v>
      </c>
      <c r="M44" s="223">
        <v>44096</v>
      </c>
      <c r="N44" s="223">
        <v>44102</v>
      </c>
      <c r="O44" s="222"/>
      <c r="P44" s="222" t="s">
        <v>2102</v>
      </c>
      <c r="Q44" s="222">
        <v>44431</v>
      </c>
      <c r="R44" s="222" t="s">
        <v>897</v>
      </c>
      <c r="S44" s="222">
        <v>44119</v>
      </c>
      <c r="T44" s="222">
        <v>44442</v>
      </c>
      <c r="U44" s="222">
        <v>44442</v>
      </c>
      <c r="V44" s="224"/>
      <c r="W44" s="222"/>
      <c r="X44" s="225"/>
      <c r="Y44" s="225"/>
      <c r="Z44" s="225"/>
      <c r="AA44" s="225">
        <v>2</v>
      </c>
      <c r="AB44" s="225">
        <v>87657</v>
      </c>
      <c r="AC44" s="225">
        <v>620</v>
      </c>
      <c r="AD44" s="225" t="s">
        <v>2103</v>
      </c>
      <c r="AE44" s="225">
        <v>38140</v>
      </c>
      <c r="AF44" s="225" t="s">
        <v>1957</v>
      </c>
      <c r="AG44" s="226">
        <v>684507813</v>
      </c>
      <c r="AH44" s="246" t="s">
        <v>2104</v>
      </c>
      <c r="AI44" s="225" t="s">
        <v>1168</v>
      </c>
      <c r="AJ44" s="225"/>
      <c r="AK44" s="225"/>
      <c r="AL44" s="225" t="s">
        <v>176</v>
      </c>
      <c r="AM44" s="225" t="s">
        <v>176</v>
      </c>
      <c r="AN44" s="225" t="s">
        <v>176</v>
      </c>
      <c r="AO44" s="225" t="s">
        <v>176</v>
      </c>
      <c r="AP44" s="222" t="s">
        <v>587</v>
      </c>
      <c r="AQ44" s="225" t="s">
        <v>225</v>
      </c>
      <c r="AR44" s="225" t="s">
        <v>2026</v>
      </c>
      <c r="AS44" s="241" t="s">
        <v>266</v>
      </c>
      <c r="AT44" s="226">
        <v>476069938</v>
      </c>
      <c r="AU44" s="225" t="s">
        <v>176</v>
      </c>
      <c r="AV44" s="241" t="s">
        <v>188</v>
      </c>
      <c r="AW44" s="223">
        <v>44457</v>
      </c>
      <c r="AX44" s="225" t="s">
        <v>1879</v>
      </c>
      <c r="AY44" s="242">
        <v>1980</v>
      </c>
      <c r="AZ44" s="225" t="s">
        <v>4113</v>
      </c>
      <c r="BA44" s="225" t="s">
        <v>380</v>
      </c>
      <c r="BB44" s="225" t="s">
        <v>2105</v>
      </c>
      <c r="BC44" s="225" t="s">
        <v>2106</v>
      </c>
      <c r="BD44" s="242">
        <v>21</v>
      </c>
      <c r="BE44" s="242">
        <v>10.8</v>
      </c>
      <c r="BF44" s="242">
        <v>80.400000000000006</v>
      </c>
      <c r="BG44" s="242">
        <v>0.1</v>
      </c>
      <c r="BH44" s="225" t="s">
        <v>1882</v>
      </c>
      <c r="BI44" s="225"/>
      <c r="BJ44" s="242">
        <f>290+5669.16+1150+89+640</f>
        <v>7838.16</v>
      </c>
      <c r="BK44" s="225"/>
      <c r="BL44" s="225"/>
      <c r="BM44" s="225"/>
      <c r="BN44" s="242">
        <f>790+450</f>
        <v>1240</v>
      </c>
      <c r="BO44" s="242">
        <f t="shared" si="0"/>
        <v>9078.16</v>
      </c>
      <c r="BP44" s="242">
        <f t="shared" si="1"/>
        <v>499.29879999999997</v>
      </c>
      <c r="BQ44" s="242">
        <f t="shared" si="2"/>
        <v>9577.4588000000003</v>
      </c>
      <c r="BR44" s="230">
        <v>9577.4599999999991</v>
      </c>
      <c r="BS44" s="225" t="s">
        <v>188</v>
      </c>
      <c r="BT44" s="225"/>
      <c r="BU44" s="225"/>
      <c r="BV44" s="301" t="s">
        <v>1981</v>
      </c>
      <c r="BW44" s="301" t="s">
        <v>214</v>
      </c>
      <c r="BX44" s="301" t="s">
        <v>620</v>
      </c>
      <c r="BY44" s="301">
        <v>2020</v>
      </c>
    </row>
    <row r="45" spans="1:77" ht="13.5" customHeight="1">
      <c r="A45" s="64">
        <f t="shared" si="3"/>
        <v>2020</v>
      </c>
      <c r="B45" s="64">
        <f t="shared" si="4"/>
        <v>9</v>
      </c>
      <c r="C45" s="125" t="s">
        <v>4106</v>
      </c>
      <c r="D45" s="168" t="str">
        <f t="shared" si="5"/>
        <v>maj</v>
      </c>
      <c r="E45" s="292" t="s">
        <v>670</v>
      </c>
      <c r="F45" s="292" t="s">
        <v>1271</v>
      </c>
      <c r="G45" s="221">
        <v>800</v>
      </c>
      <c r="H45" s="222">
        <v>44074</v>
      </c>
      <c r="I45" s="222">
        <v>44075</v>
      </c>
      <c r="J45" s="223" t="s">
        <v>176</v>
      </c>
      <c r="K45" s="222" t="s">
        <v>176</v>
      </c>
      <c r="L45" s="223">
        <v>44077</v>
      </c>
      <c r="M45" s="223">
        <v>44077</v>
      </c>
      <c r="N45" s="223">
        <v>44084</v>
      </c>
      <c r="O45" s="222"/>
      <c r="P45" s="222">
        <v>44215</v>
      </c>
      <c r="Q45" s="222">
        <v>44165</v>
      </c>
      <c r="R45" s="222" t="s">
        <v>176</v>
      </c>
      <c r="S45" s="222">
        <v>44217</v>
      </c>
      <c r="T45" s="222">
        <v>44217</v>
      </c>
      <c r="U45" s="222">
        <v>44242</v>
      </c>
      <c r="V45" s="224"/>
      <c r="W45" s="222"/>
      <c r="X45" s="225"/>
      <c r="Y45" s="225"/>
      <c r="Z45" s="225"/>
      <c r="AA45" s="225">
        <v>1</v>
      </c>
      <c r="AB45" s="225">
        <v>9520</v>
      </c>
      <c r="AC45" s="225">
        <v>5</v>
      </c>
      <c r="AD45" s="225" t="s">
        <v>2107</v>
      </c>
      <c r="AE45" s="225">
        <v>38500</v>
      </c>
      <c r="AF45" s="225" t="s">
        <v>225</v>
      </c>
      <c r="AG45" s="226">
        <v>672186763</v>
      </c>
      <c r="AH45" s="246" t="s">
        <v>2108</v>
      </c>
      <c r="AI45" s="225" t="s">
        <v>1168</v>
      </c>
      <c r="AJ45" s="225"/>
      <c r="AK45" s="225"/>
      <c r="AL45" s="225" t="s">
        <v>176</v>
      </c>
      <c r="AM45" s="225" t="s">
        <v>176</v>
      </c>
      <c r="AN45" s="225" t="s">
        <v>176</v>
      </c>
      <c r="AO45" s="225" t="s">
        <v>176</v>
      </c>
      <c r="AP45" s="225" t="s">
        <v>1874</v>
      </c>
      <c r="AQ45" s="225" t="s">
        <v>1875</v>
      </c>
      <c r="AR45" s="225" t="s">
        <v>1876</v>
      </c>
      <c r="AS45" s="246" t="s">
        <v>1877</v>
      </c>
      <c r="AT45" s="226" t="s">
        <v>434</v>
      </c>
      <c r="AU45" s="225" t="s">
        <v>176</v>
      </c>
      <c r="AV45" s="241" t="s">
        <v>1878</v>
      </c>
      <c r="AW45" s="223">
        <v>44517</v>
      </c>
      <c r="AX45" s="225" t="s">
        <v>1179</v>
      </c>
      <c r="AY45" s="225">
        <v>1970</v>
      </c>
      <c r="AZ45" s="225" t="s">
        <v>1179</v>
      </c>
      <c r="BA45" s="225" t="s">
        <v>380</v>
      </c>
      <c r="BB45" s="225" t="s">
        <v>2109</v>
      </c>
      <c r="BC45" s="225" t="s">
        <v>2110</v>
      </c>
      <c r="BD45" s="225">
        <v>36</v>
      </c>
      <c r="BE45" s="225">
        <v>9</v>
      </c>
      <c r="BF45" s="225">
        <v>75</v>
      </c>
      <c r="BG45" s="225">
        <v>0.1</v>
      </c>
      <c r="BH45" s="225" t="s">
        <v>1882</v>
      </c>
      <c r="BI45" s="225"/>
      <c r="BJ45" s="225">
        <f>3450+1780+855+288.5+480+180+45+148</f>
        <v>7226.5</v>
      </c>
      <c r="BK45" s="225"/>
      <c r="BL45" s="225"/>
      <c r="BM45" s="225"/>
      <c r="BN45" s="225">
        <v>450</v>
      </c>
      <c r="BO45" s="225">
        <f t="shared" si="0"/>
        <v>7676.5</v>
      </c>
      <c r="BP45" s="230">
        <f t="shared" si="1"/>
        <v>422.20749999999998</v>
      </c>
      <c r="BQ45" s="230">
        <f t="shared" si="2"/>
        <v>8098.7075000000004</v>
      </c>
      <c r="BR45" s="230">
        <v>8098.71</v>
      </c>
      <c r="BS45" s="225" t="s">
        <v>191</v>
      </c>
      <c r="BT45" s="225"/>
      <c r="BU45" s="225"/>
      <c r="BV45" s="301" t="s">
        <v>1900</v>
      </c>
      <c r="BW45" s="301" t="s">
        <v>214</v>
      </c>
      <c r="BX45" s="222" t="s">
        <v>618</v>
      </c>
      <c r="BY45" s="301">
        <v>2020</v>
      </c>
    </row>
    <row r="46" spans="1:77" ht="13.5" customHeight="1">
      <c r="A46" s="64">
        <f t="shared" si="3"/>
        <v>2020</v>
      </c>
      <c r="B46" s="64">
        <f t="shared" si="4"/>
        <v>9</v>
      </c>
      <c r="C46" s="125" t="s">
        <v>4106</v>
      </c>
      <c r="D46" s="168" t="str">
        <f t="shared" si="5"/>
        <v>non maj</v>
      </c>
      <c r="E46" s="292" t="s">
        <v>670</v>
      </c>
      <c r="F46" s="292" t="s">
        <v>1273</v>
      </c>
      <c r="G46" s="221">
        <v>400</v>
      </c>
      <c r="H46" s="222">
        <v>44076</v>
      </c>
      <c r="I46" s="222">
        <v>44077</v>
      </c>
      <c r="J46" s="223" t="s">
        <v>176</v>
      </c>
      <c r="K46" s="222" t="s">
        <v>176</v>
      </c>
      <c r="L46" s="223">
        <v>44078</v>
      </c>
      <c r="M46" s="223">
        <v>44078</v>
      </c>
      <c r="N46" s="223">
        <v>44084</v>
      </c>
      <c r="O46" s="222"/>
      <c r="P46" s="222">
        <v>44229</v>
      </c>
      <c r="Q46" s="222">
        <v>44103</v>
      </c>
      <c r="R46" s="222" t="s">
        <v>176</v>
      </c>
      <c r="S46" s="222">
        <v>44236</v>
      </c>
      <c r="T46" s="222">
        <v>44236</v>
      </c>
      <c r="U46" s="222">
        <v>44251</v>
      </c>
      <c r="V46" s="224"/>
      <c r="W46" s="222"/>
      <c r="X46" s="225"/>
      <c r="Y46" s="225"/>
      <c r="Z46" s="225"/>
      <c r="AA46" s="225">
        <v>3</v>
      </c>
      <c r="AB46" s="225">
        <v>45466</v>
      </c>
      <c r="AC46" s="225">
        <v>21</v>
      </c>
      <c r="AD46" s="225" t="s">
        <v>2111</v>
      </c>
      <c r="AE46" s="225">
        <v>38340</v>
      </c>
      <c r="AF46" s="225" t="s">
        <v>232</v>
      </c>
      <c r="AG46" s="226">
        <v>682498827</v>
      </c>
      <c r="AH46" s="246" t="s">
        <v>2112</v>
      </c>
      <c r="AI46" s="225" t="s">
        <v>1168</v>
      </c>
      <c r="AJ46" s="225"/>
      <c r="AK46" s="225"/>
      <c r="AL46" s="225" t="s">
        <v>176</v>
      </c>
      <c r="AM46" s="225" t="s">
        <v>176</v>
      </c>
      <c r="AN46" s="225" t="s">
        <v>176</v>
      </c>
      <c r="AO46" s="225" t="s">
        <v>176</v>
      </c>
      <c r="AP46" s="225" t="s">
        <v>2052</v>
      </c>
      <c r="AQ46" s="225" t="s">
        <v>232</v>
      </c>
      <c r="AR46" s="225" t="s">
        <v>233</v>
      </c>
      <c r="AS46" s="241" t="s">
        <v>234</v>
      </c>
      <c r="AT46" s="226">
        <v>476500550</v>
      </c>
      <c r="AU46" s="225" t="s">
        <v>176</v>
      </c>
      <c r="AV46" s="241" t="s">
        <v>188</v>
      </c>
      <c r="AW46" s="223">
        <v>44375</v>
      </c>
      <c r="AX46" s="225" t="s">
        <v>4113</v>
      </c>
      <c r="AY46" s="225">
        <v>1990</v>
      </c>
      <c r="AZ46" s="225" t="s">
        <v>1880</v>
      </c>
      <c r="BA46" s="225" t="s">
        <v>380</v>
      </c>
      <c r="BB46" s="225" t="s">
        <v>270</v>
      </c>
      <c r="BC46" s="225" t="s">
        <v>2113</v>
      </c>
      <c r="BD46" s="225">
        <v>32</v>
      </c>
      <c r="BE46" s="225">
        <v>4</v>
      </c>
      <c r="BF46" s="225">
        <v>80.8</v>
      </c>
      <c r="BG46" s="225">
        <v>0.11</v>
      </c>
      <c r="BH46" s="225" t="s">
        <v>1882</v>
      </c>
      <c r="BI46" s="225"/>
      <c r="BJ46" s="225">
        <f>384.22+77.09+202.53+2658.33+85.75+215.2</f>
        <v>3623.12</v>
      </c>
      <c r="BK46" s="225"/>
      <c r="BL46" s="225"/>
      <c r="BM46" s="225"/>
      <c r="BN46" s="225">
        <f>228.68+493.92+700</f>
        <v>1422.6</v>
      </c>
      <c r="BO46" s="225">
        <f t="shared" si="0"/>
        <v>5045.7199999999993</v>
      </c>
      <c r="BP46" s="230">
        <f t="shared" si="1"/>
        <v>277.51459999999997</v>
      </c>
      <c r="BQ46" s="230">
        <f t="shared" si="2"/>
        <v>5323.2345999999998</v>
      </c>
      <c r="BR46" s="230">
        <v>5023.2299999999996</v>
      </c>
      <c r="BS46" s="225" t="s">
        <v>188</v>
      </c>
      <c r="BT46" s="225"/>
      <c r="BU46" s="225"/>
      <c r="BV46" s="301" t="s">
        <v>1900</v>
      </c>
      <c r="BW46" s="301" t="s">
        <v>214</v>
      </c>
      <c r="BX46" s="301" t="s">
        <v>620</v>
      </c>
      <c r="BY46" s="301">
        <v>2020</v>
      </c>
    </row>
    <row r="47" spans="1:77" ht="13.5" customHeight="1">
      <c r="A47" s="64">
        <f t="shared" si="3"/>
        <v>2020</v>
      </c>
      <c r="B47" s="64">
        <f t="shared" si="4"/>
        <v>9</v>
      </c>
      <c r="C47" s="125" t="s">
        <v>4106</v>
      </c>
      <c r="D47" s="168" t="str">
        <f t="shared" si="5"/>
        <v>maj</v>
      </c>
      <c r="E47" s="292" t="s">
        <v>670</v>
      </c>
      <c r="F47" s="292" t="s">
        <v>1274</v>
      </c>
      <c r="G47" s="221">
        <v>800</v>
      </c>
      <c r="H47" s="222">
        <v>44077</v>
      </c>
      <c r="I47" s="222">
        <v>44077</v>
      </c>
      <c r="J47" s="223" t="s">
        <v>176</v>
      </c>
      <c r="K47" s="222" t="s">
        <v>176</v>
      </c>
      <c r="L47" s="223">
        <v>44078</v>
      </c>
      <c r="M47" s="223">
        <v>44078</v>
      </c>
      <c r="N47" s="223">
        <v>44084</v>
      </c>
      <c r="O47" s="222"/>
      <c r="P47" s="222">
        <v>44210</v>
      </c>
      <c r="Q47" s="222">
        <v>44166</v>
      </c>
      <c r="R47" s="222" t="s">
        <v>2114</v>
      </c>
      <c r="S47" s="222">
        <v>44229</v>
      </c>
      <c r="T47" s="222">
        <v>44229</v>
      </c>
      <c r="U47" s="222">
        <v>44243</v>
      </c>
      <c r="V47" s="224"/>
      <c r="W47" s="222"/>
      <c r="X47" s="225"/>
      <c r="Y47" s="225"/>
      <c r="Z47" s="225"/>
      <c r="AA47" s="225">
        <v>2</v>
      </c>
      <c r="AB47" s="225">
        <v>19705</v>
      </c>
      <c r="AC47" s="225">
        <v>2147</v>
      </c>
      <c r="AD47" s="225" t="s">
        <v>2115</v>
      </c>
      <c r="AE47" s="225">
        <v>38210</v>
      </c>
      <c r="AF47" s="225" t="s">
        <v>265</v>
      </c>
      <c r="AG47" s="226">
        <v>651644005</v>
      </c>
      <c r="AH47" s="246" t="s">
        <v>2116</v>
      </c>
      <c r="AI47" s="225" t="s">
        <v>1168</v>
      </c>
      <c r="AJ47" s="225"/>
      <c r="AK47" s="225"/>
      <c r="AL47" s="225" t="s">
        <v>176</v>
      </c>
      <c r="AM47" s="225" t="s">
        <v>176</v>
      </c>
      <c r="AN47" s="225" t="s">
        <v>176</v>
      </c>
      <c r="AO47" s="225" t="s">
        <v>176</v>
      </c>
      <c r="AP47" s="225" t="s">
        <v>769</v>
      </c>
      <c r="AQ47" s="225" t="s">
        <v>2117</v>
      </c>
      <c r="AR47" s="225" t="s">
        <v>2118</v>
      </c>
      <c r="AS47" s="241" t="s">
        <v>598</v>
      </c>
      <c r="AT47" s="226">
        <v>437039915</v>
      </c>
      <c r="AU47" s="225" t="s">
        <v>176</v>
      </c>
      <c r="AV47" s="241" t="s">
        <v>188</v>
      </c>
      <c r="AW47" s="223">
        <v>44432</v>
      </c>
      <c r="AX47" s="225" t="s">
        <v>1181</v>
      </c>
      <c r="AY47" s="225">
        <v>2001</v>
      </c>
      <c r="AZ47" s="225" t="s">
        <v>1181</v>
      </c>
      <c r="BA47" s="225" t="s">
        <v>267</v>
      </c>
      <c r="BB47" s="225" t="s">
        <v>2119</v>
      </c>
      <c r="BC47" s="270" t="s">
        <v>2120</v>
      </c>
      <c r="BD47" s="270">
        <v>17</v>
      </c>
      <c r="BE47" s="270">
        <v>15.1</v>
      </c>
      <c r="BF47" s="270">
        <v>94</v>
      </c>
      <c r="BG47" s="270">
        <v>2E-3</v>
      </c>
      <c r="BH47" s="225" t="s">
        <v>1882</v>
      </c>
      <c r="BI47" s="225"/>
      <c r="BJ47" s="230">
        <f>11560+886.41+253+690+1158.85+25.3</f>
        <v>14573.56</v>
      </c>
      <c r="BK47" s="225"/>
      <c r="BL47" s="225"/>
      <c r="BM47" s="225"/>
      <c r="BN47" s="230">
        <f>2991.15+500</f>
        <v>3491.15</v>
      </c>
      <c r="BO47" s="230">
        <f t="shared" si="0"/>
        <v>18064.71</v>
      </c>
      <c r="BP47" s="230">
        <f t="shared" si="1"/>
        <v>993.55904999999996</v>
      </c>
      <c r="BQ47" s="230">
        <f t="shared" si="2"/>
        <v>19058.269049999999</v>
      </c>
      <c r="BR47" s="230">
        <v>19058.900000000001</v>
      </c>
      <c r="BS47" s="225" t="s">
        <v>188</v>
      </c>
      <c r="BT47" s="225"/>
      <c r="BU47" s="225"/>
      <c r="BV47" s="301" t="s">
        <v>1900</v>
      </c>
      <c r="BW47" s="301" t="s">
        <v>214</v>
      </c>
      <c r="BX47" s="222" t="s">
        <v>618</v>
      </c>
      <c r="BY47" s="301" t="s">
        <v>176</v>
      </c>
    </row>
    <row r="48" spans="1:77" ht="13.5" customHeight="1">
      <c r="A48" s="64">
        <f t="shared" si="3"/>
        <v>2020</v>
      </c>
      <c r="B48" s="64">
        <f t="shared" si="4"/>
        <v>9</v>
      </c>
      <c r="C48" s="125" t="s">
        <v>4106</v>
      </c>
      <c r="D48" s="168" t="str">
        <f t="shared" si="5"/>
        <v>non maj</v>
      </c>
      <c r="E48" s="292" t="s">
        <v>670</v>
      </c>
      <c r="F48" s="292" t="s">
        <v>1275</v>
      </c>
      <c r="G48" s="221">
        <v>400</v>
      </c>
      <c r="H48" s="222">
        <v>44079</v>
      </c>
      <c r="I48" s="222">
        <v>44081</v>
      </c>
      <c r="J48" s="223" t="s">
        <v>176</v>
      </c>
      <c r="K48" s="222" t="s">
        <v>176</v>
      </c>
      <c r="L48" s="223">
        <v>44082</v>
      </c>
      <c r="M48" s="223">
        <v>44082</v>
      </c>
      <c r="N48" s="223">
        <v>44084</v>
      </c>
      <c r="O48" s="222"/>
      <c r="P48" s="222">
        <v>44151</v>
      </c>
      <c r="Q48" s="222">
        <v>44095</v>
      </c>
      <c r="R48" s="222" t="s">
        <v>176</v>
      </c>
      <c r="S48" s="222">
        <v>44158</v>
      </c>
      <c r="T48" s="222">
        <v>44158</v>
      </c>
      <c r="U48" s="222">
        <v>44166</v>
      </c>
      <c r="V48" s="224"/>
      <c r="W48" s="222"/>
      <c r="X48" s="225"/>
      <c r="Y48" s="225"/>
      <c r="Z48" s="225"/>
      <c r="AA48" s="225">
        <v>6</v>
      </c>
      <c r="AB48" s="225">
        <v>69087</v>
      </c>
      <c r="AC48" s="225">
        <v>3</v>
      </c>
      <c r="AD48" s="225" t="s">
        <v>2121</v>
      </c>
      <c r="AE48" s="225">
        <v>38500</v>
      </c>
      <c r="AF48" s="225" t="s">
        <v>225</v>
      </c>
      <c r="AG48" s="226">
        <v>608012238</v>
      </c>
      <c r="AH48" s="246" t="s">
        <v>2122</v>
      </c>
      <c r="AI48" s="225" t="s">
        <v>1168</v>
      </c>
      <c r="AJ48" s="225"/>
      <c r="AK48" s="225"/>
      <c r="AL48" s="225" t="s">
        <v>176</v>
      </c>
      <c r="AM48" s="225" t="s">
        <v>176</v>
      </c>
      <c r="AN48" s="225" t="s">
        <v>176</v>
      </c>
      <c r="AO48" s="225" t="s">
        <v>176</v>
      </c>
      <c r="AP48" s="225" t="s">
        <v>268</v>
      </c>
      <c r="AQ48" s="225" t="s">
        <v>1893</v>
      </c>
      <c r="AR48" s="225" t="s">
        <v>1933</v>
      </c>
      <c r="AS48" s="246" t="s">
        <v>1934</v>
      </c>
      <c r="AT48" s="226">
        <v>476355605</v>
      </c>
      <c r="AU48" s="225" t="s">
        <v>176</v>
      </c>
      <c r="AV48" s="241" t="s">
        <v>188</v>
      </c>
      <c r="AW48" s="223">
        <v>44495</v>
      </c>
      <c r="AX48" s="225" t="s">
        <v>4113</v>
      </c>
      <c r="AY48" s="225">
        <v>1986</v>
      </c>
      <c r="AZ48" s="225" t="s">
        <v>4113</v>
      </c>
      <c r="BA48" s="225" t="s">
        <v>380</v>
      </c>
      <c r="BB48" s="225" t="s">
        <v>1936</v>
      </c>
      <c r="BC48" s="225" t="s">
        <v>2123</v>
      </c>
      <c r="BD48" s="225">
        <v>23</v>
      </c>
      <c r="BE48" s="225">
        <v>10</v>
      </c>
      <c r="BF48" s="225">
        <v>78</v>
      </c>
      <c r="BG48" s="225">
        <v>7.0000000000000007E-2</v>
      </c>
      <c r="BH48" s="225" t="s">
        <v>1882</v>
      </c>
      <c r="BI48" s="225"/>
      <c r="BJ48" s="225">
        <f>420+44.8+27.5+94+365.75+1396+565+206.4+479+145.35+995.6</f>
        <v>4739.4000000000005</v>
      </c>
      <c r="BK48" s="225"/>
      <c r="BL48" s="225"/>
      <c r="BM48" s="225"/>
      <c r="BN48" s="225">
        <f>99.09+99.09+1175+482.94</f>
        <v>1856.1200000000001</v>
      </c>
      <c r="BO48" s="225">
        <f t="shared" si="0"/>
        <v>6595.52</v>
      </c>
      <c r="BP48" s="230">
        <f t="shared" si="1"/>
        <v>362.75360000000001</v>
      </c>
      <c r="BQ48" s="230">
        <f t="shared" si="2"/>
        <v>6958.2736000000004</v>
      </c>
      <c r="BR48" s="230">
        <v>6958.27</v>
      </c>
      <c r="BS48" s="225" t="s">
        <v>188</v>
      </c>
      <c r="BT48" s="225"/>
      <c r="BU48" s="225"/>
      <c r="BV48" s="301" t="s">
        <v>1900</v>
      </c>
      <c r="BW48" s="301" t="s">
        <v>214</v>
      </c>
      <c r="BX48" s="301" t="s">
        <v>620</v>
      </c>
      <c r="BY48" s="301">
        <v>2020</v>
      </c>
    </row>
    <row r="49" spans="1:77" ht="13.5" customHeight="1">
      <c r="A49" s="64">
        <f t="shared" si="3"/>
        <v>2020</v>
      </c>
      <c r="B49" s="64">
        <f t="shared" si="4"/>
        <v>9</v>
      </c>
      <c r="C49" s="125" t="s">
        <v>4106</v>
      </c>
      <c r="D49" s="168" t="str">
        <f t="shared" si="5"/>
        <v>non maj</v>
      </c>
      <c r="E49" s="292" t="s">
        <v>670</v>
      </c>
      <c r="F49" s="292" t="s">
        <v>1276</v>
      </c>
      <c r="G49" s="221">
        <v>400</v>
      </c>
      <c r="H49" s="222">
        <v>44079</v>
      </c>
      <c r="I49" s="222">
        <v>44081</v>
      </c>
      <c r="J49" s="223" t="s">
        <v>176</v>
      </c>
      <c r="K49" s="222" t="s">
        <v>176</v>
      </c>
      <c r="L49" s="223">
        <v>44082</v>
      </c>
      <c r="M49" s="223">
        <v>44082</v>
      </c>
      <c r="N49" s="223">
        <v>44084</v>
      </c>
      <c r="O49" s="222"/>
      <c r="P49" s="222">
        <v>44210</v>
      </c>
      <c r="Q49" s="222">
        <v>44203</v>
      </c>
      <c r="R49" s="222" t="s">
        <v>176</v>
      </c>
      <c r="S49" s="222">
        <v>44210</v>
      </c>
      <c r="T49" s="222">
        <v>44210</v>
      </c>
      <c r="U49" s="222">
        <v>44235</v>
      </c>
      <c r="V49" s="224"/>
      <c r="W49" s="222"/>
      <c r="X49" s="225"/>
      <c r="Y49" s="225"/>
      <c r="Z49" s="225"/>
      <c r="AA49" s="225">
        <v>4</v>
      </c>
      <c r="AB49" s="225">
        <v>47079</v>
      </c>
      <c r="AC49" s="225">
        <v>29</v>
      </c>
      <c r="AD49" s="225" t="s">
        <v>1041</v>
      </c>
      <c r="AE49" s="225">
        <v>38850</v>
      </c>
      <c r="AF49" s="225" t="s">
        <v>1931</v>
      </c>
      <c r="AG49" s="226">
        <v>603263723</v>
      </c>
      <c r="AH49" s="246" t="s">
        <v>2124</v>
      </c>
      <c r="AI49" s="225" t="s">
        <v>1168</v>
      </c>
      <c r="AJ49" s="225"/>
      <c r="AK49" s="225"/>
      <c r="AL49" s="225" t="s">
        <v>176</v>
      </c>
      <c r="AM49" s="225" t="s">
        <v>176</v>
      </c>
      <c r="AN49" s="225" t="s">
        <v>176</v>
      </c>
      <c r="AO49" s="225" t="s">
        <v>176</v>
      </c>
      <c r="AP49" s="225" t="s">
        <v>2052</v>
      </c>
      <c r="AQ49" s="225" t="s">
        <v>232</v>
      </c>
      <c r="AR49" s="225" t="s">
        <v>233</v>
      </c>
      <c r="AS49" s="241" t="s">
        <v>234</v>
      </c>
      <c r="AT49" s="226">
        <v>476500550</v>
      </c>
      <c r="AU49" s="225" t="s">
        <v>176</v>
      </c>
      <c r="AV49" s="241" t="s">
        <v>188</v>
      </c>
      <c r="AW49" s="223">
        <v>44375</v>
      </c>
      <c r="AX49" s="225" t="s">
        <v>4113</v>
      </c>
      <c r="AY49" s="225">
        <v>1996</v>
      </c>
      <c r="AZ49" s="225" t="s">
        <v>1880</v>
      </c>
      <c r="BA49" s="225" t="s">
        <v>380</v>
      </c>
      <c r="BB49" s="225" t="s">
        <v>270</v>
      </c>
      <c r="BC49" s="225" t="s">
        <v>2125</v>
      </c>
      <c r="BD49" s="225">
        <v>35</v>
      </c>
      <c r="BE49" s="225">
        <v>5.9</v>
      </c>
      <c r="BF49" s="225">
        <v>80.2</v>
      </c>
      <c r="BG49" s="225">
        <v>0.09</v>
      </c>
      <c r="BH49" s="225" t="s">
        <v>1882</v>
      </c>
      <c r="BI49" s="225"/>
      <c r="BJ49" s="225">
        <f>81.07+51.2+2833.33+266.67+244.81</f>
        <v>3477.08</v>
      </c>
      <c r="BK49" s="225"/>
      <c r="BL49" s="225"/>
      <c r="BM49" s="225"/>
      <c r="BN49" s="225">
        <v>780</v>
      </c>
      <c r="BO49" s="225">
        <f t="shared" si="0"/>
        <v>4257.08</v>
      </c>
      <c r="BP49" s="230">
        <f t="shared" si="1"/>
        <v>234.13939999999999</v>
      </c>
      <c r="BQ49" s="230">
        <f t="shared" si="2"/>
        <v>4491.2194</v>
      </c>
      <c r="BR49" s="230">
        <v>4491.22</v>
      </c>
      <c r="BS49" s="225" t="s">
        <v>191</v>
      </c>
      <c r="BT49" s="225"/>
      <c r="BU49" s="225"/>
      <c r="BV49" s="301" t="s">
        <v>1900</v>
      </c>
      <c r="BW49" s="301" t="s">
        <v>214</v>
      </c>
      <c r="BX49" s="301" t="s">
        <v>620</v>
      </c>
      <c r="BY49" s="301">
        <v>2020</v>
      </c>
    </row>
    <row r="50" spans="1:77" ht="13.5" customHeight="1">
      <c r="A50" s="64">
        <f t="shared" si="3"/>
        <v>2020</v>
      </c>
      <c r="B50" s="64">
        <f t="shared" si="4"/>
        <v>9</v>
      </c>
      <c r="C50" s="125" t="s">
        <v>4106</v>
      </c>
      <c r="D50" s="168" t="str">
        <f t="shared" si="5"/>
        <v>non maj</v>
      </c>
      <c r="E50" s="292" t="s">
        <v>670</v>
      </c>
      <c r="F50" s="292" t="s">
        <v>1277</v>
      </c>
      <c r="G50" s="221">
        <v>400</v>
      </c>
      <c r="H50" s="222">
        <v>44081</v>
      </c>
      <c r="I50" s="222">
        <v>44082</v>
      </c>
      <c r="J50" s="223" t="s">
        <v>176</v>
      </c>
      <c r="K50" s="222" t="s">
        <v>176</v>
      </c>
      <c r="L50" s="223">
        <v>44082</v>
      </c>
      <c r="M50" s="223">
        <v>44082</v>
      </c>
      <c r="N50" s="223">
        <v>44084</v>
      </c>
      <c r="O50" s="222"/>
      <c r="P50" s="222">
        <v>44140</v>
      </c>
      <c r="Q50" s="222">
        <v>44120</v>
      </c>
      <c r="R50" s="222" t="s">
        <v>176</v>
      </c>
      <c r="S50" s="222">
        <v>44145</v>
      </c>
      <c r="T50" s="222">
        <v>44145</v>
      </c>
      <c r="U50" s="222">
        <v>44147</v>
      </c>
      <c r="V50" s="224"/>
      <c r="W50" s="222"/>
      <c r="X50" s="225"/>
      <c r="Y50" s="225"/>
      <c r="Z50" s="225"/>
      <c r="AA50" s="225">
        <v>2</v>
      </c>
      <c r="AB50" s="225">
        <v>42658</v>
      </c>
      <c r="AC50" s="225">
        <v>110</v>
      </c>
      <c r="AD50" s="225" t="s">
        <v>2126</v>
      </c>
      <c r="AE50" s="225">
        <v>38140</v>
      </c>
      <c r="AF50" s="225" t="s">
        <v>1957</v>
      </c>
      <c r="AG50" s="226">
        <v>675319202</v>
      </c>
      <c r="AH50" s="246" t="s">
        <v>2127</v>
      </c>
      <c r="AI50" s="225" t="s">
        <v>1168</v>
      </c>
      <c r="AJ50" s="225"/>
      <c r="AK50" s="225"/>
      <c r="AL50" s="225" t="s">
        <v>176</v>
      </c>
      <c r="AM50" s="225" t="s">
        <v>176</v>
      </c>
      <c r="AN50" s="225" t="s">
        <v>176</v>
      </c>
      <c r="AO50" s="225" t="s">
        <v>176</v>
      </c>
      <c r="AP50" s="225" t="s">
        <v>778</v>
      </c>
      <c r="AQ50" s="225" t="s">
        <v>1926</v>
      </c>
      <c r="AR50" s="225" t="s">
        <v>1927</v>
      </c>
      <c r="AS50" s="241" t="s">
        <v>251</v>
      </c>
      <c r="AT50" s="226">
        <v>474934316</v>
      </c>
      <c r="AU50" s="225" t="s">
        <v>176</v>
      </c>
      <c r="AV50" s="241" t="s">
        <v>188</v>
      </c>
      <c r="AW50" s="223">
        <v>44276</v>
      </c>
      <c r="AX50" s="225" t="s">
        <v>4113</v>
      </c>
      <c r="AY50" s="225">
        <v>1996</v>
      </c>
      <c r="AZ50" s="225" t="s">
        <v>1880</v>
      </c>
      <c r="BA50" s="225" t="s">
        <v>380</v>
      </c>
      <c r="BB50" s="225" t="s">
        <v>244</v>
      </c>
      <c r="BC50" s="225" t="s">
        <v>2128</v>
      </c>
      <c r="BD50" s="225">
        <v>29</v>
      </c>
      <c r="BE50" s="225">
        <v>8</v>
      </c>
      <c r="BF50" s="225">
        <v>77</v>
      </c>
      <c r="BG50" s="225">
        <v>0.05</v>
      </c>
      <c r="BH50" s="225" t="s">
        <v>1882</v>
      </c>
      <c r="BI50" s="225"/>
      <c r="BJ50" s="225">
        <f>1332+1097+339</f>
        <v>2768</v>
      </c>
      <c r="BK50" s="225"/>
      <c r="BL50" s="225"/>
      <c r="BM50" s="225"/>
      <c r="BN50" s="225">
        <v>750</v>
      </c>
      <c r="BO50" s="225">
        <f t="shared" si="0"/>
        <v>3518</v>
      </c>
      <c r="BP50" s="230">
        <f t="shared" si="1"/>
        <v>193.49</v>
      </c>
      <c r="BQ50" s="230">
        <f t="shared" si="2"/>
        <v>3711.49</v>
      </c>
      <c r="BR50" s="230">
        <v>3727</v>
      </c>
      <c r="BS50" s="225" t="s">
        <v>191</v>
      </c>
      <c r="BT50" s="225"/>
      <c r="BU50" s="225"/>
      <c r="BV50" s="301" t="s">
        <v>1900</v>
      </c>
      <c r="BW50" s="301" t="s">
        <v>214</v>
      </c>
      <c r="BX50" s="301" t="s">
        <v>620</v>
      </c>
      <c r="BY50" s="301">
        <v>2020</v>
      </c>
    </row>
    <row r="51" spans="1:77" ht="13.5" customHeight="1">
      <c r="A51" s="64">
        <f t="shared" si="3"/>
        <v>2020</v>
      </c>
      <c r="B51" s="64">
        <f t="shared" si="4"/>
        <v>9</v>
      </c>
      <c r="C51" s="125" t="s">
        <v>4106</v>
      </c>
      <c r="D51" s="168" t="str">
        <f t="shared" si="5"/>
        <v>non maj</v>
      </c>
      <c r="E51" s="292" t="s">
        <v>670</v>
      </c>
      <c r="F51" s="292" t="s">
        <v>1278</v>
      </c>
      <c r="G51" s="221">
        <v>400</v>
      </c>
      <c r="H51" s="222">
        <v>44085</v>
      </c>
      <c r="I51" s="222">
        <v>44091</v>
      </c>
      <c r="J51" s="223" t="s">
        <v>176</v>
      </c>
      <c r="K51" s="222" t="s">
        <v>176</v>
      </c>
      <c r="L51" s="223">
        <v>44096</v>
      </c>
      <c r="M51" s="223">
        <v>44096</v>
      </c>
      <c r="N51" s="223">
        <v>44102</v>
      </c>
      <c r="O51" s="222"/>
      <c r="P51" s="222">
        <v>44126</v>
      </c>
      <c r="Q51" s="222">
        <v>44116</v>
      </c>
      <c r="R51" s="222" t="s">
        <v>176</v>
      </c>
      <c r="S51" s="222">
        <v>44131</v>
      </c>
      <c r="T51" s="222">
        <v>44131</v>
      </c>
      <c r="U51" s="222">
        <v>44133</v>
      </c>
      <c r="V51" s="224"/>
      <c r="W51" s="222"/>
      <c r="X51" s="225"/>
      <c r="Y51" s="225"/>
      <c r="Z51" s="225"/>
      <c r="AA51" s="225">
        <v>1</v>
      </c>
      <c r="AB51" s="225">
        <v>23659</v>
      </c>
      <c r="AC51" s="225">
        <v>425</v>
      </c>
      <c r="AD51" s="225" t="s">
        <v>1902</v>
      </c>
      <c r="AE51" s="225">
        <v>38210</v>
      </c>
      <c r="AF51" s="225" t="s">
        <v>1903</v>
      </c>
      <c r="AG51" s="226">
        <v>671860705</v>
      </c>
      <c r="AH51" s="295" t="s">
        <v>2129</v>
      </c>
      <c r="AI51" s="225" t="s">
        <v>1168</v>
      </c>
      <c r="AJ51" s="225"/>
      <c r="AK51" s="225"/>
      <c r="AL51" s="225" t="s">
        <v>176</v>
      </c>
      <c r="AM51" s="225" t="s">
        <v>176</v>
      </c>
      <c r="AN51" s="225" t="s">
        <v>176</v>
      </c>
      <c r="AO51" s="225" t="s">
        <v>176</v>
      </c>
      <c r="AP51" s="225" t="s">
        <v>1888</v>
      </c>
      <c r="AQ51" s="225" t="s">
        <v>225</v>
      </c>
      <c r="AR51" s="225" t="s">
        <v>1889</v>
      </c>
      <c r="AS51" s="295" t="s">
        <v>269</v>
      </c>
      <c r="AT51" s="226" t="s">
        <v>600</v>
      </c>
      <c r="AU51" s="225" t="s">
        <v>176</v>
      </c>
      <c r="AV51" s="251" t="s">
        <v>188</v>
      </c>
      <c r="AW51" s="223">
        <v>44138</v>
      </c>
      <c r="AX51" s="225" t="s">
        <v>4113</v>
      </c>
      <c r="AY51" s="225">
        <v>1990</v>
      </c>
      <c r="AZ51" s="225" t="s">
        <v>1880</v>
      </c>
      <c r="BA51" s="225" t="s">
        <v>267</v>
      </c>
      <c r="BB51" s="225" t="s">
        <v>221</v>
      </c>
      <c r="BC51" s="225" t="s">
        <v>2130</v>
      </c>
      <c r="BD51" s="225">
        <v>17</v>
      </c>
      <c r="BE51" s="225">
        <v>8.1</v>
      </c>
      <c r="BF51" s="225">
        <v>90.9</v>
      </c>
      <c r="BG51" s="225">
        <v>2E-3</v>
      </c>
      <c r="BH51" s="225" t="s">
        <v>1882</v>
      </c>
      <c r="BI51" s="225"/>
      <c r="BJ51" s="225">
        <f>3040+138+159+185+26.31+56.38+36+216.62+90+83+202.6+160.73+58.64+258+138+15</f>
        <v>4863.28</v>
      </c>
      <c r="BK51" s="225"/>
      <c r="BL51" s="225"/>
      <c r="BM51" s="225"/>
      <c r="BN51" s="225">
        <f>30+450</f>
        <v>480</v>
      </c>
      <c r="BO51" s="225">
        <f t="shared" si="0"/>
        <v>5343.28</v>
      </c>
      <c r="BP51" s="230">
        <f t="shared" si="1"/>
        <v>293.88040000000001</v>
      </c>
      <c r="BQ51" s="230">
        <f t="shared" si="2"/>
        <v>5637.1603999999998</v>
      </c>
      <c r="BR51" s="230">
        <v>5637.16</v>
      </c>
      <c r="BS51" s="225" t="s">
        <v>188</v>
      </c>
      <c r="BT51" s="225"/>
      <c r="BU51" s="225"/>
      <c r="BV51" s="225" t="s">
        <v>1900</v>
      </c>
      <c r="BW51" s="301" t="s">
        <v>214</v>
      </c>
      <c r="BX51" s="301" t="s">
        <v>620</v>
      </c>
      <c r="BY51" s="301" t="s">
        <v>176</v>
      </c>
    </row>
    <row r="52" spans="1:77" ht="13.5" customHeight="1">
      <c r="A52" s="64">
        <f t="shared" si="3"/>
        <v>2021</v>
      </c>
      <c r="B52" s="64">
        <f t="shared" si="4"/>
        <v>1</v>
      </c>
      <c r="C52" s="125" t="s">
        <v>4125</v>
      </c>
      <c r="D52" s="168" t="str">
        <f t="shared" si="5"/>
        <v>NC</v>
      </c>
      <c r="E52" s="291" t="s">
        <v>670</v>
      </c>
      <c r="F52" s="291" t="s">
        <v>1279</v>
      </c>
      <c r="G52" s="221">
        <v>400</v>
      </c>
      <c r="H52" s="222">
        <v>44088</v>
      </c>
      <c r="I52" s="222">
        <v>44091</v>
      </c>
      <c r="J52" s="223">
        <v>44096</v>
      </c>
      <c r="K52" s="222" t="s">
        <v>2131</v>
      </c>
      <c r="L52" s="223">
        <v>44222</v>
      </c>
      <c r="M52" s="223">
        <v>44222</v>
      </c>
      <c r="N52" s="223">
        <v>44229</v>
      </c>
      <c r="O52" s="222"/>
      <c r="P52" s="222">
        <v>44316</v>
      </c>
      <c r="Q52" s="222">
        <v>44158</v>
      </c>
      <c r="R52" s="222" t="s">
        <v>176</v>
      </c>
      <c r="S52" s="222" t="s">
        <v>176</v>
      </c>
      <c r="T52" s="222" t="s">
        <v>176</v>
      </c>
      <c r="U52" s="222" t="s">
        <v>176</v>
      </c>
      <c r="V52" s="224"/>
      <c r="W52" s="222">
        <v>44341</v>
      </c>
      <c r="X52" s="225" t="s">
        <v>2132</v>
      </c>
      <c r="Y52" s="225"/>
      <c r="Z52" s="225"/>
      <c r="AA52" s="225">
        <v>3</v>
      </c>
      <c r="AB52" s="225">
        <v>90024</v>
      </c>
      <c r="AC52" s="225">
        <v>1222</v>
      </c>
      <c r="AD52" s="225" t="s">
        <v>2133</v>
      </c>
      <c r="AE52" s="225">
        <v>38340</v>
      </c>
      <c r="AF52" s="225" t="s">
        <v>2134</v>
      </c>
      <c r="AG52" s="226">
        <v>621701038</v>
      </c>
      <c r="AH52" s="246" t="s">
        <v>2135</v>
      </c>
      <c r="AI52" s="225" t="s">
        <v>1169</v>
      </c>
      <c r="AJ52" s="225"/>
      <c r="AK52" s="225"/>
      <c r="AL52" s="225">
        <v>1238</v>
      </c>
      <c r="AM52" s="225" t="s">
        <v>2133</v>
      </c>
      <c r="AN52" s="225">
        <v>38340</v>
      </c>
      <c r="AO52" s="225" t="s">
        <v>2134</v>
      </c>
      <c r="AP52" s="225" t="s">
        <v>2052</v>
      </c>
      <c r="AQ52" s="225" t="s">
        <v>232</v>
      </c>
      <c r="AR52" s="225" t="s">
        <v>233</v>
      </c>
      <c r="AS52" s="241" t="s">
        <v>234</v>
      </c>
      <c r="AT52" s="226">
        <v>476500550</v>
      </c>
      <c r="AU52" s="225" t="s">
        <v>176</v>
      </c>
      <c r="AV52" s="241" t="s">
        <v>188</v>
      </c>
      <c r="AW52" s="223">
        <v>44375</v>
      </c>
      <c r="AX52" s="225" t="s">
        <v>4113</v>
      </c>
      <c r="AY52" s="225" t="s">
        <v>1935</v>
      </c>
      <c r="AZ52" s="225" t="s">
        <v>1880</v>
      </c>
      <c r="BA52" s="225" t="s">
        <v>380</v>
      </c>
      <c r="BB52" s="225" t="s">
        <v>270</v>
      </c>
      <c r="BC52" s="225" t="s">
        <v>2136</v>
      </c>
      <c r="BD52" s="225">
        <v>32</v>
      </c>
      <c r="BE52" s="225">
        <v>7</v>
      </c>
      <c r="BF52" s="225">
        <v>77.8</v>
      </c>
      <c r="BG52" s="225">
        <v>0.08</v>
      </c>
      <c r="BH52" s="225" t="s">
        <v>1882</v>
      </c>
      <c r="BI52" s="225"/>
      <c r="BJ52" s="225">
        <f>307.56+71.09+182.53+198.18+1991.66+234.78</f>
        <v>2985.8</v>
      </c>
      <c r="BK52" s="225"/>
      <c r="BL52" s="225"/>
      <c r="BM52" s="225"/>
      <c r="BN52" s="225">
        <v>1250</v>
      </c>
      <c r="BO52" s="225">
        <f t="shared" si="0"/>
        <v>4235.8</v>
      </c>
      <c r="BP52" s="230">
        <f t="shared" si="1"/>
        <v>232.96900000000002</v>
      </c>
      <c r="BQ52" s="230">
        <f t="shared" si="2"/>
        <v>4468.7690000000002</v>
      </c>
      <c r="BR52" s="230">
        <v>4468.7700000000004</v>
      </c>
      <c r="BS52" s="225" t="s">
        <v>188</v>
      </c>
      <c r="BT52" s="225"/>
      <c r="BU52" s="225"/>
      <c r="BV52" s="301">
        <v>0</v>
      </c>
      <c r="BW52" s="301" t="s">
        <v>214</v>
      </c>
      <c r="BX52" s="301" t="s">
        <v>214</v>
      </c>
      <c r="BY52" s="301"/>
    </row>
    <row r="53" spans="1:77" ht="13.5" customHeight="1">
      <c r="A53" s="64">
        <f t="shared" si="3"/>
        <v>2020</v>
      </c>
      <c r="B53" s="64">
        <f t="shared" si="4"/>
        <v>9</v>
      </c>
      <c r="C53" s="125" t="s">
        <v>4106</v>
      </c>
      <c r="D53" s="168" t="str">
        <f t="shared" si="5"/>
        <v>non maj</v>
      </c>
      <c r="E53" s="292" t="s">
        <v>670</v>
      </c>
      <c r="F53" s="292" t="s">
        <v>1280</v>
      </c>
      <c r="G53" s="221">
        <v>400</v>
      </c>
      <c r="H53" s="222">
        <v>44095</v>
      </c>
      <c r="I53" s="222">
        <v>44460</v>
      </c>
      <c r="J53" s="223" t="s">
        <v>176</v>
      </c>
      <c r="K53" s="222" t="s">
        <v>176</v>
      </c>
      <c r="L53" s="223">
        <v>44096</v>
      </c>
      <c r="M53" s="223">
        <v>44096</v>
      </c>
      <c r="N53" s="223">
        <v>44102</v>
      </c>
      <c r="O53" s="222"/>
      <c r="P53" s="222">
        <v>44147</v>
      </c>
      <c r="Q53" s="222">
        <v>44137</v>
      </c>
      <c r="R53" s="222" t="s">
        <v>176</v>
      </c>
      <c r="S53" s="222">
        <v>44148</v>
      </c>
      <c r="T53" s="222">
        <v>44148</v>
      </c>
      <c r="U53" s="222">
        <v>44153</v>
      </c>
      <c r="V53" s="224"/>
      <c r="W53" s="222"/>
      <c r="X53" s="225"/>
      <c r="Y53" s="225"/>
      <c r="Z53" s="225"/>
      <c r="AA53" s="225">
        <v>2</v>
      </c>
      <c r="AB53" s="225">
        <v>56652</v>
      </c>
      <c r="AC53" s="225">
        <v>54</v>
      </c>
      <c r="AD53" s="225" t="s">
        <v>2137</v>
      </c>
      <c r="AE53" s="225">
        <v>38340</v>
      </c>
      <c r="AF53" s="225" t="s">
        <v>232</v>
      </c>
      <c r="AG53" s="226">
        <v>781130712</v>
      </c>
      <c r="AH53" s="246" t="s">
        <v>2138</v>
      </c>
      <c r="AI53" s="225" t="s">
        <v>1168</v>
      </c>
      <c r="AJ53" s="225"/>
      <c r="AK53" s="225"/>
      <c r="AL53" s="225" t="s">
        <v>176</v>
      </c>
      <c r="AM53" s="225" t="s">
        <v>176</v>
      </c>
      <c r="AN53" s="225" t="s">
        <v>176</v>
      </c>
      <c r="AO53" s="225" t="s">
        <v>176</v>
      </c>
      <c r="AP53" s="225" t="s">
        <v>778</v>
      </c>
      <c r="AQ53" s="225" t="s">
        <v>1926</v>
      </c>
      <c r="AR53" s="225" t="s">
        <v>779</v>
      </c>
      <c r="AS53" s="241" t="s">
        <v>251</v>
      </c>
      <c r="AT53" s="226">
        <v>438021901</v>
      </c>
      <c r="AU53" s="225" t="s">
        <v>176</v>
      </c>
      <c r="AV53" s="241" t="s">
        <v>188</v>
      </c>
      <c r="AW53" s="223">
        <v>44276</v>
      </c>
      <c r="AX53" s="225" t="s">
        <v>4113</v>
      </c>
      <c r="AY53" s="225">
        <v>1989</v>
      </c>
      <c r="AZ53" s="225" t="s">
        <v>1880</v>
      </c>
      <c r="BA53" s="225" t="s">
        <v>380</v>
      </c>
      <c r="BB53" s="225" t="s">
        <v>244</v>
      </c>
      <c r="BC53" s="225">
        <v>368102</v>
      </c>
      <c r="BD53" s="225">
        <v>28</v>
      </c>
      <c r="BE53" s="225">
        <v>10.5</v>
      </c>
      <c r="BF53" s="225">
        <v>75.599999999999994</v>
      </c>
      <c r="BG53" s="225">
        <v>0.12</v>
      </c>
      <c r="BH53" s="225" t="s">
        <v>1882</v>
      </c>
      <c r="BI53" s="225"/>
      <c r="BJ53" s="225">
        <f>2498+1788+458</f>
        <v>4744</v>
      </c>
      <c r="BK53" s="225"/>
      <c r="BL53" s="225"/>
      <c r="BM53" s="225"/>
      <c r="BN53" s="225">
        <v>892</v>
      </c>
      <c r="BO53" s="225">
        <f t="shared" si="0"/>
        <v>5636</v>
      </c>
      <c r="BP53" s="230">
        <f t="shared" si="1"/>
        <v>309.98</v>
      </c>
      <c r="BQ53" s="230">
        <f t="shared" si="2"/>
        <v>5945.98</v>
      </c>
      <c r="BR53" s="230">
        <v>5967</v>
      </c>
      <c r="BS53" s="225" t="s">
        <v>191</v>
      </c>
      <c r="BT53" s="225"/>
      <c r="BU53" s="225"/>
      <c r="BV53" s="301" t="s">
        <v>1900</v>
      </c>
      <c r="BW53" s="301" t="s">
        <v>214</v>
      </c>
      <c r="BX53" s="301" t="s">
        <v>620</v>
      </c>
      <c r="BY53" s="301">
        <v>2020</v>
      </c>
    </row>
    <row r="54" spans="1:77" ht="13.5" customHeight="1">
      <c r="A54" s="64">
        <f t="shared" si="3"/>
        <v>2020</v>
      </c>
      <c r="B54" s="64">
        <f t="shared" si="4"/>
        <v>9</v>
      </c>
      <c r="C54" s="125" t="s">
        <v>4106</v>
      </c>
      <c r="D54" s="168" t="str">
        <f t="shared" si="5"/>
        <v>non maj</v>
      </c>
      <c r="E54" s="292" t="s">
        <v>670</v>
      </c>
      <c r="F54" s="292" t="s">
        <v>1281</v>
      </c>
      <c r="G54" s="221">
        <v>400</v>
      </c>
      <c r="H54" s="222">
        <v>44095</v>
      </c>
      <c r="I54" s="222">
        <v>44096</v>
      </c>
      <c r="J54" s="223">
        <v>44096</v>
      </c>
      <c r="K54" s="222" t="s">
        <v>2139</v>
      </c>
      <c r="L54" s="223">
        <v>44097</v>
      </c>
      <c r="M54" s="223">
        <v>44102</v>
      </c>
      <c r="N54" s="223">
        <v>44109</v>
      </c>
      <c r="O54" s="222"/>
      <c r="P54" s="222">
        <v>44155</v>
      </c>
      <c r="Q54" s="222">
        <v>44138</v>
      </c>
      <c r="R54" s="222" t="s">
        <v>176</v>
      </c>
      <c r="S54" s="222">
        <v>44161</v>
      </c>
      <c r="T54" s="222">
        <v>44161</v>
      </c>
      <c r="U54" s="222">
        <v>44166</v>
      </c>
      <c r="V54" s="224"/>
      <c r="W54" s="222"/>
      <c r="X54" s="225"/>
      <c r="Y54" s="225"/>
      <c r="Z54" s="225"/>
      <c r="AA54" s="225">
        <v>2</v>
      </c>
      <c r="AB54" s="225">
        <v>37304</v>
      </c>
      <c r="AC54" s="225">
        <v>69</v>
      </c>
      <c r="AD54" s="225" t="s">
        <v>2140</v>
      </c>
      <c r="AE54" s="225">
        <v>38960</v>
      </c>
      <c r="AF54" s="225" t="s">
        <v>1964</v>
      </c>
      <c r="AG54" s="226">
        <v>683416401</v>
      </c>
      <c r="AH54" s="246" t="s">
        <v>2141</v>
      </c>
      <c r="AI54" s="225" t="s">
        <v>1168</v>
      </c>
      <c r="AJ54" s="225"/>
      <c r="AK54" s="225"/>
      <c r="AL54" s="225" t="s">
        <v>176</v>
      </c>
      <c r="AM54" s="225" t="s">
        <v>176</v>
      </c>
      <c r="AN54" s="225" t="s">
        <v>176</v>
      </c>
      <c r="AO54" s="225" t="s">
        <v>176</v>
      </c>
      <c r="AP54" s="225" t="s">
        <v>675</v>
      </c>
      <c r="AQ54" s="225" t="s">
        <v>225</v>
      </c>
      <c r="AR54" s="225" t="s">
        <v>1948</v>
      </c>
      <c r="AS54" s="241" t="s">
        <v>673</v>
      </c>
      <c r="AT54" s="226">
        <v>951096343</v>
      </c>
      <c r="AU54" s="225" t="s">
        <v>176</v>
      </c>
      <c r="AV54" s="241" t="s">
        <v>188</v>
      </c>
      <c r="AW54" s="223">
        <v>44433</v>
      </c>
      <c r="AX54" s="225" t="s">
        <v>4113</v>
      </c>
      <c r="AY54" s="225">
        <v>1990</v>
      </c>
      <c r="AZ54" s="225" t="s">
        <v>1880</v>
      </c>
      <c r="BA54" s="225" t="s">
        <v>267</v>
      </c>
      <c r="BB54" s="225" t="s">
        <v>229</v>
      </c>
      <c r="BC54" s="225" t="s">
        <v>2093</v>
      </c>
      <c r="BD54" s="225">
        <v>20</v>
      </c>
      <c r="BE54" s="225">
        <v>7.9</v>
      </c>
      <c r="BF54" s="225">
        <v>89</v>
      </c>
      <c r="BG54" s="225">
        <v>1.7999999999999999E-2</v>
      </c>
      <c r="BH54" s="225" t="s">
        <v>1899</v>
      </c>
      <c r="BI54" s="225"/>
      <c r="BJ54" s="225">
        <f>5885+340.5+271.35+265.5</f>
        <v>6762.35</v>
      </c>
      <c r="BK54" s="225"/>
      <c r="BL54" s="225"/>
      <c r="BM54" s="225"/>
      <c r="BN54" s="225">
        <v>630</v>
      </c>
      <c r="BO54" s="225">
        <f t="shared" si="0"/>
        <v>7392.35</v>
      </c>
      <c r="BP54" s="230">
        <f t="shared" si="1"/>
        <v>406.57925</v>
      </c>
      <c r="BQ54" s="230">
        <f t="shared" si="2"/>
        <v>7798.9292500000001</v>
      </c>
      <c r="BR54" s="230">
        <v>7400</v>
      </c>
      <c r="BS54" s="225" t="s">
        <v>188</v>
      </c>
      <c r="BT54" s="225"/>
      <c r="BU54" s="225"/>
      <c r="BV54" s="301" t="s">
        <v>1900</v>
      </c>
      <c r="BW54" s="301" t="s">
        <v>214</v>
      </c>
      <c r="BX54" s="301" t="s">
        <v>620</v>
      </c>
      <c r="BY54" s="301" t="s">
        <v>176</v>
      </c>
    </row>
    <row r="55" spans="1:77" ht="13.5" customHeight="1">
      <c r="A55" s="64">
        <f t="shared" si="3"/>
        <v>2020</v>
      </c>
      <c r="B55" s="64">
        <f t="shared" si="4"/>
        <v>9</v>
      </c>
      <c r="C55" s="125" t="s">
        <v>4106</v>
      </c>
      <c r="D55" s="168" t="str">
        <f t="shared" si="5"/>
        <v>maj</v>
      </c>
      <c r="E55" s="292" t="s">
        <v>670</v>
      </c>
      <c r="F55" s="292" t="s">
        <v>1282</v>
      </c>
      <c r="G55" s="221">
        <v>800</v>
      </c>
      <c r="H55" s="222">
        <v>44096</v>
      </c>
      <c r="I55" s="222">
        <v>44098</v>
      </c>
      <c r="J55" s="223" t="s">
        <v>176</v>
      </c>
      <c r="K55" s="222" t="s">
        <v>176</v>
      </c>
      <c r="L55" s="223">
        <v>44102</v>
      </c>
      <c r="M55" s="223">
        <v>44102</v>
      </c>
      <c r="N55" s="223">
        <v>44109</v>
      </c>
      <c r="O55" s="222"/>
      <c r="P55" s="222">
        <v>44161</v>
      </c>
      <c r="Q55" s="222">
        <v>44159</v>
      </c>
      <c r="R55" s="222" t="s">
        <v>176</v>
      </c>
      <c r="S55" s="222">
        <v>44165</v>
      </c>
      <c r="T55" s="222">
        <v>44165</v>
      </c>
      <c r="U55" s="222">
        <v>44166</v>
      </c>
      <c r="V55" s="224"/>
      <c r="W55" s="222"/>
      <c r="X55" s="225"/>
      <c r="Y55" s="225"/>
      <c r="Z55" s="225"/>
      <c r="AA55" s="225">
        <v>4</v>
      </c>
      <c r="AB55" s="225">
        <v>37103</v>
      </c>
      <c r="AC55" s="225">
        <v>238</v>
      </c>
      <c r="AD55" s="225" t="s">
        <v>2142</v>
      </c>
      <c r="AE55" s="225">
        <v>38730</v>
      </c>
      <c r="AF55" s="225" t="s">
        <v>1916</v>
      </c>
      <c r="AG55" s="226">
        <v>632154897</v>
      </c>
      <c r="AH55" s="246" t="s">
        <v>2143</v>
      </c>
      <c r="AI55" s="225" t="s">
        <v>1168</v>
      </c>
      <c r="AJ55" s="225"/>
      <c r="AK55" s="225"/>
      <c r="AL55" s="225" t="s">
        <v>176</v>
      </c>
      <c r="AM55" s="225" t="s">
        <v>176</v>
      </c>
      <c r="AN55" s="225" t="s">
        <v>176</v>
      </c>
      <c r="AO55" s="225" t="s">
        <v>176</v>
      </c>
      <c r="AP55" s="225" t="s">
        <v>616</v>
      </c>
      <c r="AQ55" s="225" t="s">
        <v>396</v>
      </c>
      <c r="AR55" s="225" t="s">
        <v>2144</v>
      </c>
      <c r="AS55" s="241" t="s">
        <v>397</v>
      </c>
      <c r="AT55" s="226">
        <v>476018471</v>
      </c>
      <c r="AU55" s="225" t="s">
        <v>176</v>
      </c>
      <c r="AV55" s="241" t="s">
        <v>188</v>
      </c>
      <c r="AW55" s="223">
        <v>44412</v>
      </c>
      <c r="AX55" s="225" t="s">
        <v>1879</v>
      </c>
      <c r="AY55" s="225">
        <v>1970</v>
      </c>
      <c r="AZ55" s="225" t="s">
        <v>1880</v>
      </c>
      <c r="BA55" s="225" t="s">
        <v>267</v>
      </c>
      <c r="BB55" s="225" t="s">
        <v>279</v>
      </c>
      <c r="BC55" s="225" t="s">
        <v>2145</v>
      </c>
      <c r="BD55" s="225">
        <v>10.8</v>
      </c>
      <c r="BE55" s="225">
        <v>10</v>
      </c>
      <c r="BF55" s="225">
        <v>91.2</v>
      </c>
      <c r="BG55" s="225">
        <v>0.01</v>
      </c>
      <c r="BH55" s="225" t="s">
        <v>1899</v>
      </c>
      <c r="BI55" s="225"/>
      <c r="BJ55" s="225">
        <f>3404.7+642.42</f>
        <v>4047.12</v>
      </c>
      <c r="BK55" s="225"/>
      <c r="BL55" s="225"/>
      <c r="BM55" s="225"/>
      <c r="BN55" s="225">
        <v>750</v>
      </c>
      <c r="BO55" s="225">
        <f t="shared" si="0"/>
        <v>4797.12</v>
      </c>
      <c r="BP55" s="230">
        <f t="shared" si="1"/>
        <v>263.84159999999997</v>
      </c>
      <c r="BQ55" s="230">
        <f t="shared" si="2"/>
        <v>5060.9615999999996</v>
      </c>
      <c r="BR55" s="230">
        <v>5060.96</v>
      </c>
      <c r="BS55" s="225" t="s">
        <v>188</v>
      </c>
      <c r="BT55" s="225"/>
      <c r="BU55" s="225"/>
      <c r="BV55" s="301" t="s">
        <v>1900</v>
      </c>
      <c r="BW55" s="301" t="s">
        <v>214</v>
      </c>
      <c r="BX55" s="222" t="s">
        <v>618</v>
      </c>
      <c r="BY55" s="301" t="s">
        <v>176</v>
      </c>
    </row>
    <row r="56" spans="1:77" s="166" customFormat="1" ht="13.5" customHeight="1">
      <c r="A56" s="64">
        <f t="shared" si="3"/>
        <v>2020</v>
      </c>
      <c r="B56" s="64">
        <f t="shared" si="4"/>
        <v>9</v>
      </c>
      <c r="C56" s="125" t="s">
        <v>4106</v>
      </c>
      <c r="D56" s="168" t="str">
        <f t="shared" si="5"/>
        <v>maj</v>
      </c>
      <c r="E56" s="292" t="s">
        <v>670</v>
      </c>
      <c r="F56" s="292" t="s">
        <v>1283</v>
      </c>
      <c r="G56" s="221">
        <v>800</v>
      </c>
      <c r="H56" s="222">
        <v>44098</v>
      </c>
      <c r="I56" s="222">
        <v>44099</v>
      </c>
      <c r="J56" s="223" t="s">
        <v>176</v>
      </c>
      <c r="K56" s="222" t="s">
        <v>176</v>
      </c>
      <c r="L56" s="223">
        <v>44102</v>
      </c>
      <c r="M56" s="223">
        <v>44102</v>
      </c>
      <c r="N56" s="223">
        <v>44109</v>
      </c>
      <c r="O56" s="222"/>
      <c r="P56" s="222">
        <v>44216</v>
      </c>
      <c r="Q56" s="222">
        <v>44201</v>
      </c>
      <c r="R56" s="222" t="s">
        <v>176</v>
      </c>
      <c r="S56" s="222">
        <v>44222</v>
      </c>
      <c r="T56" s="222">
        <v>44222</v>
      </c>
      <c r="U56" s="222">
        <v>44242</v>
      </c>
      <c r="V56" s="224"/>
      <c r="W56" s="222"/>
      <c r="X56" s="225"/>
      <c r="Y56" s="225"/>
      <c r="Z56" s="225"/>
      <c r="AA56" s="225">
        <v>3</v>
      </c>
      <c r="AB56" s="225">
        <v>24073</v>
      </c>
      <c r="AC56" s="225">
        <v>160</v>
      </c>
      <c r="AD56" s="225" t="s">
        <v>2146</v>
      </c>
      <c r="AE56" s="225">
        <v>38140</v>
      </c>
      <c r="AF56" s="225" t="s">
        <v>1946</v>
      </c>
      <c r="AG56" s="226">
        <v>651128960</v>
      </c>
      <c r="AH56" s="246" t="s">
        <v>2147</v>
      </c>
      <c r="AI56" s="225" t="s">
        <v>1168</v>
      </c>
      <c r="AJ56" s="225"/>
      <c r="AK56" s="225"/>
      <c r="AL56" s="225" t="s">
        <v>176</v>
      </c>
      <c r="AM56" s="225" t="s">
        <v>176</v>
      </c>
      <c r="AN56" s="225" t="s">
        <v>176</v>
      </c>
      <c r="AO56" s="225" t="s">
        <v>176</v>
      </c>
      <c r="AP56" s="225" t="s">
        <v>2052</v>
      </c>
      <c r="AQ56" s="225" t="s">
        <v>232</v>
      </c>
      <c r="AR56" s="225" t="s">
        <v>233</v>
      </c>
      <c r="AS56" s="241" t="s">
        <v>234</v>
      </c>
      <c r="AT56" s="226">
        <v>476500550</v>
      </c>
      <c r="AU56" s="225" t="s">
        <v>176</v>
      </c>
      <c r="AV56" s="241" t="s">
        <v>188</v>
      </c>
      <c r="AW56" s="223">
        <v>44375</v>
      </c>
      <c r="AX56" s="225" t="s">
        <v>1880</v>
      </c>
      <c r="AY56" s="225">
        <v>2000</v>
      </c>
      <c r="AZ56" s="225" t="s">
        <v>1880</v>
      </c>
      <c r="BA56" s="225" t="s">
        <v>267</v>
      </c>
      <c r="BB56" s="225" t="s">
        <v>433</v>
      </c>
      <c r="BC56" s="225" t="s">
        <v>2148</v>
      </c>
      <c r="BD56" s="225">
        <v>14.8</v>
      </c>
      <c r="BE56" s="225">
        <v>7.4</v>
      </c>
      <c r="BF56" s="225">
        <v>92.5</v>
      </c>
      <c r="BG56" s="225">
        <v>1.2E-2</v>
      </c>
      <c r="BH56" s="225" t="s">
        <v>1899</v>
      </c>
      <c r="BI56" s="225"/>
      <c r="BJ56" s="225">
        <f>297.28+51.39+152.2+2770+184.2</f>
        <v>3455.0699999999997</v>
      </c>
      <c r="BK56" s="225"/>
      <c r="BL56" s="225"/>
      <c r="BM56" s="225"/>
      <c r="BN56" s="225">
        <v>900</v>
      </c>
      <c r="BO56" s="225">
        <f t="shared" si="0"/>
        <v>4355.07</v>
      </c>
      <c r="BP56" s="230">
        <f t="shared" si="1"/>
        <v>239.52884999999998</v>
      </c>
      <c r="BQ56" s="230">
        <f t="shared" si="2"/>
        <v>4594.5988499999994</v>
      </c>
      <c r="BR56" s="230">
        <v>4594.6000000000004</v>
      </c>
      <c r="BS56" s="225" t="s">
        <v>191</v>
      </c>
      <c r="BT56" s="225"/>
      <c r="BU56" s="225"/>
      <c r="BV56" s="301" t="s">
        <v>1900</v>
      </c>
      <c r="BW56" s="301" t="s">
        <v>214</v>
      </c>
      <c r="BX56" s="222" t="s">
        <v>618</v>
      </c>
      <c r="BY56" s="301" t="s">
        <v>176</v>
      </c>
    </row>
    <row r="57" spans="1:77" s="166" customFormat="1" ht="13.5" customHeight="1">
      <c r="A57" s="64">
        <f t="shared" si="3"/>
        <v>2020</v>
      </c>
      <c r="B57" s="64">
        <f t="shared" si="4"/>
        <v>10</v>
      </c>
      <c r="C57" s="125" t="s">
        <v>4106</v>
      </c>
      <c r="D57" s="168" t="str">
        <f t="shared" si="5"/>
        <v>maj</v>
      </c>
      <c r="E57" s="292" t="s">
        <v>670</v>
      </c>
      <c r="F57" s="292" t="s">
        <v>1284</v>
      </c>
      <c r="G57" s="221">
        <v>800</v>
      </c>
      <c r="H57" s="222">
        <v>44098</v>
      </c>
      <c r="I57" s="222">
        <v>44099</v>
      </c>
      <c r="J57" s="223">
        <v>44102</v>
      </c>
      <c r="K57" s="222" t="s">
        <v>2149</v>
      </c>
      <c r="L57" s="223">
        <v>44123</v>
      </c>
      <c r="M57" s="223">
        <v>44123</v>
      </c>
      <c r="N57" s="223">
        <v>44133</v>
      </c>
      <c r="O57" s="222"/>
      <c r="P57" s="222">
        <v>44153</v>
      </c>
      <c r="Q57" s="222">
        <v>44141</v>
      </c>
      <c r="R57" s="222" t="s">
        <v>176</v>
      </c>
      <c r="S57" s="222">
        <v>44158</v>
      </c>
      <c r="T57" s="222">
        <v>44158</v>
      </c>
      <c r="U57" s="222">
        <v>44166</v>
      </c>
      <c r="V57" s="224"/>
      <c r="W57" s="222"/>
      <c r="X57" s="225"/>
      <c r="Y57" s="225"/>
      <c r="Z57" s="225"/>
      <c r="AA57" s="225">
        <v>4</v>
      </c>
      <c r="AB57" s="225">
        <v>35656</v>
      </c>
      <c r="AC57" s="225">
        <v>1990</v>
      </c>
      <c r="AD57" s="225" t="s">
        <v>2150</v>
      </c>
      <c r="AE57" s="225">
        <v>38850</v>
      </c>
      <c r="AF57" s="225" t="s">
        <v>2151</v>
      </c>
      <c r="AG57" s="226">
        <v>632604993</v>
      </c>
      <c r="AH57" s="246" t="s">
        <v>2152</v>
      </c>
      <c r="AI57" s="225" t="s">
        <v>1168</v>
      </c>
      <c r="AJ57" s="225"/>
      <c r="AK57" s="225"/>
      <c r="AL57" s="225" t="s">
        <v>176</v>
      </c>
      <c r="AM57" s="225" t="s">
        <v>176</v>
      </c>
      <c r="AN57" s="225" t="s">
        <v>176</v>
      </c>
      <c r="AO57" s="225" t="s">
        <v>176</v>
      </c>
      <c r="AP57" s="225" t="s">
        <v>675</v>
      </c>
      <c r="AQ57" s="225" t="s">
        <v>225</v>
      </c>
      <c r="AR57" s="225" t="s">
        <v>1948</v>
      </c>
      <c r="AS57" s="241" t="s">
        <v>673</v>
      </c>
      <c r="AT57" s="226">
        <v>951096343</v>
      </c>
      <c r="AU57" s="225" t="s">
        <v>176</v>
      </c>
      <c r="AV57" s="241" t="s">
        <v>188</v>
      </c>
      <c r="AW57" s="223">
        <v>44433</v>
      </c>
      <c r="AX57" s="225" t="s">
        <v>1880</v>
      </c>
      <c r="AY57" s="225">
        <v>1999</v>
      </c>
      <c r="AZ57" s="225" t="s">
        <v>1880</v>
      </c>
      <c r="BA57" s="225" t="s">
        <v>267</v>
      </c>
      <c r="BB57" s="225" t="s">
        <v>229</v>
      </c>
      <c r="BC57" s="225" t="s">
        <v>2093</v>
      </c>
      <c r="BD57" s="225">
        <v>20</v>
      </c>
      <c r="BE57" s="225">
        <v>7.9</v>
      </c>
      <c r="BF57" s="225">
        <v>89</v>
      </c>
      <c r="BG57" s="225">
        <v>1.7999999999999999E-2</v>
      </c>
      <c r="BH57" s="225" t="s">
        <v>1899</v>
      </c>
      <c r="BI57" s="225"/>
      <c r="BJ57" s="225">
        <f>5885+300.4+271.35+265.5+269.9+110+125</f>
        <v>7227.15</v>
      </c>
      <c r="BK57" s="225"/>
      <c r="BL57" s="225"/>
      <c r="BM57" s="225"/>
      <c r="BN57" s="225">
        <v>630</v>
      </c>
      <c r="BO57" s="225">
        <f t="shared" si="0"/>
        <v>7857.15</v>
      </c>
      <c r="BP57" s="230">
        <f t="shared" si="1"/>
        <v>432.14324999999997</v>
      </c>
      <c r="BQ57" s="230">
        <f t="shared" si="2"/>
        <v>8289.2932499999988</v>
      </c>
      <c r="BR57" s="230">
        <v>7900</v>
      </c>
      <c r="BS57" s="225" t="s">
        <v>188</v>
      </c>
      <c r="BT57" s="225"/>
      <c r="BU57" s="225"/>
      <c r="BV57" s="301" t="s">
        <v>1900</v>
      </c>
      <c r="BW57" s="301" t="s">
        <v>214</v>
      </c>
      <c r="BX57" s="222" t="s">
        <v>618</v>
      </c>
      <c r="BY57" s="301" t="s">
        <v>176</v>
      </c>
    </row>
    <row r="58" spans="1:77" s="166" customFormat="1" ht="13.5" customHeight="1">
      <c r="A58" s="64">
        <f t="shared" si="3"/>
        <v>2020</v>
      </c>
      <c r="B58" s="64">
        <f t="shared" si="4"/>
        <v>10</v>
      </c>
      <c r="C58" s="125" t="s">
        <v>4106</v>
      </c>
      <c r="D58" s="168" t="str">
        <f t="shared" si="5"/>
        <v>non maj</v>
      </c>
      <c r="E58" s="292" t="s">
        <v>670</v>
      </c>
      <c r="F58" s="292" t="s">
        <v>1285</v>
      </c>
      <c r="G58" s="221">
        <v>400</v>
      </c>
      <c r="H58" s="222">
        <v>44103</v>
      </c>
      <c r="I58" s="222">
        <v>44105</v>
      </c>
      <c r="J58" s="223" t="s">
        <v>176</v>
      </c>
      <c r="K58" s="222" t="s">
        <v>176</v>
      </c>
      <c r="L58" s="223">
        <v>44109</v>
      </c>
      <c r="M58" s="223">
        <v>44109</v>
      </c>
      <c r="N58" s="223">
        <v>44116</v>
      </c>
      <c r="O58" s="222"/>
      <c r="P58" s="222">
        <v>44217</v>
      </c>
      <c r="Q58" s="222">
        <v>44187</v>
      </c>
      <c r="R58" s="222" t="s">
        <v>176</v>
      </c>
      <c r="S58" s="222">
        <v>44222</v>
      </c>
      <c r="T58" s="222">
        <v>44222</v>
      </c>
      <c r="U58" s="222">
        <v>44242</v>
      </c>
      <c r="V58" s="224"/>
      <c r="W58" s="222"/>
      <c r="X58" s="225"/>
      <c r="Y58" s="225"/>
      <c r="Z58" s="225"/>
      <c r="AA58" s="225">
        <v>3</v>
      </c>
      <c r="AB58" s="225">
        <v>50344</v>
      </c>
      <c r="AC58" s="225">
        <v>2</v>
      </c>
      <c r="AD58" s="225" t="s">
        <v>2153</v>
      </c>
      <c r="AE58" s="225">
        <v>38210</v>
      </c>
      <c r="AF58" s="225" t="s">
        <v>265</v>
      </c>
      <c r="AG58" s="226">
        <v>476072761</v>
      </c>
      <c r="AH58" s="295" t="s">
        <v>2154</v>
      </c>
      <c r="AI58" s="225" t="s">
        <v>1168</v>
      </c>
      <c r="AJ58" s="225"/>
      <c r="AK58" s="225"/>
      <c r="AL58" s="225" t="s">
        <v>176</v>
      </c>
      <c r="AM58" s="225" t="s">
        <v>176</v>
      </c>
      <c r="AN58" s="225" t="s">
        <v>176</v>
      </c>
      <c r="AO58" s="225" t="s">
        <v>176</v>
      </c>
      <c r="AP58" s="225" t="s">
        <v>1888</v>
      </c>
      <c r="AQ58" s="225" t="s">
        <v>225</v>
      </c>
      <c r="AR58" s="225" t="s">
        <v>1889</v>
      </c>
      <c r="AS58" s="295" t="s">
        <v>269</v>
      </c>
      <c r="AT58" s="226" t="s">
        <v>600</v>
      </c>
      <c r="AU58" s="225" t="s">
        <v>176</v>
      </c>
      <c r="AV58" s="251" t="s">
        <v>188</v>
      </c>
      <c r="AW58" s="223">
        <v>44138</v>
      </c>
      <c r="AX58" s="225" t="s">
        <v>4113</v>
      </c>
      <c r="AY58" s="225">
        <v>1990</v>
      </c>
      <c r="AZ58" s="225" t="s">
        <v>1880</v>
      </c>
      <c r="BA58" s="225" t="s">
        <v>267</v>
      </c>
      <c r="BB58" s="225" t="s">
        <v>221</v>
      </c>
      <c r="BC58" s="225" t="s">
        <v>2155</v>
      </c>
      <c r="BD58" s="225">
        <v>17</v>
      </c>
      <c r="BE58" s="225">
        <v>8</v>
      </c>
      <c r="BF58" s="225">
        <v>90.4</v>
      </c>
      <c r="BG58" s="225">
        <v>3.0000000000000001E-3</v>
      </c>
      <c r="BH58" s="225" t="s">
        <v>1882</v>
      </c>
      <c r="BI58" s="225"/>
      <c r="BJ58" s="225">
        <f>3137.44+1305</f>
        <v>4442.4400000000005</v>
      </c>
      <c r="BK58" s="225"/>
      <c r="BL58" s="225"/>
      <c r="BM58" s="225"/>
      <c r="BN58" s="225">
        <f>15+50+420</f>
        <v>485</v>
      </c>
      <c r="BO58" s="225">
        <f t="shared" si="0"/>
        <v>4927.4400000000005</v>
      </c>
      <c r="BP58" s="230">
        <f t="shared" si="1"/>
        <v>271.00920000000002</v>
      </c>
      <c r="BQ58" s="230">
        <f t="shared" si="2"/>
        <v>5198.4492000000009</v>
      </c>
      <c r="BR58" s="230">
        <v>4500</v>
      </c>
      <c r="BS58" s="225" t="s">
        <v>191</v>
      </c>
      <c r="BT58" s="225"/>
      <c r="BU58" s="225"/>
      <c r="BV58" s="225" t="s">
        <v>1900</v>
      </c>
      <c r="BW58" s="301" t="s">
        <v>214</v>
      </c>
      <c r="BX58" s="301" t="s">
        <v>620</v>
      </c>
      <c r="BY58" s="301" t="s">
        <v>176</v>
      </c>
    </row>
    <row r="59" spans="1:77" s="166" customFormat="1" ht="13.5" customHeight="1">
      <c r="A59" s="64" t="e">
        <f t="shared" si="3"/>
        <v>#VALUE!</v>
      </c>
      <c r="B59" s="64" t="e">
        <f t="shared" si="4"/>
        <v>#VALUE!</v>
      </c>
      <c r="C59" s="125" t="s">
        <v>4125</v>
      </c>
      <c r="D59" s="168" t="str">
        <f t="shared" si="5"/>
        <v>NC</v>
      </c>
      <c r="E59" s="291" t="s">
        <v>670</v>
      </c>
      <c r="F59" s="291" t="s">
        <v>1286</v>
      </c>
      <c r="G59" s="221" t="s">
        <v>176</v>
      </c>
      <c r="H59" s="222">
        <v>44103</v>
      </c>
      <c r="I59" s="222">
        <v>44105</v>
      </c>
      <c r="J59" s="223" t="s">
        <v>176</v>
      </c>
      <c r="K59" s="222" t="s">
        <v>176</v>
      </c>
      <c r="L59" s="223" t="s">
        <v>176</v>
      </c>
      <c r="M59" s="223" t="s">
        <v>176</v>
      </c>
      <c r="N59" s="223" t="s">
        <v>176</v>
      </c>
      <c r="O59" s="222"/>
      <c r="P59" s="222" t="s">
        <v>176</v>
      </c>
      <c r="Q59" s="222" t="s">
        <v>176</v>
      </c>
      <c r="R59" s="222" t="s">
        <v>176</v>
      </c>
      <c r="S59" s="222" t="s">
        <v>176</v>
      </c>
      <c r="T59" s="222" t="s">
        <v>176</v>
      </c>
      <c r="U59" s="222" t="s">
        <v>176</v>
      </c>
      <c r="V59" s="224"/>
      <c r="W59" s="222">
        <v>44109</v>
      </c>
      <c r="X59" s="225" t="s">
        <v>2156</v>
      </c>
      <c r="Y59" s="225"/>
      <c r="Z59" s="225"/>
      <c r="AA59" s="225">
        <v>6</v>
      </c>
      <c r="AB59" s="225">
        <v>38369</v>
      </c>
      <c r="AC59" s="225">
        <v>1020</v>
      </c>
      <c r="AD59" s="225" t="s">
        <v>2157</v>
      </c>
      <c r="AE59" s="225">
        <v>38140</v>
      </c>
      <c r="AF59" s="225" t="s">
        <v>1946</v>
      </c>
      <c r="AG59" s="226">
        <v>687373832</v>
      </c>
      <c r="AH59" s="246" t="s">
        <v>2158</v>
      </c>
      <c r="AI59" s="225" t="s">
        <v>1168</v>
      </c>
      <c r="AJ59" s="225"/>
      <c r="AK59" s="225"/>
      <c r="AL59" s="225" t="s">
        <v>176</v>
      </c>
      <c r="AM59" s="225" t="s">
        <v>176</v>
      </c>
      <c r="AN59" s="225" t="s">
        <v>176</v>
      </c>
      <c r="AO59" s="225" t="s">
        <v>176</v>
      </c>
      <c r="AP59" s="225" t="s">
        <v>675</v>
      </c>
      <c r="AQ59" s="225" t="s">
        <v>225</v>
      </c>
      <c r="AR59" s="225" t="s">
        <v>1948</v>
      </c>
      <c r="AS59" s="241" t="s">
        <v>673</v>
      </c>
      <c r="AT59" s="226">
        <v>951096343</v>
      </c>
      <c r="AU59" s="225" t="s">
        <v>176</v>
      </c>
      <c r="AV59" s="241" t="s">
        <v>188</v>
      </c>
      <c r="AW59" s="223">
        <v>44433</v>
      </c>
      <c r="AX59" s="225" t="s">
        <v>1880</v>
      </c>
      <c r="AY59" s="225">
        <v>2015</v>
      </c>
      <c r="AZ59" s="225" t="s">
        <v>1880</v>
      </c>
      <c r="BA59" s="225" t="s">
        <v>267</v>
      </c>
      <c r="BB59" s="225" t="s">
        <v>229</v>
      </c>
      <c r="BC59" s="225" t="s">
        <v>2159</v>
      </c>
      <c r="BD59" s="225">
        <v>30</v>
      </c>
      <c r="BE59" s="225">
        <v>6.3</v>
      </c>
      <c r="BF59" s="225">
        <v>89</v>
      </c>
      <c r="BG59" s="225">
        <v>1.7999999999999999E-2</v>
      </c>
      <c r="BH59" s="225" t="s">
        <v>1899</v>
      </c>
      <c r="BI59" s="225"/>
      <c r="BJ59" s="225">
        <f>4190+340.5+271.35</f>
        <v>4801.8500000000004</v>
      </c>
      <c r="BK59" s="225"/>
      <c r="BL59" s="225"/>
      <c r="BM59" s="225"/>
      <c r="BN59" s="225">
        <v>450</v>
      </c>
      <c r="BO59" s="225">
        <f t="shared" si="0"/>
        <v>5251.85</v>
      </c>
      <c r="BP59" s="230">
        <f t="shared" si="1"/>
        <v>288.85175000000004</v>
      </c>
      <c r="BQ59" s="230">
        <f t="shared" si="2"/>
        <v>5540.7017500000002</v>
      </c>
      <c r="BR59" s="230">
        <v>5200</v>
      </c>
      <c r="BS59" s="225" t="s">
        <v>191</v>
      </c>
      <c r="BT59" s="225"/>
      <c r="BU59" s="225"/>
      <c r="BV59" s="301">
        <v>0</v>
      </c>
      <c r="BW59" s="301" t="s">
        <v>214</v>
      </c>
      <c r="BX59" s="301" t="s">
        <v>214</v>
      </c>
      <c r="BY59" s="301" t="s">
        <v>176</v>
      </c>
    </row>
    <row r="60" spans="1:77" s="166" customFormat="1" ht="13.5" customHeight="1">
      <c r="A60" s="64">
        <f t="shared" si="3"/>
        <v>2021</v>
      </c>
      <c r="B60" s="64">
        <f t="shared" si="4"/>
        <v>3</v>
      </c>
      <c r="C60" s="125" t="s">
        <v>191</v>
      </c>
      <c r="D60" s="168" t="str">
        <f t="shared" si="5"/>
        <v>non maj</v>
      </c>
      <c r="E60" s="292" t="s">
        <v>670</v>
      </c>
      <c r="F60" s="292" t="s">
        <v>1288</v>
      </c>
      <c r="G60" s="221">
        <v>400</v>
      </c>
      <c r="H60" s="222">
        <v>44103</v>
      </c>
      <c r="I60" s="222">
        <v>44105</v>
      </c>
      <c r="J60" s="223">
        <v>44109</v>
      </c>
      <c r="K60" s="222" t="s">
        <v>2160</v>
      </c>
      <c r="L60" s="223">
        <v>44263</v>
      </c>
      <c r="M60" s="223">
        <v>44263</v>
      </c>
      <c r="N60" s="223">
        <v>44309</v>
      </c>
      <c r="O60" s="222"/>
      <c r="P60" s="222">
        <v>44257</v>
      </c>
      <c r="Q60" s="222">
        <v>44250</v>
      </c>
      <c r="R60" s="222" t="s">
        <v>176</v>
      </c>
      <c r="S60" s="222">
        <v>44263</v>
      </c>
      <c r="T60" s="222">
        <v>44263</v>
      </c>
      <c r="U60" s="222">
        <v>44309</v>
      </c>
      <c r="V60" s="224"/>
      <c r="W60" s="222"/>
      <c r="X60" s="225"/>
      <c r="Y60" s="225"/>
      <c r="Z60" s="225"/>
      <c r="AA60" s="225">
        <v>4</v>
      </c>
      <c r="AB60" s="225">
        <v>79133</v>
      </c>
      <c r="AC60" s="225">
        <v>849</v>
      </c>
      <c r="AD60" s="225" t="s">
        <v>2161</v>
      </c>
      <c r="AE60" s="225">
        <v>38500</v>
      </c>
      <c r="AF60" s="225" t="s">
        <v>1907</v>
      </c>
      <c r="AG60" s="226">
        <v>641445621</v>
      </c>
      <c r="AH60" s="246" t="s">
        <v>2162</v>
      </c>
      <c r="AI60" s="225" t="s">
        <v>1168</v>
      </c>
      <c r="AJ60" s="225"/>
      <c r="AK60" s="225"/>
      <c r="AL60" s="225" t="s">
        <v>176</v>
      </c>
      <c r="AM60" s="225" t="s">
        <v>176</v>
      </c>
      <c r="AN60" s="225" t="s">
        <v>176</v>
      </c>
      <c r="AO60" s="225" t="s">
        <v>176</v>
      </c>
      <c r="AP60" s="225" t="s">
        <v>2052</v>
      </c>
      <c r="AQ60" s="225" t="s">
        <v>232</v>
      </c>
      <c r="AR60" s="225" t="s">
        <v>233</v>
      </c>
      <c r="AS60" s="241" t="s">
        <v>234</v>
      </c>
      <c r="AT60" s="226">
        <v>476500550</v>
      </c>
      <c r="AU60" s="225" t="s">
        <v>176</v>
      </c>
      <c r="AV60" s="241" t="s">
        <v>188</v>
      </c>
      <c r="AW60" s="223">
        <v>44375</v>
      </c>
      <c r="AX60" s="225" t="s">
        <v>4113</v>
      </c>
      <c r="AY60" s="225">
        <v>1980</v>
      </c>
      <c r="AZ60" s="225" t="s">
        <v>1880</v>
      </c>
      <c r="BA60" s="225" t="s">
        <v>380</v>
      </c>
      <c r="BB60" s="225" t="s">
        <v>270</v>
      </c>
      <c r="BC60" s="225" t="s">
        <v>2163</v>
      </c>
      <c r="BD60" s="225">
        <v>10</v>
      </c>
      <c r="BE60" s="225">
        <v>5</v>
      </c>
      <c r="BF60" s="225">
        <v>80</v>
      </c>
      <c r="BG60" s="225">
        <v>0.08</v>
      </c>
      <c r="BH60" s="225" t="s">
        <v>1882</v>
      </c>
      <c r="BI60" s="225"/>
      <c r="BJ60" s="225">
        <f>197.82+2500+108.44+88.25</f>
        <v>2894.51</v>
      </c>
      <c r="BK60" s="225"/>
      <c r="BL60" s="225"/>
      <c r="BM60" s="225"/>
      <c r="BN60" s="225">
        <v>660</v>
      </c>
      <c r="BO60" s="225">
        <f t="shared" si="0"/>
        <v>3554.51</v>
      </c>
      <c r="BP60" s="230">
        <f t="shared" si="1"/>
        <v>195.49805000000001</v>
      </c>
      <c r="BQ60" s="230">
        <f t="shared" si="2"/>
        <v>3750.0080500000004</v>
      </c>
      <c r="BR60" s="230">
        <v>3750</v>
      </c>
      <c r="BS60" s="225" t="s">
        <v>188</v>
      </c>
      <c r="BT60" s="225"/>
      <c r="BU60" s="225"/>
      <c r="BV60" s="301" t="s">
        <v>1981</v>
      </c>
      <c r="BW60" s="301" t="s">
        <v>214</v>
      </c>
      <c r="BX60" s="301" t="s">
        <v>620</v>
      </c>
      <c r="BY60" s="301">
        <v>2021</v>
      </c>
    </row>
    <row r="61" spans="1:77" s="166" customFormat="1" ht="13.5" customHeight="1">
      <c r="A61" s="64" t="e">
        <f t="shared" si="3"/>
        <v>#VALUE!</v>
      </c>
      <c r="B61" s="64" t="e">
        <f t="shared" si="4"/>
        <v>#VALUE!</v>
      </c>
      <c r="C61" s="125" t="s">
        <v>4125</v>
      </c>
      <c r="D61" s="168" t="str">
        <f t="shared" si="5"/>
        <v>NC</v>
      </c>
      <c r="E61" s="291" t="s">
        <v>670</v>
      </c>
      <c r="F61" s="291" t="s">
        <v>2164</v>
      </c>
      <c r="G61" s="221" t="s">
        <v>176</v>
      </c>
      <c r="H61" s="222">
        <v>44104</v>
      </c>
      <c r="I61" s="222">
        <v>44105</v>
      </c>
      <c r="J61" s="223" t="s">
        <v>176</v>
      </c>
      <c r="K61" s="222" t="s">
        <v>176</v>
      </c>
      <c r="L61" s="223" t="s">
        <v>176</v>
      </c>
      <c r="M61" s="223" t="s">
        <v>176</v>
      </c>
      <c r="N61" s="223" t="s">
        <v>176</v>
      </c>
      <c r="O61" s="222"/>
      <c r="P61" s="222" t="s">
        <v>176</v>
      </c>
      <c r="Q61" s="222" t="s">
        <v>176</v>
      </c>
      <c r="R61" s="222" t="s">
        <v>176</v>
      </c>
      <c r="S61" s="222" t="s">
        <v>176</v>
      </c>
      <c r="T61" s="222" t="s">
        <v>176</v>
      </c>
      <c r="U61" s="222" t="s">
        <v>176</v>
      </c>
      <c r="V61" s="224"/>
      <c r="W61" s="222">
        <v>44109</v>
      </c>
      <c r="X61" s="225" t="s">
        <v>2165</v>
      </c>
      <c r="Y61" s="225"/>
      <c r="Z61" s="225"/>
      <c r="AA61" s="225">
        <v>1</v>
      </c>
      <c r="AB61" s="225"/>
      <c r="AC61" s="225"/>
      <c r="AD61" s="225" t="s">
        <v>2166</v>
      </c>
      <c r="AE61" s="225">
        <v>73670</v>
      </c>
      <c r="AF61" s="225" t="s">
        <v>2167</v>
      </c>
      <c r="AG61" s="226" t="s">
        <v>2168</v>
      </c>
      <c r="AH61" s="246" t="s">
        <v>176</v>
      </c>
      <c r="AI61" s="225" t="s">
        <v>1168</v>
      </c>
      <c r="AJ61" s="225"/>
      <c r="AK61" s="225"/>
      <c r="AL61" s="225" t="s">
        <v>176</v>
      </c>
      <c r="AM61" s="225" t="s">
        <v>176</v>
      </c>
      <c r="AN61" s="225" t="s">
        <v>176</v>
      </c>
      <c r="AO61" s="225" t="s">
        <v>176</v>
      </c>
      <c r="AP61" s="225" t="s">
        <v>2169</v>
      </c>
      <c r="AQ61" s="225" t="s">
        <v>2170</v>
      </c>
      <c r="AR61" s="225" t="s">
        <v>607</v>
      </c>
      <c r="AS61" s="241" t="s">
        <v>248</v>
      </c>
      <c r="AT61" s="226">
        <v>479710404</v>
      </c>
      <c r="AU61" s="225" t="s">
        <v>176</v>
      </c>
      <c r="AV61" s="241" t="s">
        <v>188</v>
      </c>
      <c r="AW61" s="223">
        <v>44300</v>
      </c>
      <c r="AX61" s="225" t="s">
        <v>1179</v>
      </c>
      <c r="AY61" s="225">
        <v>1982</v>
      </c>
      <c r="AZ61" s="225" t="s">
        <v>1880</v>
      </c>
      <c r="BA61" s="225" t="s">
        <v>380</v>
      </c>
      <c r="BB61" s="225" t="s">
        <v>244</v>
      </c>
      <c r="BC61" s="225" t="s">
        <v>854</v>
      </c>
      <c r="BD61" s="225">
        <v>28</v>
      </c>
      <c r="BE61" s="225">
        <v>7</v>
      </c>
      <c r="BF61" s="225">
        <v>76</v>
      </c>
      <c r="BG61" s="225">
        <v>0.12</v>
      </c>
      <c r="BH61" s="225" t="s">
        <v>1882</v>
      </c>
      <c r="BI61" s="225"/>
      <c r="BJ61" s="225">
        <f>20+1497</f>
        <v>1517</v>
      </c>
      <c r="BK61" s="225"/>
      <c r="BL61" s="225"/>
      <c r="BM61" s="225"/>
      <c r="BN61" s="225">
        <f>450+675+19+65</f>
        <v>1209</v>
      </c>
      <c r="BO61" s="225">
        <f t="shared" si="0"/>
        <v>2726</v>
      </c>
      <c r="BP61" s="230">
        <f t="shared" si="1"/>
        <v>149.93</v>
      </c>
      <c r="BQ61" s="230">
        <f t="shared" si="2"/>
        <v>2875.93</v>
      </c>
      <c r="BR61" s="230">
        <v>2875.93</v>
      </c>
      <c r="BS61" s="225" t="s">
        <v>188</v>
      </c>
      <c r="BT61" s="225"/>
      <c r="BU61" s="225"/>
      <c r="BV61" s="301">
        <v>0</v>
      </c>
      <c r="BW61" s="301" t="s">
        <v>214</v>
      </c>
      <c r="BX61" s="301" t="s">
        <v>214</v>
      </c>
      <c r="BY61" s="301" t="s">
        <v>176</v>
      </c>
    </row>
    <row r="62" spans="1:77" s="166" customFormat="1" ht="13.5" customHeight="1">
      <c r="A62" s="64">
        <f t="shared" si="3"/>
        <v>2020</v>
      </c>
      <c r="B62" s="64">
        <f t="shared" si="4"/>
        <v>10</v>
      </c>
      <c r="C62" s="125" t="s">
        <v>4106</v>
      </c>
      <c r="D62" s="168" t="str">
        <f t="shared" si="5"/>
        <v>maj</v>
      </c>
      <c r="E62" s="292" t="s">
        <v>670</v>
      </c>
      <c r="F62" s="292" t="s">
        <v>1289</v>
      </c>
      <c r="G62" s="221">
        <v>800</v>
      </c>
      <c r="H62" s="222">
        <v>44105</v>
      </c>
      <c r="I62" s="222">
        <v>44105</v>
      </c>
      <c r="J62" s="223">
        <v>44109</v>
      </c>
      <c r="K62" s="222" t="s">
        <v>2171</v>
      </c>
      <c r="L62" s="223">
        <v>44123</v>
      </c>
      <c r="M62" s="223">
        <v>44123</v>
      </c>
      <c r="N62" s="223">
        <v>44133</v>
      </c>
      <c r="O62" s="222"/>
      <c r="P62" s="222">
        <v>44144</v>
      </c>
      <c r="Q62" s="222">
        <v>44142</v>
      </c>
      <c r="R62" s="222" t="s">
        <v>176</v>
      </c>
      <c r="S62" s="222">
        <v>44145</v>
      </c>
      <c r="T62" s="222">
        <v>44145</v>
      </c>
      <c r="U62" s="222">
        <v>44147</v>
      </c>
      <c r="V62" s="224"/>
      <c r="W62" s="222"/>
      <c r="X62" s="225"/>
      <c r="Y62" s="225"/>
      <c r="Z62" s="225"/>
      <c r="AA62" s="225">
        <v>4</v>
      </c>
      <c r="AB62" s="225">
        <v>38896</v>
      </c>
      <c r="AC62" s="225">
        <v>8</v>
      </c>
      <c r="AD62" s="225" t="s">
        <v>2172</v>
      </c>
      <c r="AE62" s="225">
        <v>38620</v>
      </c>
      <c r="AF62" s="225" t="s">
        <v>1871</v>
      </c>
      <c r="AG62" s="226">
        <v>689414935</v>
      </c>
      <c r="AH62" s="246" t="s">
        <v>2173</v>
      </c>
      <c r="AI62" s="225" t="s">
        <v>1168</v>
      </c>
      <c r="AJ62" s="225"/>
      <c r="AK62" s="225"/>
      <c r="AL62" s="225" t="s">
        <v>176</v>
      </c>
      <c r="AM62" s="225" t="s">
        <v>176</v>
      </c>
      <c r="AN62" s="225" t="s">
        <v>176</v>
      </c>
      <c r="AO62" s="225" t="s">
        <v>176</v>
      </c>
      <c r="AP62" s="225" t="s">
        <v>675</v>
      </c>
      <c r="AQ62" s="225" t="s">
        <v>225</v>
      </c>
      <c r="AR62" s="225" t="s">
        <v>1948</v>
      </c>
      <c r="AS62" s="241" t="s">
        <v>673</v>
      </c>
      <c r="AT62" s="226">
        <v>951096343</v>
      </c>
      <c r="AU62" s="225" t="s">
        <v>176</v>
      </c>
      <c r="AV62" s="241" t="s">
        <v>188</v>
      </c>
      <c r="AW62" s="223">
        <v>44433</v>
      </c>
      <c r="AX62" s="225" t="s">
        <v>4113</v>
      </c>
      <c r="AY62" s="225">
        <v>1980</v>
      </c>
      <c r="AZ62" s="225" t="s">
        <v>1880</v>
      </c>
      <c r="BA62" s="225" t="s">
        <v>380</v>
      </c>
      <c r="BB62" s="225" t="s">
        <v>2174</v>
      </c>
      <c r="BC62" s="225" t="s">
        <v>2175</v>
      </c>
      <c r="BD62" s="225">
        <v>18</v>
      </c>
      <c r="BE62" s="225">
        <v>4.9000000000000004</v>
      </c>
      <c r="BF62" s="225">
        <v>78</v>
      </c>
      <c r="BG62" s="225">
        <v>0.09</v>
      </c>
      <c r="BH62" s="225" t="s">
        <v>1882</v>
      </c>
      <c r="BI62" s="225"/>
      <c r="BJ62" s="225">
        <f>2034+404+1729.3</f>
        <v>4167.3</v>
      </c>
      <c r="BK62" s="225"/>
      <c r="BL62" s="225"/>
      <c r="BM62" s="225"/>
      <c r="BN62" s="225">
        <f>880+500</f>
        <v>1380</v>
      </c>
      <c r="BO62" s="225">
        <f t="shared" si="0"/>
        <v>5547.3</v>
      </c>
      <c r="BP62" s="230">
        <f t="shared" si="1"/>
        <v>305.10149999999999</v>
      </c>
      <c r="BQ62" s="230">
        <f t="shared" si="2"/>
        <v>5852.4014999999999</v>
      </c>
      <c r="BR62" s="230">
        <v>4998.91</v>
      </c>
      <c r="BS62" s="225" t="s">
        <v>188</v>
      </c>
      <c r="BT62" s="225"/>
      <c r="BU62" s="225"/>
      <c r="BV62" s="301" t="s">
        <v>1900</v>
      </c>
      <c r="BW62" s="301" t="s">
        <v>214</v>
      </c>
      <c r="BX62" s="222" t="s">
        <v>618</v>
      </c>
      <c r="BY62" s="301">
        <v>2020</v>
      </c>
    </row>
    <row r="63" spans="1:77" s="166" customFormat="1" ht="13.5" customHeight="1">
      <c r="A63" s="64">
        <f t="shared" si="3"/>
        <v>2020</v>
      </c>
      <c r="B63" s="64">
        <f t="shared" si="4"/>
        <v>10</v>
      </c>
      <c r="C63" s="125" t="s">
        <v>4106</v>
      </c>
      <c r="D63" s="168" t="str">
        <f t="shared" si="5"/>
        <v>non maj</v>
      </c>
      <c r="E63" s="292" t="s">
        <v>670</v>
      </c>
      <c r="F63" s="292" t="s">
        <v>1292</v>
      </c>
      <c r="G63" s="221">
        <v>400</v>
      </c>
      <c r="H63" s="222">
        <v>44108</v>
      </c>
      <c r="I63" s="222">
        <v>44109</v>
      </c>
      <c r="J63" s="223" t="s">
        <v>176</v>
      </c>
      <c r="K63" s="222" t="s">
        <v>176</v>
      </c>
      <c r="L63" s="223">
        <v>44109</v>
      </c>
      <c r="M63" s="223">
        <v>44109</v>
      </c>
      <c r="N63" s="223">
        <v>44116</v>
      </c>
      <c r="O63" s="222"/>
      <c r="P63" s="222">
        <v>44138</v>
      </c>
      <c r="Q63" s="222">
        <v>44132</v>
      </c>
      <c r="R63" s="222" t="s">
        <v>176</v>
      </c>
      <c r="S63" s="222">
        <v>44140</v>
      </c>
      <c r="T63" s="222">
        <v>44140</v>
      </c>
      <c r="U63" s="222">
        <v>44147</v>
      </c>
      <c r="V63" s="224"/>
      <c r="W63" s="222"/>
      <c r="X63" s="225"/>
      <c r="Y63" s="225"/>
      <c r="Z63" s="225"/>
      <c r="AA63" s="225">
        <v>5</v>
      </c>
      <c r="AB63" s="225">
        <v>117343</v>
      </c>
      <c r="AC63" s="225">
        <v>2976</v>
      </c>
      <c r="AD63" s="225" t="s">
        <v>2176</v>
      </c>
      <c r="AE63" s="225">
        <v>38210</v>
      </c>
      <c r="AF63" s="225" t="s">
        <v>265</v>
      </c>
      <c r="AG63" s="226">
        <v>628091397</v>
      </c>
      <c r="AH63" s="246" t="s">
        <v>2177</v>
      </c>
      <c r="AI63" s="225" t="s">
        <v>1168</v>
      </c>
      <c r="AJ63" s="225"/>
      <c r="AK63" s="225"/>
      <c r="AL63" s="225" t="s">
        <v>176</v>
      </c>
      <c r="AM63" s="225" t="s">
        <v>176</v>
      </c>
      <c r="AN63" s="225" t="s">
        <v>176</v>
      </c>
      <c r="AO63" s="225" t="s">
        <v>176</v>
      </c>
      <c r="AP63" s="225" t="s">
        <v>268</v>
      </c>
      <c r="AQ63" s="225" t="s">
        <v>1893</v>
      </c>
      <c r="AR63" s="225" t="s">
        <v>1933</v>
      </c>
      <c r="AS63" s="246" t="s">
        <v>1934</v>
      </c>
      <c r="AT63" s="226">
        <v>476355605</v>
      </c>
      <c r="AU63" s="225" t="s">
        <v>176</v>
      </c>
      <c r="AV63" s="241" t="s">
        <v>188</v>
      </c>
      <c r="AW63" s="223">
        <v>44495</v>
      </c>
      <c r="AX63" s="225" t="s">
        <v>4113</v>
      </c>
      <c r="AY63" s="225">
        <v>1998</v>
      </c>
      <c r="AZ63" s="225" t="s">
        <v>4113</v>
      </c>
      <c r="BA63" s="225" t="s">
        <v>380</v>
      </c>
      <c r="BB63" s="225" t="s">
        <v>1936</v>
      </c>
      <c r="BC63" s="225" t="s">
        <v>2178</v>
      </c>
      <c r="BD63" s="225">
        <v>23</v>
      </c>
      <c r="BE63" s="225">
        <v>10</v>
      </c>
      <c r="BF63" s="225">
        <v>78</v>
      </c>
      <c r="BG63" s="225">
        <v>7.0000000000000007E-2</v>
      </c>
      <c r="BH63" s="225" t="s">
        <v>1882</v>
      </c>
      <c r="BI63" s="225"/>
      <c r="BJ63" s="225">
        <f>360+27.5+44.8+94+365.75+1396+665+266.4+579+488+85</f>
        <v>4371.4500000000007</v>
      </c>
      <c r="BK63" s="225"/>
      <c r="BL63" s="225"/>
      <c r="BM63" s="225"/>
      <c r="BN63" s="225">
        <f>99.09+118.25+1100</f>
        <v>1317.34</v>
      </c>
      <c r="BO63" s="225">
        <f t="shared" si="0"/>
        <v>5688.7900000000009</v>
      </c>
      <c r="BP63" s="230">
        <f t="shared" si="1"/>
        <v>312.88345000000004</v>
      </c>
      <c r="BQ63" s="230">
        <f t="shared" si="2"/>
        <v>6001.6734500000011</v>
      </c>
      <c r="BR63" s="230">
        <v>6001.67</v>
      </c>
      <c r="BS63" s="225" t="s">
        <v>188</v>
      </c>
      <c r="BT63" s="225"/>
      <c r="BU63" s="225"/>
      <c r="BV63" s="301" t="s">
        <v>1900</v>
      </c>
      <c r="BW63" s="301" t="s">
        <v>214</v>
      </c>
      <c r="BX63" s="301" t="s">
        <v>620</v>
      </c>
      <c r="BY63" s="301">
        <v>2020</v>
      </c>
    </row>
    <row r="64" spans="1:77" s="166" customFormat="1" ht="13.5" customHeight="1">
      <c r="A64" s="64">
        <f t="shared" si="3"/>
        <v>2020</v>
      </c>
      <c r="B64" s="64">
        <f t="shared" si="4"/>
        <v>10</v>
      </c>
      <c r="C64" s="125" t="s">
        <v>4106</v>
      </c>
      <c r="D64" s="168" t="str">
        <f t="shared" si="5"/>
        <v>non maj</v>
      </c>
      <c r="E64" s="292" t="s">
        <v>670</v>
      </c>
      <c r="F64" s="292" t="s">
        <v>1293</v>
      </c>
      <c r="G64" s="221">
        <v>400</v>
      </c>
      <c r="H64" s="222">
        <v>44112</v>
      </c>
      <c r="I64" s="222">
        <v>44116</v>
      </c>
      <c r="J64" s="223" t="s">
        <v>176</v>
      </c>
      <c r="K64" s="222" t="s">
        <v>176</v>
      </c>
      <c r="L64" s="223">
        <v>44116</v>
      </c>
      <c r="M64" s="223">
        <v>44116</v>
      </c>
      <c r="N64" s="223">
        <v>44125</v>
      </c>
      <c r="O64" s="222"/>
      <c r="P64" s="222">
        <v>44235</v>
      </c>
      <c r="Q64" s="222">
        <v>44141</v>
      </c>
      <c r="R64" s="222" t="s">
        <v>176</v>
      </c>
      <c r="S64" s="222">
        <v>44236</v>
      </c>
      <c r="T64" s="222">
        <v>44236</v>
      </c>
      <c r="U64" s="222">
        <v>44251</v>
      </c>
      <c r="V64" s="224"/>
      <c r="W64" s="222"/>
      <c r="X64" s="225"/>
      <c r="Y64" s="225"/>
      <c r="Z64" s="225"/>
      <c r="AA64" s="225">
        <v>3</v>
      </c>
      <c r="AB64" s="225">
        <v>36568</v>
      </c>
      <c r="AC64" s="225">
        <v>30</v>
      </c>
      <c r="AD64" s="225" t="s">
        <v>2179</v>
      </c>
      <c r="AE64" s="225">
        <v>38500</v>
      </c>
      <c r="AF64" s="225" t="s">
        <v>225</v>
      </c>
      <c r="AG64" s="226">
        <v>783952681</v>
      </c>
      <c r="AH64" s="246" t="s">
        <v>2180</v>
      </c>
      <c r="AI64" s="225" t="s">
        <v>1168</v>
      </c>
      <c r="AJ64" s="225"/>
      <c r="AK64" s="225"/>
      <c r="AL64" s="225" t="s">
        <v>176</v>
      </c>
      <c r="AM64" s="225" t="s">
        <v>176</v>
      </c>
      <c r="AN64" s="225" t="s">
        <v>176</v>
      </c>
      <c r="AO64" s="225" t="s">
        <v>176</v>
      </c>
      <c r="AP64" s="225" t="s">
        <v>675</v>
      </c>
      <c r="AQ64" s="225" t="s">
        <v>225</v>
      </c>
      <c r="AR64" s="225" t="s">
        <v>1948</v>
      </c>
      <c r="AS64" s="241" t="s">
        <v>673</v>
      </c>
      <c r="AT64" s="226">
        <v>951096343</v>
      </c>
      <c r="AU64" s="225" t="s">
        <v>176</v>
      </c>
      <c r="AV64" s="241" t="s">
        <v>188</v>
      </c>
      <c r="AW64" s="223">
        <v>44433</v>
      </c>
      <c r="AX64" s="225" t="s">
        <v>1880</v>
      </c>
      <c r="AY64" s="225" t="s">
        <v>1967</v>
      </c>
      <c r="AZ64" s="225" t="s">
        <v>1880</v>
      </c>
      <c r="BA64" s="225" t="s">
        <v>267</v>
      </c>
      <c r="BB64" s="225" t="s">
        <v>229</v>
      </c>
      <c r="BC64" s="225" t="s">
        <v>2181</v>
      </c>
      <c r="BD64" s="225">
        <v>15</v>
      </c>
      <c r="BE64" s="225">
        <v>9.3000000000000007</v>
      </c>
      <c r="BF64" s="225">
        <v>87</v>
      </c>
      <c r="BG64" s="225">
        <v>1.7999999999999999E-2</v>
      </c>
      <c r="BH64" s="225" t="s">
        <v>1899</v>
      </c>
      <c r="BI64" s="225"/>
      <c r="BJ64" s="225">
        <f>4990+404+300.4+590</f>
        <v>6284.4</v>
      </c>
      <c r="BK64" s="225"/>
      <c r="BL64" s="225"/>
      <c r="BM64" s="225"/>
      <c r="BN64" s="225">
        <v>630</v>
      </c>
      <c r="BO64" s="225">
        <f t="shared" si="0"/>
        <v>6914.4</v>
      </c>
      <c r="BP64" s="230">
        <f t="shared" si="1"/>
        <v>380.29199999999997</v>
      </c>
      <c r="BQ64" s="230">
        <f t="shared" si="2"/>
        <v>7294.692</v>
      </c>
      <c r="BR64" s="230">
        <v>7200</v>
      </c>
      <c r="BS64" s="225" t="s">
        <v>188</v>
      </c>
      <c r="BT64" s="225"/>
      <c r="BU64" s="225"/>
      <c r="BV64" s="301" t="s">
        <v>1900</v>
      </c>
      <c r="BW64" s="301" t="s">
        <v>214</v>
      </c>
      <c r="BX64" s="301" t="s">
        <v>620</v>
      </c>
      <c r="BY64" s="301" t="s">
        <v>176</v>
      </c>
    </row>
    <row r="65" spans="1:77" s="166" customFormat="1" ht="13.5" customHeight="1">
      <c r="A65" s="64">
        <f t="shared" si="3"/>
        <v>2020</v>
      </c>
      <c r="B65" s="64">
        <f t="shared" si="4"/>
        <v>10</v>
      </c>
      <c r="C65" s="125" t="s">
        <v>191</v>
      </c>
      <c r="D65" s="168" t="str">
        <f t="shared" si="5"/>
        <v>non maj</v>
      </c>
      <c r="E65" s="292" t="s">
        <v>670</v>
      </c>
      <c r="F65" s="292" t="s">
        <v>1294</v>
      </c>
      <c r="G65" s="221">
        <v>400</v>
      </c>
      <c r="H65" s="222">
        <v>44112</v>
      </c>
      <c r="I65" s="222">
        <v>44116</v>
      </c>
      <c r="J65" s="223" t="s">
        <v>176</v>
      </c>
      <c r="K65" s="222" t="s">
        <v>176</v>
      </c>
      <c r="L65" s="223">
        <v>44116</v>
      </c>
      <c r="M65" s="223">
        <v>44116</v>
      </c>
      <c r="N65" s="223">
        <v>44125</v>
      </c>
      <c r="O65" s="222"/>
      <c r="P65" s="222">
        <v>44308</v>
      </c>
      <c r="Q65" s="222">
        <v>44303</v>
      </c>
      <c r="R65" s="222" t="s">
        <v>176</v>
      </c>
      <c r="S65" s="222">
        <v>44308</v>
      </c>
      <c r="T65" s="222">
        <v>44308</v>
      </c>
      <c r="U65" s="222">
        <v>44328</v>
      </c>
      <c r="V65" s="224"/>
      <c r="W65" s="222"/>
      <c r="X65" s="225"/>
      <c r="Y65" s="225"/>
      <c r="Z65" s="225"/>
      <c r="AA65" s="225">
        <v>2</v>
      </c>
      <c r="AB65" s="225">
        <v>34545</v>
      </c>
      <c r="AC65" s="225">
        <v>89</v>
      </c>
      <c r="AD65" s="225" t="s">
        <v>2182</v>
      </c>
      <c r="AE65" s="225">
        <v>38960</v>
      </c>
      <c r="AF65" s="225" t="s">
        <v>2088</v>
      </c>
      <c r="AG65" s="226">
        <v>627858495</v>
      </c>
      <c r="AH65" s="246" t="s">
        <v>2183</v>
      </c>
      <c r="AI65" s="225" t="s">
        <v>1168</v>
      </c>
      <c r="AJ65" s="225"/>
      <c r="AK65" s="225"/>
      <c r="AL65" s="225" t="s">
        <v>176</v>
      </c>
      <c r="AM65" s="225" t="s">
        <v>176</v>
      </c>
      <c r="AN65" s="225" t="s">
        <v>176</v>
      </c>
      <c r="AO65" s="225" t="s">
        <v>176</v>
      </c>
      <c r="AP65" s="222" t="s">
        <v>587</v>
      </c>
      <c r="AQ65" s="225" t="s">
        <v>225</v>
      </c>
      <c r="AR65" s="225" t="s">
        <v>2026</v>
      </c>
      <c r="AS65" s="241" t="s">
        <v>266</v>
      </c>
      <c r="AT65" s="226">
        <v>476069938</v>
      </c>
      <c r="AU65" s="225" t="s">
        <v>176</v>
      </c>
      <c r="AV65" s="241" t="s">
        <v>188</v>
      </c>
      <c r="AW65" s="223">
        <v>44457</v>
      </c>
      <c r="AX65" s="225" t="s">
        <v>4113</v>
      </c>
      <c r="AY65" s="242">
        <v>1989</v>
      </c>
      <c r="AZ65" s="225" t="s">
        <v>1880</v>
      </c>
      <c r="BA65" s="225" t="s">
        <v>380</v>
      </c>
      <c r="BB65" s="225" t="s">
        <v>676</v>
      </c>
      <c r="BC65" s="225" t="s">
        <v>2184</v>
      </c>
      <c r="BD65" s="242">
        <v>12</v>
      </c>
      <c r="BE65" s="242">
        <v>5</v>
      </c>
      <c r="BF65" s="242">
        <v>81</v>
      </c>
      <c r="BG65" s="242">
        <v>0.1</v>
      </c>
      <c r="BH65" s="225" t="s">
        <v>1882</v>
      </c>
      <c r="BI65" s="225"/>
      <c r="BJ65" s="242">
        <f>460+290+1+2105</f>
        <v>2856</v>
      </c>
      <c r="BK65" s="225"/>
      <c r="BL65" s="225"/>
      <c r="BM65" s="225"/>
      <c r="BN65" s="242">
        <f>570+450+450+220+1</f>
        <v>1691</v>
      </c>
      <c r="BO65" s="242">
        <f t="shared" si="0"/>
        <v>4547</v>
      </c>
      <c r="BP65" s="242">
        <f t="shared" si="1"/>
        <v>250.08500000000001</v>
      </c>
      <c r="BQ65" s="242">
        <f t="shared" si="2"/>
        <v>4797.085</v>
      </c>
      <c r="BR65" s="230">
        <v>4797.09</v>
      </c>
      <c r="BS65" s="225" t="s">
        <v>188</v>
      </c>
      <c r="BT65" s="225"/>
      <c r="BU65" s="225"/>
      <c r="BV65" s="301" t="s">
        <v>1981</v>
      </c>
      <c r="BW65" s="301" t="s">
        <v>214</v>
      </c>
      <c r="BX65" s="301" t="s">
        <v>620</v>
      </c>
      <c r="BY65" s="301">
        <v>2020</v>
      </c>
    </row>
    <row r="66" spans="1:77" s="166" customFormat="1" ht="13.5" customHeight="1">
      <c r="A66" s="64">
        <f t="shared" si="3"/>
        <v>2020</v>
      </c>
      <c r="B66" s="64">
        <f t="shared" si="4"/>
        <v>10</v>
      </c>
      <c r="C66" s="125" t="s">
        <v>4106</v>
      </c>
      <c r="D66" s="168" t="str">
        <f t="shared" si="5"/>
        <v>non maj</v>
      </c>
      <c r="E66" s="292" t="s">
        <v>670</v>
      </c>
      <c r="F66" s="292" t="s">
        <v>1295</v>
      </c>
      <c r="G66" s="221">
        <v>400</v>
      </c>
      <c r="H66" s="222">
        <v>44113</v>
      </c>
      <c r="I66" s="222">
        <v>44116</v>
      </c>
      <c r="J66" s="223" t="s">
        <v>176</v>
      </c>
      <c r="K66" s="222" t="s">
        <v>176</v>
      </c>
      <c r="L66" s="223">
        <v>44116</v>
      </c>
      <c r="M66" s="223">
        <v>44116</v>
      </c>
      <c r="N66" s="223">
        <v>44125</v>
      </c>
      <c r="O66" s="222"/>
      <c r="P66" s="222">
        <v>44217</v>
      </c>
      <c r="Q66" s="222">
        <v>44194</v>
      </c>
      <c r="R66" s="222" t="s">
        <v>176</v>
      </c>
      <c r="S66" s="222">
        <v>44222</v>
      </c>
      <c r="T66" s="222">
        <v>44222</v>
      </c>
      <c r="U66" s="222">
        <v>44242</v>
      </c>
      <c r="V66" s="224"/>
      <c r="W66" s="222"/>
      <c r="X66" s="225"/>
      <c r="Y66" s="225"/>
      <c r="Z66" s="225"/>
      <c r="AA66" s="225">
        <v>2</v>
      </c>
      <c r="AB66" s="225">
        <v>35294</v>
      </c>
      <c r="AC66" s="225">
        <v>454</v>
      </c>
      <c r="AD66" s="225" t="s">
        <v>2185</v>
      </c>
      <c r="AE66" s="225">
        <v>38500</v>
      </c>
      <c r="AF66" s="225" t="s">
        <v>271</v>
      </c>
      <c r="AG66" s="226">
        <v>476059799</v>
      </c>
      <c r="AH66" s="295" t="s">
        <v>2186</v>
      </c>
      <c r="AI66" s="225" t="s">
        <v>1168</v>
      </c>
      <c r="AJ66" s="225"/>
      <c r="AK66" s="225"/>
      <c r="AL66" s="225" t="s">
        <v>176</v>
      </c>
      <c r="AM66" s="225" t="s">
        <v>176</v>
      </c>
      <c r="AN66" s="225" t="s">
        <v>176</v>
      </c>
      <c r="AO66" s="225" t="s">
        <v>176</v>
      </c>
      <c r="AP66" s="225" t="s">
        <v>1888</v>
      </c>
      <c r="AQ66" s="225" t="s">
        <v>225</v>
      </c>
      <c r="AR66" s="225" t="s">
        <v>1889</v>
      </c>
      <c r="AS66" s="295" t="s">
        <v>269</v>
      </c>
      <c r="AT66" s="226" t="s">
        <v>600</v>
      </c>
      <c r="AU66" s="225" t="s">
        <v>176</v>
      </c>
      <c r="AV66" s="251" t="s">
        <v>188</v>
      </c>
      <c r="AW66" s="223">
        <v>44138</v>
      </c>
      <c r="AX66" s="225" t="s">
        <v>4113</v>
      </c>
      <c r="AY66" s="225">
        <v>1987</v>
      </c>
      <c r="AZ66" s="225" t="s">
        <v>1880</v>
      </c>
      <c r="BA66" s="225" t="s">
        <v>380</v>
      </c>
      <c r="BB66" s="225" t="s">
        <v>1936</v>
      </c>
      <c r="BC66" s="225" t="s">
        <v>2187</v>
      </c>
      <c r="BD66" s="225">
        <v>22</v>
      </c>
      <c r="BE66" s="225">
        <v>7</v>
      </c>
      <c r="BF66" s="225">
        <v>80</v>
      </c>
      <c r="BG66" s="225">
        <v>0.08</v>
      </c>
      <c r="BH66" s="225" t="s">
        <v>1882</v>
      </c>
      <c r="BI66" s="225"/>
      <c r="BJ66" s="225">
        <f>2815.17+88+78+101+68+120+42+90+47+22</f>
        <v>3471.17</v>
      </c>
      <c r="BK66" s="225"/>
      <c r="BL66" s="225"/>
      <c r="BM66" s="225"/>
      <c r="BN66" s="225">
        <f>15+30+420</f>
        <v>465</v>
      </c>
      <c r="BO66" s="225">
        <f t="shared" ref="BO66:BO129" si="6">BJ66+BN66</f>
        <v>3936.17</v>
      </c>
      <c r="BP66" s="230">
        <f t="shared" ref="BP66:BP129" si="7">BO66*0.055</f>
        <v>216.48935</v>
      </c>
      <c r="BQ66" s="230">
        <f t="shared" ref="BQ66:BQ129" si="8">BO66+BP66</f>
        <v>4152.6593499999999</v>
      </c>
      <c r="BR66" s="230">
        <v>3558.69</v>
      </c>
      <c r="BS66" s="225" t="s">
        <v>188</v>
      </c>
      <c r="BT66" s="225"/>
      <c r="BU66" s="225"/>
      <c r="BV66" s="225" t="s">
        <v>1900</v>
      </c>
      <c r="BW66" s="301" t="s">
        <v>214</v>
      </c>
      <c r="BX66" s="301" t="s">
        <v>620</v>
      </c>
      <c r="BY66" s="225">
        <v>2020</v>
      </c>
    </row>
    <row r="67" spans="1:77" s="166" customFormat="1" ht="13.5" customHeight="1">
      <c r="A67" s="64">
        <f t="shared" ref="A67:A130" si="9">YEAR(L67)</f>
        <v>2020</v>
      </c>
      <c r="B67" s="64">
        <f t="shared" ref="B67:B130" si="10">MONTH(L67)</f>
        <v>10</v>
      </c>
      <c r="C67" s="125" t="s">
        <v>4106</v>
      </c>
      <c r="D67" s="168" t="str">
        <f t="shared" ref="D67:D130" si="11">BX67</f>
        <v>non maj</v>
      </c>
      <c r="E67" s="292" t="s">
        <v>670</v>
      </c>
      <c r="F67" s="292" t="s">
        <v>1296</v>
      </c>
      <c r="G67" s="221">
        <v>400</v>
      </c>
      <c r="H67" s="222">
        <v>44113</v>
      </c>
      <c r="I67" s="222">
        <v>44116</v>
      </c>
      <c r="J67" s="223">
        <v>44116</v>
      </c>
      <c r="K67" s="222" t="s">
        <v>2101</v>
      </c>
      <c r="L67" s="223">
        <v>44123</v>
      </c>
      <c r="M67" s="223">
        <v>44123</v>
      </c>
      <c r="N67" s="223">
        <v>44133</v>
      </c>
      <c r="O67" s="222"/>
      <c r="P67" s="222">
        <v>44188</v>
      </c>
      <c r="Q67" s="222">
        <v>44152</v>
      </c>
      <c r="R67" s="222" t="s">
        <v>176</v>
      </c>
      <c r="S67" s="222">
        <v>44204</v>
      </c>
      <c r="T67" s="222">
        <v>44204</v>
      </c>
      <c r="U67" s="222">
        <v>44211</v>
      </c>
      <c r="V67" s="224"/>
      <c r="W67" s="222"/>
      <c r="X67" s="225"/>
      <c r="Y67" s="225"/>
      <c r="Z67" s="225"/>
      <c r="AA67" s="225">
        <v>4</v>
      </c>
      <c r="AB67" s="225">
        <v>61229</v>
      </c>
      <c r="AC67" s="225">
        <v>130</v>
      </c>
      <c r="AD67" s="225" t="s">
        <v>2188</v>
      </c>
      <c r="AE67" s="225">
        <v>38210</v>
      </c>
      <c r="AF67" s="225" t="s">
        <v>265</v>
      </c>
      <c r="AG67" s="226">
        <v>684406525</v>
      </c>
      <c r="AH67" s="246" t="s">
        <v>2189</v>
      </c>
      <c r="AI67" s="225" t="s">
        <v>1168</v>
      </c>
      <c r="AJ67" s="225"/>
      <c r="AK67" s="225"/>
      <c r="AL67" s="225" t="s">
        <v>176</v>
      </c>
      <c r="AM67" s="225" t="s">
        <v>176</v>
      </c>
      <c r="AN67" s="225" t="s">
        <v>176</v>
      </c>
      <c r="AO67" s="225" t="s">
        <v>176</v>
      </c>
      <c r="AP67" s="225" t="s">
        <v>579</v>
      </c>
      <c r="AQ67" s="225" t="s">
        <v>1895</v>
      </c>
      <c r="AR67" s="225" t="s">
        <v>1896</v>
      </c>
      <c r="AS67" s="241" t="s">
        <v>201</v>
      </c>
      <c r="AT67" s="226">
        <v>608287337</v>
      </c>
      <c r="AU67" s="225" t="s">
        <v>176</v>
      </c>
      <c r="AV67" s="241" t="s">
        <v>188</v>
      </c>
      <c r="AW67" s="223">
        <v>44417</v>
      </c>
      <c r="AX67" s="225" t="s">
        <v>1879</v>
      </c>
      <c r="AY67" s="225">
        <v>2000</v>
      </c>
      <c r="AZ67" s="225" t="s">
        <v>4113</v>
      </c>
      <c r="BA67" s="225" t="s">
        <v>380</v>
      </c>
      <c r="BB67" s="225" t="s">
        <v>202</v>
      </c>
      <c r="BC67" s="225" t="s">
        <v>2190</v>
      </c>
      <c r="BD67" s="225">
        <v>39</v>
      </c>
      <c r="BE67" s="225">
        <v>7</v>
      </c>
      <c r="BF67" s="225">
        <v>75</v>
      </c>
      <c r="BG67" s="225">
        <v>0.09</v>
      </c>
      <c r="BH67" s="225" t="s">
        <v>1899</v>
      </c>
      <c r="BI67" s="225"/>
      <c r="BJ67" s="225">
        <f>3327+1200</f>
        <v>4527</v>
      </c>
      <c r="BK67" s="225"/>
      <c r="BL67" s="225"/>
      <c r="BM67" s="225"/>
      <c r="BN67" s="225">
        <v>230</v>
      </c>
      <c r="BO67" s="225">
        <f t="shared" si="6"/>
        <v>4757</v>
      </c>
      <c r="BP67" s="230">
        <f t="shared" si="7"/>
        <v>261.63499999999999</v>
      </c>
      <c r="BQ67" s="230">
        <f t="shared" si="8"/>
        <v>5018.6350000000002</v>
      </c>
      <c r="BR67" s="230">
        <v>4400</v>
      </c>
      <c r="BS67" s="225" t="s">
        <v>188</v>
      </c>
      <c r="BT67" s="225"/>
      <c r="BU67" s="225"/>
      <c r="BV67" s="301" t="s">
        <v>1900</v>
      </c>
      <c r="BW67" s="301" t="s">
        <v>214</v>
      </c>
      <c r="BX67" s="301" t="s">
        <v>620</v>
      </c>
      <c r="BY67" s="301">
        <v>2020</v>
      </c>
    </row>
    <row r="68" spans="1:77" s="166" customFormat="1" ht="13.5" customHeight="1">
      <c r="A68" s="64" t="e">
        <f t="shared" si="9"/>
        <v>#VALUE!</v>
      </c>
      <c r="B68" s="64" t="e">
        <f t="shared" si="10"/>
        <v>#VALUE!</v>
      </c>
      <c r="C68" s="125" t="s">
        <v>4125</v>
      </c>
      <c r="D68" s="168" t="str">
        <f t="shared" si="11"/>
        <v>NC</v>
      </c>
      <c r="E68" s="291" t="s">
        <v>670</v>
      </c>
      <c r="F68" s="291" t="s">
        <v>1297</v>
      </c>
      <c r="G68" s="221" t="s">
        <v>176</v>
      </c>
      <c r="H68" s="222">
        <v>44117</v>
      </c>
      <c r="I68" s="222">
        <v>44119</v>
      </c>
      <c r="J68" s="223" t="s">
        <v>176</v>
      </c>
      <c r="K68" s="222" t="s">
        <v>176</v>
      </c>
      <c r="L68" s="223" t="s">
        <v>176</v>
      </c>
      <c r="M68" s="223" t="s">
        <v>176</v>
      </c>
      <c r="N68" s="223" t="s">
        <v>176</v>
      </c>
      <c r="O68" s="222"/>
      <c r="P68" s="222" t="s">
        <v>176</v>
      </c>
      <c r="Q68" s="222" t="s">
        <v>176</v>
      </c>
      <c r="R68" s="222" t="s">
        <v>176</v>
      </c>
      <c r="S68" s="222" t="s">
        <v>176</v>
      </c>
      <c r="T68" s="222" t="s">
        <v>176</v>
      </c>
      <c r="U68" s="222" t="s">
        <v>176</v>
      </c>
      <c r="V68" s="224"/>
      <c r="W68" s="222">
        <v>44123</v>
      </c>
      <c r="X68" s="225" t="s">
        <v>2191</v>
      </c>
      <c r="Y68" s="225"/>
      <c r="Z68" s="225"/>
      <c r="AA68" s="225">
        <v>1</v>
      </c>
      <c r="AB68" s="225">
        <v>20244</v>
      </c>
      <c r="AC68" s="225">
        <v>3244</v>
      </c>
      <c r="AD68" s="225" t="s">
        <v>2192</v>
      </c>
      <c r="AE68" s="225">
        <v>38210</v>
      </c>
      <c r="AF68" s="225" t="s">
        <v>265</v>
      </c>
      <c r="AG68" s="226">
        <v>624648780</v>
      </c>
      <c r="AH68" s="246" t="s">
        <v>2193</v>
      </c>
      <c r="AI68" s="225" t="s">
        <v>1168</v>
      </c>
      <c r="AJ68" s="225"/>
      <c r="AK68" s="225"/>
      <c r="AL68" s="225" t="s">
        <v>176</v>
      </c>
      <c r="AM68" s="225" t="s">
        <v>176</v>
      </c>
      <c r="AN68" s="225" t="s">
        <v>176</v>
      </c>
      <c r="AO68" s="225" t="s">
        <v>176</v>
      </c>
      <c r="AP68" s="225" t="s">
        <v>778</v>
      </c>
      <c r="AQ68" s="225" t="s">
        <v>1926</v>
      </c>
      <c r="AR68" s="225" t="s">
        <v>779</v>
      </c>
      <c r="AS68" s="241" t="s">
        <v>251</v>
      </c>
      <c r="AT68" s="226">
        <v>438021901</v>
      </c>
      <c r="AU68" s="225" t="s">
        <v>176</v>
      </c>
      <c r="AV68" s="241" t="s">
        <v>188</v>
      </c>
      <c r="AW68" s="223">
        <v>44276</v>
      </c>
      <c r="AX68" s="225" t="s">
        <v>1179</v>
      </c>
      <c r="AY68" s="225" t="s">
        <v>1912</v>
      </c>
      <c r="AZ68" s="225" t="s">
        <v>1880</v>
      </c>
      <c r="BA68" s="225" t="s">
        <v>380</v>
      </c>
      <c r="BB68" s="225" t="s">
        <v>244</v>
      </c>
      <c r="BC68" s="225" t="s">
        <v>2194</v>
      </c>
      <c r="BD68" s="225">
        <v>38</v>
      </c>
      <c r="BE68" s="225">
        <v>8.5</v>
      </c>
      <c r="BF68" s="225">
        <v>75.400000000000006</v>
      </c>
      <c r="BG68" s="225">
        <v>0.08</v>
      </c>
      <c r="BH68" s="225" t="s">
        <v>1882</v>
      </c>
      <c r="BI68" s="225"/>
      <c r="BJ68" s="225">
        <f>1986.05+509+93+2180</f>
        <v>4768.05</v>
      </c>
      <c r="BK68" s="225"/>
      <c r="BL68" s="225"/>
      <c r="BM68" s="225"/>
      <c r="BN68" s="225">
        <f>480+3031</f>
        <v>3511</v>
      </c>
      <c r="BO68" s="225">
        <f t="shared" si="6"/>
        <v>8279.0499999999993</v>
      </c>
      <c r="BP68" s="230">
        <f t="shared" si="7"/>
        <v>455.34774999999996</v>
      </c>
      <c r="BQ68" s="230">
        <f t="shared" si="8"/>
        <v>8734.3977500000001</v>
      </c>
      <c r="BR68" s="230">
        <v>8756</v>
      </c>
      <c r="BS68" s="225" t="s">
        <v>188</v>
      </c>
      <c r="BT68" s="225"/>
      <c r="BU68" s="225"/>
      <c r="BV68" s="301">
        <v>0</v>
      </c>
      <c r="BW68" s="301" t="s">
        <v>214</v>
      </c>
      <c r="BX68" s="301" t="s">
        <v>214</v>
      </c>
      <c r="BY68" s="301"/>
    </row>
    <row r="69" spans="1:77" s="166" customFormat="1" ht="13.5" customHeight="1">
      <c r="A69" s="64">
        <f t="shared" si="9"/>
        <v>2020</v>
      </c>
      <c r="B69" s="64">
        <f t="shared" si="10"/>
        <v>10</v>
      </c>
      <c r="C69" s="125" t="s">
        <v>4106</v>
      </c>
      <c r="D69" s="168" t="str">
        <f t="shared" si="11"/>
        <v>non maj</v>
      </c>
      <c r="E69" s="292" t="s">
        <v>670</v>
      </c>
      <c r="F69" s="292" t="s">
        <v>1298</v>
      </c>
      <c r="G69" s="221">
        <v>400</v>
      </c>
      <c r="H69" s="222">
        <v>44123</v>
      </c>
      <c r="I69" s="222">
        <v>44124</v>
      </c>
      <c r="J69" s="223" t="s">
        <v>176</v>
      </c>
      <c r="K69" s="222" t="s">
        <v>176</v>
      </c>
      <c r="L69" s="223">
        <v>44126</v>
      </c>
      <c r="M69" s="223">
        <v>44126</v>
      </c>
      <c r="N69" s="223">
        <v>44139</v>
      </c>
      <c r="O69" s="222"/>
      <c r="P69" s="222">
        <v>44160</v>
      </c>
      <c r="Q69" s="222">
        <v>44139</v>
      </c>
      <c r="R69" s="222" t="s">
        <v>176</v>
      </c>
      <c r="S69" s="222">
        <v>44165</v>
      </c>
      <c r="T69" s="222">
        <v>44165</v>
      </c>
      <c r="U69" s="222">
        <v>44166</v>
      </c>
      <c r="V69" s="224"/>
      <c r="W69" s="222"/>
      <c r="X69" s="225"/>
      <c r="Y69" s="225"/>
      <c r="Z69" s="225"/>
      <c r="AA69" s="225">
        <v>3</v>
      </c>
      <c r="AB69" s="225">
        <v>38732</v>
      </c>
      <c r="AC69" s="225">
        <v>11</v>
      </c>
      <c r="AD69" s="225" t="s">
        <v>2195</v>
      </c>
      <c r="AE69" s="225">
        <v>38140</v>
      </c>
      <c r="AF69" s="225" t="s">
        <v>1946</v>
      </c>
      <c r="AG69" s="226">
        <v>662389628</v>
      </c>
      <c r="AH69" s="246" t="s">
        <v>2196</v>
      </c>
      <c r="AI69" s="225" t="s">
        <v>1168</v>
      </c>
      <c r="AJ69" s="225"/>
      <c r="AK69" s="225"/>
      <c r="AL69" s="225" t="s">
        <v>176</v>
      </c>
      <c r="AM69" s="225" t="s">
        <v>176</v>
      </c>
      <c r="AN69" s="225" t="s">
        <v>176</v>
      </c>
      <c r="AO69" s="225" t="s">
        <v>176</v>
      </c>
      <c r="AP69" s="225" t="s">
        <v>2197</v>
      </c>
      <c r="AQ69" s="225" t="s">
        <v>2198</v>
      </c>
      <c r="AR69" s="225" t="s">
        <v>2199</v>
      </c>
      <c r="AS69" s="241" t="s">
        <v>2200</v>
      </c>
      <c r="AT69" s="226">
        <v>611403887</v>
      </c>
      <c r="AU69" s="225" t="s">
        <v>176</v>
      </c>
      <c r="AV69" s="241" t="s">
        <v>188</v>
      </c>
      <c r="AW69" s="223">
        <v>44248</v>
      </c>
      <c r="AX69" s="225" t="s">
        <v>1879</v>
      </c>
      <c r="AY69" s="225">
        <v>1989</v>
      </c>
      <c r="AZ69" s="225" t="s">
        <v>4113</v>
      </c>
      <c r="BA69" s="225" t="s">
        <v>380</v>
      </c>
      <c r="BB69" s="225" t="s">
        <v>212</v>
      </c>
      <c r="BC69" s="225" t="s">
        <v>2201</v>
      </c>
      <c r="BD69" s="225">
        <v>30</v>
      </c>
      <c r="BE69" s="225">
        <v>8</v>
      </c>
      <c r="BF69" s="225">
        <v>76</v>
      </c>
      <c r="BG69" s="225">
        <v>0.1</v>
      </c>
      <c r="BH69" s="225" t="s">
        <v>1882</v>
      </c>
      <c r="BI69" s="225"/>
      <c r="BJ69" s="225">
        <f>605.69+45+25+324</f>
        <v>999.69</v>
      </c>
      <c r="BK69" s="225"/>
      <c r="BL69" s="225"/>
      <c r="BM69" s="225"/>
      <c r="BN69" s="225">
        <v>700</v>
      </c>
      <c r="BO69" s="225">
        <f t="shared" si="6"/>
        <v>1699.69</v>
      </c>
      <c r="BP69" s="230">
        <f t="shared" si="7"/>
        <v>93.482950000000002</v>
      </c>
      <c r="BQ69" s="230">
        <f t="shared" si="8"/>
        <v>1793.1729500000001</v>
      </c>
      <c r="BR69" s="230">
        <v>1793.18</v>
      </c>
      <c r="BS69" s="225" t="s">
        <v>188</v>
      </c>
      <c r="BT69" s="225"/>
      <c r="BU69" s="225"/>
      <c r="BV69" s="301" t="s">
        <v>1900</v>
      </c>
      <c r="BW69" s="301" t="s">
        <v>214</v>
      </c>
      <c r="BX69" s="301" t="s">
        <v>620</v>
      </c>
      <c r="BY69" s="301">
        <v>2020</v>
      </c>
    </row>
    <row r="70" spans="1:77" s="26" customFormat="1" ht="13.5" customHeight="1">
      <c r="A70" s="64">
        <f t="shared" si="9"/>
        <v>2020</v>
      </c>
      <c r="B70" s="64">
        <f t="shared" si="10"/>
        <v>10</v>
      </c>
      <c r="C70" s="125" t="s">
        <v>191</v>
      </c>
      <c r="D70" s="168" t="str">
        <f t="shared" si="11"/>
        <v>non maj</v>
      </c>
      <c r="E70" s="292" t="s">
        <v>670</v>
      </c>
      <c r="F70" s="292" t="s">
        <v>1299</v>
      </c>
      <c r="G70" s="221">
        <v>400</v>
      </c>
      <c r="H70" s="222">
        <v>44125</v>
      </c>
      <c r="I70" s="222">
        <v>44126</v>
      </c>
      <c r="J70" s="223">
        <v>44126</v>
      </c>
      <c r="K70" s="222" t="s">
        <v>2101</v>
      </c>
      <c r="L70" s="223">
        <v>44131</v>
      </c>
      <c r="M70" s="223">
        <v>44131</v>
      </c>
      <c r="N70" s="223">
        <v>44133</v>
      </c>
      <c r="O70" s="222"/>
      <c r="P70" s="222">
        <v>44348</v>
      </c>
      <c r="Q70" s="222">
        <v>44224</v>
      </c>
      <c r="R70" s="222" t="s">
        <v>2202</v>
      </c>
      <c r="S70" s="222">
        <v>44358</v>
      </c>
      <c r="T70" s="222">
        <v>44358</v>
      </c>
      <c r="U70" s="222">
        <v>44378</v>
      </c>
      <c r="V70" s="224"/>
      <c r="W70" s="222"/>
      <c r="X70" s="225"/>
      <c r="Y70" s="225"/>
      <c r="Z70" s="225"/>
      <c r="AA70" s="225">
        <v>4</v>
      </c>
      <c r="AB70" s="225">
        <v>55357</v>
      </c>
      <c r="AC70" s="225">
        <v>256</v>
      </c>
      <c r="AD70" s="225" t="s">
        <v>2203</v>
      </c>
      <c r="AE70" s="225">
        <v>38430</v>
      </c>
      <c r="AF70" s="225" t="s">
        <v>1893</v>
      </c>
      <c r="AG70" s="226">
        <v>608722047</v>
      </c>
      <c r="AH70" s="246" t="s">
        <v>2204</v>
      </c>
      <c r="AI70" s="225" t="s">
        <v>1168</v>
      </c>
      <c r="AJ70" s="225"/>
      <c r="AK70" s="225"/>
      <c r="AL70" s="225" t="s">
        <v>176</v>
      </c>
      <c r="AM70" s="225" t="s">
        <v>176</v>
      </c>
      <c r="AN70" s="225" t="s">
        <v>176</v>
      </c>
      <c r="AO70" s="225" t="s">
        <v>176</v>
      </c>
      <c r="AP70" s="225" t="s">
        <v>2052</v>
      </c>
      <c r="AQ70" s="225" t="s">
        <v>232</v>
      </c>
      <c r="AR70" s="225" t="s">
        <v>233</v>
      </c>
      <c r="AS70" s="241" t="s">
        <v>234</v>
      </c>
      <c r="AT70" s="226">
        <v>476500550</v>
      </c>
      <c r="AU70" s="225" t="s">
        <v>176</v>
      </c>
      <c r="AV70" s="241" t="s">
        <v>188</v>
      </c>
      <c r="AW70" s="223">
        <v>44375</v>
      </c>
      <c r="AX70" s="225" t="s">
        <v>1879</v>
      </c>
      <c r="AY70" s="225">
        <v>1980</v>
      </c>
      <c r="AZ70" s="225" t="s">
        <v>1880</v>
      </c>
      <c r="BA70" s="225" t="s">
        <v>267</v>
      </c>
      <c r="BB70" s="225" t="s">
        <v>2205</v>
      </c>
      <c r="BC70" s="225" t="s">
        <v>2206</v>
      </c>
      <c r="BD70" s="225">
        <v>12</v>
      </c>
      <c r="BE70" s="225">
        <v>9.1</v>
      </c>
      <c r="BF70" s="225">
        <v>88.7</v>
      </c>
      <c r="BG70" s="225">
        <v>8.9999999999999993E-3</v>
      </c>
      <c r="BH70" s="225" t="s">
        <v>1882</v>
      </c>
      <c r="BI70" s="225"/>
      <c r="BJ70" s="225">
        <f>132.2+3200+845.1</f>
        <v>4177.3</v>
      </c>
      <c r="BK70" s="225"/>
      <c r="BL70" s="225"/>
      <c r="BM70" s="225"/>
      <c r="BN70" s="225">
        <v>900</v>
      </c>
      <c r="BO70" s="225">
        <f t="shared" si="6"/>
        <v>5077.3</v>
      </c>
      <c r="BP70" s="230">
        <f t="shared" si="7"/>
        <v>279.25150000000002</v>
      </c>
      <c r="BQ70" s="230">
        <f t="shared" si="8"/>
        <v>5356.5515000000005</v>
      </c>
      <c r="BR70" s="230">
        <v>5356.55</v>
      </c>
      <c r="BS70" s="225" t="s">
        <v>188</v>
      </c>
      <c r="BT70" s="225"/>
      <c r="BU70" s="225"/>
      <c r="BV70" s="301" t="s">
        <v>1981</v>
      </c>
      <c r="BW70" s="301" t="s">
        <v>214</v>
      </c>
      <c r="BX70" s="301" t="s">
        <v>620</v>
      </c>
      <c r="BY70" s="301" t="s">
        <v>176</v>
      </c>
    </row>
    <row r="71" spans="1:77" ht="13.5" customHeight="1">
      <c r="A71" s="64">
        <f t="shared" si="9"/>
        <v>2020</v>
      </c>
      <c r="B71" s="64">
        <f t="shared" si="10"/>
        <v>10</v>
      </c>
      <c r="C71" s="125" t="s">
        <v>4125</v>
      </c>
      <c r="D71" s="168" t="str">
        <f t="shared" si="11"/>
        <v>NC</v>
      </c>
      <c r="E71" s="293" t="s">
        <v>670</v>
      </c>
      <c r="F71" s="293" t="s">
        <v>1300</v>
      </c>
      <c r="G71" s="221">
        <v>400</v>
      </c>
      <c r="H71" s="222">
        <v>44127</v>
      </c>
      <c r="I71" s="222">
        <v>44130</v>
      </c>
      <c r="J71" s="223">
        <v>44131</v>
      </c>
      <c r="K71" s="222" t="s">
        <v>2207</v>
      </c>
      <c r="L71" s="223">
        <v>44133</v>
      </c>
      <c r="M71" s="223">
        <v>44133</v>
      </c>
      <c r="N71" s="223">
        <v>44137</v>
      </c>
      <c r="O71" s="222"/>
      <c r="P71" s="222">
        <v>44573</v>
      </c>
      <c r="Q71" s="222">
        <v>44118</v>
      </c>
      <c r="R71" s="222" t="s">
        <v>2208</v>
      </c>
      <c r="S71" s="222"/>
      <c r="T71" s="222"/>
      <c r="U71" s="222"/>
      <c r="V71" s="224"/>
      <c r="W71" s="222">
        <v>44596</v>
      </c>
      <c r="X71" s="225" t="s">
        <v>2132</v>
      </c>
      <c r="Y71" s="225"/>
      <c r="Z71" s="225"/>
      <c r="AA71" s="225">
        <v>2</v>
      </c>
      <c r="AB71" s="225">
        <v>33682</v>
      </c>
      <c r="AC71" s="225" t="s">
        <v>2209</v>
      </c>
      <c r="AD71" s="225" t="s">
        <v>2210</v>
      </c>
      <c r="AE71" s="225">
        <v>38140</v>
      </c>
      <c r="AF71" s="225" t="s">
        <v>1946</v>
      </c>
      <c r="AG71" s="226">
        <v>679501080</v>
      </c>
      <c r="AH71" s="246" t="s">
        <v>2211</v>
      </c>
      <c r="AI71" s="225" t="s">
        <v>1168</v>
      </c>
      <c r="AJ71" s="225"/>
      <c r="AK71" s="225"/>
      <c r="AL71" s="225" t="s">
        <v>176</v>
      </c>
      <c r="AM71" s="225" t="s">
        <v>176</v>
      </c>
      <c r="AN71" s="225" t="s">
        <v>176</v>
      </c>
      <c r="AO71" s="225" t="s">
        <v>176</v>
      </c>
      <c r="AP71" s="225" t="s">
        <v>579</v>
      </c>
      <c r="AQ71" s="225" t="s">
        <v>1895</v>
      </c>
      <c r="AR71" s="225" t="s">
        <v>1896</v>
      </c>
      <c r="AS71" s="241" t="s">
        <v>201</v>
      </c>
      <c r="AT71" s="226">
        <v>608287337</v>
      </c>
      <c r="AU71" s="225" t="s">
        <v>176</v>
      </c>
      <c r="AV71" s="241" t="s">
        <v>188</v>
      </c>
      <c r="AW71" s="223">
        <v>44417</v>
      </c>
      <c r="AX71" s="225" t="s">
        <v>1880</v>
      </c>
      <c r="AY71" s="225" t="s">
        <v>1935</v>
      </c>
      <c r="AZ71" s="225" t="s">
        <v>1880</v>
      </c>
      <c r="BA71" s="225" t="s">
        <v>267</v>
      </c>
      <c r="BB71" s="225" t="s">
        <v>1897</v>
      </c>
      <c r="BC71" s="225" t="s">
        <v>2212</v>
      </c>
      <c r="BD71" s="225">
        <v>26</v>
      </c>
      <c r="BE71" s="225">
        <v>8</v>
      </c>
      <c r="BF71" s="225">
        <v>91.9</v>
      </c>
      <c r="BG71" s="225">
        <v>7.0000000000000001E-3</v>
      </c>
      <c r="BH71" s="225" t="s">
        <v>1899</v>
      </c>
      <c r="BI71" s="225"/>
      <c r="BJ71" s="225">
        <f>3290+46+132+718+90+63+161+209+130+34+76+74+37</f>
        <v>5060</v>
      </c>
      <c r="BK71" s="225"/>
      <c r="BL71" s="225"/>
      <c r="BM71" s="225"/>
      <c r="BN71" s="225">
        <f>285+850</f>
        <v>1135</v>
      </c>
      <c r="BO71" s="225">
        <f t="shared" si="6"/>
        <v>6195</v>
      </c>
      <c r="BP71" s="230">
        <f t="shared" si="7"/>
        <v>340.72500000000002</v>
      </c>
      <c r="BQ71" s="230">
        <f t="shared" si="8"/>
        <v>6535.7250000000004</v>
      </c>
      <c r="BR71" s="230">
        <v>6195</v>
      </c>
      <c r="BS71" s="225" t="s">
        <v>191</v>
      </c>
      <c r="BT71" s="225"/>
      <c r="BU71" s="225"/>
      <c r="BV71" s="301">
        <v>0</v>
      </c>
      <c r="BW71" s="301" t="s">
        <v>214</v>
      </c>
      <c r="BX71" s="301" t="s">
        <v>214</v>
      </c>
      <c r="BY71" s="301"/>
    </row>
    <row r="72" spans="1:77" s="12" customFormat="1" ht="13.5" customHeight="1">
      <c r="A72" s="64" t="e">
        <f t="shared" si="9"/>
        <v>#VALUE!</v>
      </c>
      <c r="B72" s="64" t="e">
        <f t="shared" si="10"/>
        <v>#VALUE!</v>
      </c>
      <c r="C72" s="125" t="s">
        <v>4125</v>
      </c>
      <c r="D72" s="168" t="str">
        <f t="shared" si="11"/>
        <v>NC</v>
      </c>
      <c r="E72" s="291" t="s">
        <v>670</v>
      </c>
      <c r="F72" s="291" t="s">
        <v>1301</v>
      </c>
      <c r="G72" s="221" t="s">
        <v>176</v>
      </c>
      <c r="H72" s="222">
        <v>44127</v>
      </c>
      <c r="I72" s="222">
        <v>44130</v>
      </c>
      <c r="J72" s="223" t="s">
        <v>176</v>
      </c>
      <c r="K72" s="222" t="s">
        <v>176</v>
      </c>
      <c r="L72" s="223" t="s">
        <v>176</v>
      </c>
      <c r="M72" s="223" t="s">
        <v>176</v>
      </c>
      <c r="N72" s="223" t="s">
        <v>176</v>
      </c>
      <c r="O72" s="222"/>
      <c r="P72" s="222" t="s">
        <v>176</v>
      </c>
      <c r="Q72" s="222" t="s">
        <v>176</v>
      </c>
      <c r="R72" s="222" t="s">
        <v>176</v>
      </c>
      <c r="S72" s="222" t="s">
        <v>176</v>
      </c>
      <c r="T72" s="222" t="s">
        <v>176</v>
      </c>
      <c r="U72" s="222" t="s">
        <v>176</v>
      </c>
      <c r="V72" s="224"/>
      <c r="W72" s="222">
        <v>44131</v>
      </c>
      <c r="X72" s="225" t="s">
        <v>2191</v>
      </c>
      <c r="Y72" s="225"/>
      <c r="Z72" s="225"/>
      <c r="AA72" s="225">
        <v>6</v>
      </c>
      <c r="AB72" s="225">
        <v>64567</v>
      </c>
      <c r="AC72" s="225">
        <v>47</v>
      </c>
      <c r="AD72" s="225" t="s">
        <v>2213</v>
      </c>
      <c r="AE72" s="225">
        <v>38500</v>
      </c>
      <c r="AF72" s="225" t="s">
        <v>1907</v>
      </c>
      <c r="AG72" s="226">
        <v>633070261</v>
      </c>
      <c r="AH72" s="246" t="s">
        <v>2214</v>
      </c>
      <c r="AI72" s="225" t="s">
        <v>1168</v>
      </c>
      <c r="AJ72" s="225"/>
      <c r="AK72" s="225"/>
      <c r="AL72" s="225" t="s">
        <v>176</v>
      </c>
      <c r="AM72" s="225" t="s">
        <v>176</v>
      </c>
      <c r="AN72" s="225" t="s">
        <v>176</v>
      </c>
      <c r="AO72" s="225" t="s">
        <v>176</v>
      </c>
      <c r="AP72" s="225" t="s">
        <v>1874</v>
      </c>
      <c r="AQ72" s="225" t="s">
        <v>1875</v>
      </c>
      <c r="AR72" s="225" t="s">
        <v>1876</v>
      </c>
      <c r="AS72" s="246" t="s">
        <v>1877</v>
      </c>
      <c r="AT72" s="226" t="s">
        <v>434</v>
      </c>
      <c r="AU72" s="225" t="s">
        <v>176</v>
      </c>
      <c r="AV72" s="241" t="s">
        <v>1878</v>
      </c>
      <c r="AW72" s="223">
        <v>44517</v>
      </c>
      <c r="AX72" s="225" t="s">
        <v>4113</v>
      </c>
      <c r="AY72" s="225">
        <v>2001</v>
      </c>
      <c r="AZ72" s="225" t="s">
        <v>1880</v>
      </c>
      <c r="BA72" s="225" t="s">
        <v>267</v>
      </c>
      <c r="BB72" s="225" t="s">
        <v>190</v>
      </c>
      <c r="BC72" s="225" t="s">
        <v>2100</v>
      </c>
      <c r="BD72" s="225">
        <v>11</v>
      </c>
      <c r="BE72" s="225">
        <v>12</v>
      </c>
      <c r="BF72" s="225">
        <v>88.5</v>
      </c>
      <c r="BG72" s="225">
        <v>7.0000000000000001E-3</v>
      </c>
      <c r="BH72" s="225" t="s">
        <v>1882</v>
      </c>
      <c r="BI72" s="225"/>
      <c r="BJ72" s="225">
        <f>3760+695+285.5+163+188</f>
        <v>5091.5</v>
      </c>
      <c r="BK72" s="225"/>
      <c r="BL72" s="225"/>
      <c r="BM72" s="225"/>
      <c r="BN72" s="225">
        <v>590</v>
      </c>
      <c r="BO72" s="225">
        <f t="shared" si="6"/>
        <v>5681.5</v>
      </c>
      <c r="BP72" s="230">
        <f t="shared" si="7"/>
        <v>312.48250000000002</v>
      </c>
      <c r="BQ72" s="230">
        <f t="shared" si="8"/>
        <v>5993.9825000000001</v>
      </c>
      <c r="BR72" s="230">
        <v>5993.98</v>
      </c>
      <c r="BS72" s="225" t="s">
        <v>188</v>
      </c>
      <c r="BT72" s="225"/>
      <c r="BU72" s="225"/>
      <c r="BV72" s="301">
        <v>0</v>
      </c>
      <c r="BW72" s="301" t="s">
        <v>214</v>
      </c>
      <c r="BX72" s="301" t="s">
        <v>214</v>
      </c>
      <c r="BY72" s="301" t="s">
        <v>176</v>
      </c>
    </row>
    <row r="73" spans="1:77" ht="13.5" customHeight="1">
      <c r="A73" s="64">
        <f t="shared" si="9"/>
        <v>2020</v>
      </c>
      <c r="B73" s="64">
        <f t="shared" si="10"/>
        <v>10</v>
      </c>
      <c r="C73" s="125" t="s">
        <v>4106</v>
      </c>
      <c r="D73" s="168" t="str">
        <f t="shared" si="11"/>
        <v>maj</v>
      </c>
      <c r="E73" s="292" t="s">
        <v>670</v>
      </c>
      <c r="F73" s="292" t="s">
        <v>1302</v>
      </c>
      <c r="G73" s="221">
        <v>800</v>
      </c>
      <c r="H73" s="222">
        <v>44131</v>
      </c>
      <c r="I73" s="222">
        <v>44131</v>
      </c>
      <c r="J73" s="223" t="s">
        <v>176</v>
      </c>
      <c r="K73" s="222" t="s">
        <v>176</v>
      </c>
      <c r="L73" s="223">
        <v>44133</v>
      </c>
      <c r="M73" s="223">
        <v>44133</v>
      </c>
      <c r="N73" s="223">
        <v>44137</v>
      </c>
      <c r="O73" s="222"/>
      <c r="P73" s="222">
        <v>44177</v>
      </c>
      <c r="Q73" s="222">
        <v>44159</v>
      </c>
      <c r="R73" s="222" t="s">
        <v>176</v>
      </c>
      <c r="S73" s="222">
        <v>44179</v>
      </c>
      <c r="T73" s="222">
        <v>44179</v>
      </c>
      <c r="U73" s="222">
        <v>44203</v>
      </c>
      <c r="V73" s="224"/>
      <c r="W73" s="222"/>
      <c r="X73" s="225"/>
      <c r="Y73" s="225"/>
      <c r="Z73" s="225"/>
      <c r="AA73" s="225">
        <v>2</v>
      </c>
      <c r="AB73" s="225">
        <v>19951</v>
      </c>
      <c r="AC73" s="225">
        <v>355</v>
      </c>
      <c r="AD73" s="225" t="s">
        <v>2215</v>
      </c>
      <c r="AE73" s="225">
        <v>38140</v>
      </c>
      <c r="AF73" s="225" t="s">
        <v>2216</v>
      </c>
      <c r="AG73" s="226">
        <v>476911082</v>
      </c>
      <c r="AH73" s="295" t="s">
        <v>2217</v>
      </c>
      <c r="AI73" s="225" t="s">
        <v>1168</v>
      </c>
      <c r="AJ73" s="225"/>
      <c r="AK73" s="225"/>
      <c r="AL73" s="225" t="s">
        <v>176</v>
      </c>
      <c r="AM73" s="225" t="s">
        <v>176</v>
      </c>
      <c r="AN73" s="225" t="s">
        <v>176</v>
      </c>
      <c r="AO73" s="225" t="s">
        <v>176</v>
      </c>
      <c r="AP73" s="225" t="s">
        <v>1888</v>
      </c>
      <c r="AQ73" s="225" t="s">
        <v>225</v>
      </c>
      <c r="AR73" s="225" t="s">
        <v>1889</v>
      </c>
      <c r="AS73" s="295" t="s">
        <v>269</v>
      </c>
      <c r="AT73" s="226" t="s">
        <v>600</v>
      </c>
      <c r="AU73" s="225" t="s">
        <v>176</v>
      </c>
      <c r="AV73" s="251" t="s">
        <v>188</v>
      </c>
      <c r="AW73" s="223">
        <v>44196</v>
      </c>
      <c r="AX73" s="225" t="s">
        <v>1880</v>
      </c>
      <c r="AY73" s="225">
        <v>1990</v>
      </c>
      <c r="AZ73" s="225" t="s">
        <v>1880</v>
      </c>
      <c r="BA73" s="225" t="s">
        <v>267</v>
      </c>
      <c r="BB73" s="225" t="s">
        <v>221</v>
      </c>
      <c r="BC73" s="225" t="s">
        <v>2218</v>
      </c>
      <c r="BD73" s="225">
        <v>18</v>
      </c>
      <c r="BE73" s="225">
        <v>10</v>
      </c>
      <c r="BF73" s="225">
        <v>90.4</v>
      </c>
      <c r="BG73" s="225">
        <v>3.0000000000000001E-3</v>
      </c>
      <c r="BH73" s="225" t="s">
        <v>1882</v>
      </c>
      <c r="BI73" s="225"/>
      <c r="BJ73" s="225">
        <f>3370+180+85+101+92+272+138</f>
        <v>4238</v>
      </c>
      <c r="BK73" s="225"/>
      <c r="BL73" s="225"/>
      <c r="BM73" s="225"/>
      <c r="BN73" s="225">
        <f>15+50+420</f>
        <v>485</v>
      </c>
      <c r="BO73" s="225">
        <f t="shared" si="6"/>
        <v>4723</v>
      </c>
      <c r="BP73" s="230">
        <f t="shared" si="7"/>
        <v>259.76499999999999</v>
      </c>
      <c r="BQ73" s="230">
        <f t="shared" si="8"/>
        <v>4982.7650000000003</v>
      </c>
      <c r="BR73" s="230">
        <v>4982.76</v>
      </c>
      <c r="BS73" s="225" t="s">
        <v>191</v>
      </c>
      <c r="BT73" s="225"/>
      <c r="BU73" s="225"/>
      <c r="BV73" s="225" t="s">
        <v>1900</v>
      </c>
      <c r="BW73" s="301" t="s">
        <v>214</v>
      </c>
      <c r="BX73" s="222" t="s">
        <v>618</v>
      </c>
      <c r="BY73" s="301" t="s">
        <v>176</v>
      </c>
    </row>
    <row r="74" spans="1:77" ht="13.5" customHeight="1">
      <c r="A74" s="64">
        <f t="shared" si="9"/>
        <v>2020</v>
      </c>
      <c r="B74" s="64">
        <f t="shared" si="10"/>
        <v>10</v>
      </c>
      <c r="C74" s="125" t="s">
        <v>4106</v>
      </c>
      <c r="D74" s="168" t="str">
        <f t="shared" si="11"/>
        <v>non maj</v>
      </c>
      <c r="E74" s="292" t="s">
        <v>670</v>
      </c>
      <c r="F74" s="292" t="s">
        <v>1303</v>
      </c>
      <c r="G74" s="221">
        <v>400</v>
      </c>
      <c r="H74" s="222">
        <v>44130</v>
      </c>
      <c r="I74" s="222">
        <v>44131</v>
      </c>
      <c r="J74" s="223" t="s">
        <v>176</v>
      </c>
      <c r="K74" s="222" t="s">
        <v>176</v>
      </c>
      <c r="L74" s="223">
        <v>44133</v>
      </c>
      <c r="M74" s="223">
        <v>44133</v>
      </c>
      <c r="N74" s="223">
        <v>44139</v>
      </c>
      <c r="O74" s="222"/>
      <c r="P74" s="222">
        <v>44158</v>
      </c>
      <c r="Q74" s="222">
        <v>44154</v>
      </c>
      <c r="R74" s="222" t="s">
        <v>2219</v>
      </c>
      <c r="S74" s="222">
        <v>44169</v>
      </c>
      <c r="T74" s="222">
        <v>44169</v>
      </c>
      <c r="U74" s="222">
        <v>44174</v>
      </c>
      <c r="V74" s="224"/>
      <c r="W74" s="222"/>
      <c r="X74" s="225"/>
      <c r="Y74" s="225"/>
      <c r="Z74" s="225"/>
      <c r="AA74" s="225">
        <v>2</v>
      </c>
      <c r="AB74" s="225">
        <v>34738</v>
      </c>
      <c r="AC74" s="225">
        <v>43</v>
      </c>
      <c r="AD74" s="225" t="s">
        <v>2220</v>
      </c>
      <c r="AE74" s="225">
        <v>38210</v>
      </c>
      <c r="AF74" s="225" t="s">
        <v>265</v>
      </c>
      <c r="AG74" s="226">
        <v>476072089</v>
      </c>
      <c r="AH74" s="246" t="s">
        <v>2221</v>
      </c>
      <c r="AI74" s="225" t="s">
        <v>1168</v>
      </c>
      <c r="AJ74" s="225"/>
      <c r="AK74" s="225"/>
      <c r="AL74" s="225" t="s">
        <v>176</v>
      </c>
      <c r="AM74" s="225" t="s">
        <v>176</v>
      </c>
      <c r="AN74" s="225" t="s">
        <v>176</v>
      </c>
      <c r="AO74" s="225" t="s">
        <v>176</v>
      </c>
      <c r="AP74" s="222" t="s">
        <v>587</v>
      </c>
      <c r="AQ74" s="225" t="s">
        <v>225</v>
      </c>
      <c r="AR74" s="225" t="s">
        <v>2026</v>
      </c>
      <c r="AS74" s="241" t="s">
        <v>266</v>
      </c>
      <c r="AT74" s="226">
        <v>476069938</v>
      </c>
      <c r="AU74" s="225" t="s">
        <v>176</v>
      </c>
      <c r="AV74" s="241" t="s">
        <v>188</v>
      </c>
      <c r="AW74" s="223">
        <v>44457</v>
      </c>
      <c r="AX74" s="225" t="s">
        <v>1879</v>
      </c>
      <c r="AY74" s="242">
        <v>1985</v>
      </c>
      <c r="AZ74" s="225" t="s">
        <v>4113</v>
      </c>
      <c r="BA74" s="225" t="s">
        <v>380</v>
      </c>
      <c r="BB74" s="225" t="s">
        <v>676</v>
      </c>
      <c r="BC74" s="225" t="s">
        <v>2184</v>
      </c>
      <c r="BD74" s="242">
        <v>12</v>
      </c>
      <c r="BE74" s="242">
        <v>5</v>
      </c>
      <c r="BF74" s="242">
        <v>81</v>
      </c>
      <c r="BG74" s="242">
        <v>0.1</v>
      </c>
      <c r="BH74" s="225" t="s">
        <v>1882</v>
      </c>
      <c r="BI74" s="225"/>
      <c r="BJ74" s="242">
        <f>2105+190+460+89+150</f>
        <v>2994</v>
      </c>
      <c r="BK74" s="225"/>
      <c r="BL74" s="225"/>
      <c r="BM74" s="225"/>
      <c r="BN74" s="242">
        <f>250+450</f>
        <v>700</v>
      </c>
      <c r="BO74" s="242">
        <f t="shared" si="6"/>
        <v>3694</v>
      </c>
      <c r="BP74" s="242">
        <f t="shared" si="7"/>
        <v>203.17</v>
      </c>
      <c r="BQ74" s="242">
        <f t="shared" si="8"/>
        <v>3897.17</v>
      </c>
      <c r="BR74" s="230">
        <v>3897.17</v>
      </c>
      <c r="BS74" s="225" t="s">
        <v>191</v>
      </c>
      <c r="BT74" s="225"/>
      <c r="BU74" s="225"/>
      <c r="BV74" s="301" t="s">
        <v>1900</v>
      </c>
      <c r="BW74" s="301" t="s">
        <v>214</v>
      </c>
      <c r="BX74" s="301" t="s">
        <v>620</v>
      </c>
      <c r="BY74" s="301">
        <v>2020</v>
      </c>
    </row>
    <row r="75" spans="1:77" s="12" customFormat="1" ht="13.5" customHeight="1">
      <c r="A75" s="64">
        <f t="shared" si="9"/>
        <v>2020</v>
      </c>
      <c r="B75" s="64">
        <f t="shared" si="10"/>
        <v>11</v>
      </c>
      <c r="C75" s="125" t="s">
        <v>191</v>
      </c>
      <c r="D75" s="168" t="str">
        <f t="shared" si="11"/>
        <v>non maj</v>
      </c>
      <c r="E75" s="292" t="s">
        <v>670</v>
      </c>
      <c r="F75" s="292" t="s">
        <v>2222</v>
      </c>
      <c r="G75" s="221">
        <v>400</v>
      </c>
      <c r="H75" s="222">
        <v>44131</v>
      </c>
      <c r="I75" s="222">
        <v>44137</v>
      </c>
      <c r="J75" s="223" t="s">
        <v>176</v>
      </c>
      <c r="K75" s="222" t="s">
        <v>176</v>
      </c>
      <c r="L75" s="223">
        <v>44140</v>
      </c>
      <c r="M75" s="223">
        <v>44140</v>
      </c>
      <c r="N75" s="223">
        <v>44147</v>
      </c>
      <c r="O75" s="222"/>
      <c r="P75" s="222">
        <v>44467</v>
      </c>
      <c r="Q75" s="222">
        <v>44406</v>
      </c>
      <c r="R75" s="222" t="s">
        <v>176</v>
      </c>
      <c r="S75" s="222">
        <v>44469</v>
      </c>
      <c r="T75" s="222">
        <v>44469</v>
      </c>
      <c r="U75" s="222">
        <v>44469</v>
      </c>
      <c r="V75" s="224"/>
      <c r="W75" s="222"/>
      <c r="X75" s="225"/>
      <c r="Y75" s="225"/>
      <c r="Z75" s="225"/>
      <c r="AA75" s="225">
        <v>1</v>
      </c>
      <c r="AB75" s="225">
        <v>27708</v>
      </c>
      <c r="AC75" s="225">
        <v>505</v>
      </c>
      <c r="AD75" s="225" t="s">
        <v>2223</v>
      </c>
      <c r="AE75" s="225">
        <v>38140</v>
      </c>
      <c r="AF75" s="225" t="s">
        <v>1957</v>
      </c>
      <c r="AG75" s="226">
        <v>603660533</v>
      </c>
      <c r="AH75" s="246" t="s">
        <v>2224</v>
      </c>
      <c r="AI75" s="225" t="s">
        <v>1168</v>
      </c>
      <c r="AJ75" s="225"/>
      <c r="AK75" s="225"/>
      <c r="AL75" s="225" t="s">
        <v>176</v>
      </c>
      <c r="AM75" s="225" t="s">
        <v>176</v>
      </c>
      <c r="AN75" s="225" t="s">
        <v>176</v>
      </c>
      <c r="AO75" s="225" t="s">
        <v>176</v>
      </c>
      <c r="AP75" s="225" t="s">
        <v>579</v>
      </c>
      <c r="AQ75" s="225" t="s">
        <v>1895</v>
      </c>
      <c r="AR75" s="225" t="s">
        <v>1896</v>
      </c>
      <c r="AS75" s="241" t="s">
        <v>201</v>
      </c>
      <c r="AT75" s="226">
        <v>608287337</v>
      </c>
      <c r="AU75" s="225" t="s">
        <v>176</v>
      </c>
      <c r="AV75" s="241" t="s">
        <v>188</v>
      </c>
      <c r="AW75" s="223">
        <v>44417</v>
      </c>
      <c r="AX75" s="225" t="s">
        <v>1880</v>
      </c>
      <c r="AY75" s="225">
        <v>1998</v>
      </c>
      <c r="AZ75" s="225" t="s">
        <v>1880</v>
      </c>
      <c r="BA75" s="225" t="s">
        <v>267</v>
      </c>
      <c r="BB75" s="225" t="s">
        <v>1897</v>
      </c>
      <c r="BC75" s="225" t="s">
        <v>2225</v>
      </c>
      <c r="BD75" s="225">
        <v>15.4</v>
      </c>
      <c r="BE75" s="225">
        <v>11.03</v>
      </c>
      <c r="BF75" s="225">
        <v>87.7</v>
      </c>
      <c r="BG75" s="225">
        <v>0.01</v>
      </c>
      <c r="BH75" s="225" t="s">
        <v>1899</v>
      </c>
      <c r="BI75" s="225"/>
      <c r="BJ75" s="225">
        <f>4062+635</f>
        <v>4697</v>
      </c>
      <c r="BK75" s="225"/>
      <c r="BL75" s="225"/>
      <c r="BM75" s="225"/>
      <c r="BN75" s="225">
        <v>650</v>
      </c>
      <c r="BO75" s="225">
        <f t="shared" si="6"/>
        <v>5347</v>
      </c>
      <c r="BP75" s="230">
        <f t="shared" si="7"/>
        <v>294.08499999999998</v>
      </c>
      <c r="BQ75" s="230">
        <f t="shared" si="8"/>
        <v>5641.085</v>
      </c>
      <c r="BR75" s="230">
        <v>5347</v>
      </c>
      <c r="BS75" s="225" t="s">
        <v>188</v>
      </c>
      <c r="BT75" s="225"/>
      <c r="BU75" s="225"/>
      <c r="BV75" s="301" t="s">
        <v>1981</v>
      </c>
      <c r="BW75" s="301" t="s">
        <v>214</v>
      </c>
      <c r="BX75" s="301" t="s">
        <v>620</v>
      </c>
      <c r="BY75" s="301" t="s">
        <v>176</v>
      </c>
    </row>
    <row r="76" spans="1:77" s="26" customFormat="1" ht="13.5" customHeight="1">
      <c r="A76" s="64">
        <f t="shared" si="9"/>
        <v>2020</v>
      </c>
      <c r="B76" s="64">
        <f t="shared" si="10"/>
        <v>11</v>
      </c>
      <c r="C76" s="125" t="s">
        <v>191</v>
      </c>
      <c r="D76" s="168" t="str">
        <f t="shared" si="11"/>
        <v>non maj</v>
      </c>
      <c r="E76" s="292" t="s">
        <v>670</v>
      </c>
      <c r="F76" s="292" t="s">
        <v>1304</v>
      </c>
      <c r="G76" s="221">
        <v>400</v>
      </c>
      <c r="H76" s="222">
        <v>44144</v>
      </c>
      <c r="I76" s="222">
        <v>44145</v>
      </c>
      <c r="J76" s="223" t="s">
        <v>176</v>
      </c>
      <c r="K76" s="222" t="s">
        <v>176</v>
      </c>
      <c r="L76" s="223">
        <v>44145</v>
      </c>
      <c r="M76" s="223">
        <v>44145</v>
      </c>
      <c r="N76" s="223">
        <v>44148</v>
      </c>
      <c r="O76" s="222"/>
      <c r="P76" s="222">
        <v>44222</v>
      </c>
      <c r="Q76" s="222">
        <v>44217</v>
      </c>
      <c r="R76" s="222" t="s">
        <v>176</v>
      </c>
      <c r="S76" s="222">
        <v>44224</v>
      </c>
      <c r="T76" s="222">
        <v>44224</v>
      </c>
      <c r="U76" s="222">
        <v>44242</v>
      </c>
      <c r="V76" s="224"/>
      <c r="W76" s="222"/>
      <c r="X76" s="225"/>
      <c r="Y76" s="225"/>
      <c r="Z76" s="225"/>
      <c r="AA76" s="225">
        <v>4</v>
      </c>
      <c r="AB76" s="225">
        <v>47733</v>
      </c>
      <c r="AC76" s="225">
        <v>130</v>
      </c>
      <c r="AD76" s="225" t="s">
        <v>2226</v>
      </c>
      <c r="AE76" s="225">
        <v>38140</v>
      </c>
      <c r="AF76" s="225" t="s">
        <v>1946</v>
      </c>
      <c r="AG76" s="226">
        <v>771860544</v>
      </c>
      <c r="AH76" s="295" t="s">
        <v>2227</v>
      </c>
      <c r="AI76" s="225" t="s">
        <v>1168</v>
      </c>
      <c r="AJ76" s="225"/>
      <c r="AK76" s="225"/>
      <c r="AL76" s="226" t="s">
        <v>176</v>
      </c>
      <c r="AM76" s="225" t="s">
        <v>176</v>
      </c>
      <c r="AN76" s="225" t="s">
        <v>176</v>
      </c>
      <c r="AO76" s="225" t="s">
        <v>176</v>
      </c>
      <c r="AP76" s="225" t="s">
        <v>1888</v>
      </c>
      <c r="AQ76" s="225" t="s">
        <v>225</v>
      </c>
      <c r="AR76" s="225" t="s">
        <v>1889</v>
      </c>
      <c r="AS76" s="295" t="s">
        <v>269</v>
      </c>
      <c r="AT76" s="226" t="s">
        <v>600</v>
      </c>
      <c r="AU76" s="225" t="s">
        <v>176</v>
      </c>
      <c r="AV76" s="251" t="s">
        <v>188</v>
      </c>
      <c r="AW76" s="223">
        <v>44196</v>
      </c>
      <c r="AX76" s="225" t="s">
        <v>1179</v>
      </c>
      <c r="AY76" s="225">
        <v>1990</v>
      </c>
      <c r="AZ76" s="225" t="s">
        <v>1880</v>
      </c>
      <c r="BA76" s="225" t="s">
        <v>380</v>
      </c>
      <c r="BB76" s="225" t="s">
        <v>2228</v>
      </c>
      <c r="BC76" s="225" t="s">
        <v>2229</v>
      </c>
      <c r="BD76" s="225">
        <v>15</v>
      </c>
      <c r="BE76" s="225">
        <v>6</v>
      </c>
      <c r="BF76" s="225">
        <v>77</v>
      </c>
      <c r="BG76" s="225">
        <v>0.1</v>
      </c>
      <c r="BH76" s="225" t="s">
        <v>1882</v>
      </c>
      <c r="BI76" s="225"/>
      <c r="BJ76" s="225">
        <f>2170+278+300+101+68+60+1.5+22+90</f>
        <v>3090.5</v>
      </c>
      <c r="BK76" s="225"/>
      <c r="BL76" s="225"/>
      <c r="BM76" s="225"/>
      <c r="BN76" s="225">
        <v>250</v>
      </c>
      <c r="BO76" s="225">
        <f t="shared" si="6"/>
        <v>3340.5</v>
      </c>
      <c r="BP76" s="230">
        <f t="shared" si="7"/>
        <v>183.72749999999999</v>
      </c>
      <c r="BQ76" s="230">
        <f t="shared" si="8"/>
        <v>3524.2275</v>
      </c>
      <c r="BR76" s="230">
        <v>3390.77</v>
      </c>
      <c r="BS76" s="225" t="s">
        <v>188</v>
      </c>
      <c r="BT76" s="225"/>
      <c r="BU76" s="225"/>
      <c r="BV76" s="301" t="s">
        <v>1981</v>
      </c>
      <c r="BW76" s="301" t="s">
        <v>214</v>
      </c>
      <c r="BX76" s="301" t="s">
        <v>620</v>
      </c>
      <c r="BY76" s="225">
        <v>2020</v>
      </c>
    </row>
    <row r="77" spans="1:77" s="12" customFormat="1" ht="13.5" customHeight="1">
      <c r="A77" s="64">
        <f t="shared" si="9"/>
        <v>2020</v>
      </c>
      <c r="B77" s="64">
        <f t="shared" si="10"/>
        <v>11</v>
      </c>
      <c r="C77" s="125" t="s">
        <v>4106</v>
      </c>
      <c r="D77" s="168" t="str">
        <f t="shared" si="11"/>
        <v>non maj</v>
      </c>
      <c r="E77" s="292" t="s">
        <v>670</v>
      </c>
      <c r="F77" s="292" t="s">
        <v>1305</v>
      </c>
      <c r="G77" s="221">
        <v>400</v>
      </c>
      <c r="H77" s="222">
        <v>44145</v>
      </c>
      <c r="I77" s="222">
        <v>44148</v>
      </c>
      <c r="J77" s="223" t="s">
        <v>176</v>
      </c>
      <c r="K77" s="222" t="s">
        <v>176</v>
      </c>
      <c r="L77" s="223">
        <v>44148</v>
      </c>
      <c r="M77" s="223">
        <v>44148</v>
      </c>
      <c r="N77" s="223">
        <v>44153</v>
      </c>
      <c r="O77" s="222"/>
      <c r="P77" s="222">
        <v>44200</v>
      </c>
      <c r="Q77" s="222">
        <v>44189</v>
      </c>
      <c r="R77" s="222" t="s">
        <v>176</v>
      </c>
      <c r="S77" s="222">
        <v>44204</v>
      </c>
      <c r="T77" s="222">
        <v>44204</v>
      </c>
      <c r="U77" s="222">
        <v>44211</v>
      </c>
      <c r="V77" s="224"/>
      <c r="W77" s="222"/>
      <c r="X77" s="225"/>
      <c r="Y77" s="225"/>
      <c r="Z77" s="225"/>
      <c r="AA77" s="225">
        <v>2</v>
      </c>
      <c r="AB77" s="225">
        <v>51147</v>
      </c>
      <c r="AC77" s="225">
        <v>225</v>
      </c>
      <c r="AD77" s="225" t="s">
        <v>2230</v>
      </c>
      <c r="AE77" s="225">
        <v>38620</v>
      </c>
      <c r="AF77" s="225" t="s">
        <v>2231</v>
      </c>
      <c r="AG77" s="226">
        <v>476076261</v>
      </c>
      <c r="AH77" s="246" t="s">
        <v>2232</v>
      </c>
      <c r="AI77" s="225" t="s">
        <v>1168</v>
      </c>
      <c r="AJ77" s="225"/>
      <c r="AK77" s="225"/>
      <c r="AL77" s="225" t="s">
        <v>176</v>
      </c>
      <c r="AM77" s="225" t="s">
        <v>176</v>
      </c>
      <c r="AN77" s="225" t="s">
        <v>176</v>
      </c>
      <c r="AO77" s="225" t="s">
        <v>176</v>
      </c>
      <c r="AP77" s="225" t="s">
        <v>1874</v>
      </c>
      <c r="AQ77" s="225" t="s">
        <v>1875</v>
      </c>
      <c r="AR77" s="225" t="s">
        <v>1876</v>
      </c>
      <c r="AS77" s="246" t="s">
        <v>1877</v>
      </c>
      <c r="AT77" s="226" t="s">
        <v>434</v>
      </c>
      <c r="AU77" s="225" t="s">
        <v>176</v>
      </c>
      <c r="AV77" s="241" t="s">
        <v>1878</v>
      </c>
      <c r="AW77" s="223">
        <v>44517</v>
      </c>
      <c r="AX77" s="225" t="s">
        <v>4113</v>
      </c>
      <c r="AY77" s="225">
        <v>1989</v>
      </c>
      <c r="AZ77" s="225" t="s">
        <v>1880</v>
      </c>
      <c r="BA77" s="225" t="s">
        <v>267</v>
      </c>
      <c r="BB77" s="225" t="s">
        <v>190</v>
      </c>
      <c r="BC77" s="225" t="s">
        <v>2233</v>
      </c>
      <c r="BD77" s="225">
        <v>11</v>
      </c>
      <c r="BE77" s="225">
        <v>12</v>
      </c>
      <c r="BF77" s="225">
        <v>88.5</v>
      </c>
      <c r="BG77" s="225">
        <v>0.01</v>
      </c>
      <c r="BH77" s="225" t="s">
        <v>1882</v>
      </c>
      <c r="BI77" s="225"/>
      <c r="BJ77" s="225">
        <f>4150+996+145+393+295+460+160</f>
        <v>6599</v>
      </c>
      <c r="BK77" s="225"/>
      <c r="BL77" s="225"/>
      <c r="BM77" s="225"/>
      <c r="BN77" s="225">
        <v>590</v>
      </c>
      <c r="BO77" s="225">
        <f t="shared" si="6"/>
        <v>7189</v>
      </c>
      <c r="BP77" s="230">
        <f t="shared" si="7"/>
        <v>395.39499999999998</v>
      </c>
      <c r="BQ77" s="230">
        <f t="shared" si="8"/>
        <v>7584.3950000000004</v>
      </c>
      <c r="BR77" s="230">
        <v>7584.4</v>
      </c>
      <c r="BS77" s="225" t="s">
        <v>191</v>
      </c>
      <c r="BT77" s="225"/>
      <c r="BU77" s="225"/>
      <c r="BV77" s="301" t="s">
        <v>1900</v>
      </c>
      <c r="BW77" s="301" t="s">
        <v>214</v>
      </c>
      <c r="BX77" s="301" t="s">
        <v>620</v>
      </c>
      <c r="BY77" s="301" t="s">
        <v>176</v>
      </c>
    </row>
    <row r="78" spans="1:77" ht="13.5" customHeight="1">
      <c r="A78" s="64">
        <f t="shared" si="9"/>
        <v>2020</v>
      </c>
      <c r="B78" s="64">
        <f t="shared" si="10"/>
        <v>11</v>
      </c>
      <c r="C78" s="125" t="s">
        <v>4106</v>
      </c>
      <c r="D78" s="168" t="str">
        <f t="shared" si="11"/>
        <v>non maj</v>
      </c>
      <c r="E78" s="292" t="s">
        <v>670</v>
      </c>
      <c r="F78" s="292" t="s">
        <v>1308</v>
      </c>
      <c r="G78" s="221">
        <v>400</v>
      </c>
      <c r="H78" s="222">
        <v>44152</v>
      </c>
      <c r="I78" s="222">
        <v>44154</v>
      </c>
      <c r="J78" s="223" t="s">
        <v>176</v>
      </c>
      <c r="K78" s="222" t="s">
        <v>176</v>
      </c>
      <c r="L78" s="223">
        <v>44158</v>
      </c>
      <c r="M78" s="223">
        <v>44158</v>
      </c>
      <c r="N78" s="223">
        <v>44166</v>
      </c>
      <c r="O78" s="222"/>
      <c r="P78" s="222">
        <v>44221</v>
      </c>
      <c r="Q78" s="222">
        <v>44180</v>
      </c>
      <c r="R78" s="222" t="s">
        <v>2234</v>
      </c>
      <c r="S78" s="222">
        <v>44222</v>
      </c>
      <c r="T78" s="222">
        <v>44222</v>
      </c>
      <c r="U78" s="222">
        <v>44242</v>
      </c>
      <c r="V78" s="224"/>
      <c r="W78" s="222"/>
      <c r="X78" s="225"/>
      <c r="Y78" s="225"/>
      <c r="Z78" s="225"/>
      <c r="AA78" s="225">
        <v>2</v>
      </c>
      <c r="AB78" s="225">
        <v>95914</v>
      </c>
      <c r="AC78" s="225">
        <v>23</v>
      </c>
      <c r="AD78" s="225" t="s">
        <v>2235</v>
      </c>
      <c r="AE78" s="225">
        <v>38500</v>
      </c>
      <c r="AF78" s="225" t="s">
        <v>225</v>
      </c>
      <c r="AG78" s="226">
        <v>758814649</v>
      </c>
      <c r="AH78" s="246" t="s">
        <v>2236</v>
      </c>
      <c r="AI78" s="225" t="s">
        <v>1168</v>
      </c>
      <c r="AJ78" s="225"/>
      <c r="AK78" s="225"/>
      <c r="AL78" s="225" t="s">
        <v>176</v>
      </c>
      <c r="AM78" s="225" t="s">
        <v>176</v>
      </c>
      <c r="AN78" s="225" t="s">
        <v>176</v>
      </c>
      <c r="AO78" s="225" t="s">
        <v>176</v>
      </c>
      <c r="AP78" s="222" t="s">
        <v>818</v>
      </c>
      <c r="AQ78" s="225" t="s">
        <v>225</v>
      </c>
      <c r="AR78" s="225" t="s">
        <v>1973</v>
      </c>
      <c r="AS78" s="241" t="s">
        <v>1974</v>
      </c>
      <c r="AT78" s="226">
        <v>476323235</v>
      </c>
      <c r="AU78" s="225" t="s">
        <v>176</v>
      </c>
      <c r="AV78" s="241" t="s">
        <v>188</v>
      </c>
      <c r="AW78" s="223">
        <v>44429</v>
      </c>
      <c r="AX78" s="225" t="s">
        <v>4113</v>
      </c>
      <c r="AY78" s="225">
        <v>1998</v>
      </c>
      <c r="AZ78" s="225" t="s">
        <v>1880</v>
      </c>
      <c r="BA78" s="225" t="s">
        <v>267</v>
      </c>
      <c r="BB78" s="225" t="s">
        <v>221</v>
      </c>
      <c r="BC78" s="225" t="s">
        <v>2130</v>
      </c>
      <c r="BD78" s="225">
        <v>18</v>
      </c>
      <c r="BE78" s="225">
        <v>10</v>
      </c>
      <c r="BF78" s="225">
        <v>90.4</v>
      </c>
      <c r="BG78" s="225">
        <v>3.0000000000000001E-3</v>
      </c>
      <c r="BH78" s="225" t="s">
        <v>1882</v>
      </c>
      <c r="BI78" s="225"/>
      <c r="BJ78" s="225">
        <f>3100+168+136+95+30</f>
        <v>3529</v>
      </c>
      <c r="BK78" s="225"/>
      <c r="BL78" s="225"/>
      <c r="BM78" s="225"/>
      <c r="BN78" s="225">
        <f>35+430+220+40+360</f>
        <v>1085</v>
      </c>
      <c r="BO78" s="225">
        <f t="shared" si="6"/>
        <v>4614</v>
      </c>
      <c r="BP78" s="230">
        <f t="shared" si="7"/>
        <v>253.77</v>
      </c>
      <c r="BQ78" s="230">
        <f t="shared" si="8"/>
        <v>4867.7700000000004</v>
      </c>
      <c r="BR78" s="230">
        <v>4898.6000000000004</v>
      </c>
      <c r="BS78" s="225" t="s">
        <v>191</v>
      </c>
      <c r="BT78" s="225"/>
      <c r="BU78" s="225"/>
      <c r="BV78" s="301" t="s">
        <v>1900</v>
      </c>
      <c r="BW78" s="301" t="s">
        <v>214</v>
      </c>
      <c r="BX78" s="301" t="s">
        <v>620</v>
      </c>
      <c r="BY78" s="301" t="s">
        <v>176</v>
      </c>
    </row>
    <row r="79" spans="1:77" ht="13.5" customHeight="1">
      <c r="A79" s="64">
        <f t="shared" si="9"/>
        <v>2020</v>
      </c>
      <c r="B79" s="64">
        <f t="shared" si="10"/>
        <v>12</v>
      </c>
      <c r="C79" s="125" t="s">
        <v>4106</v>
      </c>
      <c r="D79" s="168" t="str">
        <f t="shared" si="11"/>
        <v>non maj</v>
      </c>
      <c r="E79" s="292" t="s">
        <v>670</v>
      </c>
      <c r="F79" s="292" t="s">
        <v>1309</v>
      </c>
      <c r="G79" s="221">
        <v>400</v>
      </c>
      <c r="H79" s="222">
        <v>44155</v>
      </c>
      <c r="I79" s="222">
        <v>44159</v>
      </c>
      <c r="J79" s="223">
        <v>44161</v>
      </c>
      <c r="K79" s="222" t="s">
        <v>2237</v>
      </c>
      <c r="L79" s="223">
        <v>44169</v>
      </c>
      <c r="M79" s="223">
        <v>44169</v>
      </c>
      <c r="N79" s="223">
        <v>44174</v>
      </c>
      <c r="O79" s="222"/>
      <c r="P79" s="222">
        <v>44246</v>
      </c>
      <c r="Q79" s="222">
        <v>44205</v>
      </c>
      <c r="R79" s="222" t="s">
        <v>176</v>
      </c>
      <c r="S79" s="222">
        <v>44252</v>
      </c>
      <c r="T79" s="222">
        <v>44252</v>
      </c>
      <c r="U79" s="222">
        <v>44264</v>
      </c>
      <c r="V79" s="224"/>
      <c r="W79" s="222"/>
      <c r="X79" s="225"/>
      <c r="Y79" s="225"/>
      <c r="Z79" s="225"/>
      <c r="AA79" s="225">
        <v>1</v>
      </c>
      <c r="AB79" s="225">
        <v>21946</v>
      </c>
      <c r="AC79" s="225">
        <v>415</v>
      </c>
      <c r="AD79" s="225" t="s">
        <v>2238</v>
      </c>
      <c r="AE79" s="225">
        <v>38210</v>
      </c>
      <c r="AF79" s="225" t="s">
        <v>1903</v>
      </c>
      <c r="AG79" s="226">
        <v>684691214</v>
      </c>
      <c r="AH79" s="246" t="s">
        <v>2239</v>
      </c>
      <c r="AI79" s="225" t="s">
        <v>1168</v>
      </c>
      <c r="AJ79" s="225"/>
      <c r="AK79" s="225"/>
      <c r="AL79" s="225" t="s">
        <v>176</v>
      </c>
      <c r="AM79" s="225" t="s">
        <v>176</v>
      </c>
      <c r="AN79" s="225" t="s">
        <v>176</v>
      </c>
      <c r="AO79" s="225" t="s">
        <v>176</v>
      </c>
      <c r="AP79" s="225" t="s">
        <v>268</v>
      </c>
      <c r="AQ79" s="225" t="s">
        <v>1893</v>
      </c>
      <c r="AR79" s="225" t="s">
        <v>1933</v>
      </c>
      <c r="AS79" s="246" t="s">
        <v>1934</v>
      </c>
      <c r="AT79" s="226">
        <v>476355605</v>
      </c>
      <c r="AU79" s="225" t="s">
        <v>176</v>
      </c>
      <c r="AV79" s="241" t="s">
        <v>188</v>
      </c>
      <c r="AW79" s="223">
        <v>44495</v>
      </c>
      <c r="AX79" s="225" t="s">
        <v>1879</v>
      </c>
      <c r="AY79" s="225">
        <v>1980</v>
      </c>
      <c r="AZ79" s="225" t="s">
        <v>4113</v>
      </c>
      <c r="BA79" s="225" t="s">
        <v>380</v>
      </c>
      <c r="BB79" s="225" t="s">
        <v>1936</v>
      </c>
      <c r="BC79" s="225" t="s">
        <v>2240</v>
      </c>
      <c r="BD79" s="225">
        <v>26</v>
      </c>
      <c r="BE79" s="225">
        <v>8</v>
      </c>
      <c r="BF79" s="225">
        <v>81</v>
      </c>
      <c r="BG79" s="225">
        <v>7.0000000000000007E-2</v>
      </c>
      <c r="BH79" s="225" t="s">
        <v>1882</v>
      </c>
      <c r="BI79" s="225"/>
      <c r="BJ79" s="225">
        <f>420+24.5+41.4+365.75+1345+177.6+88.75+128.75+590.56</f>
        <v>3182.31</v>
      </c>
      <c r="BK79" s="225"/>
      <c r="BL79" s="225"/>
      <c r="BM79" s="225"/>
      <c r="BN79" s="225">
        <f>282.94+99.09+99.09+950</f>
        <v>1431.12</v>
      </c>
      <c r="BO79" s="225">
        <f t="shared" si="6"/>
        <v>4613.43</v>
      </c>
      <c r="BP79" s="230">
        <f t="shared" si="7"/>
        <v>253.73865000000001</v>
      </c>
      <c r="BQ79" s="230">
        <f t="shared" si="8"/>
        <v>4867.1686500000005</v>
      </c>
      <c r="BR79" s="230">
        <v>4867.17</v>
      </c>
      <c r="BS79" s="225" t="s">
        <v>191</v>
      </c>
      <c r="BT79" s="225"/>
      <c r="BU79" s="225"/>
      <c r="BV79" s="301" t="s">
        <v>1900</v>
      </c>
      <c r="BW79" s="301" t="s">
        <v>214</v>
      </c>
      <c r="BX79" s="301" t="s">
        <v>620</v>
      </c>
      <c r="BY79" s="301">
        <v>2020</v>
      </c>
    </row>
    <row r="80" spans="1:77" ht="13.5" customHeight="1">
      <c r="A80" s="64">
        <f t="shared" si="9"/>
        <v>2020</v>
      </c>
      <c r="B80" s="64">
        <f t="shared" si="10"/>
        <v>11</v>
      </c>
      <c r="C80" s="125" t="s">
        <v>4106</v>
      </c>
      <c r="D80" s="168" t="str">
        <f t="shared" si="11"/>
        <v>non maj</v>
      </c>
      <c r="E80" s="292" t="s">
        <v>670</v>
      </c>
      <c r="F80" s="292" t="s">
        <v>1310</v>
      </c>
      <c r="G80" s="221">
        <v>400</v>
      </c>
      <c r="H80" s="222">
        <v>44155</v>
      </c>
      <c r="I80" s="222">
        <v>44159</v>
      </c>
      <c r="J80" s="223" t="s">
        <v>176</v>
      </c>
      <c r="K80" s="222" t="s">
        <v>176</v>
      </c>
      <c r="L80" s="223">
        <v>44161</v>
      </c>
      <c r="M80" s="223">
        <v>44161</v>
      </c>
      <c r="N80" s="223">
        <v>44166</v>
      </c>
      <c r="O80" s="222"/>
      <c r="P80" s="222">
        <v>44181</v>
      </c>
      <c r="Q80" s="222">
        <v>44167</v>
      </c>
      <c r="R80" s="222" t="s">
        <v>176</v>
      </c>
      <c r="S80" s="222">
        <v>44186</v>
      </c>
      <c r="T80" s="222">
        <v>44186</v>
      </c>
      <c r="U80" s="222">
        <v>44223</v>
      </c>
      <c r="V80" s="224"/>
      <c r="W80" s="222"/>
      <c r="X80" s="225"/>
      <c r="Y80" s="225"/>
      <c r="Z80" s="225"/>
      <c r="AA80" s="225">
        <v>5</v>
      </c>
      <c r="AB80" s="225">
        <v>103965</v>
      </c>
      <c r="AC80" s="225">
        <v>165</v>
      </c>
      <c r="AD80" s="225" t="s">
        <v>2241</v>
      </c>
      <c r="AE80" s="225">
        <v>38430</v>
      </c>
      <c r="AF80" s="225" t="s">
        <v>2081</v>
      </c>
      <c r="AG80" s="226">
        <v>671371067</v>
      </c>
      <c r="AH80" s="246" t="s">
        <v>2242</v>
      </c>
      <c r="AI80" s="225" t="s">
        <v>1168</v>
      </c>
      <c r="AJ80" s="225"/>
      <c r="AK80" s="225"/>
      <c r="AL80" s="225" t="s">
        <v>176</v>
      </c>
      <c r="AM80" s="225" t="s">
        <v>176</v>
      </c>
      <c r="AN80" s="225" t="s">
        <v>176</v>
      </c>
      <c r="AO80" s="225" t="s">
        <v>176</v>
      </c>
      <c r="AP80" s="225" t="s">
        <v>675</v>
      </c>
      <c r="AQ80" s="225" t="s">
        <v>225</v>
      </c>
      <c r="AR80" s="225" t="s">
        <v>1948</v>
      </c>
      <c r="AS80" s="241" t="s">
        <v>673</v>
      </c>
      <c r="AT80" s="226">
        <v>951096343</v>
      </c>
      <c r="AU80" s="225" t="s">
        <v>176</v>
      </c>
      <c r="AV80" s="241" t="s">
        <v>188</v>
      </c>
      <c r="AW80" s="223">
        <v>44433</v>
      </c>
      <c r="AX80" s="225" t="s">
        <v>1880</v>
      </c>
      <c r="AY80" s="225">
        <v>2001</v>
      </c>
      <c r="AZ80" s="225" t="s">
        <v>1880</v>
      </c>
      <c r="BA80" s="225" t="s">
        <v>267</v>
      </c>
      <c r="BB80" s="225" t="s">
        <v>229</v>
      </c>
      <c r="BC80" s="225" t="s">
        <v>2159</v>
      </c>
      <c r="BD80" s="225">
        <v>30</v>
      </c>
      <c r="BE80" s="225">
        <v>6.3</v>
      </c>
      <c r="BF80" s="225">
        <v>89</v>
      </c>
      <c r="BG80" s="225">
        <v>0.18</v>
      </c>
      <c r="BH80" s="225" t="s">
        <v>1899</v>
      </c>
      <c r="BI80" s="225"/>
      <c r="BJ80" s="225">
        <f>5490</f>
        <v>5490</v>
      </c>
      <c r="BK80" s="225"/>
      <c r="BL80" s="225"/>
      <c r="BM80" s="225"/>
      <c r="BN80" s="225">
        <v>315</v>
      </c>
      <c r="BO80" s="225">
        <f t="shared" si="6"/>
        <v>5805</v>
      </c>
      <c r="BP80" s="230">
        <f t="shared" si="7"/>
        <v>319.27499999999998</v>
      </c>
      <c r="BQ80" s="230">
        <f t="shared" si="8"/>
        <v>6124.2749999999996</v>
      </c>
      <c r="BR80" s="230">
        <v>5649.53</v>
      </c>
      <c r="BS80" s="225" t="s">
        <v>191</v>
      </c>
      <c r="BT80" s="225"/>
      <c r="BU80" s="225"/>
      <c r="BV80" s="301" t="s">
        <v>1900</v>
      </c>
      <c r="BW80" s="301" t="s">
        <v>214</v>
      </c>
      <c r="BX80" s="301" t="s">
        <v>620</v>
      </c>
      <c r="BY80" s="301" t="s">
        <v>176</v>
      </c>
    </row>
    <row r="81" spans="1:77" ht="13.5" customHeight="1">
      <c r="A81" s="64">
        <f t="shared" si="9"/>
        <v>2020</v>
      </c>
      <c r="B81" s="64">
        <f t="shared" si="10"/>
        <v>11</v>
      </c>
      <c r="C81" s="125" t="s">
        <v>191</v>
      </c>
      <c r="D81" s="168" t="str">
        <f t="shared" si="11"/>
        <v>non maj</v>
      </c>
      <c r="E81" s="292" t="s">
        <v>670</v>
      </c>
      <c r="F81" s="292" t="s">
        <v>1311</v>
      </c>
      <c r="G81" s="221">
        <v>400</v>
      </c>
      <c r="H81" s="222">
        <v>44159</v>
      </c>
      <c r="I81" s="222">
        <v>44159</v>
      </c>
      <c r="J81" s="223" t="s">
        <v>176</v>
      </c>
      <c r="K81" s="222" t="s">
        <v>176</v>
      </c>
      <c r="L81" s="223">
        <v>44161</v>
      </c>
      <c r="M81" s="223">
        <v>44161</v>
      </c>
      <c r="N81" s="223">
        <v>44166</v>
      </c>
      <c r="O81" s="222"/>
      <c r="P81" s="222">
        <v>44297</v>
      </c>
      <c r="Q81" s="222">
        <v>44225</v>
      </c>
      <c r="R81" s="222" t="s">
        <v>2243</v>
      </c>
      <c r="S81" s="222">
        <v>44301</v>
      </c>
      <c r="T81" s="222">
        <v>44301</v>
      </c>
      <c r="U81" s="222">
        <v>44307</v>
      </c>
      <c r="V81" s="224"/>
      <c r="W81" s="222"/>
      <c r="X81" s="225"/>
      <c r="Y81" s="225"/>
      <c r="Z81" s="225"/>
      <c r="AA81" s="225">
        <v>2</v>
      </c>
      <c r="AB81" s="225">
        <v>35675</v>
      </c>
      <c r="AC81" s="225">
        <v>1118</v>
      </c>
      <c r="AD81" s="225" t="s">
        <v>2244</v>
      </c>
      <c r="AE81" s="225">
        <v>38620</v>
      </c>
      <c r="AF81" s="225" t="s">
        <v>2010</v>
      </c>
      <c r="AG81" s="226">
        <v>685635735</v>
      </c>
      <c r="AH81" s="246" t="s">
        <v>2245</v>
      </c>
      <c r="AI81" s="225" t="s">
        <v>1168</v>
      </c>
      <c r="AJ81" s="225"/>
      <c r="AK81" s="225"/>
      <c r="AL81" s="225" t="s">
        <v>176</v>
      </c>
      <c r="AM81" s="225" t="s">
        <v>176</v>
      </c>
      <c r="AN81" s="225" t="s">
        <v>176</v>
      </c>
      <c r="AO81" s="225" t="s">
        <v>176</v>
      </c>
      <c r="AP81" s="222" t="s">
        <v>587</v>
      </c>
      <c r="AQ81" s="225" t="s">
        <v>225</v>
      </c>
      <c r="AR81" s="225" t="s">
        <v>2026</v>
      </c>
      <c r="AS81" s="241" t="s">
        <v>266</v>
      </c>
      <c r="AT81" s="226">
        <v>476069938</v>
      </c>
      <c r="AU81" s="225" t="s">
        <v>176</v>
      </c>
      <c r="AV81" s="241" t="s">
        <v>188</v>
      </c>
      <c r="AW81" s="223">
        <v>44457</v>
      </c>
      <c r="AX81" s="225" t="s">
        <v>1880</v>
      </c>
      <c r="AY81" s="242">
        <v>1967</v>
      </c>
      <c r="AZ81" s="225" t="s">
        <v>1880</v>
      </c>
      <c r="BA81" s="225" t="s">
        <v>380</v>
      </c>
      <c r="BB81" s="225" t="s">
        <v>280</v>
      </c>
      <c r="BC81" s="225" t="s">
        <v>2246</v>
      </c>
      <c r="BD81" s="242">
        <v>20</v>
      </c>
      <c r="BE81" s="242">
        <v>5.7</v>
      </c>
      <c r="BF81" s="242">
        <v>82.9</v>
      </c>
      <c r="BG81" s="242">
        <v>6.7000000000000004E-2</v>
      </c>
      <c r="BH81" s="225" t="s">
        <v>1882</v>
      </c>
      <c r="BI81" s="225"/>
      <c r="BJ81" s="242">
        <f>550+250+2940</f>
        <v>3740</v>
      </c>
      <c r="BK81" s="225"/>
      <c r="BL81" s="225"/>
      <c r="BM81" s="225"/>
      <c r="BN81" s="242">
        <f>450+1</f>
        <v>451</v>
      </c>
      <c r="BO81" s="242">
        <f t="shared" si="6"/>
        <v>4191</v>
      </c>
      <c r="BP81" s="242">
        <f t="shared" si="7"/>
        <v>230.505</v>
      </c>
      <c r="BQ81" s="242">
        <f t="shared" si="8"/>
        <v>4421.5050000000001</v>
      </c>
      <c r="BR81" s="230">
        <v>4421.51</v>
      </c>
      <c r="BS81" s="225" t="s">
        <v>191</v>
      </c>
      <c r="BT81" s="225"/>
      <c r="BU81" s="225"/>
      <c r="BV81" s="301" t="s">
        <v>1981</v>
      </c>
      <c r="BW81" s="301" t="s">
        <v>214</v>
      </c>
      <c r="BX81" s="301" t="s">
        <v>620</v>
      </c>
      <c r="BY81" s="301">
        <v>2020</v>
      </c>
    </row>
    <row r="82" spans="1:77" ht="13.5" customHeight="1">
      <c r="A82" s="64">
        <f t="shared" si="9"/>
        <v>2020</v>
      </c>
      <c r="B82" s="64">
        <f t="shared" si="10"/>
        <v>12</v>
      </c>
      <c r="C82" s="125" t="s">
        <v>4106</v>
      </c>
      <c r="D82" s="168" t="str">
        <f t="shared" si="11"/>
        <v>maj</v>
      </c>
      <c r="E82" s="292" t="s">
        <v>670</v>
      </c>
      <c r="F82" s="292" t="s">
        <v>1312</v>
      </c>
      <c r="G82" s="221">
        <v>800</v>
      </c>
      <c r="H82" s="222">
        <v>44162</v>
      </c>
      <c r="I82" s="222">
        <v>44166</v>
      </c>
      <c r="J82" s="223" t="s">
        <v>176</v>
      </c>
      <c r="K82" s="222" t="s">
        <v>176</v>
      </c>
      <c r="L82" s="223">
        <v>44172</v>
      </c>
      <c r="M82" s="223">
        <v>44172</v>
      </c>
      <c r="N82" s="223">
        <v>44174</v>
      </c>
      <c r="O82" s="222"/>
      <c r="P82" s="222">
        <v>44207</v>
      </c>
      <c r="Q82" s="222">
        <v>44189</v>
      </c>
      <c r="R82" s="222" t="s">
        <v>2247</v>
      </c>
      <c r="S82" s="222">
        <v>44214</v>
      </c>
      <c r="T82" s="222">
        <v>44214</v>
      </c>
      <c r="U82" s="222">
        <v>44242</v>
      </c>
      <c r="V82" s="224"/>
      <c r="W82" s="222"/>
      <c r="X82" s="225"/>
      <c r="Y82" s="225"/>
      <c r="Z82" s="225"/>
      <c r="AA82" s="225">
        <v>4</v>
      </c>
      <c r="AB82" s="225">
        <v>32982</v>
      </c>
      <c r="AC82" s="225">
        <v>44</v>
      </c>
      <c r="AD82" s="225" t="s">
        <v>2248</v>
      </c>
      <c r="AE82" s="225">
        <v>38620</v>
      </c>
      <c r="AF82" s="225" t="s">
        <v>2249</v>
      </c>
      <c r="AG82" s="226">
        <v>619264424</v>
      </c>
      <c r="AH82" s="246" t="s">
        <v>2250</v>
      </c>
      <c r="AI82" s="225" t="s">
        <v>1168</v>
      </c>
      <c r="AJ82" s="225"/>
      <c r="AK82" s="225"/>
      <c r="AL82" s="225" t="s">
        <v>176</v>
      </c>
      <c r="AM82" s="225" t="s">
        <v>176</v>
      </c>
      <c r="AN82" s="225" t="s">
        <v>176</v>
      </c>
      <c r="AO82" s="225" t="s">
        <v>176</v>
      </c>
      <c r="AP82" s="225" t="s">
        <v>1874</v>
      </c>
      <c r="AQ82" s="225" t="s">
        <v>1875</v>
      </c>
      <c r="AR82" s="225" t="s">
        <v>1876</v>
      </c>
      <c r="AS82" s="246" t="s">
        <v>1877</v>
      </c>
      <c r="AT82" s="226" t="s">
        <v>434</v>
      </c>
      <c r="AU82" s="225" t="s">
        <v>176</v>
      </c>
      <c r="AV82" s="241" t="s">
        <v>1878</v>
      </c>
      <c r="AW82" s="223">
        <v>44517</v>
      </c>
      <c r="AX82" s="225" t="s">
        <v>1880</v>
      </c>
      <c r="AY82" s="225">
        <v>1985</v>
      </c>
      <c r="AZ82" s="225" t="s">
        <v>1880</v>
      </c>
      <c r="BA82" s="225" t="s">
        <v>380</v>
      </c>
      <c r="BB82" s="225" t="s">
        <v>2251</v>
      </c>
      <c r="BC82" s="225" t="s">
        <v>2252</v>
      </c>
      <c r="BD82" s="225">
        <v>34</v>
      </c>
      <c r="BE82" s="225">
        <v>8</v>
      </c>
      <c r="BF82" s="225">
        <v>81</v>
      </c>
      <c r="BG82" s="225">
        <v>0.06</v>
      </c>
      <c r="BH82" s="225" t="s">
        <v>1882</v>
      </c>
      <c r="BI82" s="225"/>
      <c r="BJ82" s="225">
        <f>3109+45+169</f>
        <v>3323</v>
      </c>
      <c r="BK82" s="225"/>
      <c r="BL82" s="225"/>
      <c r="BM82" s="225"/>
      <c r="BN82" s="225">
        <f>490</f>
        <v>490</v>
      </c>
      <c r="BO82" s="225">
        <f t="shared" si="6"/>
        <v>3813</v>
      </c>
      <c r="BP82" s="230">
        <f t="shared" si="7"/>
        <v>209.715</v>
      </c>
      <c r="BQ82" s="230">
        <f t="shared" si="8"/>
        <v>4022.7150000000001</v>
      </c>
      <c r="BR82" s="230">
        <v>3813</v>
      </c>
      <c r="BS82" s="225" t="s">
        <v>191</v>
      </c>
      <c r="BT82" s="225"/>
      <c r="BU82" s="225"/>
      <c r="BV82" s="301" t="s">
        <v>1900</v>
      </c>
      <c r="BW82" s="301" t="s">
        <v>214</v>
      </c>
      <c r="BX82" s="222" t="s">
        <v>618</v>
      </c>
      <c r="BY82" s="301">
        <v>2020</v>
      </c>
    </row>
    <row r="83" spans="1:77" ht="13.5" customHeight="1">
      <c r="A83" s="64" t="e">
        <f t="shared" si="9"/>
        <v>#VALUE!</v>
      </c>
      <c r="B83" s="64" t="e">
        <f t="shared" si="10"/>
        <v>#VALUE!</v>
      </c>
      <c r="C83" s="125" t="s">
        <v>4125</v>
      </c>
      <c r="D83" s="168" t="str">
        <f t="shared" si="11"/>
        <v>NC</v>
      </c>
      <c r="E83" s="291" t="s">
        <v>670</v>
      </c>
      <c r="F83" s="291" t="s">
        <v>1313</v>
      </c>
      <c r="G83" s="221" t="s">
        <v>176</v>
      </c>
      <c r="H83" s="222">
        <v>44165</v>
      </c>
      <c r="I83" s="222">
        <v>44166</v>
      </c>
      <c r="J83" s="223">
        <v>44172</v>
      </c>
      <c r="K83" s="222" t="s">
        <v>2253</v>
      </c>
      <c r="L83" s="223" t="s">
        <v>176</v>
      </c>
      <c r="M83" s="223" t="s">
        <v>176</v>
      </c>
      <c r="N83" s="223" t="s">
        <v>176</v>
      </c>
      <c r="O83" s="222"/>
      <c r="P83" s="222" t="s">
        <v>176</v>
      </c>
      <c r="Q83" s="222" t="s">
        <v>176</v>
      </c>
      <c r="R83" s="222" t="s">
        <v>176</v>
      </c>
      <c r="S83" s="222" t="s">
        <v>176</v>
      </c>
      <c r="T83" s="222" t="s">
        <v>176</v>
      </c>
      <c r="U83" s="222" t="s">
        <v>176</v>
      </c>
      <c r="V83" s="224"/>
      <c r="W83" s="222">
        <v>44424</v>
      </c>
      <c r="X83" s="225" t="s">
        <v>2254</v>
      </c>
      <c r="Y83" s="225"/>
      <c r="Z83" s="225"/>
      <c r="AA83" s="225">
        <v>5</v>
      </c>
      <c r="AB83" s="225">
        <v>41516</v>
      </c>
      <c r="AC83" s="225">
        <v>110</v>
      </c>
      <c r="AD83" s="225" t="s">
        <v>2255</v>
      </c>
      <c r="AE83" s="225">
        <v>38850</v>
      </c>
      <c r="AF83" s="225" t="s">
        <v>1916</v>
      </c>
      <c r="AG83" s="226">
        <v>665273186</v>
      </c>
      <c r="AH83" s="246" t="s">
        <v>2256</v>
      </c>
      <c r="AI83" s="225" t="s">
        <v>1168</v>
      </c>
      <c r="AJ83" s="225"/>
      <c r="AK83" s="225"/>
      <c r="AL83" s="225" t="s">
        <v>176</v>
      </c>
      <c r="AM83" s="225" t="s">
        <v>176</v>
      </c>
      <c r="AN83" s="225" t="s">
        <v>176</v>
      </c>
      <c r="AO83" s="225" t="s">
        <v>176</v>
      </c>
      <c r="AP83" s="225" t="s">
        <v>1081</v>
      </c>
      <c r="AQ83" s="225" t="s">
        <v>2257</v>
      </c>
      <c r="AR83" s="225" t="s">
        <v>2258</v>
      </c>
      <c r="AS83" s="246"/>
      <c r="AT83" s="226">
        <v>970825050</v>
      </c>
      <c r="AU83" s="225" t="s">
        <v>176</v>
      </c>
      <c r="AV83" s="225"/>
      <c r="AW83" s="223">
        <v>44243</v>
      </c>
      <c r="AX83" s="225" t="s">
        <v>1880</v>
      </c>
      <c r="AY83" s="225">
        <v>2012</v>
      </c>
      <c r="AZ83" s="225" t="s">
        <v>1880</v>
      </c>
      <c r="BA83" s="225" t="s">
        <v>267</v>
      </c>
      <c r="BB83" s="225" t="s">
        <v>221</v>
      </c>
      <c r="BC83" s="225" t="s">
        <v>2259</v>
      </c>
      <c r="BD83" s="225">
        <v>17</v>
      </c>
      <c r="BE83" s="225">
        <v>8.1</v>
      </c>
      <c r="BF83" s="225">
        <v>90.9</v>
      </c>
      <c r="BG83" s="225">
        <v>2E-3</v>
      </c>
      <c r="BH83" s="225" t="s">
        <v>1882</v>
      </c>
      <c r="BI83" s="225"/>
      <c r="BJ83" s="225">
        <f>3183.99+234.21+30.68+126+170.54+37.66</f>
        <v>3783.0799999999995</v>
      </c>
      <c r="BK83" s="225"/>
      <c r="BL83" s="225"/>
      <c r="BM83" s="225"/>
      <c r="BN83" s="225">
        <f>149+127.18+118+53.3+138.08</f>
        <v>585.56000000000006</v>
      </c>
      <c r="BO83" s="225">
        <f t="shared" si="6"/>
        <v>4368.6399999999994</v>
      </c>
      <c r="BP83" s="230">
        <f t="shared" si="7"/>
        <v>240.27519999999996</v>
      </c>
      <c r="BQ83" s="230">
        <f t="shared" si="8"/>
        <v>4608.9151999999995</v>
      </c>
      <c r="BR83" s="230">
        <v>713.49</v>
      </c>
      <c r="BS83" s="225" t="s">
        <v>188</v>
      </c>
      <c r="BT83" s="225"/>
      <c r="BU83" s="225"/>
      <c r="BV83" s="301">
        <v>0</v>
      </c>
      <c r="BW83" s="301" t="s">
        <v>214</v>
      </c>
      <c r="BX83" s="301" t="s">
        <v>214</v>
      </c>
      <c r="BY83" s="301" t="s">
        <v>176</v>
      </c>
    </row>
    <row r="84" spans="1:77" ht="13.5" customHeight="1">
      <c r="A84" s="64">
        <f t="shared" si="9"/>
        <v>2020</v>
      </c>
      <c r="B84" s="64">
        <f t="shared" si="10"/>
        <v>12</v>
      </c>
      <c r="C84" s="125" t="s">
        <v>4106</v>
      </c>
      <c r="D84" s="168" t="str">
        <f t="shared" si="11"/>
        <v>non maj</v>
      </c>
      <c r="E84" s="292" t="s">
        <v>670</v>
      </c>
      <c r="F84" s="292" t="s">
        <v>1314</v>
      </c>
      <c r="G84" s="221">
        <v>400</v>
      </c>
      <c r="H84" s="222">
        <v>44166</v>
      </c>
      <c r="I84" s="222">
        <v>44168</v>
      </c>
      <c r="J84" s="223">
        <v>44172</v>
      </c>
      <c r="K84" s="222" t="s">
        <v>2260</v>
      </c>
      <c r="L84" s="223">
        <v>44176</v>
      </c>
      <c r="M84" s="223">
        <v>44176</v>
      </c>
      <c r="N84" s="223">
        <v>44182</v>
      </c>
      <c r="O84" s="222"/>
      <c r="P84" s="222">
        <v>44264</v>
      </c>
      <c r="Q84" s="222">
        <v>44255</v>
      </c>
      <c r="R84" s="222" t="s">
        <v>176</v>
      </c>
      <c r="S84" s="222">
        <v>44271</v>
      </c>
      <c r="T84" s="222">
        <v>44271</v>
      </c>
      <c r="U84" s="222">
        <v>44277</v>
      </c>
      <c r="V84" s="224"/>
      <c r="W84" s="222"/>
      <c r="X84" s="225"/>
      <c r="Y84" s="225"/>
      <c r="Z84" s="225"/>
      <c r="AA84" s="225">
        <v>2</v>
      </c>
      <c r="AB84" s="225">
        <v>50466</v>
      </c>
      <c r="AC84" s="225">
        <v>58</v>
      </c>
      <c r="AD84" s="225" t="s">
        <v>2261</v>
      </c>
      <c r="AE84" s="225">
        <v>38620</v>
      </c>
      <c r="AF84" s="225" t="s">
        <v>1990</v>
      </c>
      <c r="AG84" s="226">
        <v>660493158</v>
      </c>
      <c r="AH84" s="295" t="s">
        <v>2262</v>
      </c>
      <c r="AI84" s="225" t="s">
        <v>1168</v>
      </c>
      <c r="AJ84" s="225"/>
      <c r="AK84" s="225"/>
      <c r="AL84" s="225" t="s">
        <v>176</v>
      </c>
      <c r="AM84" s="225" t="s">
        <v>176</v>
      </c>
      <c r="AN84" s="225" t="s">
        <v>176</v>
      </c>
      <c r="AO84" s="225" t="s">
        <v>176</v>
      </c>
      <c r="AP84" s="225" t="s">
        <v>1888</v>
      </c>
      <c r="AQ84" s="225" t="s">
        <v>225</v>
      </c>
      <c r="AR84" s="225" t="s">
        <v>1889</v>
      </c>
      <c r="AS84" s="295" t="s">
        <v>269</v>
      </c>
      <c r="AT84" s="226" t="s">
        <v>600</v>
      </c>
      <c r="AU84" s="225" t="s">
        <v>176</v>
      </c>
      <c r="AV84" s="251" t="s">
        <v>188</v>
      </c>
      <c r="AW84" s="223">
        <v>44196</v>
      </c>
      <c r="AX84" s="225" t="s">
        <v>4113</v>
      </c>
      <c r="AY84" s="225">
        <v>1992</v>
      </c>
      <c r="AZ84" s="225" t="s">
        <v>1880</v>
      </c>
      <c r="BA84" s="225" t="s">
        <v>267</v>
      </c>
      <c r="BB84" s="225" t="s">
        <v>221</v>
      </c>
      <c r="BC84" s="225" t="s">
        <v>2263</v>
      </c>
      <c r="BD84" s="225">
        <v>14</v>
      </c>
      <c r="BE84" s="225">
        <v>11.9</v>
      </c>
      <c r="BF84" s="225">
        <v>90.8</v>
      </c>
      <c r="BG84" s="225">
        <v>7.0000000000000001E-3</v>
      </c>
      <c r="BH84" s="225" t="s">
        <v>1882</v>
      </c>
      <c r="BI84" s="225"/>
      <c r="BJ84" s="225">
        <f>4240+180+101+131+124+60+45+88+42+60+60+45+90+138</f>
        <v>5404</v>
      </c>
      <c r="BK84" s="225"/>
      <c r="BL84" s="225"/>
      <c r="BM84" s="225"/>
      <c r="BN84" s="225">
        <f>50+350</f>
        <v>400</v>
      </c>
      <c r="BO84" s="225">
        <f t="shared" si="6"/>
        <v>5804</v>
      </c>
      <c r="BP84" s="230">
        <f t="shared" si="7"/>
        <v>319.22000000000003</v>
      </c>
      <c r="BQ84" s="230">
        <f t="shared" si="8"/>
        <v>6123.22</v>
      </c>
      <c r="BR84" s="230">
        <v>6123.22</v>
      </c>
      <c r="BS84" s="225" t="s">
        <v>188</v>
      </c>
      <c r="BT84" s="225"/>
      <c r="BU84" s="225"/>
      <c r="BV84" s="225" t="s">
        <v>1900</v>
      </c>
      <c r="BW84" s="301" t="s">
        <v>214</v>
      </c>
      <c r="BX84" s="301" t="s">
        <v>620</v>
      </c>
      <c r="BY84" s="301" t="s">
        <v>176</v>
      </c>
    </row>
    <row r="85" spans="1:77" s="27" customFormat="1" ht="13.5" customHeight="1">
      <c r="A85" s="64">
        <f t="shared" si="9"/>
        <v>2020</v>
      </c>
      <c r="B85" s="64">
        <f t="shared" si="10"/>
        <v>12</v>
      </c>
      <c r="C85" s="125" t="s">
        <v>4106</v>
      </c>
      <c r="D85" s="168" t="str">
        <f t="shared" si="11"/>
        <v>non maj</v>
      </c>
      <c r="E85" s="292" t="s">
        <v>670</v>
      </c>
      <c r="F85" s="292" t="s">
        <v>1315</v>
      </c>
      <c r="G85" s="221">
        <v>400</v>
      </c>
      <c r="H85" s="222">
        <v>44166</v>
      </c>
      <c r="I85" s="222">
        <v>44168</v>
      </c>
      <c r="J85" s="223" t="s">
        <v>176</v>
      </c>
      <c r="K85" s="222" t="s">
        <v>176</v>
      </c>
      <c r="L85" s="223">
        <v>44172</v>
      </c>
      <c r="M85" s="223">
        <v>44172</v>
      </c>
      <c r="N85" s="223">
        <v>44174</v>
      </c>
      <c r="O85" s="222"/>
      <c r="P85" s="222">
        <v>44211</v>
      </c>
      <c r="Q85" s="222">
        <v>44181</v>
      </c>
      <c r="R85" s="222" t="s">
        <v>176</v>
      </c>
      <c r="S85" s="222">
        <v>44214</v>
      </c>
      <c r="T85" s="222">
        <v>44214</v>
      </c>
      <c r="U85" s="222">
        <v>44242</v>
      </c>
      <c r="V85" s="224"/>
      <c r="W85" s="222"/>
      <c r="X85" s="225"/>
      <c r="Y85" s="296"/>
      <c r="Z85" s="225"/>
      <c r="AA85" s="225">
        <v>4</v>
      </c>
      <c r="AB85" s="225">
        <v>99887</v>
      </c>
      <c r="AC85" s="225">
        <v>393</v>
      </c>
      <c r="AD85" s="225" t="s">
        <v>2264</v>
      </c>
      <c r="AE85" s="225">
        <v>38960</v>
      </c>
      <c r="AF85" s="225" t="s">
        <v>2088</v>
      </c>
      <c r="AG85" s="226">
        <v>603463179</v>
      </c>
      <c r="AH85" s="246" t="s">
        <v>2265</v>
      </c>
      <c r="AI85" s="225" t="s">
        <v>1168</v>
      </c>
      <c r="AJ85" s="225"/>
      <c r="AK85" s="225"/>
      <c r="AL85" s="225" t="s">
        <v>176</v>
      </c>
      <c r="AM85" s="225" t="s">
        <v>176</v>
      </c>
      <c r="AN85" s="225" t="s">
        <v>176</v>
      </c>
      <c r="AO85" s="225" t="s">
        <v>176</v>
      </c>
      <c r="AP85" s="225" t="s">
        <v>2052</v>
      </c>
      <c r="AQ85" s="225" t="s">
        <v>232</v>
      </c>
      <c r="AR85" s="225" t="s">
        <v>233</v>
      </c>
      <c r="AS85" s="241" t="s">
        <v>234</v>
      </c>
      <c r="AT85" s="226">
        <v>476500550</v>
      </c>
      <c r="AU85" s="225" t="s">
        <v>176</v>
      </c>
      <c r="AV85" s="241" t="s">
        <v>188</v>
      </c>
      <c r="AW85" s="223">
        <v>44375</v>
      </c>
      <c r="AX85" s="225" t="s">
        <v>4113</v>
      </c>
      <c r="AY85" s="225">
        <v>2001</v>
      </c>
      <c r="AZ85" s="225" t="s">
        <v>4113</v>
      </c>
      <c r="BA85" s="225" t="s">
        <v>380</v>
      </c>
      <c r="BB85" s="225" t="s">
        <v>270</v>
      </c>
      <c r="BC85" s="225" t="s">
        <v>2266</v>
      </c>
      <c r="BD85" s="225">
        <v>30</v>
      </c>
      <c r="BE85" s="225">
        <v>13</v>
      </c>
      <c r="BF85" s="225">
        <v>84</v>
      </c>
      <c r="BG85" s="225">
        <v>0.04</v>
      </c>
      <c r="BH85" s="225" t="s">
        <v>1882</v>
      </c>
      <c r="BI85" s="225"/>
      <c r="BJ85" s="225">
        <f>85.62+44.82+64.8+2150+483.33+189.08+68.6+68.6+41.45+239.94</f>
        <v>3436.2399999999993</v>
      </c>
      <c r="BK85" s="225"/>
      <c r="BL85" s="225"/>
      <c r="BM85" s="225"/>
      <c r="BN85" s="225">
        <v>1800</v>
      </c>
      <c r="BO85" s="225">
        <f t="shared" si="6"/>
        <v>5236.24</v>
      </c>
      <c r="BP85" s="230">
        <f t="shared" si="7"/>
        <v>287.9932</v>
      </c>
      <c r="BQ85" s="230">
        <f t="shared" si="8"/>
        <v>5524.2331999999997</v>
      </c>
      <c r="BR85" s="230">
        <v>5524.23</v>
      </c>
      <c r="BS85" s="225" t="s">
        <v>188</v>
      </c>
      <c r="BT85" s="225"/>
      <c r="BU85" s="225"/>
      <c r="BV85" s="301" t="s">
        <v>1900</v>
      </c>
      <c r="BW85" s="301" t="s">
        <v>214</v>
      </c>
      <c r="BX85" s="301" t="s">
        <v>620</v>
      </c>
      <c r="BY85" s="301">
        <v>2020</v>
      </c>
    </row>
    <row r="86" spans="1:77" ht="13.5" customHeight="1">
      <c r="A86" s="64">
        <f t="shared" si="9"/>
        <v>2020</v>
      </c>
      <c r="B86" s="64">
        <f t="shared" si="10"/>
        <v>12</v>
      </c>
      <c r="C86" s="125" t="s">
        <v>4106</v>
      </c>
      <c r="D86" s="168" t="str">
        <f t="shared" si="11"/>
        <v>non maj</v>
      </c>
      <c r="E86" s="292" t="s">
        <v>670</v>
      </c>
      <c r="F86" s="292" t="s">
        <v>1316</v>
      </c>
      <c r="G86" s="221">
        <v>400</v>
      </c>
      <c r="H86" s="222">
        <v>44168</v>
      </c>
      <c r="I86" s="222">
        <v>44169</v>
      </c>
      <c r="J86" s="223" t="s">
        <v>176</v>
      </c>
      <c r="K86" s="222" t="s">
        <v>176</v>
      </c>
      <c r="L86" s="223">
        <v>44172</v>
      </c>
      <c r="M86" s="223">
        <v>44172</v>
      </c>
      <c r="N86" s="223">
        <v>44174</v>
      </c>
      <c r="O86" s="222"/>
      <c r="P86" s="222">
        <v>44200</v>
      </c>
      <c r="Q86" s="222">
        <v>44183</v>
      </c>
      <c r="R86" s="222" t="s">
        <v>2267</v>
      </c>
      <c r="S86" s="222">
        <v>44210</v>
      </c>
      <c r="T86" s="222">
        <v>44210</v>
      </c>
      <c r="U86" s="222">
        <v>44235</v>
      </c>
      <c r="V86" s="224"/>
      <c r="W86" s="222"/>
      <c r="X86" s="225"/>
      <c r="Y86" s="225"/>
      <c r="Z86" s="225"/>
      <c r="AA86" s="225">
        <v>1</v>
      </c>
      <c r="AB86" s="225">
        <v>20971</v>
      </c>
      <c r="AC86" s="225">
        <v>1253</v>
      </c>
      <c r="AD86" s="225" t="s">
        <v>2268</v>
      </c>
      <c r="AE86" s="225">
        <v>38850</v>
      </c>
      <c r="AF86" s="225" t="s">
        <v>1931</v>
      </c>
      <c r="AG86" s="226">
        <v>621653362</v>
      </c>
      <c r="AH86" s="246" t="s">
        <v>2269</v>
      </c>
      <c r="AI86" s="225" t="s">
        <v>1168</v>
      </c>
      <c r="AJ86" s="225"/>
      <c r="AK86" s="225"/>
      <c r="AL86" s="225" t="s">
        <v>176</v>
      </c>
      <c r="AM86" s="225" t="s">
        <v>176</v>
      </c>
      <c r="AN86" s="225" t="s">
        <v>176</v>
      </c>
      <c r="AO86" s="225" t="s">
        <v>176</v>
      </c>
      <c r="AP86" s="225" t="s">
        <v>1874</v>
      </c>
      <c r="AQ86" s="225" t="s">
        <v>1875</v>
      </c>
      <c r="AR86" s="225" t="s">
        <v>1876</v>
      </c>
      <c r="AS86" s="246" t="s">
        <v>1877</v>
      </c>
      <c r="AT86" s="226" t="s">
        <v>434</v>
      </c>
      <c r="AU86" s="225" t="s">
        <v>176</v>
      </c>
      <c r="AV86" s="241" t="s">
        <v>1878</v>
      </c>
      <c r="AW86" s="223">
        <v>44517</v>
      </c>
      <c r="AX86" s="225" t="s">
        <v>4113</v>
      </c>
      <c r="AY86" s="225">
        <v>2001</v>
      </c>
      <c r="AZ86" s="225" t="s">
        <v>4113</v>
      </c>
      <c r="BA86" s="225" t="s">
        <v>267</v>
      </c>
      <c r="BB86" s="225" t="s">
        <v>190</v>
      </c>
      <c r="BC86" s="225" t="s">
        <v>2270</v>
      </c>
      <c r="BD86" s="225">
        <v>19</v>
      </c>
      <c r="BE86" s="225">
        <v>9</v>
      </c>
      <c r="BF86" s="225">
        <v>90.7</v>
      </c>
      <c r="BG86" s="225">
        <v>0.01</v>
      </c>
      <c r="BH86" s="225" t="s">
        <v>1882</v>
      </c>
      <c r="BI86" s="225"/>
      <c r="BJ86" s="225">
        <f>3270+407+118+695+295</f>
        <v>4785</v>
      </c>
      <c r="BK86" s="225"/>
      <c r="BL86" s="225"/>
      <c r="BM86" s="225"/>
      <c r="BN86" s="225">
        <f>890</f>
        <v>890</v>
      </c>
      <c r="BO86" s="225">
        <f t="shared" si="6"/>
        <v>5675</v>
      </c>
      <c r="BP86" s="230">
        <f t="shared" si="7"/>
        <v>312.125</v>
      </c>
      <c r="BQ86" s="230">
        <f t="shared" si="8"/>
        <v>5987.125</v>
      </c>
      <c r="BR86" s="230">
        <v>5987.12</v>
      </c>
      <c r="BS86" s="225" t="s">
        <v>188</v>
      </c>
      <c r="BT86" s="225"/>
      <c r="BU86" s="225"/>
      <c r="BV86" s="301" t="s">
        <v>1900</v>
      </c>
      <c r="BW86" s="301" t="s">
        <v>214</v>
      </c>
      <c r="BX86" s="301" t="s">
        <v>620</v>
      </c>
      <c r="BY86" s="301" t="s">
        <v>176</v>
      </c>
    </row>
    <row r="87" spans="1:77" ht="13.5" customHeight="1">
      <c r="A87" s="64">
        <f t="shared" si="9"/>
        <v>2020</v>
      </c>
      <c r="B87" s="64">
        <f t="shared" si="10"/>
        <v>12</v>
      </c>
      <c r="C87" s="125" t="s">
        <v>4106</v>
      </c>
      <c r="D87" s="168" t="str">
        <f t="shared" si="11"/>
        <v>maj</v>
      </c>
      <c r="E87" s="292" t="s">
        <v>670</v>
      </c>
      <c r="F87" s="292" t="s">
        <v>1317</v>
      </c>
      <c r="G87" s="221">
        <v>800</v>
      </c>
      <c r="H87" s="222">
        <v>44168</v>
      </c>
      <c r="I87" s="222">
        <v>44169</v>
      </c>
      <c r="J87" s="223" t="s">
        <v>176</v>
      </c>
      <c r="K87" s="222" t="s">
        <v>176</v>
      </c>
      <c r="L87" s="223">
        <v>44172</v>
      </c>
      <c r="M87" s="223">
        <v>44172</v>
      </c>
      <c r="N87" s="223">
        <v>44174</v>
      </c>
      <c r="O87" s="222"/>
      <c r="P87" s="222">
        <v>44203</v>
      </c>
      <c r="Q87" s="222">
        <v>44180</v>
      </c>
      <c r="R87" s="222" t="s">
        <v>176</v>
      </c>
      <c r="S87" s="222">
        <v>44204</v>
      </c>
      <c r="T87" s="222">
        <v>44204</v>
      </c>
      <c r="U87" s="222">
        <v>44211</v>
      </c>
      <c r="V87" s="224"/>
      <c r="W87" s="222"/>
      <c r="X87" s="225"/>
      <c r="Y87" s="225"/>
      <c r="Z87" s="225"/>
      <c r="AA87" s="225">
        <v>4</v>
      </c>
      <c r="AB87" s="225">
        <v>37449</v>
      </c>
      <c r="AC87" s="225">
        <v>469</v>
      </c>
      <c r="AD87" s="225" t="s">
        <v>2271</v>
      </c>
      <c r="AE87" s="225">
        <v>38620</v>
      </c>
      <c r="AF87" s="225" t="s">
        <v>2231</v>
      </c>
      <c r="AG87" s="226">
        <v>685551406</v>
      </c>
      <c r="AH87" s="246" t="s">
        <v>2272</v>
      </c>
      <c r="AI87" s="225" t="s">
        <v>1168</v>
      </c>
      <c r="AJ87" s="225"/>
      <c r="AK87" s="225"/>
      <c r="AL87" s="225" t="s">
        <v>176</v>
      </c>
      <c r="AM87" s="225" t="s">
        <v>176</v>
      </c>
      <c r="AN87" s="225" t="s">
        <v>176</v>
      </c>
      <c r="AO87" s="225" t="s">
        <v>176</v>
      </c>
      <c r="AP87" s="225" t="s">
        <v>1874</v>
      </c>
      <c r="AQ87" s="225" t="s">
        <v>1875</v>
      </c>
      <c r="AR87" s="225" t="s">
        <v>1876</v>
      </c>
      <c r="AS87" s="246" t="s">
        <v>1877</v>
      </c>
      <c r="AT87" s="226" t="s">
        <v>434</v>
      </c>
      <c r="AU87" s="225" t="s">
        <v>176</v>
      </c>
      <c r="AV87" s="241" t="s">
        <v>1878</v>
      </c>
      <c r="AW87" s="223">
        <v>44517</v>
      </c>
      <c r="AX87" s="225" t="s">
        <v>1880</v>
      </c>
      <c r="AY87" s="225">
        <v>2001</v>
      </c>
      <c r="AZ87" s="225" t="s">
        <v>1880</v>
      </c>
      <c r="BA87" s="225" t="s">
        <v>267</v>
      </c>
      <c r="BB87" s="225" t="s">
        <v>190</v>
      </c>
      <c r="BC87" s="225" t="s">
        <v>2273</v>
      </c>
      <c r="BD87" s="225">
        <v>11</v>
      </c>
      <c r="BE87" s="225">
        <v>12</v>
      </c>
      <c r="BF87" s="225">
        <v>88.5</v>
      </c>
      <c r="BG87" s="225">
        <v>7.0000000000000001E-3</v>
      </c>
      <c r="BH87" s="225" t="s">
        <v>1882</v>
      </c>
      <c r="BI87" s="225"/>
      <c r="BJ87" s="225">
        <f>4040+996+193+145</f>
        <v>5374</v>
      </c>
      <c r="BK87" s="225"/>
      <c r="BL87" s="225"/>
      <c r="BM87" s="225"/>
      <c r="BN87" s="225">
        <v>590</v>
      </c>
      <c r="BO87" s="225">
        <f t="shared" si="6"/>
        <v>5964</v>
      </c>
      <c r="BP87" s="230">
        <f t="shared" si="7"/>
        <v>328.02</v>
      </c>
      <c r="BQ87" s="230">
        <f t="shared" si="8"/>
        <v>6292.02</v>
      </c>
      <c r="BR87" s="230">
        <v>6292.02</v>
      </c>
      <c r="BS87" s="225" t="s">
        <v>188</v>
      </c>
      <c r="BT87" s="225"/>
      <c r="BU87" s="225"/>
      <c r="BV87" s="301" t="s">
        <v>1900</v>
      </c>
      <c r="BW87" s="301" t="s">
        <v>214</v>
      </c>
      <c r="BX87" s="222" t="s">
        <v>618</v>
      </c>
      <c r="BY87" s="301" t="s">
        <v>176</v>
      </c>
    </row>
    <row r="88" spans="1:77" ht="13.5" customHeight="1">
      <c r="A88" s="64">
        <f t="shared" si="9"/>
        <v>2020</v>
      </c>
      <c r="B88" s="64">
        <f t="shared" si="10"/>
        <v>12</v>
      </c>
      <c r="C88" s="125" t="s">
        <v>4106</v>
      </c>
      <c r="D88" s="168" t="str">
        <f t="shared" si="11"/>
        <v>non maj</v>
      </c>
      <c r="E88" s="292" t="s">
        <v>670</v>
      </c>
      <c r="F88" s="292" t="s">
        <v>1318</v>
      </c>
      <c r="G88" s="221">
        <v>400</v>
      </c>
      <c r="H88" s="222">
        <v>44169</v>
      </c>
      <c r="I88" s="222">
        <v>44172</v>
      </c>
      <c r="J88" s="223" t="s">
        <v>176</v>
      </c>
      <c r="K88" s="222" t="s">
        <v>176</v>
      </c>
      <c r="L88" s="223">
        <v>44172</v>
      </c>
      <c r="M88" s="223">
        <v>44172</v>
      </c>
      <c r="N88" s="223">
        <v>44174</v>
      </c>
      <c r="O88" s="222"/>
      <c r="P88" s="222">
        <v>44239</v>
      </c>
      <c r="Q88" s="222">
        <v>44245</v>
      </c>
      <c r="R88" s="222" t="s">
        <v>176</v>
      </c>
      <c r="S88" s="222">
        <v>44246</v>
      </c>
      <c r="T88" s="222">
        <v>44246</v>
      </c>
      <c r="U88" s="222">
        <v>44252</v>
      </c>
      <c r="V88" s="224"/>
      <c r="W88" s="222"/>
      <c r="X88" s="225"/>
      <c r="Y88" s="225"/>
      <c r="Z88" s="225"/>
      <c r="AA88" s="225">
        <v>2</v>
      </c>
      <c r="AB88" s="225">
        <v>30694</v>
      </c>
      <c r="AC88" s="225">
        <v>451</v>
      </c>
      <c r="AD88" s="225" t="s">
        <v>2274</v>
      </c>
      <c r="AE88" s="225">
        <v>38850</v>
      </c>
      <c r="AF88" s="225" t="s">
        <v>1916</v>
      </c>
      <c r="AG88" s="226">
        <v>476313621</v>
      </c>
      <c r="AH88" s="246" t="s">
        <v>2275</v>
      </c>
      <c r="AI88" s="225" t="s">
        <v>1168</v>
      </c>
      <c r="AJ88" s="225"/>
      <c r="AK88" s="225"/>
      <c r="AL88" s="225" t="s">
        <v>176</v>
      </c>
      <c r="AM88" s="225" t="s">
        <v>176</v>
      </c>
      <c r="AN88" s="225" t="s">
        <v>176</v>
      </c>
      <c r="AO88" s="225" t="s">
        <v>176</v>
      </c>
      <c r="AP88" s="222" t="s">
        <v>587</v>
      </c>
      <c r="AQ88" s="225" t="s">
        <v>225</v>
      </c>
      <c r="AR88" s="225" t="s">
        <v>2026</v>
      </c>
      <c r="AS88" s="241" t="s">
        <v>266</v>
      </c>
      <c r="AT88" s="226">
        <v>476069938</v>
      </c>
      <c r="AU88" s="225" t="s">
        <v>176</v>
      </c>
      <c r="AV88" s="241" t="s">
        <v>188</v>
      </c>
      <c r="AW88" s="223">
        <v>44457</v>
      </c>
      <c r="AX88" s="225" t="s">
        <v>1179</v>
      </c>
      <c r="AY88" s="242">
        <v>1978</v>
      </c>
      <c r="AZ88" s="225" t="s">
        <v>1880</v>
      </c>
      <c r="BA88" s="225" t="s">
        <v>267</v>
      </c>
      <c r="BB88" s="225" t="s">
        <v>433</v>
      </c>
      <c r="BC88" s="225" t="s">
        <v>855</v>
      </c>
      <c r="BD88" s="242">
        <v>14.8</v>
      </c>
      <c r="BE88" s="242">
        <v>7.4</v>
      </c>
      <c r="BF88" s="242">
        <v>92.5</v>
      </c>
      <c r="BG88" s="242">
        <v>1.2E-2</v>
      </c>
      <c r="BH88" s="225" t="s">
        <v>1899</v>
      </c>
      <c r="BI88" s="225"/>
      <c r="BJ88" s="242">
        <f>470+250+2910+190+89+170</f>
        <v>4079</v>
      </c>
      <c r="BK88" s="225"/>
      <c r="BL88" s="225"/>
      <c r="BM88" s="225"/>
      <c r="BN88" s="242">
        <f>450+390+236.97+50</f>
        <v>1126.97</v>
      </c>
      <c r="BO88" s="242">
        <f t="shared" si="6"/>
        <v>5205.97</v>
      </c>
      <c r="BP88" s="242">
        <f t="shared" si="7"/>
        <v>286.32835</v>
      </c>
      <c r="BQ88" s="242">
        <f t="shared" si="8"/>
        <v>5492.29835</v>
      </c>
      <c r="BR88" s="230">
        <v>5492.3</v>
      </c>
      <c r="BS88" s="225" t="s">
        <v>188</v>
      </c>
      <c r="BT88" s="225"/>
      <c r="BU88" s="225"/>
      <c r="BV88" s="301" t="s">
        <v>1900</v>
      </c>
      <c r="BW88" s="301" t="s">
        <v>214</v>
      </c>
      <c r="BX88" s="301" t="s">
        <v>620</v>
      </c>
      <c r="BY88" s="301" t="s">
        <v>176</v>
      </c>
    </row>
    <row r="89" spans="1:77" s="28" customFormat="1" ht="13.5" customHeight="1">
      <c r="A89" s="64">
        <f t="shared" si="9"/>
        <v>2020</v>
      </c>
      <c r="B89" s="64">
        <f t="shared" si="10"/>
        <v>12</v>
      </c>
      <c r="C89" s="125" t="s">
        <v>4106</v>
      </c>
      <c r="D89" s="168" t="str">
        <f t="shared" si="11"/>
        <v>non maj</v>
      </c>
      <c r="E89" s="292" t="s">
        <v>670</v>
      </c>
      <c r="F89" s="292" t="s">
        <v>1320</v>
      </c>
      <c r="G89" s="221">
        <v>400</v>
      </c>
      <c r="H89" s="222">
        <v>44175</v>
      </c>
      <c r="I89" s="222">
        <v>44176</v>
      </c>
      <c r="J89" s="223" t="s">
        <v>176</v>
      </c>
      <c r="K89" s="222" t="s">
        <v>176</v>
      </c>
      <c r="L89" s="223">
        <v>44176</v>
      </c>
      <c r="M89" s="223">
        <v>44176</v>
      </c>
      <c r="N89" s="223">
        <v>44182</v>
      </c>
      <c r="O89" s="222"/>
      <c r="P89" s="222">
        <v>44228</v>
      </c>
      <c r="Q89" s="222">
        <v>44216</v>
      </c>
      <c r="R89" s="222" t="s">
        <v>176</v>
      </c>
      <c r="S89" s="222">
        <v>44229</v>
      </c>
      <c r="T89" s="222">
        <v>44229</v>
      </c>
      <c r="U89" s="222">
        <v>44243</v>
      </c>
      <c r="V89" s="224"/>
      <c r="W89" s="222"/>
      <c r="X89" s="225"/>
      <c r="Y89" s="225"/>
      <c r="Z89" s="225"/>
      <c r="AA89" s="225">
        <v>2</v>
      </c>
      <c r="AB89" s="225">
        <v>48910</v>
      </c>
      <c r="AC89" s="225">
        <v>66</v>
      </c>
      <c r="AD89" s="225" t="s">
        <v>2276</v>
      </c>
      <c r="AE89" s="225">
        <v>38500</v>
      </c>
      <c r="AF89" s="225" t="s">
        <v>225</v>
      </c>
      <c r="AG89" s="226">
        <v>686054322</v>
      </c>
      <c r="AH89" s="246" t="s">
        <v>2277</v>
      </c>
      <c r="AI89" s="225" t="s">
        <v>1168</v>
      </c>
      <c r="AJ89" s="225"/>
      <c r="AK89" s="225"/>
      <c r="AL89" s="225" t="s">
        <v>176</v>
      </c>
      <c r="AM89" s="225" t="s">
        <v>176</v>
      </c>
      <c r="AN89" s="225" t="s">
        <v>176</v>
      </c>
      <c r="AO89" s="225" t="s">
        <v>176</v>
      </c>
      <c r="AP89" s="225" t="s">
        <v>778</v>
      </c>
      <c r="AQ89" s="225" t="s">
        <v>1926</v>
      </c>
      <c r="AR89" s="225" t="s">
        <v>779</v>
      </c>
      <c r="AS89" s="241" t="s">
        <v>251</v>
      </c>
      <c r="AT89" s="226">
        <v>438021901</v>
      </c>
      <c r="AU89" s="225" t="s">
        <v>176</v>
      </c>
      <c r="AV89" s="241" t="s">
        <v>188</v>
      </c>
      <c r="AW89" s="223">
        <v>44276</v>
      </c>
      <c r="AX89" s="225" t="s">
        <v>1880</v>
      </c>
      <c r="AY89" s="225">
        <v>1980</v>
      </c>
      <c r="AZ89" s="225" t="s">
        <v>1880</v>
      </c>
      <c r="BA89" s="225" t="s">
        <v>380</v>
      </c>
      <c r="BB89" s="225" t="s">
        <v>244</v>
      </c>
      <c r="BC89" s="225" t="s">
        <v>2278</v>
      </c>
      <c r="BD89" s="225">
        <v>29</v>
      </c>
      <c r="BE89" s="225">
        <v>8</v>
      </c>
      <c r="BF89" s="225">
        <v>77</v>
      </c>
      <c r="BG89" s="225">
        <v>0.05</v>
      </c>
      <c r="BH89" s="225" t="s">
        <v>1882</v>
      </c>
      <c r="BI89" s="225"/>
      <c r="BJ89" s="225">
        <f>1165+318+91+900+382+91+125+66</f>
        <v>3138</v>
      </c>
      <c r="BK89" s="225"/>
      <c r="BL89" s="225"/>
      <c r="BM89" s="225"/>
      <c r="BN89" s="225">
        <f>891</f>
        <v>891</v>
      </c>
      <c r="BO89" s="225">
        <f t="shared" si="6"/>
        <v>4029</v>
      </c>
      <c r="BP89" s="230">
        <f t="shared" si="7"/>
        <v>221.595</v>
      </c>
      <c r="BQ89" s="230">
        <f t="shared" si="8"/>
        <v>4250.5950000000003</v>
      </c>
      <c r="BR89" s="230">
        <v>3951</v>
      </c>
      <c r="BS89" s="225" t="s">
        <v>188</v>
      </c>
      <c r="BT89" s="225"/>
      <c r="BU89" s="225"/>
      <c r="BV89" s="301" t="s">
        <v>1900</v>
      </c>
      <c r="BW89" s="301" t="s">
        <v>214</v>
      </c>
      <c r="BX89" s="301" t="s">
        <v>620</v>
      </c>
      <c r="BY89" s="301">
        <v>2021</v>
      </c>
    </row>
    <row r="90" spans="1:77" s="28" customFormat="1" ht="13.5" customHeight="1">
      <c r="A90" s="64">
        <f t="shared" si="9"/>
        <v>2020</v>
      </c>
      <c r="B90" s="64">
        <f t="shared" si="10"/>
        <v>12</v>
      </c>
      <c r="C90" s="125" t="s">
        <v>191</v>
      </c>
      <c r="D90" s="168" t="str">
        <f t="shared" si="11"/>
        <v>non maj</v>
      </c>
      <c r="E90" s="292" t="s">
        <v>670</v>
      </c>
      <c r="F90" s="292" t="s">
        <v>1321</v>
      </c>
      <c r="G90" s="221">
        <v>400</v>
      </c>
      <c r="H90" s="222">
        <v>44176</v>
      </c>
      <c r="I90" s="222">
        <v>44179</v>
      </c>
      <c r="J90" s="223" t="s">
        <v>176</v>
      </c>
      <c r="K90" s="222" t="s">
        <v>176</v>
      </c>
      <c r="L90" s="223">
        <v>44179</v>
      </c>
      <c r="M90" s="223">
        <v>44179</v>
      </c>
      <c r="N90" s="223">
        <v>44179</v>
      </c>
      <c r="O90" s="222"/>
      <c r="P90" s="222">
        <v>44306</v>
      </c>
      <c r="Q90" s="222">
        <v>44284</v>
      </c>
      <c r="R90" s="222" t="s">
        <v>176</v>
      </c>
      <c r="S90" s="222">
        <v>44308</v>
      </c>
      <c r="T90" s="222">
        <v>44308</v>
      </c>
      <c r="U90" s="222">
        <v>44328</v>
      </c>
      <c r="V90" s="224"/>
      <c r="W90" s="222"/>
      <c r="X90" s="225"/>
      <c r="Y90" s="225"/>
      <c r="Z90" s="225"/>
      <c r="AA90" s="225">
        <v>3</v>
      </c>
      <c r="AB90" s="225">
        <v>48151</v>
      </c>
      <c r="AC90" s="225">
        <v>23</v>
      </c>
      <c r="AD90" s="225" t="s">
        <v>2235</v>
      </c>
      <c r="AE90" s="225">
        <v>38500</v>
      </c>
      <c r="AF90" s="225" t="s">
        <v>225</v>
      </c>
      <c r="AG90" s="226">
        <v>670612485</v>
      </c>
      <c r="AH90" s="246" t="s">
        <v>2279</v>
      </c>
      <c r="AI90" s="225" t="s">
        <v>1168</v>
      </c>
      <c r="AJ90" s="225"/>
      <c r="AK90" s="225"/>
      <c r="AL90" s="225" t="s">
        <v>176</v>
      </c>
      <c r="AM90" s="225" t="s">
        <v>176</v>
      </c>
      <c r="AN90" s="225" t="s">
        <v>176</v>
      </c>
      <c r="AO90" s="225" t="s">
        <v>176</v>
      </c>
      <c r="AP90" s="222" t="s">
        <v>818</v>
      </c>
      <c r="AQ90" s="225" t="s">
        <v>225</v>
      </c>
      <c r="AR90" s="225" t="s">
        <v>1973</v>
      </c>
      <c r="AS90" s="241" t="s">
        <v>1974</v>
      </c>
      <c r="AT90" s="226">
        <v>476323235</v>
      </c>
      <c r="AU90" s="225" t="s">
        <v>176</v>
      </c>
      <c r="AV90" s="241" t="s">
        <v>188</v>
      </c>
      <c r="AW90" s="223">
        <v>44429</v>
      </c>
      <c r="AX90" s="225" t="s">
        <v>1880</v>
      </c>
      <c r="AY90" s="225">
        <v>1998</v>
      </c>
      <c r="AZ90" s="225" t="s">
        <v>1880</v>
      </c>
      <c r="BA90" s="225" t="s">
        <v>267</v>
      </c>
      <c r="BB90" s="225" t="s">
        <v>221</v>
      </c>
      <c r="BC90" s="225" t="s">
        <v>2280</v>
      </c>
      <c r="BD90" s="225">
        <v>17</v>
      </c>
      <c r="BE90" s="225">
        <v>8.1</v>
      </c>
      <c r="BF90" s="225">
        <v>90.9</v>
      </c>
      <c r="BG90" s="225">
        <v>2E-3</v>
      </c>
      <c r="BH90" s="225" t="s">
        <v>1882</v>
      </c>
      <c r="BI90" s="225"/>
      <c r="BJ90" s="225">
        <f>2493+168+135+48+88+165+135</f>
        <v>3232</v>
      </c>
      <c r="BK90" s="225"/>
      <c r="BL90" s="225"/>
      <c r="BM90" s="225"/>
      <c r="BN90" s="225">
        <f>60+380</f>
        <v>440</v>
      </c>
      <c r="BO90" s="225">
        <f t="shared" si="6"/>
        <v>3672</v>
      </c>
      <c r="BP90" s="230">
        <f t="shared" si="7"/>
        <v>201.96</v>
      </c>
      <c r="BQ90" s="230">
        <f t="shared" si="8"/>
        <v>3873.96</v>
      </c>
      <c r="BR90" s="230">
        <v>3876.96</v>
      </c>
      <c r="BS90" s="225" t="s">
        <v>188</v>
      </c>
      <c r="BT90" s="225"/>
      <c r="BU90" s="225"/>
      <c r="BV90" s="301" t="s">
        <v>1981</v>
      </c>
      <c r="BW90" s="301" t="s">
        <v>214</v>
      </c>
      <c r="BX90" s="301" t="s">
        <v>620</v>
      </c>
      <c r="BY90" s="301" t="s">
        <v>176</v>
      </c>
    </row>
    <row r="91" spans="1:77" s="28" customFormat="1" ht="13.5" customHeight="1">
      <c r="A91" s="64">
        <f t="shared" si="9"/>
        <v>2020</v>
      </c>
      <c r="B91" s="64">
        <f t="shared" si="10"/>
        <v>12</v>
      </c>
      <c r="C91" s="125" t="s">
        <v>191</v>
      </c>
      <c r="D91" s="168" t="str">
        <f t="shared" si="11"/>
        <v>maj</v>
      </c>
      <c r="E91" s="292" t="s">
        <v>670</v>
      </c>
      <c r="F91" s="292" t="s">
        <v>1322</v>
      </c>
      <c r="G91" s="221">
        <v>800</v>
      </c>
      <c r="H91" s="222">
        <v>44177</v>
      </c>
      <c r="I91" s="222">
        <v>44179</v>
      </c>
      <c r="J91" s="223">
        <v>44179</v>
      </c>
      <c r="K91" s="222" t="s">
        <v>2281</v>
      </c>
      <c r="L91" s="223">
        <v>44186</v>
      </c>
      <c r="M91" s="223">
        <v>44186</v>
      </c>
      <c r="N91" s="223">
        <v>44223</v>
      </c>
      <c r="O91" s="222"/>
      <c r="P91" s="222">
        <v>44467</v>
      </c>
      <c r="Q91" s="222">
        <v>44376</v>
      </c>
      <c r="R91" s="222" t="s">
        <v>176</v>
      </c>
      <c r="S91" s="222">
        <v>44469</v>
      </c>
      <c r="T91" s="222">
        <v>44469</v>
      </c>
      <c r="U91" s="222">
        <v>44469</v>
      </c>
      <c r="V91" s="224"/>
      <c r="W91" s="222"/>
      <c r="X91" s="225"/>
      <c r="Y91" s="225"/>
      <c r="Z91" s="225"/>
      <c r="AA91" s="225">
        <v>1</v>
      </c>
      <c r="AB91" s="225">
        <v>15437</v>
      </c>
      <c r="AC91" s="225">
        <v>799</v>
      </c>
      <c r="AD91" s="225" t="s">
        <v>2282</v>
      </c>
      <c r="AE91" s="225">
        <v>38960</v>
      </c>
      <c r="AF91" s="225" t="s">
        <v>1964</v>
      </c>
      <c r="AG91" s="226">
        <v>677472320</v>
      </c>
      <c r="AH91" s="246" t="s">
        <v>2283</v>
      </c>
      <c r="AI91" s="225" t="s">
        <v>1168</v>
      </c>
      <c r="AJ91" s="225"/>
      <c r="AK91" s="225"/>
      <c r="AL91" s="225" t="s">
        <v>176</v>
      </c>
      <c r="AM91" s="225" t="s">
        <v>176</v>
      </c>
      <c r="AN91" s="225" t="s">
        <v>176</v>
      </c>
      <c r="AO91" s="225" t="s">
        <v>176</v>
      </c>
      <c r="AP91" s="222" t="s">
        <v>587</v>
      </c>
      <c r="AQ91" s="225" t="s">
        <v>225</v>
      </c>
      <c r="AR91" s="225" t="s">
        <v>2026</v>
      </c>
      <c r="AS91" s="241" t="s">
        <v>266</v>
      </c>
      <c r="AT91" s="226">
        <v>476069938</v>
      </c>
      <c r="AU91" s="225" t="s">
        <v>176</v>
      </c>
      <c r="AV91" s="241" t="s">
        <v>188</v>
      </c>
      <c r="AW91" s="223">
        <v>44457</v>
      </c>
      <c r="AX91" s="225" t="s">
        <v>1179</v>
      </c>
      <c r="AY91" s="242" t="s">
        <v>1967</v>
      </c>
      <c r="AZ91" s="225" t="s">
        <v>1880</v>
      </c>
      <c r="BA91" s="225" t="s">
        <v>380</v>
      </c>
      <c r="BB91" s="225" t="s">
        <v>280</v>
      </c>
      <c r="BC91" s="225" t="s">
        <v>2284</v>
      </c>
      <c r="BD91" s="242">
        <v>40</v>
      </c>
      <c r="BE91" s="242">
        <v>6</v>
      </c>
      <c r="BF91" s="242">
        <v>83</v>
      </c>
      <c r="BG91" s="242">
        <v>7.0000000000000007E-2</v>
      </c>
      <c r="BH91" s="225" t="s">
        <v>1882</v>
      </c>
      <c r="BI91" s="225"/>
      <c r="BJ91" s="242">
        <f>2680+590+250+2590+89</f>
        <v>6199</v>
      </c>
      <c r="BK91" s="225"/>
      <c r="BL91" s="225"/>
      <c r="BM91" s="225"/>
      <c r="BN91" s="242">
        <v>300</v>
      </c>
      <c r="BO91" s="242">
        <f t="shared" si="6"/>
        <v>6499</v>
      </c>
      <c r="BP91" s="242">
        <f t="shared" si="7"/>
        <v>357.44499999999999</v>
      </c>
      <c r="BQ91" s="242">
        <f t="shared" si="8"/>
        <v>6856.4449999999997</v>
      </c>
      <c r="BR91" s="230">
        <v>6856.45</v>
      </c>
      <c r="BS91" s="225" t="s">
        <v>188</v>
      </c>
      <c r="BT91" s="225"/>
      <c r="BU91" s="225"/>
      <c r="BV91" s="301" t="s">
        <v>1981</v>
      </c>
      <c r="BW91" s="301" t="s">
        <v>214</v>
      </c>
      <c r="BX91" s="222" t="s">
        <v>618</v>
      </c>
      <c r="BY91" s="301">
        <v>2021</v>
      </c>
    </row>
    <row r="92" spans="1:77" s="28" customFormat="1" ht="13.5" customHeight="1">
      <c r="A92" s="64">
        <f t="shared" si="9"/>
        <v>2021</v>
      </c>
      <c r="B92" s="64">
        <f t="shared" si="10"/>
        <v>1</v>
      </c>
      <c r="C92" s="125" t="s">
        <v>191</v>
      </c>
      <c r="D92" s="168" t="str">
        <f t="shared" si="11"/>
        <v>non maj</v>
      </c>
      <c r="E92" s="232" t="s">
        <v>670</v>
      </c>
      <c r="F92" s="232" t="s">
        <v>1323</v>
      </c>
      <c r="G92" s="221">
        <v>400</v>
      </c>
      <c r="H92" s="222">
        <v>44186</v>
      </c>
      <c r="I92" s="222">
        <v>44187</v>
      </c>
      <c r="J92" s="223">
        <v>44201</v>
      </c>
      <c r="K92" s="222" t="s">
        <v>2285</v>
      </c>
      <c r="L92" s="223">
        <v>44222</v>
      </c>
      <c r="M92" s="223">
        <v>44222</v>
      </c>
      <c r="N92" s="223">
        <v>44229</v>
      </c>
      <c r="O92" s="222"/>
      <c r="P92" s="222">
        <v>44572</v>
      </c>
      <c r="Q92" s="222">
        <v>44383</v>
      </c>
      <c r="R92" s="222" t="s">
        <v>2286</v>
      </c>
      <c r="S92" s="222">
        <v>44650</v>
      </c>
      <c r="T92" s="222">
        <v>44650</v>
      </c>
      <c r="U92" s="222">
        <v>44652</v>
      </c>
      <c r="V92" s="224"/>
      <c r="W92" s="222"/>
      <c r="X92" s="225"/>
      <c r="Y92" s="225"/>
      <c r="Z92" s="225"/>
      <c r="AA92" s="225">
        <v>5</v>
      </c>
      <c r="AB92" s="225">
        <v>98055</v>
      </c>
      <c r="AC92" s="225">
        <v>620</v>
      </c>
      <c r="AD92" s="225" t="s">
        <v>2287</v>
      </c>
      <c r="AE92" s="225">
        <v>38500</v>
      </c>
      <c r="AF92" s="225" t="s">
        <v>271</v>
      </c>
      <c r="AG92" s="226">
        <v>687354321</v>
      </c>
      <c r="AH92" s="246" t="s">
        <v>2288</v>
      </c>
      <c r="AI92" s="225" t="s">
        <v>1168</v>
      </c>
      <c r="AJ92" s="225"/>
      <c r="AK92" s="225"/>
      <c r="AL92" s="225" t="s">
        <v>176</v>
      </c>
      <c r="AM92" s="225" t="s">
        <v>176</v>
      </c>
      <c r="AN92" s="225" t="s">
        <v>176</v>
      </c>
      <c r="AO92" s="225" t="s">
        <v>176</v>
      </c>
      <c r="AP92" s="225" t="s">
        <v>675</v>
      </c>
      <c r="AQ92" s="225" t="s">
        <v>225</v>
      </c>
      <c r="AR92" s="225" t="s">
        <v>1948</v>
      </c>
      <c r="AS92" s="241" t="s">
        <v>673</v>
      </c>
      <c r="AT92" s="226">
        <v>951096343</v>
      </c>
      <c r="AU92" s="225" t="s">
        <v>176</v>
      </c>
      <c r="AV92" s="241" t="s">
        <v>188</v>
      </c>
      <c r="AW92" s="223">
        <v>44433</v>
      </c>
      <c r="AX92" s="225" t="s">
        <v>1879</v>
      </c>
      <c r="AY92" s="225" t="s">
        <v>1967</v>
      </c>
      <c r="AZ92" s="225" t="s">
        <v>4113</v>
      </c>
      <c r="BA92" s="225" t="s">
        <v>380</v>
      </c>
      <c r="BB92" s="225" t="s">
        <v>594</v>
      </c>
      <c r="BC92" s="225" t="s">
        <v>2289</v>
      </c>
      <c r="BD92" s="225">
        <v>31</v>
      </c>
      <c r="BE92" s="225">
        <v>9.6999999999999993</v>
      </c>
      <c r="BF92" s="225">
        <v>75</v>
      </c>
      <c r="BG92" s="225">
        <v>0.11</v>
      </c>
      <c r="BH92" s="225" t="s">
        <v>1882</v>
      </c>
      <c r="BI92" s="225"/>
      <c r="BJ92" s="225">
        <f>2950+480+450+850.42+693.25+268.06+72.83</f>
        <v>5764.56</v>
      </c>
      <c r="BK92" s="225"/>
      <c r="BL92" s="225"/>
      <c r="BM92" s="225"/>
      <c r="BN92" s="225">
        <f>1029</f>
        <v>1029</v>
      </c>
      <c r="BO92" s="225">
        <f t="shared" si="6"/>
        <v>6793.56</v>
      </c>
      <c r="BP92" s="230">
        <f t="shared" si="7"/>
        <v>373.64580000000001</v>
      </c>
      <c r="BQ92" s="230">
        <f t="shared" si="8"/>
        <v>7167.2058000000006</v>
      </c>
      <c r="BR92" s="230">
        <v>7000</v>
      </c>
      <c r="BS92" s="225" t="s">
        <v>188</v>
      </c>
      <c r="BT92" s="225"/>
      <c r="BU92" s="225"/>
      <c r="BV92" s="301" t="s">
        <v>1981</v>
      </c>
      <c r="BW92" s="301" t="s">
        <v>214</v>
      </c>
      <c r="BX92" s="301" t="s">
        <v>620</v>
      </c>
      <c r="BY92" s="301">
        <v>2021</v>
      </c>
    </row>
    <row r="93" spans="1:77" s="28" customFormat="1" ht="13.5" customHeight="1">
      <c r="A93" s="64">
        <f t="shared" si="9"/>
        <v>2021</v>
      </c>
      <c r="B93" s="64">
        <f t="shared" si="10"/>
        <v>4</v>
      </c>
      <c r="C93" s="125" t="s">
        <v>191</v>
      </c>
      <c r="D93" s="168" t="str">
        <f t="shared" si="11"/>
        <v>maj</v>
      </c>
      <c r="E93" s="292" t="s">
        <v>670</v>
      </c>
      <c r="F93" s="292" t="s">
        <v>1325</v>
      </c>
      <c r="G93" s="221">
        <v>800</v>
      </c>
      <c r="H93" s="222">
        <v>44186</v>
      </c>
      <c r="I93" s="222">
        <v>44187</v>
      </c>
      <c r="J93" s="223">
        <v>44204</v>
      </c>
      <c r="K93" s="222" t="s">
        <v>2290</v>
      </c>
      <c r="L93" s="223">
        <v>44302</v>
      </c>
      <c r="M93" s="223">
        <v>44302</v>
      </c>
      <c r="N93" s="223">
        <v>44309</v>
      </c>
      <c r="O93" s="222"/>
      <c r="P93" s="222">
        <v>44344</v>
      </c>
      <c r="Q93" s="222">
        <v>44257</v>
      </c>
      <c r="R93" s="222" t="s">
        <v>2291</v>
      </c>
      <c r="S93" s="222">
        <v>44347</v>
      </c>
      <c r="T93" s="222">
        <v>44347</v>
      </c>
      <c r="U93" s="222">
        <v>44372</v>
      </c>
      <c r="V93" s="224"/>
      <c r="W93" s="222"/>
      <c r="X93" s="225"/>
      <c r="Y93" s="225"/>
      <c r="Z93" s="225"/>
      <c r="AA93" s="225">
        <v>2</v>
      </c>
      <c r="AB93" s="225">
        <v>18509</v>
      </c>
      <c r="AC93" s="225">
        <v>387</v>
      </c>
      <c r="AD93" s="225" t="s">
        <v>2292</v>
      </c>
      <c r="AE93" s="225">
        <v>38134</v>
      </c>
      <c r="AF93" s="225" t="s">
        <v>2134</v>
      </c>
      <c r="AG93" s="226">
        <v>612379166</v>
      </c>
      <c r="AH93" s="246" t="s">
        <v>2293</v>
      </c>
      <c r="AI93" s="225" t="s">
        <v>1168</v>
      </c>
      <c r="AJ93" s="225"/>
      <c r="AK93" s="225"/>
      <c r="AL93" s="225" t="s">
        <v>176</v>
      </c>
      <c r="AM93" s="225" t="s">
        <v>176</v>
      </c>
      <c r="AN93" s="225" t="s">
        <v>176</v>
      </c>
      <c r="AO93" s="225" t="s">
        <v>176</v>
      </c>
      <c r="AP93" s="225" t="s">
        <v>942</v>
      </c>
      <c r="AQ93" s="225" t="s">
        <v>2167</v>
      </c>
      <c r="AR93" s="225" t="s">
        <v>2294</v>
      </c>
      <c r="AS93" s="241" t="s">
        <v>2295</v>
      </c>
      <c r="AT93" s="226">
        <v>479262569</v>
      </c>
      <c r="AU93" s="225" t="s">
        <v>176</v>
      </c>
      <c r="AV93" s="241" t="s">
        <v>188</v>
      </c>
      <c r="AW93" s="223">
        <v>44418</v>
      </c>
      <c r="AX93" s="225" t="s">
        <v>4113</v>
      </c>
      <c r="AY93" s="225" t="s">
        <v>1967</v>
      </c>
      <c r="AZ93" s="225" t="s">
        <v>1880</v>
      </c>
      <c r="BA93" s="225" t="s">
        <v>380</v>
      </c>
      <c r="BB93" s="225" t="s">
        <v>707</v>
      </c>
      <c r="BC93" s="225" t="s">
        <v>2296</v>
      </c>
      <c r="BD93" s="225">
        <v>8</v>
      </c>
      <c r="BE93" s="225">
        <v>7.7</v>
      </c>
      <c r="BF93" s="225">
        <v>82</v>
      </c>
      <c r="BG93" s="225">
        <v>0.1</v>
      </c>
      <c r="BH93" s="225" t="s">
        <v>1882</v>
      </c>
      <c r="BI93" s="225"/>
      <c r="BJ93" s="225">
        <f>1630+750</f>
        <v>2380</v>
      </c>
      <c r="BK93" s="225"/>
      <c r="BL93" s="225"/>
      <c r="BM93" s="225"/>
      <c r="BN93" s="225">
        <f>180+650</f>
        <v>830</v>
      </c>
      <c r="BO93" s="225">
        <f t="shared" si="6"/>
        <v>3210</v>
      </c>
      <c r="BP93" s="230">
        <f t="shared" si="7"/>
        <v>176.55</v>
      </c>
      <c r="BQ93" s="230">
        <f t="shared" si="8"/>
        <v>3386.55</v>
      </c>
      <c r="BR93" s="230">
        <v>3386.55</v>
      </c>
      <c r="BS93" s="225" t="s">
        <v>191</v>
      </c>
      <c r="BT93" s="225"/>
      <c r="BU93" s="225"/>
      <c r="BV93" s="301" t="s">
        <v>1981</v>
      </c>
      <c r="BW93" s="301" t="s">
        <v>214</v>
      </c>
      <c r="BX93" s="222" t="s">
        <v>618</v>
      </c>
      <c r="BY93" s="301">
        <v>2021</v>
      </c>
    </row>
    <row r="94" spans="1:77" ht="13.5" customHeight="1">
      <c r="A94" s="64">
        <f t="shared" si="9"/>
        <v>2021</v>
      </c>
      <c r="B94" s="64">
        <f t="shared" si="10"/>
        <v>1</v>
      </c>
      <c r="C94" s="125" t="s">
        <v>4106</v>
      </c>
      <c r="D94" s="168" t="str">
        <f t="shared" si="11"/>
        <v>non maj</v>
      </c>
      <c r="E94" s="292" t="s">
        <v>670</v>
      </c>
      <c r="F94" s="292" t="s">
        <v>1326</v>
      </c>
      <c r="G94" s="221">
        <v>400</v>
      </c>
      <c r="H94" s="222">
        <v>44186</v>
      </c>
      <c r="I94" s="222">
        <v>44187</v>
      </c>
      <c r="J94" s="223" t="s">
        <v>176</v>
      </c>
      <c r="K94" s="222" t="s">
        <v>176</v>
      </c>
      <c r="L94" s="223">
        <v>44204</v>
      </c>
      <c r="M94" s="223">
        <v>44204</v>
      </c>
      <c r="N94" s="223">
        <v>44211</v>
      </c>
      <c r="O94" s="222"/>
      <c r="P94" s="222">
        <v>44249</v>
      </c>
      <c r="Q94" s="222">
        <v>44236</v>
      </c>
      <c r="R94" s="222" t="s">
        <v>176</v>
      </c>
      <c r="S94" s="222">
        <v>44252</v>
      </c>
      <c r="T94" s="222">
        <v>44252</v>
      </c>
      <c r="U94" s="222">
        <v>44264</v>
      </c>
      <c r="V94" s="224"/>
      <c r="W94" s="222"/>
      <c r="X94" s="225"/>
      <c r="Y94" s="225"/>
      <c r="Z94" s="225"/>
      <c r="AA94" s="225">
        <v>2</v>
      </c>
      <c r="AB94" s="225">
        <v>76086</v>
      </c>
      <c r="AC94" s="225">
        <v>41</v>
      </c>
      <c r="AD94" s="225" t="s">
        <v>986</v>
      </c>
      <c r="AE94" s="225">
        <v>38500</v>
      </c>
      <c r="AF94" s="225" t="s">
        <v>2297</v>
      </c>
      <c r="AG94" s="226">
        <v>679299484</v>
      </c>
      <c r="AH94" s="246" t="s">
        <v>2298</v>
      </c>
      <c r="AI94" s="225" t="s">
        <v>1168</v>
      </c>
      <c r="AJ94" s="225"/>
      <c r="AK94" s="225"/>
      <c r="AL94" s="225" t="s">
        <v>176</v>
      </c>
      <c r="AM94" s="225" t="s">
        <v>176</v>
      </c>
      <c r="AN94" s="225" t="s">
        <v>176</v>
      </c>
      <c r="AO94" s="225" t="s">
        <v>176</v>
      </c>
      <c r="AP94" s="222" t="s">
        <v>587</v>
      </c>
      <c r="AQ94" s="225" t="s">
        <v>225</v>
      </c>
      <c r="AR94" s="225" t="s">
        <v>2026</v>
      </c>
      <c r="AS94" s="241" t="s">
        <v>266</v>
      </c>
      <c r="AT94" s="226">
        <v>476069938</v>
      </c>
      <c r="AU94" s="225" t="s">
        <v>176</v>
      </c>
      <c r="AV94" s="241" t="s">
        <v>188</v>
      </c>
      <c r="AW94" s="223">
        <v>44457</v>
      </c>
      <c r="AX94" s="225" t="s">
        <v>1879</v>
      </c>
      <c r="AY94" s="242">
        <v>1985</v>
      </c>
      <c r="AZ94" s="225" t="s">
        <v>4113</v>
      </c>
      <c r="BA94" s="225" t="s">
        <v>380</v>
      </c>
      <c r="BB94" s="225" t="s">
        <v>2105</v>
      </c>
      <c r="BC94" s="225" t="s">
        <v>2299</v>
      </c>
      <c r="BD94" s="242">
        <v>30</v>
      </c>
      <c r="BE94" s="242">
        <v>8</v>
      </c>
      <c r="BF94" s="242">
        <v>85</v>
      </c>
      <c r="BG94" s="242">
        <v>7.0000000000000007E-2</v>
      </c>
      <c r="BH94" s="225" t="s">
        <v>1882</v>
      </c>
      <c r="BI94" s="225"/>
      <c r="BJ94" s="242">
        <f>4139.16+290+990+590+89</f>
        <v>6098.16</v>
      </c>
      <c r="BK94" s="225"/>
      <c r="BL94" s="225"/>
      <c r="BM94" s="225"/>
      <c r="BN94" s="242">
        <f>690+790+450</f>
        <v>1930</v>
      </c>
      <c r="BO94" s="242">
        <f t="shared" si="6"/>
        <v>8028.16</v>
      </c>
      <c r="BP94" s="242">
        <f t="shared" si="7"/>
        <v>441.54879999999997</v>
      </c>
      <c r="BQ94" s="242">
        <f t="shared" si="8"/>
        <v>8469.7088000000003</v>
      </c>
      <c r="BR94" s="230">
        <v>8469.7099999999991</v>
      </c>
      <c r="BS94" s="225" t="s">
        <v>188</v>
      </c>
      <c r="BT94" s="225"/>
      <c r="BU94" s="225"/>
      <c r="BV94" s="301" t="s">
        <v>1900</v>
      </c>
      <c r="BW94" s="301" t="s">
        <v>214</v>
      </c>
      <c r="BX94" s="301" t="s">
        <v>620</v>
      </c>
      <c r="BY94" s="301">
        <v>2021</v>
      </c>
    </row>
    <row r="95" spans="1:77" s="28" customFormat="1" ht="13.5" customHeight="1">
      <c r="A95" s="64">
        <f t="shared" si="9"/>
        <v>2021</v>
      </c>
      <c r="B95" s="64">
        <f t="shared" si="10"/>
        <v>1</v>
      </c>
      <c r="C95" s="125" t="s">
        <v>4106</v>
      </c>
      <c r="D95" s="168" t="str">
        <f t="shared" si="11"/>
        <v>maj</v>
      </c>
      <c r="E95" s="292" t="s">
        <v>670</v>
      </c>
      <c r="F95" s="292" t="s">
        <v>1327</v>
      </c>
      <c r="G95" s="221">
        <v>800</v>
      </c>
      <c r="H95" s="222">
        <v>44186</v>
      </c>
      <c r="I95" s="222">
        <v>44187</v>
      </c>
      <c r="J95" s="223" t="s">
        <v>176</v>
      </c>
      <c r="K95" s="222" t="s">
        <v>176</v>
      </c>
      <c r="L95" s="223">
        <v>44204</v>
      </c>
      <c r="M95" s="223">
        <v>44204</v>
      </c>
      <c r="N95" s="223">
        <v>44211</v>
      </c>
      <c r="O95" s="222"/>
      <c r="P95" s="222">
        <v>44257</v>
      </c>
      <c r="Q95" s="222">
        <v>44237</v>
      </c>
      <c r="R95" s="222" t="s">
        <v>176</v>
      </c>
      <c r="S95" s="222">
        <v>44259</v>
      </c>
      <c r="T95" s="222">
        <v>44259</v>
      </c>
      <c r="U95" s="222">
        <v>44270</v>
      </c>
      <c r="V95" s="224"/>
      <c r="W95" s="222"/>
      <c r="X95" s="225"/>
      <c r="Y95" s="225"/>
      <c r="Z95" s="225"/>
      <c r="AA95" s="225">
        <v>6</v>
      </c>
      <c r="AB95" s="225">
        <v>43548</v>
      </c>
      <c r="AC95" s="225">
        <v>36</v>
      </c>
      <c r="AD95" s="225" t="s">
        <v>2300</v>
      </c>
      <c r="AE95" s="225">
        <v>38850</v>
      </c>
      <c r="AF95" s="225" t="s">
        <v>1931</v>
      </c>
      <c r="AG95" s="226">
        <v>663118921</v>
      </c>
      <c r="AH95" s="246" t="s">
        <v>2301</v>
      </c>
      <c r="AI95" s="225" t="s">
        <v>1168</v>
      </c>
      <c r="AJ95" s="225"/>
      <c r="AK95" s="225"/>
      <c r="AL95" s="225" t="s">
        <v>176</v>
      </c>
      <c r="AM95" s="225" t="s">
        <v>176</v>
      </c>
      <c r="AN95" s="225" t="s">
        <v>176</v>
      </c>
      <c r="AO95" s="225" t="s">
        <v>176</v>
      </c>
      <c r="AP95" s="225" t="s">
        <v>1909</v>
      </c>
      <c r="AQ95" s="225" t="s">
        <v>1910</v>
      </c>
      <c r="AR95" s="225" t="s">
        <v>781</v>
      </c>
      <c r="AS95" s="246" t="s">
        <v>1911</v>
      </c>
      <c r="AT95" s="226">
        <v>474937373</v>
      </c>
      <c r="AU95" s="225" t="s">
        <v>176</v>
      </c>
      <c r="AV95" s="241" t="s">
        <v>188</v>
      </c>
      <c r="AW95" s="223">
        <v>44314</v>
      </c>
      <c r="AX95" s="225" t="s">
        <v>1879</v>
      </c>
      <c r="AY95" s="225">
        <v>1980</v>
      </c>
      <c r="AZ95" s="225" t="s">
        <v>1880</v>
      </c>
      <c r="BA95" s="225" t="s">
        <v>267</v>
      </c>
      <c r="BB95" s="225" t="s">
        <v>279</v>
      </c>
      <c r="BC95" s="225" t="s">
        <v>2302</v>
      </c>
      <c r="BD95" s="225">
        <v>11</v>
      </c>
      <c r="BE95" s="225">
        <v>10</v>
      </c>
      <c r="BF95" s="225">
        <v>91.2</v>
      </c>
      <c r="BG95" s="225">
        <v>0.01</v>
      </c>
      <c r="BH95" s="225" t="s">
        <v>1899</v>
      </c>
      <c r="BI95" s="225"/>
      <c r="BJ95" s="225">
        <f>3940+240+150</f>
        <v>4330</v>
      </c>
      <c r="BK95" s="225"/>
      <c r="BL95" s="225"/>
      <c r="BM95" s="225"/>
      <c r="BN95" s="225">
        <f>900+500</f>
        <v>1400</v>
      </c>
      <c r="BO95" s="225">
        <f t="shared" si="6"/>
        <v>5730</v>
      </c>
      <c r="BP95" s="230">
        <f t="shared" si="7"/>
        <v>315.14999999999998</v>
      </c>
      <c r="BQ95" s="230">
        <f t="shared" si="8"/>
        <v>6045.15</v>
      </c>
      <c r="BR95" s="230">
        <v>6045.15</v>
      </c>
      <c r="BS95" s="225" t="s">
        <v>191</v>
      </c>
      <c r="BT95" s="225"/>
      <c r="BU95" s="225"/>
      <c r="BV95" s="301" t="s">
        <v>1900</v>
      </c>
      <c r="BW95" s="301" t="s">
        <v>214</v>
      </c>
      <c r="BX95" s="222" t="s">
        <v>618</v>
      </c>
      <c r="BY95" s="301" t="s">
        <v>176</v>
      </c>
    </row>
    <row r="96" spans="1:77" s="12" customFormat="1" ht="13.5" customHeight="1">
      <c r="A96" s="64">
        <f t="shared" si="9"/>
        <v>2021</v>
      </c>
      <c r="B96" s="64">
        <f t="shared" si="10"/>
        <v>1</v>
      </c>
      <c r="C96" s="125" t="s">
        <v>191</v>
      </c>
      <c r="D96" s="168" t="str">
        <f t="shared" si="11"/>
        <v>non maj</v>
      </c>
      <c r="E96" s="292" t="s">
        <v>670</v>
      </c>
      <c r="F96" s="292" t="s">
        <v>1328</v>
      </c>
      <c r="G96" s="221">
        <v>400</v>
      </c>
      <c r="H96" s="222">
        <v>44187</v>
      </c>
      <c r="I96" s="222">
        <v>44187</v>
      </c>
      <c r="J96" s="223">
        <v>44204</v>
      </c>
      <c r="K96" s="222" t="s">
        <v>2101</v>
      </c>
      <c r="L96" s="223">
        <v>44204</v>
      </c>
      <c r="M96" s="223">
        <v>44204</v>
      </c>
      <c r="N96" s="223">
        <v>44211</v>
      </c>
      <c r="O96" s="222"/>
      <c r="P96" s="222">
        <v>44364</v>
      </c>
      <c r="Q96" s="222">
        <v>44357</v>
      </c>
      <c r="R96" s="222" t="s">
        <v>176</v>
      </c>
      <c r="S96" s="222">
        <v>44368</v>
      </c>
      <c r="T96" s="222">
        <v>44368</v>
      </c>
      <c r="U96" s="222">
        <v>44378</v>
      </c>
      <c r="V96" s="224"/>
      <c r="W96" s="222"/>
      <c r="X96" s="225"/>
      <c r="Y96" s="225"/>
      <c r="Z96" s="225"/>
      <c r="AA96" s="225">
        <v>2</v>
      </c>
      <c r="AB96" s="225">
        <f>32569+13574</f>
        <v>46143</v>
      </c>
      <c r="AC96" s="225">
        <v>467</v>
      </c>
      <c r="AD96" s="225" t="s">
        <v>2303</v>
      </c>
      <c r="AE96" s="225">
        <v>38850</v>
      </c>
      <c r="AF96" s="225" t="s">
        <v>1931</v>
      </c>
      <c r="AG96" s="226">
        <v>675070073</v>
      </c>
      <c r="AH96" s="246" t="s">
        <v>2304</v>
      </c>
      <c r="AI96" s="225" t="s">
        <v>1168</v>
      </c>
      <c r="AJ96" s="225"/>
      <c r="AK96" s="225"/>
      <c r="AL96" s="225" t="s">
        <v>176</v>
      </c>
      <c r="AM96" s="225" t="s">
        <v>176</v>
      </c>
      <c r="AN96" s="225" t="s">
        <v>176</v>
      </c>
      <c r="AO96" s="225" t="s">
        <v>176</v>
      </c>
      <c r="AP96" s="225" t="s">
        <v>579</v>
      </c>
      <c r="AQ96" s="225" t="s">
        <v>1895</v>
      </c>
      <c r="AR96" s="225" t="s">
        <v>1896</v>
      </c>
      <c r="AS96" s="241" t="s">
        <v>201</v>
      </c>
      <c r="AT96" s="226">
        <v>608287337</v>
      </c>
      <c r="AU96" s="225" t="s">
        <v>176</v>
      </c>
      <c r="AV96" s="241" t="s">
        <v>188</v>
      </c>
      <c r="AW96" s="223">
        <v>44417</v>
      </c>
      <c r="AX96" s="225" t="s">
        <v>4113</v>
      </c>
      <c r="AY96" s="225">
        <v>1987</v>
      </c>
      <c r="AZ96" s="225" t="s">
        <v>1880</v>
      </c>
      <c r="BA96" s="225" t="s">
        <v>267</v>
      </c>
      <c r="BB96" s="225" t="s">
        <v>433</v>
      </c>
      <c r="BC96" s="225" t="s">
        <v>2305</v>
      </c>
      <c r="BD96" s="225">
        <v>14.8</v>
      </c>
      <c r="BE96" s="225">
        <v>7.4</v>
      </c>
      <c r="BF96" s="225">
        <v>92.5</v>
      </c>
      <c r="BG96" s="225">
        <v>1.2E-2</v>
      </c>
      <c r="BH96" s="225" t="s">
        <v>1899</v>
      </c>
      <c r="BI96" s="225"/>
      <c r="BJ96" s="225">
        <f>2840+682+200</f>
        <v>3722</v>
      </c>
      <c r="BK96" s="225"/>
      <c r="BL96" s="225"/>
      <c r="BM96" s="225"/>
      <c r="BN96" s="225">
        <v>718</v>
      </c>
      <c r="BO96" s="225">
        <f t="shared" si="6"/>
        <v>4440</v>
      </c>
      <c r="BP96" s="230">
        <f t="shared" si="7"/>
        <v>244.2</v>
      </c>
      <c r="BQ96" s="230">
        <f t="shared" si="8"/>
        <v>4684.2</v>
      </c>
      <c r="BR96" s="230">
        <v>4400</v>
      </c>
      <c r="BS96" s="225" t="s">
        <v>188</v>
      </c>
      <c r="BT96" s="225"/>
      <c r="BU96" s="225"/>
      <c r="BV96" s="301" t="s">
        <v>1981</v>
      </c>
      <c r="BW96" s="301" t="s">
        <v>214</v>
      </c>
      <c r="BX96" s="301" t="s">
        <v>620</v>
      </c>
      <c r="BY96" s="301" t="s">
        <v>176</v>
      </c>
    </row>
    <row r="97" spans="1:77" s="12" customFormat="1" ht="13.5" customHeight="1">
      <c r="A97" s="64">
        <f t="shared" si="9"/>
        <v>2021</v>
      </c>
      <c r="B97" s="64">
        <f t="shared" si="10"/>
        <v>1</v>
      </c>
      <c r="C97" s="125" t="s">
        <v>191</v>
      </c>
      <c r="D97" s="168" t="str">
        <f t="shared" si="11"/>
        <v>non maj</v>
      </c>
      <c r="E97" s="292" t="s">
        <v>670</v>
      </c>
      <c r="F97" s="292" t="s">
        <v>1329</v>
      </c>
      <c r="G97" s="221">
        <v>400</v>
      </c>
      <c r="H97" s="222">
        <v>44188</v>
      </c>
      <c r="I97" s="222">
        <v>44200</v>
      </c>
      <c r="J97" s="223">
        <v>44204</v>
      </c>
      <c r="K97" s="222" t="s">
        <v>2306</v>
      </c>
      <c r="L97" s="223">
        <v>44217</v>
      </c>
      <c r="M97" s="223">
        <v>44217</v>
      </c>
      <c r="N97" s="223">
        <v>44221</v>
      </c>
      <c r="O97" s="222"/>
      <c r="P97" s="222">
        <v>44265</v>
      </c>
      <c r="Q97" s="222">
        <v>44258</v>
      </c>
      <c r="R97" s="222" t="s">
        <v>176</v>
      </c>
      <c r="S97" s="222">
        <v>44271</v>
      </c>
      <c r="T97" s="222">
        <v>44271</v>
      </c>
      <c r="U97" s="222">
        <v>44277</v>
      </c>
      <c r="V97" s="224"/>
      <c r="W97" s="222"/>
      <c r="X97" s="225"/>
      <c r="Y97" s="225"/>
      <c r="Z97" s="225"/>
      <c r="AA97" s="225">
        <v>2</v>
      </c>
      <c r="AB97" s="225">
        <v>31045</v>
      </c>
      <c r="AC97" s="225">
        <v>15</v>
      </c>
      <c r="AD97" s="225" t="s">
        <v>2307</v>
      </c>
      <c r="AE97" s="225">
        <v>38620</v>
      </c>
      <c r="AF97" s="225" t="s">
        <v>2010</v>
      </c>
      <c r="AG97" s="226">
        <v>615779053</v>
      </c>
      <c r="AH97" s="246" t="s">
        <v>2308</v>
      </c>
      <c r="AI97" s="225" t="s">
        <v>1168</v>
      </c>
      <c r="AJ97" s="225"/>
      <c r="AK97" s="225"/>
      <c r="AL97" s="225" t="s">
        <v>176</v>
      </c>
      <c r="AM97" s="225" t="s">
        <v>176</v>
      </c>
      <c r="AN97" s="225" t="s">
        <v>176</v>
      </c>
      <c r="AO97" s="225" t="s">
        <v>176</v>
      </c>
      <c r="AP97" s="225" t="s">
        <v>1874</v>
      </c>
      <c r="AQ97" s="225" t="s">
        <v>1875</v>
      </c>
      <c r="AR97" s="225" t="s">
        <v>1876</v>
      </c>
      <c r="AS97" s="246" t="s">
        <v>1877</v>
      </c>
      <c r="AT97" s="226" t="s">
        <v>434</v>
      </c>
      <c r="AU97" s="225" t="s">
        <v>176</v>
      </c>
      <c r="AV97" s="241" t="s">
        <v>1878</v>
      </c>
      <c r="AW97" s="223">
        <v>44517</v>
      </c>
      <c r="AX97" s="225" t="s">
        <v>1880</v>
      </c>
      <c r="AY97" s="225">
        <v>2000</v>
      </c>
      <c r="AZ97" s="225" t="s">
        <v>1880</v>
      </c>
      <c r="BA97" s="225" t="s">
        <v>267</v>
      </c>
      <c r="BB97" s="225" t="s">
        <v>190</v>
      </c>
      <c r="BC97" s="225" t="s">
        <v>2309</v>
      </c>
      <c r="BD97" s="225">
        <v>11</v>
      </c>
      <c r="BE97" s="225">
        <v>12</v>
      </c>
      <c r="BF97" s="225">
        <v>88.5</v>
      </c>
      <c r="BG97" s="225">
        <v>0.01</v>
      </c>
      <c r="BH97" s="225" t="s">
        <v>1882</v>
      </c>
      <c r="BI97" s="225"/>
      <c r="BJ97" s="225">
        <f>2650+595+258.5+263+198</f>
        <v>3964.5</v>
      </c>
      <c r="BK97" s="225"/>
      <c r="BL97" s="225"/>
      <c r="BM97" s="225"/>
      <c r="BN97" s="225">
        <f>590</f>
        <v>590</v>
      </c>
      <c r="BO97" s="225">
        <f t="shared" si="6"/>
        <v>4554.5</v>
      </c>
      <c r="BP97" s="230">
        <f t="shared" si="7"/>
        <v>250.4975</v>
      </c>
      <c r="BQ97" s="230">
        <f t="shared" si="8"/>
        <v>4804.9975000000004</v>
      </c>
      <c r="BR97" s="230">
        <v>4805</v>
      </c>
      <c r="BS97" s="225" t="s">
        <v>191</v>
      </c>
      <c r="BT97" s="225"/>
      <c r="BU97" s="225"/>
      <c r="BV97" s="301" t="s">
        <v>1981</v>
      </c>
      <c r="BW97" s="301" t="s">
        <v>214</v>
      </c>
      <c r="BX97" s="301" t="s">
        <v>620</v>
      </c>
      <c r="BY97" s="301" t="s">
        <v>176</v>
      </c>
    </row>
    <row r="98" spans="1:77" s="12" customFormat="1" ht="13.5" customHeight="1">
      <c r="A98" s="64">
        <f t="shared" si="9"/>
        <v>2021</v>
      </c>
      <c r="B98" s="64">
        <f t="shared" si="10"/>
        <v>1</v>
      </c>
      <c r="C98" s="125" t="s">
        <v>191</v>
      </c>
      <c r="D98" s="168" t="str">
        <f t="shared" si="11"/>
        <v>maj</v>
      </c>
      <c r="E98" s="292" t="s">
        <v>670</v>
      </c>
      <c r="F98" s="292" t="s">
        <v>1330</v>
      </c>
      <c r="G98" s="221">
        <v>800</v>
      </c>
      <c r="H98" s="222">
        <v>44189</v>
      </c>
      <c r="I98" s="222">
        <v>44200</v>
      </c>
      <c r="J98" s="223" t="s">
        <v>176</v>
      </c>
      <c r="K98" s="222" t="s">
        <v>176</v>
      </c>
      <c r="L98" s="223">
        <v>44204</v>
      </c>
      <c r="M98" s="223">
        <v>44204</v>
      </c>
      <c r="N98" s="223">
        <v>44211</v>
      </c>
      <c r="O98" s="222"/>
      <c r="P98" s="222">
        <v>44273</v>
      </c>
      <c r="Q98" s="222">
        <v>44253</v>
      </c>
      <c r="R98" s="222" t="s">
        <v>176</v>
      </c>
      <c r="S98" s="222">
        <v>44278</v>
      </c>
      <c r="T98" s="222">
        <v>44278</v>
      </c>
      <c r="U98" s="222">
        <v>44284</v>
      </c>
      <c r="V98" s="224"/>
      <c r="W98" s="222"/>
      <c r="X98" s="225"/>
      <c r="Y98" s="225"/>
      <c r="Z98" s="225"/>
      <c r="AA98" s="225">
        <v>1</v>
      </c>
      <c r="AB98" s="225">
        <v>18493</v>
      </c>
      <c r="AC98" s="225">
        <v>125</v>
      </c>
      <c r="AD98" s="225" t="s">
        <v>2310</v>
      </c>
      <c r="AE98" s="225">
        <v>38210</v>
      </c>
      <c r="AF98" s="225" t="s">
        <v>1903</v>
      </c>
      <c r="AG98" s="226">
        <v>651782010</v>
      </c>
      <c r="AH98" s="246" t="s">
        <v>2311</v>
      </c>
      <c r="AI98" s="225" t="s">
        <v>1168</v>
      </c>
      <c r="AJ98" s="225"/>
      <c r="AK98" s="225"/>
      <c r="AL98" s="225" t="s">
        <v>176</v>
      </c>
      <c r="AM98" s="225" t="s">
        <v>176</v>
      </c>
      <c r="AN98" s="225" t="s">
        <v>176</v>
      </c>
      <c r="AO98" s="225" t="s">
        <v>176</v>
      </c>
      <c r="AP98" s="222" t="s">
        <v>818</v>
      </c>
      <c r="AQ98" s="225" t="s">
        <v>225</v>
      </c>
      <c r="AR98" s="225" t="s">
        <v>1973</v>
      </c>
      <c r="AS98" s="241" t="s">
        <v>1974</v>
      </c>
      <c r="AT98" s="226">
        <v>476323235</v>
      </c>
      <c r="AU98" s="225" t="s">
        <v>176</v>
      </c>
      <c r="AV98" s="241" t="s">
        <v>188</v>
      </c>
      <c r="AW98" s="223">
        <v>44429</v>
      </c>
      <c r="AX98" s="225" t="s">
        <v>1880</v>
      </c>
      <c r="AY98" s="225">
        <v>2000</v>
      </c>
      <c r="AZ98" s="225" t="s">
        <v>1880</v>
      </c>
      <c r="BA98" s="225" t="s">
        <v>380</v>
      </c>
      <c r="BB98" s="225" t="s">
        <v>256</v>
      </c>
      <c r="BC98" s="225" t="s">
        <v>2312</v>
      </c>
      <c r="BD98" s="225">
        <v>12</v>
      </c>
      <c r="BE98" s="225">
        <v>9.1999999999999993</v>
      </c>
      <c r="BF98" s="225">
        <v>77</v>
      </c>
      <c r="BG98" s="225">
        <v>0.04</v>
      </c>
      <c r="BH98" s="225" t="s">
        <v>1882</v>
      </c>
      <c r="BI98" s="225"/>
      <c r="BJ98" s="225">
        <f>1850+80+69+41+29+25+65+30</f>
        <v>2189</v>
      </c>
      <c r="BK98" s="225"/>
      <c r="BL98" s="225"/>
      <c r="BM98" s="225"/>
      <c r="BN98" s="225">
        <f>25+510+265+240+30+35+260</f>
        <v>1365</v>
      </c>
      <c r="BO98" s="225">
        <f t="shared" si="6"/>
        <v>3554</v>
      </c>
      <c r="BP98" s="230">
        <f t="shared" si="7"/>
        <v>195.47</v>
      </c>
      <c r="BQ98" s="230">
        <f t="shared" si="8"/>
        <v>3749.47</v>
      </c>
      <c r="BR98" s="230">
        <v>3598.23</v>
      </c>
      <c r="BS98" s="225" t="s">
        <v>191</v>
      </c>
      <c r="BT98" s="225"/>
      <c r="BU98" s="225"/>
      <c r="BV98" s="301" t="s">
        <v>1981</v>
      </c>
      <c r="BW98" s="301" t="s">
        <v>214</v>
      </c>
      <c r="BX98" s="222" t="s">
        <v>618</v>
      </c>
      <c r="BY98" s="301">
        <v>2021</v>
      </c>
    </row>
    <row r="99" spans="1:77" s="12" customFormat="1" ht="13.5" customHeight="1">
      <c r="A99" s="64">
        <f t="shared" si="9"/>
        <v>2021</v>
      </c>
      <c r="B99" s="64">
        <f t="shared" si="10"/>
        <v>1</v>
      </c>
      <c r="C99" s="125" t="s">
        <v>191</v>
      </c>
      <c r="D99" s="168" t="str">
        <f t="shared" si="11"/>
        <v>non maj</v>
      </c>
      <c r="E99" s="292" t="s">
        <v>670</v>
      </c>
      <c r="F99" s="292" t="s">
        <v>1331</v>
      </c>
      <c r="G99" s="221">
        <v>400</v>
      </c>
      <c r="H99" s="222">
        <v>44189</v>
      </c>
      <c r="I99" s="222">
        <v>44200</v>
      </c>
      <c r="J99" s="223" t="s">
        <v>176</v>
      </c>
      <c r="K99" s="222" t="s">
        <v>176</v>
      </c>
      <c r="L99" s="223">
        <v>44204</v>
      </c>
      <c r="M99" s="223">
        <v>44204</v>
      </c>
      <c r="N99" s="223">
        <v>44211</v>
      </c>
      <c r="O99" s="222"/>
      <c r="P99" s="222">
        <v>44424</v>
      </c>
      <c r="Q99" s="222">
        <v>44365</v>
      </c>
      <c r="R99" s="222" t="s">
        <v>176</v>
      </c>
      <c r="S99" s="222">
        <v>44424</v>
      </c>
      <c r="T99" s="222">
        <v>44424</v>
      </c>
      <c r="U99" s="222">
        <v>44461</v>
      </c>
      <c r="V99" s="224"/>
      <c r="W99" s="222"/>
      <c r="X99" s="225"/>
      <c r="Y99" s="225"/>
      <c r="Z99" s="225"/>
      <c r="AA99" s="225">
        <v>6</v>
      </c>
      <c r="AB99" s="225">
        <v>53020</v>
      </c>
      <c r="AC99" s="225">
        <v>64</v>
      </c>
      <c r="AD99" s="225" t="s">
        <v>2313</v>
      </c>
      <c r="AE99" s="225">
        <v>38340</v>
      </c>
      <c r="AF99" s="225" t="s">
        <v>232</v>
      </c>
      <c r="AG99" s="226">
        <v>608148742</v>
      </c>
      <c r="AH99" s="246" t="s">
        <v>2314</v>
      </c>
      <c r="AI99" s="225" t="s">
        <v>1168</v>
      </c>
      <c r="AJ99" s="225"/>
      <c r="AK99" s="225"/>
      <c r="AL99" s="225" t="s">
        <v>176</v>
      </c>
      <c r="AM99" s="225" t="s">
        <v>176</v>
      </c>
      <c r="AN99" s="225" t="s">
        <v>176</v>
      </c>
      <c r="AO99" s="225" t="s">
        <v>176</v>
      </c>
      <c r="AP99" s="225" t="s">
        <v>2002</v>
      </c>
      <c r="AQ99" s="225" t="s">
        <v>1895</v>
      </c>
      <c r="AR99" s="225" t="s">
        <v>2003</v>
      </c>
      <c r="AS99" s="241" t="s">
        <v>245</v>
      </c>
      <c r="AT99" s="226">
        <v>476452433</v>
      </c>
      <c r="AU99" s="225" t="s">
        <v>176</v>
      </c>
      <c r="AV99" s="241" t="s">
        <v>188</v>
      </c>
      <c r="AW99" s="223">
        <v>44589</v>
      </c>
      <c r="AX99" s="225" t="s">
        <v>1879</v>
      </c>
      <c r="AY99" s="225">
        <v>1975</v>
      </c>
      <c r="AZ99" s="225" t="s">
        <v>1880</v>
      </c>
      <c r="BA99" s="225" t="s">
        <v>380</v>
      </c>
      <c r="BB99" s="225" t="s">
        <v>246</v>
      </c>
      <c r="BC99" s="225" t="s">
        <v>672</v>
      </c>
      <c r="BD99" s="225">
        <v>16</v>
      </c>
      <c r="BE99" s="225">
        <v>6.4</v>
      </c>
      <c r="BF99" s="225">
        <v>81</v>
      </c>
      <c r="BG99" s="225">
        <v>0.08</v>
      </c>
      <c r="BH99" s="225" t="s">
        <v>1882</v>
      </c>
      <c r="BI99" s="225"/>
      <c r="BJ99" s="225">
        <f>3488.06+404.83+681.52+255+175.33</f>
        <v>5004.74</v>
      </c>
      <c r="BK99" s="225"/>
      <c r="BL99" s="225"/>
      <c r="BM99" s="225"/>
      <c r="BN99" s="225">
        <f>380+400</f>
        <v>780</v>
      </c>
      <c r="BO99" s="225">
        <f t="shared" si="6"/>
        <v>5784.74</v>
      </c>
      <c r="BP99" s="230">
        <f t="shared" si="7"/>
        <v>318.16069999999996</v>
      </c>
      <c r="BQ99" s="230">
        <f t="shared" si="8"/>
        <v>6102.9007000000001</v>
      </c>
      <c r="BR99" s="230">
        <v>6102.9</v>
      </c>
      <c r="BS99" s="225" t="s">
        <v>188</v>
      </c>
      <c r="BT99" s="225"/>
      <c r="BU99" s="225"/>
      <c r="BV99" s="301" t="s">
        <v>1981</v>
      </c>
      <c r="BW99" s="301" t="s">
        <v>214</v>
      </c>
      <c r="BX99" s="301" t="s">
        <v>620</v>
      </c>
      <c r="BY99" s="301">
        <v>2021</v>
      </c>
    </row>
    <row r="100" spans="1:77" s="12" customFormat="1" ht="13.5" customHeight="1">
      <c r="A100" s="64">
        <f t="shared" si="9"/>
        <v>2021</v>
      </c>
      <c r="B100" s="64">
        <f t="shared" si="10"/>
        <v>1</v>
      </c>
      <c r="C100" s="125" t="s">
        <v>191</v>
      </c>
      <c r="D100" s="168" t="str">
        <f t="shared" si="11"/>
        <v>non maj</v>
      </c>
      <c r="E100" s="292" t="s">
        <v>670</v>
      </c>
      <c r="F100" s="292" t="s">
        <v>1332</v>
      </c>
      <c r="G100" s="221">
        <v>400</v>
      </c>
      <c r="H100" s="222">
        <v>44194</v>
      </c>
      <c r="I100" s="222">
        <v>44200</v>
      </c>
      <c r="J100" s="223">
        <v>44204</v>
      </c>
      <c r="K100" s="222" t="s">
        <v>2315</v>
      </c>
      <c r="L100" s="223">
        <v>44204</v>
      </c>
      <c r="M100" s="223">
        <v>44204</v>
      </c>
      <c r="N100" s="223">
        <v>44211</v>
      </c>
      <c r="O100" s="222"/>
      <c r="P100" s="222">
        <v>44445</v>
      </c>
      <c r="Q100" s="222">
        <v>44334</v>
      </c>
      <c r="R100" s="222" t="s">
        <v>176</v>
      </c>
      <c r="S100" s="222">
        <v>44455</v>
      </c>
      <c r="T100" s="222">
        <v>44455</v>
      </c>
      <c r="U100" s="222">
        <v>44469</v>
      </c>
      <c r="V100" s="224"/>
      <c r="W100" s="222"/>
      <c r="X100" s="225"/>
      <c r="Y100" s="225"/>
      <c r="Z100" s="225"/>
      <c r="AA100" s="225">
        <v>2</v>
      </c>
      <c r="AB100" s="225">
        <v>50726</v>
      </c>
      <c r="AC100" s="225">
        <v>80</v>
      </c>
      <c r="AD100" s="225" t="s">
        <v>2316</v>
      </c>
      <c r="AE100" s="225">
        <v>38140</v>
      </c>
      <c r="AF100" s="225" t="s">
        <v>1957</v>
      </c>
      <c r="AG100" s="226">
        <v>659535343</v>
      </c>
      <c r="AH100" s="246" t="s">
        <v>2317</v>
      </c>
      <c r="AI100" s="225" t="s">
        <v>1168</v>
      </c>
      <c r="AJ100" s="225"/>
      <c r="AK100" s="225"/>
      <c r="AL100" s="225" t="s">
        <v>176</v>
      </c>
      <c r="AM100" s="225" t="s">
        <v>176</v>
      </c>
      <c r="AN100" s="225" t="s">
        <v>176</v>
      </c>
      <c r="AO100" s="225" t="s">
        <v>176</v>
      </c>
      <c r="AP100" s="225" t="s">
        <v>2052</v>
      </c>
      <c r="AQ100" s="225" t="s">
        <v>232</v>
      </c>
      <c r="AR100" s="225" t="s">
        <v>233</v>
      </c>
      <c r="AS100" s="241" t="s">
        <v>234</v>
      </c>
      <c r="AT100" s="226">
        <v>476500550</v>
      </c>
      <c r="AU100" s="225" t="s">
        <v>176</v>
      </c>
      <c r="AV100" s="241" t="s">
        <v>188</v>
      </c>
      <c r="AW100" s="223">
        <v>44375</v>
      </c>
      <c r="AX100" s="225" t="s">
        <v>1179</v>
      </c>
      <c r="AY100" s="225" t="s">
        <v>1967</v>
      </c>
      <c r="AZ100" s="225" t="s">
        <v>1880</v>
      </c>
      <c r="BA100" s="225" t="s">
        <v>380</v>
      </c>
      <c r="BB100" s="225" t="s">
        <v>219</v>
      </c>
      <c r="BC100" s="225" t="s">
        <v>2318</v>
      </c>
      <c r="BD100" s="225">
        <v>6</v>
      </c>
      <c r="BE100" s="225">
        <v>7</v>
      </c>
      <c r="BF100" s="225">
        <v>83</v>
      </c>
      <c r="BG100" s="225">
        <v>5.8000000000000003E-2</v>
      </c>
      <c r="BH100" s="225" t="s">
        <v>1882</v>
      </c>
      <c r="BI100" s="225"/>
      <c r="BJ100" s="225">
        <f>121.33+226.03+48.35+60.08+45.73+72.36+938.21+40.09+40.09+72.56+77.13+1974+225.2</f>
        <v>3941.16</v>
      </c>
      <c r="BK100" s="225"/>
      <c r="BL100" s="225"/>
      <c r="BM100" s="225"/>
      <c r="BN100" s="225">
        <f>900+440</f>
        <v>1340</v>
      </c>
      <c r="BO100" s="225">
        <f t="shared" si="6"/>
        <v>5281.16</v>
      </c>
      <c r="BP100" s="230">
        <f t="shared" si="7"/>
        <v>290.46379999999999</v>
      </c>
      <c r="BQ100" s="230">
        <f t="shared" si="8"/>
        <v>5571.6237999999994</v>
      </c>
      <c r="BR100" s="230">
        <v>5100</v>
      </c>
      <c r="BS100" s="225" t="s">
        <v>188</v>
      </c>
      <c r="BT100" s="225"/>
      <c r="BU100" s="225"/>
      <c r="BV100" s="301" t="s">
        <v>1981</v>
      </c>
      <c r="BW100" s="301" t="s">
        <v>214</v>
      </c>
      <c r="BX100" s="301" t="s">
        <v>620</v>
      </c>
      <c r="BY100" s="301">
        <v>2021</v>
      </c>
    </row>
    <row r="101" spans="1:77" s="13" customFormat="1" ht="13.5" customHeight="1">
      <c r="A101" s="64">
        <f t="shared" si="9"/>
        <v>2021</v>
      </c>
      <c r="B101" s="64">
        <f t="shared" si="10"/>
        <v>1</v>
      </c>
      <c r="C101" s="125" t="s">
        <v>191</v>
      </c>
      <c r="D101" s="168" t="str">
        <f t="shared" si="11"/>
        <v>maj</v>
      </c>
      <c r="E101" s="292" t="s">
        <v>670</v>
      </c>
      <c r="F101" s="292" t="s">
        <v>1333</v>
      </c>
      <c r="G101" s="221">
        <v>800</v>
      </c>
      <c r="H101" s="222">
        <v>44194</v>
      </c>
      <c r="I101" s="222">
        <v>44200</v>
      </c>
      <c r="J101" s="223">
        <v>44204</v>
      </c>
      <c r="K101" s="222" t="s">
        <v>2319</v>
      </c>
      <c r="L101" s="223">
        <v>44210</v>
      </c>
      <c r="M101" s="223">
        <v>44210</v>
      </c>
      <c r="N101" s="223">
        <v>44211</v>
      </c>
      <c r="O101" s="222"/>
      <c r="P101" s="222">
        <v>44322</v>
      </c>
      <c r="Q101" s="222">
        <v>44301</v>
      </c>
      <c r="R101" s="222" t="s">
        <v>176</v>
      </c>
      <c r="S101" s="222">
        <v>44323</v>
      </c>
      <c r="T101" s="222">
        <v>44323</v>
      </c>
      <c r="U101" s="222">
        <v>44350</v>
      </c>
      <c r="V101" s="224"/>
      <c r="W101" s="222"/>
      <c r="X101" s="225"/>
      <c r="Y101" s="225"/>
      <c r="Z101" s="225"/>
      <c r="AA101" s="225">
        <v>4</v>
      </c>
      <c r="AB101" s="225">
        <v>38746</v>
      </c>
      <c r="AC101" s="225">
        <v>381</v>
      </c>
      <c r="AD101" s="225" t="s">
        <v>2320</v>
      </c>
      <c r="AE101" s="225">
        <v>38960</v>
      </c>
      <c r="AF101" s="225" t="s">
        <v>2088</v>
      </c>
      <c r="AG101" s="226">
        <v>691386009</v>
      </c>
      <c r="AH101" s="246" t="s">
        <v>2321</v>
      </c>
      <c r="AI101" s="225" t="s">
        <v>1168</v>
      </c>
      <c r="AJ101" s="225"/>
      <c r="AK101" s="225"/>
      <c r="AL101" s="225" t="s">
        <v>176</v>
      </c>
      <c r="AM101" s="225" t="s">
        <v>176</v>
      </c>
      <c r="AN101" s="225" t="s">
        <v>176</v>
      </c>
      <c r="AO101" s="225" t="s">
        <v>176</v>
      </c>
      <c r="AP101" s="225" t="s">
        <v>2052</v>
      </c>
      <c r="AQ101" s="225" t="s">
        <v>232</v>
      </c>
      <c r="AR101" s="225" t="s">
        <v>233</v>
      </c>
      <c r="AS101" s="241" t="s">
        <v>234</v>
      </c>
      <c r="AT101" s="226">
        <v>476500550</v>
      </c>
      <c r="AU101" s="225" t="s">
        <v>176</v>
      </c>
      <c r="AV101" s="241" t="s">
        <v>188</v>
      </c>
      <c r="AW101" s="223">
        <v>44375</v>
      </c>
      <c r="AX101" s="225" t="s">
        <v>1879</v>
      </c>
      <c r="AY101" s="225">
        <v>1980</v>
      </c>
      <c r="AZ101" s="225" t="s">
        <v>1880</v>
      </c>
      <c r="BA101" s="225" t="s">
        <v>380</v>
      </c>
      <c r="BB101" s="225" t="s">
        <v>270</v>
      </c>
      <c r="BC101" s="225" t="s">
        <v>2136</v>
      </c>
      <c r="BD101" s="225">
        <v>32</v>
      </c>
      <c r="BE101" s="225">
        <v>7</v>
      </c>
      <c r="BF101" s="225">
        <v>77.8</v>
      </c>
      <c r="BG101" s="225">
        <v>8.0000000000000002E-3</v>
      </c>
      <c r="BH101" s="225" t="s">
        <v>1882</v>
      </c>
      <c r="BI101" s="225"/>
      <c r="BJ101" s="225">
        <f>141.48+297.28+51.09+196.52+2250+85.75+215.2</f>
        <v>3237.3199999999997</v>
      </c>
      <c r="BK101" s="225"/>
      <c r="BL101" s="225"/>
      <c r="BM101" s="225"/>
      <c r="BN101" s="225">
        <v>900</v>
      </c>
      <c r="BO101" s="225">
        <f t="shared" si="6"/>
        <v>4137.32</v>
      </c>
      <c r="BP101" s="230">
        <f t="shared" si="7"/>
        <v>227.55259999999998</v>
      </c>
      <c r="BQ101" s="230">
        <f t="shared" si="8"/>
        <v>4364.8725999999997</v>
      </c>
      <c r="BR101" s="230">
        <v>4067.87</v>
      </c>
      <c r="BS101" s="225" t="s">
        <v>191</v>
      </c>
      <c r="BT101" s="225"/>
      <c r="BU101" s="225"/>
      <c r="BV101" s="301" t="s">
        <v>1981</v>
      </c>
      <c r="BW101" s="301" t="s">
        <v>214</v>
      </c>
      <c r="BX101" s="222" t="s">
        <v>618</v>
      </c>
      <c r="BY101" s="301">
        <v>2021</v>
      </c>
    </row>
    <row r="102" spans="1:77" s="12" customFormat="1" ht="13.5" customHeight="1">
      <c r="A102" s="64">
        <f t="shared" si="9"/>
        <v>2021</v>
      </c>
      <c r="B102" s="64">
        <f t="shared" si="10"/>
        <v>1</v>
      </c>
      <c r="C102" s="125" t="s">
        <v>191</v>
      </c>
      <c r="D102" s="168" t="str">
        <f t="shared" si="11"/>
        <v>maj</v>
      </c>
      <c r="E102" s="292" t="s">
        <v>670</v>
      </c>
      <c r="F102" s="292" t="s">
        <v>1334</v>
      </c>
      <c r="G102" s="221">
        <v>1000</v>
      </c>
      <c r="H102" s="222">
        <v>44200</v>
      </c>
      <c r="I102" s="222">
        <v>44200</v>
      </c>
      <c r="J102" s="223" t="s">
        <v>176</v>
      </c>
      <c r="K102" s="222" t="s">
        <v>176</v>
      </c>
      <c r="L102" s="223">
        <v>44204</v>
      </c>
      <c r="M102" s="223">
        <v>44204</v>
      </c>
      <c r="N102" s="223">
        <v>44211</v>
      </c>
      <c r="O102" s="222"/>
      <c r="P102" s="222">
        <v>44309</v>
      </c>
      <c r="Q102" s="222">
        <v>44299</v>
      </c>
      <c r="R102" s="222" t="s">
        <v>176</v>
      </c>
      <c r="S102" s="222">
        <v>44313</v>
      </c>
      <c r="T102" s="222">
        <v>44313</v>
      </c>
      <c r="U102" s="222">
        <v>44319</v>
      </c>
      <c r="V102" s="224"/>
      <c r="W102" s="222"/>
      <c r="X102" s="225"/>
      <c r="Y102" s="225"/>
      <c r="Z102" s="225"/>
      <c r="AA102" s="225">
        <v>1</v>
      </c>
      <c r="AB102" s="225">
        <v>15945</v>
      </c>
      <c r="AC102" s="225">
        <v>46</v>
      </c>
      <c r="AD102" s="225" t="s">
        <v>2322</v>
      </c>
      <c r="AE102" s="225">
        <v>38500</v>
      </c>
      <c r="AF102" s="225" t="s">
        <v>2297</v>
      </c>
      <c r="AG102" s="226">
        <v>662630888</v>
      </c>
      <c r="AH102" s="246" t="s">
        <v>2323</v>
      </c>
      <c r="AI102" s="225" t="s">
        <v>1168</v>
      </c>
      <c r="AJ102" s="225"/>
      <c r="AK102" s="225"/>
      <c r="AL102" s="225" t="s">
        <v>176</v>
      </c>
      <c r="AM102" s="225" t="s">
        <v>176</v>
      </c>
      <c r="AN102" s="225" t="s">
        <v>176</v>
      </c>
      <c r="AO102" s="225" t="s">
        <v>176</v>
      </c>
      <c r="AP102" s="225" t="s">
        <v>2052</v>
      </c>
      <c r="AQ102" s="225" t="s">
        <v>232</v>
      </c>
      <c r="AR102" s="225" t="s">
        <v>233</v>
      </c>
      <c r="AS102" s="241" t="s">
        <v>234</v>
      </c>
      <c r="AT102" s="226">
        <v>476500550</v>
      </c>
      <c r="AU102" s="225" t="s">
        <v>176</v>
      </c>
      <c r="AV102" s="241" t="s">
        <v>188</v>
      </c>
      <c r="AW102" s="223">
        <v>44375</v>
      </c>
      <c r="AX102" s="225" t="s">
        <v>4113</v>
      </c>
      <c r="AY102" s="225">
        <v>1980</v>
      </c>
      <c r="AZ102" s="225" t="s">
        <v>4113</v>
      </c>
      <c r="BA102" s="225" t="s">
        <v>380</v>
      </c>
      <c r="BB102" s="225" t="s">
        <v>270</v>
      </c>
      <c r="BC102" s="225" t="s">
        <v>2324</v>
      </c>
      <c r="BD102" s="225">
        <v>40</v>
      </c>
      <c r="BE102" s="225">
        <v>18</v>
      </c>
      <c r="BF102" s="225">
        <v>79</v>
      </c>
      <c r="BG102" s="225">
        <v>7.0000000000000007E-2</v>
      </c>
      <c r="BH102" s="225" t="s">
        <v>1882</v>
      </c>
      <c r="BI102" s="225"/>
      <c r="BJ102" s="225">
        <f>469.44+51.09+2658.33+233.33+154.49+159.06+130.9+62.19+228.7</f>
        <v>4147.53</v>
      </c>
      <c r="BK102" s="225"/>
      <c r="BL102" s="225"/>
      <c r="BM102" s="225"/>
      <c r="BN102" s="225">
        <v>900</v>
      </c>
      <c r="BO102" s="225">
        <f t="shared" si="6"/>
        <v>5047.53</v>
      </c>
      <c r="BP102" s="230">
        <f t="shared" si="7"/>
        <v>277.61415</v>
      </c>
      <c r="BQ102" s="230">
        <f t="shared" si="8"/>
        <v>5325.1441500000001</v>
      </c>
      <c r="BR102" s="230">
        <v>5025.1400000000003</v>
      </c>
      <c r="BS102" s="225" t="s">
        <v>188</v>
      </c>
      <c r="BT102" s="225"/>
      <c r="BU102" s="225"/>
      <c r="BV102" s="301" t="s">
        <v>2325</v>
      </c>
      <c r="BW102" s="301" t="s">
        <v>214</v>
      </c>
      <c r="BX102" s="222" t="s">
        <v>618</v>
      </c>
      <c r="BY102" s="301">
        <v>2021</v>
      </c>
    </row>
    <row r="103" spans="1:77" s="12" customFormat="1" ht="13.5" customHeight="1">
      <c r="A103" s="64">
        <f t="shared" si="9"/>
        <v>2021</v>
      </c>
      <c r="B103" s="64">
        <f t="shared" si="10"/>
        <v>1</v>
      </c>
      <c r="C103" s="125" t="s">
        <v>191</v>
      </c>
      <c r="D103" s="168" t="str">
        <f t="shared" si="11"/>
        <v>non maj</v>
      </c>
      <c r="E103" s="292" t="s">
        <v>670</v>
      </c>
      <c r="F103" s="292" t="s">
        <v>1335</v>
      </c>
      <c r="G103" s="221">
        <v>400</v>
      </c>
      <c r="H103" s="222">
        <v>44203</v>
      </c>
      <c r="I103" s="222">
        <v>44204</v>
      </c>
      <c r="J103" s="223">
        <v>44204</v>
      </c>
      <c r="K103" s="222" t="s">
        <v>2326</v>
      </c>
      <c r="L103" s="223">
        <v>44208</v>
      </c>
      <c r="M103" s="223">
        <v>44208</v>
      </c>
      <c r="N103" s="223">
        <v>44309</v>
      </c>
      <c r="O103" s="222"/>
      <c r="P103" s="222">
        <v>44203</v>
      </c>
      <c r="Q103" s="222">
        <v>44018</v>
      </c>
      <c r="R103" s="222" t="s">
        <v>176</v>
      </c>
      <c r="S103" s="222">
        <v>44208</v>
      </c>
      <c r="T103" s="222">
        <v>44208</v>
      </c>
      <c r="U103" s="222">
        <v>44309</v>
      </c>
      <c r="V103" s="224"/>
      <c r="W103" s="222"/>
      <c r="X103" s="225"/>
      <c r="Y103" s="225"/>
      <c r="Z103" s="225"/>
      <c r="AA103" s="225">
        <v>2</v>
      </c>
      <c r="AB103" s="225">
        <v>43712</v>
      </c>
      <c r="AC103" s="225">
        <v>545</v>
      </c>
      <c r="AD103" s="225" t="s">
        <v>1902</v>
      </c>
      <c r="AE103" s="225">
        <v>38210</v>
      </c>
      <c r="AF103" s="225" t="s">
        <v>1903</v>
      </c>
      <c r="AG103" s="226">
        <v>645646622</v>
      </c>
      <c r="AH103" s="246" t="s">
        <v>1904</v>
      </c>
      <c r="AI103" s="225" t="s">
        <v>1168</v>
      </c>
      <c r="AJ103" s="225"/>
      <c r="AK103" s="225"/>
      <c r="AL103" s="225" t="s">
        <v>176</v>
      </c>
      <c r="AM103" s="225" t="s">
        <v>176</v>
      </c>
      <c r="AN103" s="225" t="s">
        <v>176</v>
      </c>
      <c r="AO103" s="225" t="s">
        <v>176</v>
      </c>
      <c r="AP103" s="225" t="s">
        <v>579</v>
      </c>
      <c r="AQ103" s="225" t="s">
        <v>1895</v>
      </c>
      <c r="AR103" s="225" t="s">
        <v>1896</v>
      </c>
      <c r="AS103" s="241" t="s">
        <v>201</v>
      </c>
      <c r="AT103" s="226">
        <v>608287337</v>
      </c>
      <c r="AU103" s="225" t="s">
        <v>176</v>
      </c>
      <c r="AV103" s="241" t="s">
        <v>188</v>
      </c>
      <c r="AW103" s="223">
        <v>44417</v>
      </c>
      <c r="AX103" s="225" t="s">
        <v>1880</v>
      </c>
      <c r="AY103" s="225" t="s">
        <v>1967</v>
      </c>
      <c r="AZ103" s="225" t="s">
        <v>1880</v>
      </c>
      <c r="BA103" s="225" t="s">
        <v>267</v>
      </c>
      <c r="BB103" s="225" t="s">
        <v>1897</v>
      </c>
      <c r="BC103" s="225" t="s">
        <v>2212</v>
      </c>
      <c r="BD103" s="225">
        <v>26</v>
      </c>
      <c r="BE103" s="225">
        <v>8</v>
      </c>
      <c r="BF103" s="225">
        <v>91.9</v>
      </c>
      <c r="BG103" s="225">
        <v>7.0000000000000001E-3</v>
      </c>
      <c r="BH103" s="225" t="s">
        <v>1899</v>
      </c>
      <c r="BI103" s="225"/>
      <c r="BJ103" s="225">
        <f>3290+600+200+344</f>
        <v>4434</v>
      </c>
      <c r="BK103" s="225"/>
      <c r="BL103" s="225"/>
      <c r="BM103" s="225"/>
      <c r="BN103" s="225">
        <v>500</v>
      </c>
      <c r="BO103" s="225">
        <f t="shared" si="6"/>
        <v>4934</v>
      </c>
      <c r="BP103" s="230">
        <f t="shared" si="7"/>
        <v>271.37</v>
      </c>
      <c r="BQ103" s="230">
        <f t="shared" si="8"/>
        <v>5205.37</v>
      </c>
      <c r="BR103" s="230">
        <v>4800</v>
      </c>
      <c r="BS103" s="225" t="s">
        <v>188</v>
      </c>
      <c r="BT103" s="225"/>
      <c r="BU103" s="225"/>
      <c r="BV103" s="301" t="s">
        <v>2325</v>
      </c>
      <c r="BW103" s="301" t="s">
        <v>214</v>
      </c>
      <c r="BX103" s="301" t="s">
        <v>620</v>
      </c>
      <c r="BY103" s="301" t="s">
        <v>176</v>
      </c>
    </row>
    <row r="104" spans="1:77" s="13" customFormat="1" ht="13.5" customHeight="1">
      <c r="A104" s="64">
        <f t="shared" si="9"/>
        <v>2021</v>
      </c>
      <c r="B104" s="64">
        <f t="shared" si="10"/>
        <v>1</v>
      </c>
      <c r="C104" s="125" t="s">
        <v>191</v>
      </c>
      <c r="D104" s="168" t="str">
        <f t="shared" si="11"/>
        <v>non maj</v>
      </c>
      <c r="E104" s="292" t="s">
        <v>670</v>
      </c>
      <c r="F104" s="292" t="s">
        <v>1336</v>
      </c>
      <c r="G104" s="221">
        <v>600</v>
      </c>
      <c r="H104" s="222">
        <v>44210</v>
      </c>
      <c r="I104" s="222">
        <v>44214</v>
      </c>
      <c r="J104" s="223" t="s">
        <v>176</v>
      </c>
      <c r="K104" s="222" t="s">
        <v>176</v>
      </c>
      <c r="L104" s="223">
        <v>44214</v>
      </c>
      <c r="M104" s="223">
        <v>44214</v>
      </c>
      <c r="N104" s="223">
        <v>44216</v>
      </c>
      <c r="O104" s="222"/>
      <c r="P104" s="222">
        <v>44259</v>
      </c>
      <c r="Q104" s="222">
        <v>44249</v>
      </c>
      <c r="R104" s="222" t="s">
        <v>176</v>
      </c>
      <c r="S104" s="222">
        <v>44259</v>
      </c>
      <c r="T104" s="222">
        <v>44259</v>
      </c>
      <c r="U104" s="222">
        <v>44270</v>
      </c>
      <c r="V104" s="224"/>
      <c r="W104" s="222"/>
      <c r="X104" s="225"/>
      <c r="Y104" s="225"/>
      <c r="Z104" s="225"/>
      <c r="AA104" s="225">
        <v>2</v>
      </c>
      <c r="AB104" s="225">
        <v>45466</v>
      </c>
      <c r="AC104" s="225">
        <v>223</v>
      </c>
      <c r="AD104" s="225" t="s">
        <v>2327</v>
      </c>
      <c r="AE104" s="225">
        <v>38850</v>
      </c>
      <c r="AF104" s="225" t="s">
        <v>2151</v>
      </c>
      <c r="AG104" s="226">
        <v>678423644</v>
      </c>
      <c r="AH104" s="246" t="s">
        <v>2328</v>
      </c>
      <c r="AI104" s="225" t="s">
        <v>1168</v>
      </c>
      <c r="AJ104" s="225"/>
      <c r="AK104" s="225"/>
      <c r="AL104" s="225" t="s">
        <v>176</v>
      </c>
      <c r="AM104" s="225" t="s">
        <v>176</v>
      </c>
      <c r="AN104" s="225" t="s">
        <v>176</v>
      </c>
      <c r="AO104" s="225" t="s">
        <v>176</v>
      </c>
      <c r="AP104" s="225" t="s">
        <v>268</v>
      </c>
      <c r="AQ104" s="225" t="s">
        <v>1893</v>
      </c>
      <c r="AR104" s="225" t="s">
        <v>1933</v>
      </c>
      <c r="AS104" s="246" t="s">
        <v>1934</v>
      </c>
      <c r="AT104" s="226">
        <v>476355605</v>
      </c>
      <c r="AU104" s="225" t="s">
        <v>176</v>
      </c>
      <c r="AV104" s="241" t="s">
        <v>188</v>
      </c>
      <c r="AW104" s="223">
        <v>44495</v>
      </c>
      <c r="AX104" s="225" t="s">
        <v>4113</v>
      </c>
      <c r="AY104" s="225">
        <v>1985</v>
      </c>
      <c r="AZ104" s="225" t="s">
        <v>1880</v>
      </c>
      <c r="BA104" s="225" t="s">
        <v>380</v>
      </c>
      <c r="BB104" s="225" t="s">
        <v>1936</v>
      </c>
      <c r="BC104" s="225" t="s">
        <v>2329</v>
      </c>
      <c r="BD104" s="225">
        <v>22</v>
      </c>
      <c r="BE104" s="225">
        <v>7</v>
      </c>
      <c r="BF104" s="225">
        <v>80</v>
      </c>
      <c r="BG104" s="225">
        <v>0.08</v>
      </c>
      <c r="BH104" s="225" t="s">
        <v>1882</v>
      </c>
      <c r="BI104" s="225"/>
      <c r="BJ104" s="225">
        <f>360+24.5+41.4+94+1970+238+89.6+38.54+65.6+74.56+47.7</f>
        <v>3043.8999999999996</v>
      </c>
      <c r="BK104" s="225"/>
      <c r="BL104" s="225"/>
      <c r="BM104" s="225"/>
      <c r="BN104" s="225">
        <f>99.09+350+525</f>
        <v>974.09</v>
      </c>
      <c r="BO104" s="225">
        <f t="shared" si="6"/>
        <v>4017.99</v>
      </c>
      <c r="BP104" s="230">
        <f t="shared" si="7"/>
        <v>220.98944999999998</v>
      </c>
      <c r="BQ104" s="230">
        <f t="shared" si="8"/>
        <v>4238.9794499999998</v>
      </c>
      <c r="BR104" s="230">
        <v>4238.9799999999996</v>
      </c>
      <c r="BS104" s="225" t="s">
        <v>188</v>
      </c>
      <c r="BT104" s="225"/>
      <c r="BU104" s="225"/>
      <c r="BV104" s="301" t="s">
        <v>2325</v>
      </c>
      <c r="BW104" s="301" t="s">
        <v>214</v>
      </c>
      <c r="BX104" s="301" t="s">
        <v>620</v>
      </c>
      <c r="BY104" s="301">
        <v>2021</v>
      </c>
    </row>
    <row r="105" spans="1:77" s="12" customFormat="1" ht="13.5" customHeight="1">
      <c r="A105" s="64">
        <f t="shared" si="9"/>
        <v>2021</v>
      </c>
      <c r="B105" s="64">
        <f t="shared" si="10"/>
        <v>1</v>
      </c>
      <c r="C105" s="125" t="s">
        <v>191</v>
      </c>
      <c r="D105" s="168" t="str">
        <f t="shared" si="11"/>
        <v>non maj</v>
      </c>
      <c r="E105" s="292" t="s">
        <v>670</v>
      </c>
      <c r="F105" s="292" t="s">
        <v>1338</v>
      </c>
      <c r="G105" s="221">
        <v>600</v>
      </c>
      <c r="H105" s="222">
        <v>44214</v>
      </c>
      <c r="I105" s="222">
        <v>44217</v>
      </c>
      <c r="J105" s="223">
        <v>44217</v>
      </c>
      <c r="K105" s="222" t="s">
        <v>2330</v>
      </c>
      <c r="L105" s="223">
        <v>44222</v>
      </c>
      <c r="M105" s="223">
        <v>44222</v>
      </c>
      <c r="N105" s="223">
        <v>44229</v>
      </c>
      <c r="O105" s="222"/>
      <c r="P105" s="222">
        <v>44321</v>
      </c>
      <c r="Q105" s="222">
        <v>44244</v>
      </c>
      <c r="R105" s="222" t="s">
        <v>176</v>
      </c>
      <c r="S105" s="222">
        <v>44322</v>
      </c>
      <c r="T105" s="222">
        <v>44322</v>
      </c>
      <c r="U105" s="222">
        <v>44333</v>
      </c>
      <c r="V105" s="224"/>
      <c r="W105" s="222"/>
      <c r="X105" s="225"/>
      <c r="Y105" s="225"/>
      <c r="Z105" s="225"/>
      <c r="AA105" s="225">
        <v>1</v>
      </c>
      <c r="AB105" s="225">
        <v>38019</v>
      </c>
      <c r="AC105" s="225">
        <v>527</v>
      </c>
      <c r="AD105" s="225" t="s">
        <v>794</v>
      </c>
      <c r="AE105" s="225">
        <v>38850</v>
      </c>
      <c r="AF105" s="225" t="s">
        <v>1931</v>
      </c>
      <c r="AG105" s="226">
        <v>607382961</v>
      </c>
      <c r="AH105" s="246" t="s">
        <v>2331</v>
      </c>
      <c r="AI105" s="225" t="s">
        <v>1168</v>
      </c>
      <c r="AJ105" s="225"/>
      <c r="AK105" s="225"/>
      <c r="AL105" s="225" t="s">
        <v>176</v>
      </c>
      <c r="AM105" s="225" t="s">
        <v>176</v>
      </c>
      <c r="AN105" s="225" t="s">
        <v>176</v>
      </c>
      <c r="AO105" s="225" t="s">
        <v>176</v>
      </c>
      <c r="AP105" s="225" t="s">
        <v>778</v>
      </c>
      <c r="AQ105" s="225" t="s">
        <v>1926</v>
      </c>
      <c r="AR105" s="225" t="s">
        <v>779</v>
      </c>
      <c r="AS105" s="241" t="s">
        <v>251</v>
      </c>
      <c r="AT105" s="226">
        <v>438021901</v>
      </c>
      <c r="AU105" s="225" t="s">
        <v>176</v>
      </c>
      <c r="AV105" s="241" t="s">
        <v>188</v>
      </c>
      <c r="AW105" s="223">
        <v>44641</v>
      </c>
      <c r="AX105" s="225" t="s">
        <v>4113</v>
      </c>
      <c r="AY105" s="225">
        <v>1986</v>
      </c>
      <c r="AZ105" s="225" t="s">
        <v>4113</v>
      </c>
      <c r="BA105" s="225" t="s">
        <v>380</v>
      </c>
      <c r="BB105" s="225" t="s">
        <v>244</v>
      </c>
      <c r="BC105" s="225" t="s">
        <v>2332</v>
      </c>
      <c r="BD105" s="225">
        <v>33</v>
      </c>
      <c r="BE105" s="225">
        <v>10</v>
      </c>
      <c r="BF105" s="225">
        <v>80.8</v>
      </c>
      <c r="BG105" s="225">
        <v>0.09</v>
      </c>
      <c r="BH105" s="225" t="s">
        <v>1882</v>
      </c>
      <c r="BI105" s="225"/>
      <c r="BJ105" s="225">
        <f>595+1806+92+142+112+533+92+350+95+67+495+104</f>
        <v>4483</v>
      </c>
      <c r="BK105" s="225"/>
      <c r="BL105" s="225"/>
      <c r="BM105" s="225"/>
      <c r="BN105" s="225">
        <v>892</v>
      </c>
      <c r="BO105" s="225">
        <f t="shared" si="6"/>
        <v>5375</v>
      </c>
      <c r="BP105" s="230">
        <f t="shared" si="7"/>
        <v>295.625</v>
      </c>
      <c r="BQ105" s="230">
        <f t="shared" si="8"/>
        <v>5670.625</v>
      </c>
      <c r="BR105" s="230">
        <v>5059</v>
      </c>
      <c r="BS105" s="225" t="s">
        <v>188</v>
      </c>
      <c r="BT105" s="225"/>
      <c r="BU105" s="225"/>
      <c r="BV105" s="301" t="s">
        <v>2325</v>
      </c>
      <c r="BW105" s="301" t="s">
        <v>214</v>
      </c>
      <c r="BX105" s="301" t="s">
        <v>620</v>
      </c>
      <c r="BY105" s="301">
        <v>2021</v>
      </c>
    </row>
    <row r="106" spans="1:77" s="12" customFormat="1" ht="13.5" customHeight="1">
      <c r="A106" s="64">
        <f t="shared" si="9"/>
        <v>2021</v>
      </c>
      <c r="B106" s="64">
        <f t="shared" si="10"/>
        <v>1</v>
      </c>
      <c r="C106" s="125" t="s">
        <v>191</v>
      </c>
      <c r="D106" s="168" t="str">
        <f t="shared" si="11"/>
        <v>non maj</v>
      </c>
      <c r="E106" s="292" t="s">
        <v>670</v>
      </c>
      <c r="F106" s="292" t="s">
        <v>2333</v>
      </c>
      <c r="G106" s="221">
        <v>600</v>
      </c>
      <c r="H106" s="222">
        <v>44217</v>
      </c>
      <c r="I106" s="222">
        <v>44218</v>
      </c>
      <c r="J106" s="223" t="s">
        <v>176</v>
      </c>
      <c r="K106" s="222" t="s">
        <v>176</v>
      </c>
      <c r="L106" s="223">
        <v>44222</v>
      </c>
      <c r="M106" s="223">
        <v>44222</v>
      </c>
      <c r="N106" s="223">
        <v>44229</v>
      </c>
      <c r="O106" s="222"/>
      <c r="P106" s="222">
        <v>44246</v>
      </c>
      <c r="Q106" s="222">
        <v>44245</v>
      </c>
      <c r="R106" s="222" t="s">
        <v>176</v>
      </c>
      <c r="S106" s="222">
        <v>44252</v>
      </c>
      <c r="T106" s="222">
        <v>44252</v>
      </c>
      <c r="U106" s="222">
        <v>44264</v>
      </c>
      <c r="V106" s="224"/>
      <c r="W106" s="222"/>
      <c r="X106" s="225"/>
      <c r="Y106" s="225"/>
      <c r="Z106" s="225"/>
      <c r="AA106" s="225">
        <v>2</v>
      </c>
      <c r="AB106" s="225">
        <v>80661</v>
      </c>
      <c r="AC106" s="225">
        <v>330</v>
      </c>
      <c r="AD106" s="225" t="s">
        <v>2334</v>
      </c>
      <c r="AE106" s="225">
        <v>38430</v>
      </c>
      <c r="AF106" s="225" t="s">
        <v>1893</v>
      </c>
      <c r="AG106" s="226">
        <v>665585688</v>
      </c>
      <c r="AH106" s="246" t="s">
        <v>2335</v>
      </c>
      <c r="AI106" s="225" t="s">
        <v>1168</v>
      </c>
      <c r="AJ106" s="225"/>
      <c r="AK106" s="225"/>
      <c r="AL106" s="225" t="s">
        <v>176</v>
      </c>
      <c r="AM106" s="225" t="s">
        <v>176</v>
      </c>
      <c r="AN106" s="225" t="s">
        <v>176</v>
      </c>
      <c r="AO106" s="225" t="s">
        <v>176</v>
      </c>
      <c r="AP106" s="225" t="s">
        <v>268</v>
      </c>
      <c r="AQ106" s="225" t="s">
        <v>1893</v>
      </c>
      <c r="AR106" s="225" t="s">
        <v>1933</v>
      </c>
      <c r="AS106" s="246" t="s">
        <v>1934</v>
      </c>
      <c r="AT106" s="226">
        <v>476355605</v>
      </c>
      <c r="AU106" s="225" t="s">
        <v>176</v>
      </c>
      <c r="AV106" s="241" t="s">
        <v>188</v>
      </c>
      <c r="AW106" s="223">
        <v>44495</v>
      </c>
      <c r="AX106" s="225" t="s">
        <v>1879</v>
      </c>
      <c r="AY106" s="225">
        <v>1970</v>
      </c>
      <c r="AZ106" s="225" t="s">
        <v>4113</v>
      </c>
      <c r="BA106" s="225" t="s">
        <v>380</v>
      </c>
      <c r="BB106" s="225" t="s">
        <v>1936</v>
      </c>
      <c r="BC106" s="225" t="s">
        <v>2336</v>
      </c>
      <c r="BD106" s="225">
        <v>23</v>
      </c>
      <c r="BE106" s="225">
        <v>10</v>
      </c>
      <c r="BF106" s="225">
        <v>78</v>
      </c>
      <c r="BG106" s="225">
        <v>7.0000000000000007E-2</v>
      </c>
      <c r="BH106" s="225" t="s">
        <v>1882</v>
      </c>
      <c r="BI106" s="225"/>
      <c r="BJ106" s="225">
        <f>540+24.5+41.4+365.75+1745+490.56+156+177.6+65.3</f>
        <v>3606.11</v>
      </c>
      <c r="BK106" s="225"/>
      <c r="BL106" s="225"/>
      <c r="BM106" s="225"/>
      <c r="BN106" s="225">
        <f>282.94+99.09+98+950</f>
        <v>1430.03</v>
      </c>
      <c r="BO106" s="225">
        <f t="shared" si="6"/>
        <v>5036.1400000000003</v>
      </c>
      <c r="BP106" s="230">
        <f t="shared" si="7"/>
        <v>276.98770000000002</v>
      </c>
      <c r="BQ106" s="230">
        <f t="shared" si="8"/>
        <v>5313.1277</v>
      </c>
      <c r="BR106" s="230">
        <v>5313.18</v>
      </c>
      <c r="BS106" s="225" t="s">
        <v>188</v>
      </c>
      <c r="BT106" s="225"/>
      <c r="BU106" s="225"/>
      <c r="BV106" s="301" t="s">
        <v>2325</v>
      </c>
      <c r="BW106" s="301" t="s">
        <v>214</v>
      </c>
      <c r="BX106" s="301" t="s">
        <v>620</v>
      </c>
      <c r="BY106" s="301">
        <v>2021</v>
      </c>
    </row>
    <row r="107" spans="1:77" s="12" customFormat="1" ht="13.5" customHeight="1">
      <c r="A107" s="64">
        <f t="shared" si="9"/>
        <v>2021</v>
      </c>
      <c r="B107" s="64">
        <f t="shared" si="10"/>
        <v>1</v>
      </c>
      <c r="C107" s="125" t="s">
        <v>191</v>
      </c>
      <c r="D107" s="168" t="str">
        <f t="shared" si="11"/>
        <v>non maj</v>
      </c>
      <c r="E107" s="292" t="s">
        <v>670</v>
      </c>
      <c r="F107" s="292" t="s">
        <v>1339</v>
      </c>
      <c r="G107" s="221">
        <v>600</v>
      </c>
      <c r="H107" s="222">
        <v>44219</v>
      </c>
      <c r="I107" s="222">
        <v>44222</v>
      </c>
      <c r="J107" s="223">
        <v>44222</v>
      </c>
      <c r="K107" s="222" t="s">
        <v>2337</v>
      </c>
      <c r="L107" s="223">
        <v>44222</v>
      </c>
      <c r="M107" s="223">
        <v>44222</v>
      </c>
      <c r="N107" s="223">
        <v>44229</v>
      </c>
      <c r="O107" s="222"/>
      <c r="P107" s="222">
        <v>44280</v>
      </c>
      <c r="Q107" s="222">
        <v>44271</v>
      </c>
      <c r="R107" s="222" t="s">
        <v>176</v>
      </c>
      <c r="S107" s="222">
        <v>44281</v>
      </c>
      <c r="T107" s="222">
        <v>44281</v>
      </c>
      <c r="U107" s="222">
        <v>44286</v>
      </c>
      <c r="V107" s="224"/>
      <c r="W107" s="222"/>
      <c r="X107" s="225"/>
      <c r="Y107" s="225"/>
      <c r="Z107" s="225"/>
      <c r="AA107" s="225">
        <v>4</v>
      </c>
      <c r="AB107" s="225">
        <v>77784</v>
      </c>
      <c r="AC107" s="225">
        <v>589</v>
      </c>
      <c r="AD107" s="225" t="s">
        <v>2338</v>
      </c>
      <c r="AE107" s="225">
        <v>38500</v>
      </c>
      <c r="AF107" s="225" t="s">
        <v>271</v>
      </c>
      <c r="AG107" s="226">
        <v>786327414</v>
      </c>
      <c r="AH107" s="246" t="s">
        <v>2339</v>
      </c>
      <c r="AI107" s="225" t="s">
        <v>1168</v>
      </c>
      <c r="AJ107" s="225"/>
      <c r="AK107" s="225"/>
      <c r="AL107" s="225" t="s">
        <v>176</v>
      </c>
      <c r="AM107" s="225" t="s">
        <v>176</v>
      </c>
      <c r="AN107" s="225" t="s">
        <v>176</v>
      </c>
      <c r="AO107" s="225" t="s">
        <v>176</v>
      </c>
      <c r="AP107" s="222" t="s">
        <v>818</v>
      </c>
      <c r="AQ107" s="225" t="s">
        <v>225</v>
      </c>
      <c r="AR107" s="225" t="s">
        <v>1973</v>
      </c>
      <c r="AS107" s="241" t="s">
        <v>1974</v>
      </c>
      <c r="AT107" s="226">
        <v>476323235</v>
      </c>
      <c r="AU107" s="225" t="s">
        <v>176</v>
      </c>
      <c r="AV107" s="241" t="s">
        <v>188</v>
      </c>
      <c r="AW107" s="223">
        <v>44429</v>
      </c>
      <c r="AX107" s="225" t="s">
        <v>1879</v>
      </c>
      <c r="AY107" s="225">
        <v>1972</v>
      </c>
      <c r="AZ107" s="225" t="s">
        <v>1880</v>
      </c>
      <c r="BA107" s="225" t="s">
        <v>380</v>
      </c>
      <c r="BB107" s="225" t="s">
        <v>256</v>
      </c>
      <c r="BC107" s="225" t="s">
        <v>1975</v>
      </c>
      <c r="BD107" s="225">
        <v>12</v>
      </c>
      <c r="BE107" s="225">
        <v>9.1999999999999993</v>
      </c>
      <c r="BF107" s="225">
        <v>77</v>
      </c>
      <c r="BG107" s="225">
        <v>0.04</v>
      </c>
      <c r="BH107" s="225" t="s">
        <v>1882</v>
      </c>
      <c r="BI107" s="225"/>
      <c r="BJ107" s="225">
        <f>538+480+2350+80+90+69+41+29+26+95+60</f>
        <v>3858</v>
      </c>
      <c r="BK107" s="225"/>
      <c r="BL107" s="225"/>
      <c r="BM107" s="225"/>
      <c r="BN107" s="225">
        <f>295+48+75+280</f>
        <v>698</v>
      </c>
      <c r="BO107" s="225">
        <f t="shared" si="6"/>
        <v>4556</v>
      </c>
      <c r="BP107" s="230">
        <f t="shared" si="7"/>
        <v>250.58</v>
      </c>
      <c r="BQ107" s="230">
        <f t="shared" si="8"/>
        <v>4806.58</v>
      </c>
      <c r="BR107" s="230">
        <v>4700</v>
      </c>
      <c r="BS107" s="225" t="s">
        <v>191</v>
      </c>
      <c r="BT107" s="225"/>
      <c r="BU107" s="225"/>
      <c r="BV107" s="301" t="s">
        <v>2325</v>
      </c>
      <c r="BW107" s="301" t="s">
        <v>214</v>
      </c>
      <c r="BX107" s="301" t="s">
        <v>620</v>
      </c>
      <c r="BY107" s="301">
        <v>2021</v>
      </c>
    </row>
    <row r="108" spans="1:77" s="29" customFormat="1" ht="13.5" customHeight="1">
      <c r="A108" s="64">
        <f t="shared" si="9"/>
        <v>2021</v>
      </c>
      <c r="B108" s="64">
        <f t="shared" si="10"/>
        <v>1</v>
      </c>
      <c r="C108" s="125" t="s">
        <v>191</v>
      </c>
      <c r="D108" s="168" t="str">
        <f t="shared" si="11"/>
        <v>non maj</v>
      </c>
      <c r="E108" s="292" t="s">
        <v>670</v>
      </c>
      <c r="F108" s="292" t="s">
        <v>1340</v>
      </c>
      <c r="G108" s="221">
        <v>600</v>
      </c>
      <c r="H108" s="222">
        <v>44219</v>
      </c>
      <c r="I108" s="222">
        <v>44222</v>
      </c>
      <c r="J108" s="223">
        <v>44222</v>
      </c>
      <c r="K108" s="222" t="s">
        <v>2340</v>
      </c>
      <c r="L108" s="223">
        <v>44224</v>
      </c>
      <c r="M108" s="223">
        <v>44224</v>
      </c>
      <c r="N108" s="223">
        <v>44231</v>
      </c>
      <c r="O108" s="222"/>
      <c r="P108" s="222">
        <v>44348</v>
      </c>
      <c r="Q108" s="222">
        <v>44342</v>
      </c>
      <c r="R108" s="222" t="s">
        <v>2341</v>
      </c>
      <c r="S108" s="222">
        <v>44351</v>
      </c>
      <c r="T108" s="222">
        <v>44351</v>
      </c>
      <c r="U108" s="222">
        <v>44378</v>
      </c>
      <c r="V108" s="224"/>
      <c r="W108" s="222"/>
      <c r="X108" s="225"/>
      <c r="Y108" s="225"/>
      <c r="Z108" s="225"/>
      <c r="AA108" s="225">
        <v>3</v>
      </c>
      <c r="AB108" s="225">
        <v>79930</v>
      </c>
      <c r="AC108" s="225">
        <v>35</v>
      </c>
      <c r="AD108" s="225" t="s">
        <v>2342</v>
      </c>
      <c r="AE108" s="225">
        <v>38210</v>
      </c>
      <c r="AF108" s="225" t="s">
        <v>265</v>
      </c>
      <c r="AG108" s="226">
        <v>632952832</v>
      </c>
      <c r="AH108" s="246" t="s">
        <v>2343</v>
      </c>
      <c r="AI108" s="225" t="s">
        <v>1168</v>
      </c>
      <c r="AJ108" s="225"/>
      <c r="AK108" s="225"/>
      <c r="AL108" s="225" t="s">
        <v>176</v>
      </c>
      <c r="AM108" s="225" t="s">
        <v>176</v>
      </c>
      <c r="AN108" s="225" t="s">
        <v>176</v>
      </c>
      <c r="AO108" s="225" t="s">
        <v>176</v>
      </c>
      <c r="AP108" s="222" t="s">
        <v>587</v>
      </c>
      <c r="AQ108" s="225" t="s">
        <v>225</v>
      </c>
      <c r="AR108" s="225" t="s">
        <v>2026</v>
      </c>
      <c r="AS108" s="241" t="s">
        <v>266</v>
      </c>
      <c r="AT108" s="226">
        <v>476069938</v>
      </c>
      <c r="AU108" s="225" t="s">
        <v>176</v>
      </c>
      <c r="AV108" s="241" t="s">
        <v>188</v>
      </c>
      <c r="AW108" s="223">
        <v>44457</v>
      </c>
      <c r="AX108" s="225" t="s">
        <v>4113</v>
      </c>
      <c r="AY108" s="242">
        <v>1990</v>
      </c>
      <c r="AZ108" s="225" t="s">
        <v>1880</v>
      </c>
      <c r="BA108" s="225" t="s">
        <v>267</v>
      </c>
      <c r="BB108" s="225" t="s">
        <v>190</v>
      </c>
      <c r="BC108" s="225" t="s">
        <v>2344</v>
      </c>
      <c r="BD108" s="242">
        <v>11</v>
      </c>
      <c r="BE108" s="242">
        <v>12</v>
      </c>
      <c r="BF108" s="242">
        <v>88.5</v>
      </c>
      <c r="BG108" s="242">
        <v>7.0000000000000001E-3</v>
      </c>
      <c r="BH108" s="225" t="s">
        <v>1882</v>
      </c>
      <c r="BI108" s="225"/>
      <c r="BJ108" s="242">
        <f>1890+3390+375+470+250</f>
        <v>6375</v>
      </c>
      <c r="BK108" s="225"/>
      <c r="BL108" s="225"/>
      <c r="BM108" s="225"/>
      <c r="BN108" s="242">
        <f>690+390+450+450</f>
        <v>1980</v>
      </c>
      <c r="BO108" s="242">
        <f t="shared" si="6"/>
        <v>8355</v>
      </c>
      <c r="BP108" s="242">
        <f t="shared" si="7"/>
        <v>459.52499999999998</v>
      </c>
      <c r="BQ108" s="242">
        <f t="shared" si="8"/>
        <v>8814.5249999999996</v>
      </c>
      <c r="BR108" s="230">
        <v>8814.5300000000007</v>
      </c>
      <c r="BS108" s="225" t="s">
        <v>191</v>
      </c>
      <c r="BT108" s="225"/>
      <c r="BU108" s="225"/>
      <c r="BV108" s="301" t="s">
        <v>2325</v>
      </c>
      <c r="BW108" s="301" t="s">
        <v>214</v>
      </c>
      <c r="BX108" s="301" t="s">
        <v>620</v>
      </c>
      <c r="BY108" s="301" t="s">
        <v>176</v>
      </c>
    </row>
    <row r="109" spans="1:77" ht="13.5" customHeight="1">
      <c r="A109" s="64">
        <f t="shared" si="9"/>
        <v>2021</v>
      </c>
      <c r="B109" s="64">
        <f t="shared" si="10"/>
        <v>1</v>
      </c>
      <c r="C109" s="125" t="s">
        <v>191</v>
      </c>
      <c r="D109" s="168" t="str">
        <f t="shared" si="11"/>
        <v>non maj</v>
      </c>
      <c r="E109" s="292" t="s">
        <v>670</v>
      </c>
      <c r="F109" s="292" t="s">
        <v>1341</v>
      </c>
      <c r="G109" s="221">
        <v>600</v>
      </c>
      <c r="H109" s="222">
        <v>44223</v>
      </c>
      <c r="I109" s="222">
        <v>44224</v>
      </c>
      <c r="J109" s="223" t="s">
        <v>176</v>
      </c>
      <c r="K109" s="222" t="s">
        <v>176</v>
      </c>
      <c r="L109" s="223">
        <v>44224</v>
      </c>
      <c r="M109" s="223">
        <v>44224</v>
      </c>
      <c r="N109" s="223">
        <v>44231</v>
      </c>
      <c r="O109" s="222"/>
      <c r="P109" s="222">
        <v>44354</v>
      </c>
      <c r="Q109" s="222">
        <v>44344</v>
      </c>
      <c r="R109" s="222" t="s">
        <v>176</v>
      </c>
      <c r="S109" s="222">
        <v>44355</v>
      </c>
      <c r="T109" s="222">
        <v>44355</v>
      </c>
      <c r="U109" s="222">
        <v>44378</v>
      </c>
      <c r="V109" s="224"/>
      <c r="W109" s="222"/>
      <c r="X109" s="225"/>
      <c r="Y109" s="225"/>
      <c r="Z109" s="225"/>
      <c r="AA109" s="225">
        <v>2</v>
      </c>
      <c r="AB109" s="225">
        <v>91184</v>
      </c>
      <c r="AC109" s="225">
        <v>140</v>
      </c>
      <c r="AD109" s="225" t="s">
        <v>2345</v>
      </c>
      <c r="AE109" s="225">
        <v>38430</v>
      </c>
      <c r="AF109" s="225" t="s">
        <v>1893</v>
      </c>
      <c r="AG109" s="226">
        <v>603799179</v>
      </c>
      <c r="AH109" s="246" t="s">
        <v>2346</v>
      </c>
      <c r="AI109" s="225" t="s">
        <v>1168</v>
      </c>
      <c r="AJ109" s="225"/>
      <c r="AK109" s="225"/>
      <c r="AL109" s="225" t="s">
        <v>176</v>
      </c>
      <c r="AM109" s="225" t="s">
        <v>176</v>
      </c>
      <c r="AN109" s="225" t="s">
        <v>176</v>
      </c>
      <c r="AO109" s="225" t="s">
        <v>176</v>
      </c>
      <c r="AP109" s="225" t="s">
        <v>2002</v>
      </c>
      <c r="AQ109" s="225" t="s">
        <v>1895</v>
      </c>
      <c r="AR109" s="225" t="s">
        <v>2003</v>
      </c>
      <c r="AS109" s="241" t="s">
        <v>245</v>
      </c>
      <c r="AT109" s="226">
        <v>476452433</v>
      </c>
      <c r="AU109" s="225" t="s">
        <v>176</v>
      </c>
      <c r="AV109" s="241" t="s">
        <v>188</v>
      </c>
      <c r="AW109" s="223">
        <v>44620</v>
      </c>
      <c r="AX109" s="225" t="s">
        <v>4113</v>
      </c>
      <c r="AY109" s="225" t="s">
        <v>1935</v>
      </c>
      <c r="AZ109" s="225" t="s">
        <v>1880</v>
      </c>
      <c r="BA109" s="225" t="s">
        <v>267</v>
      </c>
      <c r="BB109" s="225" t="s">
        <v>796</v>
      </c>
      <c r="BC109" s="225" t="s">
        <v>900</v>
      </c>
      <c r="BD109" s="225">
        <v>14.4</v>
      </c>
      <c r="BE109" s="225">
        <v>8.25</v>
      </c>
      <c r="BF109" s="225">
        <v>92</v>
      </c>
      <c r="BG109" s="225">
        <v>4.0000000000000001E-3</v>
      </c>
      <c r="BH109" s="225" t="s">
        <v>1899</v>
      </c>
      <c r="BI109" s="225"/>
      <c r="BJ109" s="225">
        <f>3375+200+595.43+218.45+87.66+69.78</f>
        <v>4546.32</v>
      </c>
      <c r="BK109" s="225"/>
      <c r="BL109" s="225"/>
      <c r="BM109" s="225"/>
      <c r="BN109" s="225">
        <f>450+400</f>
        <v>850</v>
      </c>
      <c r="BO109" s="225">
        <f t="shared" si="6"/>
        <v>5396.32</v>
      </c>
      <c r="BP109" s="230">
        <f t="shared" si="7"/>
        <v>296.79759999999999</v>
      </c>
      <c r="BQ109" s="230">
        <f t="shared" si="8"/>
        <v>5693.1175999999996</v>
      </c>
      <c r="BR109" s="230">
        <v>5334.42</v>
      </c>
      <c r="BS109" s="225" t="s">
        <v>191</v>
      </c>
      <c r="BT109" s="225"/>
      <c r="BU109" s="225"/>
      <c r="BV109" s="301" t="s">
        <v>2325</v>
      </c>
      <c r="BW109" s="301" t="s">
        <v>214</v>
      </c>
      <c r="BX109" s="301" t="s">
        <v>620</v>
      </c>
      <c r="BY109" s="301" t="s">
        <v>176</v>
      </c>
    </row>
    <row r="110" spans="1:77" s="12" customFormat="1" ht="13.5" customHeight="1">
      <c r="A110" s="64">
        <f t="shared" si="9"/>
        <v>2021</v>
      </c>
      <c r="B110" s="64">
        <f t="shared" si="10"/>
        <v>2</v>
      </c>
      <c r="C110" s="125" t="s">
        <v>191</v>
      </c>
      <c r="D110" s="168" t="str">
        <f t="shared" si="11"/>
        <v>maj</v>
      </c>
      <c r="E110" s="292" t="s">
        <v>670</v>
      </c>
      <c r="F110" s="292" t="s">
        <v>1342</v>
      </c>
      <c r="G110" s="221">
        <v>1000</v>
      </c>
      <c r="H110" s="222">
        <v>44225</v>
      </c>
      <c r="I110" s="222">
        <v>44229</v>
      </c>
      <c r="J110" s="223">
        <v>44229</v>
      </c>
      <c r="K110" s="222" t="s">
        <v>2347</v>
      </c>
      <c r="L110" s="223">
        <v>44229</v>
      </c>
      <c r="M110" s="223">
        <v>44229</v>
      </c>
      <c r="N110" s="223">
        <v>44231</v>
      </c>
      <c r="O110" s="222"/>
      <c r="P110" s="222">
        <v>44347</v>
      </c>
      <c r="Q110" s="222">
        <v>44329</v>
      </c>
      <c r="R110" s="222" t="s">
        <v>176</v>
      </c>
      <c r="S110" s="222">
        <v>44347</v>
      </c>
      <c r="T110" s="222">
        <v>44347</v>
      </c>
      <c r="U110" s="222">
        <v>44372</v>
      </c>
      <c r="V110" s="224"/>
      <c r="W110" s="222"/>
      <c r="X110" s="225"/>
      <c r="Y110" s="225"/>
      <c r="Z110" s="225"/>
      <c r="AA110" s="225">
        <v>5</v>
      </c>
      <c r="AB110" s="225">
        <v>34763</v>
      </c>
      <c r="AC110" s="225">
        <v>1</v>
      </c>
      <c r="AD110" s="225" t="s">
        <v>2348</v>
      </c>
      <c r="AE110" s="225">
        <v>38430</v>
      </c>
      <c r="AF110" s="225" t="s">
        <v>1893</v>
      </c>
      <c r="AG110" s="226">
        <v>678028601</v>
      </c>
      <c r="AH110" s="246" t="s">
        <v>2349</v>
      </c>
      <c r="AI110" s="225" t="s">
        <v>1168</v>
      </c>
      <c r="AJ110" s="225"/>
      <c r="AK110" s="225"/>
      <c r="AL110" s="225" t="s">
        <v>176</v>
      </c>
      <c r="AM110" s="225" t="s">
        <v>176</v>
      </c>
      <c r="AN110" s="225" t="s">
        <v>176</v>
      </c>
      <c r="AO110" s="225" t="s">
        <v>176</v>
      </c>
      <c r="AP110" s="225" t="s">
        <v>268</v>
      </c>
      <c r="AQ110" s="225" t="s">
        <v>1893</v>
      </c>
      <c r="AR110" s="225" t="s">
        <v>1933</v>
      </c>
      <c r="AS110" s="246" t="s">
        <v>1934</v>
      </c>
      <c r="AT110" s="226">
        <v>476355605</v>
      </c>
      <c r="AU110" s="225" t="s">
        <v>176</v>
      </c>
      <c r="AV110" s="241" t="s">
        <v>188</v>
      </c>
      <c r="AW110" s="223">
        <v>44495</v>
      </c>
      <c r="AX110" s="225" t="s">
        <v>4113</v>
      </c>
      <c r="AY110" s="225">
        <v>2000</v>
      </c>
      <c r="AZ110" s="225" t="s">
        <v>1880</v>
      </c>
      <c r="BA110" s="225" t="s">
        <v>380</v>
      </c>
      <c r="BB110" s="225" t="s">
        <v>1936</v>
      </c>
      <c r="BC110" s="225" t="s">
        <v>436</v>
      </c>
      <c r="BD110" s="225">
        <v>31</v>
      </c>
      <c r="BE110" s="225">
        <v>6</v>
      </c>
      <c r="BF110" s="225">
        <v>80</v>
      </c>
      <c r="BG110" s="225">
        <v>0.08</v>
      </c>
      <c r="BH110" s="225" t="s">
        <v>1882</v>
      </c>
      <c r="BI110" s="225"/>
      <c r="BJ110" s="225">
        <f>420+24.5+41.4+47.54+74+1900+218+89.6+33.54</f>
        <v>2848.58</v>
      </c>
      <c r="BK110" s="225"/>
      <c r="BL110" s="225"/>
      <c r="BM110" s="225"/>
      <c r="BN110" s="225">
        <f>350+425</f>
        <v>775</v>
      </c>
      <c r="BO110" s="225">
        <f t="shared" si="6"/>
        <v>3623.58</v>
      </c>
      <c r="BP110" s="230">
        <f t="shared" si="7"/>
        <v>199.29689999999999</v>
      </c>
      <c r="BQ110" s="230">
        <f t="shared" si="8"/>
        <v>3822.8768999999998</v>
      </c>
      <c r="BR110" s="230">
        <v>3822.88</v>
      </c>
      <c r="BS110" s="225" t="s">
        <v>191</v>
      </c>
      <c r="BT110" s="225"/>
      <c r="BU110" s="225"/>
      <c r="BV110" s="301" t="s">
        <v>2325</v>
      </c>
      <c r="BW110" s="301" t="s">
        <v>214</v>
      </c>
      <c r="BX110" s="222" t="s">
        <v>618</v>
      </c>
      <c r="BY110" s="301">
        <v>2021</v>
      </c>
    </row>
    <row r="111" spans="1:77" s="12" customFormat="1" ht="13.5" customHeight="1">
      <c r="A111" s="64">
        <f t="shared" si="9"/>
        <v>2021</v>
      </c>
      <c r="B111" s="64">
        <f t="shared" si="10"/>
        <v>2</v>
      </c>
      <c r="C111" s="125" t="s">
        <v>191</v>
      </c>
      <c r="D111" s="168" t="str">
        <f t="shared" si="11"/>
        <v>non maj</v>
      </c>
      <c r="E111" s="292" t="s">
        <v>670</v>
      </c>
      <c r="F111" s="292" t="s">
        <v>1343</v>
      </c>
      <c r="G111" s="221">
        <v>600</v>
      </c>
      <c r="H111" s="222">
        <v>44225</v>
      </c>
      <c r="I111" s="222">
        <v>44229</v>
      </c>
      <c r="J111" s="223">
        <v>44229</v>
      </c>
      <c r="K111" s="222" t="s">
        <v>2350</v>
      </c>
      <c r="L111" s="223">
        <v>44236</v>
      </c>
      <c r="M111" s="223">
        <v>44236</v>
      </c>
      <c r="N111" s="223">
        <v>44243</v>
      </c>
      <c r="O111" s="222"/>
      <c r="P111" s="222">
        <v>44307</v>
      </c>
      <c r="Q111" s="222">
        <v>44260</v>
      </c>
      <c r="R111" s="222" t="s">
        <v>176</v>
      </c>
      <c r="S111" s="222">
        <v>44308</v>
      </c>
      <c r="T111" s="222">
        <v>44308</v>
      </c>
      <c r="U111" s="222">
        <v>44328</v>
      </c>
      <c r="V111" s="224"/>
      <c r="W111" s="222"/>
      <c r="X111" s="225"/>
      <c r="Y111" s="225"/>
      <c r="Z111" s="225"/>
      <c r="AA111" s="225">
        <v>1</v>
      </c>
      <c r="AB111" s="225">
        <v>54543</v>
      </c>
      <c r="AC111" s="225">
        <v>133</v>
      </c>
      <c r="AD111" s="225" t="s">
        <v>2351</v>
      </c>
      <c r="AE111" s="225">
        <v>38850</v>
      </c>
      <c r="AF111" s="225" t="s">
        <v>1916</v>
      </c>
      <c r="AG111" s="226">
        <v>650431891</v>
      </c>
      <c r="AH111" s="246" t="s">
        <v>2352</v>
      </c>
      <c r="AI111" s="225" t="s">
        <v>1168</v>
      </c>
      <c r="AJ111" s="225"/>
      <c r="AK111" s="225"/>
      <c r="AL111" s="225" t="s">
        <v>176</v>
      </c>
      <c r="AM111" s="225" t="s">
        <v>176</v>
      </c>
      <c r="AN111" s="225" t="s">
        <v>176</v>
      </c>
      <c r="AO111" s="225" t="s">
        <v>176</v>
      </c>
      <c r="AP111" s="225" t="s">
        <v>2082</v>
      </c>
      <c r="AQ111" s="225" t="s">
        <v>2083</v>
      </c>
      <c r="AR111" s="225" t="s">
        <v>2084</v>
      </c>
      <c r="AS111" s="241" t="s">
        <v>2085</v>
      </c>
      <c r="AT111" s="226">
        <v>478900404</v>
      </c>
      <c r="AU111" s="225" t="s">
        <v>176</v>
      </c>
      <c r="AV111" s="241" t="s">
        <v>188</v>
      </c>
      <c r="AW111" s="223">
        <v>44265</v>
      </c>
      <c r="AX111" s="225" t="s">
        <v>4113</v>
      </c>
      <c r="AY111" s="225">
        <v>1970</v>
      </c>
      <c r="AZ111" s="225" t="s">
        <v>1880</v>
      </c>
      <c r="BA111" s="225" t="s">
        <v>380</v>
      </c>
      <c r="BB111" s="225" t="s">
        <v>2174</v>
      </c>
      <c r="BC111" s="225" t="s">
        <v>1016</v>
      </c>
      <c r="BD111" s="225">
        <v>18</v>
      </c>
      <c r="BE111" s="225">
        <v>4.9000000000000004</v>
      </c>
      <c r="BF111" s="225">
        <v>78</v>
      </c>
      <c r="BG111" s="225">
        <v>0.09</v>
      </c>
      <c r="BH111" s="225" t="s">
        <v>1882</v>
      </c>
      <c r="BI111" s="225"/>
      <c r="BJ111" s="225">
        <f>2248.34+278.72+640.04+104.27+85.31</f>
        <v>3356.6800000000003</v>
      </c>
      <c r="BK111" s="225"/>
      <c r="BL111" s="225"/>
      <c r="BM111" s="225"/>
      <c r="BN111" s="225">
        <f>624.36</f>
        <v>624.36</v>
      </c>
      <c r="BO111" s="225">
        <f t="shared" si="6"/>
        <v>3981.0400000000004</v>
      </c>
      <c r="BP111" s="230">
        <f t="shared" si="7"/>
        <v>218.95720000000003</v>
      </c>
      <c r="BQ111" s="230">
        <f t="shared" si="8"/>
        <v>4199.9972000000007</v>
      </c>
      <c r="BR111" s="230">
        <v>4200</v>
      </c>
      <c r="BS111" s="225" t="s">
        <v>191</v>
      </c>
      <c r="BT111" s="225"/>
      <c r="BU111" s="225"/>
      <c r="BV111" s="301" t="s">
        <v>2325</v>
      </c>
      <c r="BW111" s="301" t="s">
        <v>214</v>
      </c>
      <c r="BX111" s="301" t="s">
        <v>620</v>
      </c>
      <c r="BY111" s="301">
        <v>2021</v>
      </c>
    </row>
    <row r="112" spans="1:77" s="12" customFormat="1" ht="13.5" customHeight="1">
      <c r="A112" s="64" t="e">
        <f t="shared" si="9"/>
        <v>#VALUE!</v>
      </c>
      <c r="B112" s="64" t="e">
        <f t="shared" si="10"/>
        <v>#VALUE!</v>
      </c>
      <c r="C112" s="125" t="s">
        <v>188</v>
      </c>
      <c r="D112" s="168" t="str">
        <f t="shared" si="11"/>
        <v>NC</v>
      </c>
      <c r="E112" s="291" t="s">
        <v>670</v>
      </c>
      <c r="F112" s="291" t="s">
        <v>1344</v>
      </c>
      <c r="G112" s="221" t="s">
        <v>176</v>
      </c>
      <c r="H112" s="222">
        <v>44235</v>
      </c>
      <c r="I112" s="222">
        <v>44236</v>
      </c>
      <c r="J112" s="223">
        <v>44236</v>
      </c>
      <c r="K112" s="222" t="s">
        <v>2353</v>
      </c>
      <c r="L112" s="223" t="s">
        <v>176</v>
      </c>
      <c r="M112" s="223" t="s">
        <v>176</v>
      </c>
      <c r="N112" s="223" t="s">
        <v>176</v>
      </c>
      <c r="O112" s="222"/>
      <c r="P112" s="222" t="s">
        <v>176</v>
      </c>
      <c r="Q112" s="222" t="s">
        <v>176</v>
      </c>
      <c r="R112" s="222" t="s">
        <v>176</v>
      </c>
      <c r="S112" s="222" t="s">
        <v>176</v>
      </c>
      <c r="T112" s="222" t="s">
        <v>176</v>
      </c>
      <c r="U112" s="222" t="s">
        <v>176</v>
      </c>
      <c r="V112" s="224"/>
      <c r="W112" s="222">
        <v>44424</v>
      </c>
      <c r="X112" s="225" t="s">
        <v>1939</v>
      </c>
      <c r="Y112" s="225"/>
      <c r="Z112" s="225"/>
      <c r="AA112" s="225">
        <v>5</v>
      </c>
      <c r="AB112" s="225">
        <v>117003</v>
      </c>
      <c r="AC112" s="225">
        <v>375</v>
      </c>
      <c r="AD112" s="225" t="s">
        <v>2354</v>
      </c>
      <c r="AE112" s="225">
        <v>38340</v>
      </c>
      <c r="AF112" s="225" t="s">
        <v>232</v>
      </c>
      <c r="AG112" s="226">
        <v>760752246</v>
      </c>
      <c r="AH112" s="246" t="s">
        <v>2355</v>
      </c>
      <c r="AI112" s="225" t="s">
        <v>1168</v>
      </c>
      <c r="AJ112" s="225"/>
      <c r="AK112" s="225"/>
      <c r="AL112" s="225" t="s">
        <v>176</v>
      </c>
      <c r="AM112" s="225" t="s">
        <v>176</v>
      </c>
      <c r="AN112" s="225" t="s">
        <v>176</v>
      </c>
      <c r="AO112" s="225" t="s">
        <v>176</v>
      </c>
      <c r="AP112" s="225" t="s">
        <v>579</v>
      </c>
      <c r="AQ112" s="225" t="s">
        <v>1895</v>
      </c>
      <c r="AR112" s="225" t="s">
        <v>1896</v>
      </c>
      <c r="AS112" s="241" t="s">
        <v>201</v>
      </c>
      <c r="AT112" s="226">
        <v>608287337</v>
      </c>
      <c r="AU112" s="225" t="s">
        <v>176</v>
      </c>
      <c r="AV112" s="241" t="s">
        <v>188</v>
      </c>
      <c r="AW112" s="223">
        <v>44417</v>
      </c>
      <c r="AX112" s="225" t="s">
        <v>1880</v>
      </c>
      <c r="AY112" s="225" t="s">
        <v>1935</v>
      </c>
      <c r="AZ112" s="225" t="s">
        <v>1880</v>
      </c>
      <c r="BA112" s="225" t="s">
        <v>380</v>
      </c>
      <c r="BB112" s="225" t="s">
        <v>202</v>
      </c>
      <c r="BC112" s="225" t="s">
        <v>2190</v>
      </c>
      <c r="BD112" s="225">
        <v>39</v>
      </c>
      <c r="BE112" s="225">
        <v>7</v>
      </c>
      <c r="BF112" s="225">
        <v>75</v>
      </c>
      <c r="BG112" s="225">
        <v>0.09</v>
      </c>
      <c r="BH112" s="225" t="s">
        <v>191</v>
      </c>
      <c r="BI112" s="225"/>
      <c r="BJ112" s="225">
        <f>2662+1840+274+150</f>
        <v>4926</v>
      </c>
      <c r="BK112" s="225"/>
      <c r="BL112" s="225"/>
      <c r="BM112" s="225"/>
      <c r="BN112" s="225">
        <f>330+600</f>
        <v>930</v>
      </c>
      <c r="BO112" s="225">
        <f t="shared" si="6"/>
        <v>5856</v>
      </c>
      <c r="BP112" s="230">
        <f t="shared" si="7"/>
        <v>322.08</v>
      </c>
      <c r="BQ112" s="230">
        <f t="shared" si="8"/>
        <v>6178.08</v>
      </c>
      <c r="BR112" s="230">
        <v>5893</v>
      </c>
      <c r="BS112" s="225" t="s">
        <v>188</v>
      </c>
      <c r="BT112" s="225"/>
      <c r="BU112" s="225"/>
      <c r="BV112" s="301">
        <v>0</v>
      </c>
      <c r="BW112" s="301" t="s">
        <v>214</v>
      </c>
      <c r="BX112" s="301" t="s">
        <v>214</v>
      </c>
      <c r="BY112" s="301" t="s">
        <v>176</v>
      </c>
    </row>
    <row r="113" spans="1:77" s="12" customFormat="1" ht="13.5" customHeight="1">
      <c r="A113" s="64">
        <f t="shared" si="9"/>
        <v>2021</v>
      </c>
      <c r="B113" s="64">
        <f t="shared" si="10"/>
        <v>2</v>
      </c>
      <c r="C113" s="125" t="s">
        <v>191</v>
      </c>
      <c r="D113" s="168" t="str">
        <f t="shared" si="11"/>
        <v>maj</v>
      </c>
      <c r="E113" s="292" t="s">
        <v>670</v>
      </c>
      <c r="F113" s="292" t="s">
        <v>1345</v>
      </c>
      <c r="G113" s="221">
        <v>1000</v>
      </c>
      <c r="H113" s="222">
        <v>44235</v>
      </c>
      <c r="I113" s="222">
        <v>44236</v>
      </c>
      <c r="J113" s="223">
        <v>44236</v>
      </c>
      <c r="K113" s="222" t="s">
        <v>2356</v>
      </c>
      <c r="L113" s="223">
        <v>44236</v>
      </c>
      <c r="M113" s="223">
        <v>44236</v>
      </c>
      <c r="N113" s="223">
        <v>44243</v>
      </c>
      <c r="O113" s="222"/>
      <c r="P113" s="222">
        <v>44309</v>
      </c>
      <c r="Q113" s="222">
        <v>44305</v>
      </c>
      <c r="R113" s="222" t="s">
        <v>2357</v>
      </c>
      <c r="S113" s="222">
        <v>44319</v>
      </c>
      <c r="T113" s="222">
        <v>44319</v>
      </c>
      <c r="U113" s="222">
        <v>44326</v>
      </c>
      <c r="V113" s="224"/>
      <c r="W113" s="222"/>
      <c r="X113" s="225"/>
      <c r="Y113" s="225"/>
      <c r="Z113" s="225"/>
      <c r="AA113" s="225">
        <v>4</v>
      </c>
      <c r="AB113" s="225">
        <v>34556</v>
      </c>
      <c r="AC113" s="225">
        <v>71</v>
      </c>
      <c r="AD113" s="225" t="s">
        <v>2358</v>
      </c>
      <c r="AE113" s="225">
        <v>38620</v>
      </c>
      <c r="AF113" s="225" t="s">
        <v>1871</v>
      </c>
      <c r="AG113" s="226">
        <v>651142031</v>
      </c>
      <c r="AH113" s="246" t="s">
        <v>2359</v>
      </c>
      <c r="AI113" s="225" t="s">
        <v>1168</v>
      </c>
      <c r="AJ113" s="225"/>
      <c r="AK113" s="225"/>
      <c r="AL113" s="225" t="s">
        <v>176</v>
      </c>
      <c r="AM113" s="225" t="s">
        <v>176</v>
      </c>
      <c r="AN113" s="225" t="s">
        <v>176</v>
      </c>
      <c r="AO113" s="225" t="s">
        <v>176</v>
      </c>
      <c r="AP113" s="222" t="s">
        <v>587</v>
      </c>
      <c r="AQ113" s="225" t="s">
        <v>225</v>
      </c>
      <c r="AR113" s="225" t="s">
        <v>2026</v>
      </c>
      <c r="AS113" s="241" t="s">
        <v>266</v>
      </c>
      <c r="AT113" s="226">
        <v>476069938</v>
      </c>
      <c r="AU113" s="225" t="s">
        <v>176</v>
      </c>
      <c r="AV113" s="241" t="s">
        <v>188</v>
      </c>
      <c r="AW113" s="223">
        <v>44457</v>
      </c>
      <c r="AX113" s="225" t="s">
        <v>4113</v>
      </c>
      <c r="AY113" s="242">
        <v>1980</v>
      </c>
      <c r="AZ113" s="225" t="s">
        <v>1880</v>
      </c>
      <c r="BA113" s="225" t="s">
        <v>267</v>
      </c>
      <c r="BB113" s="225" t="s">
        <v>433</v>
      </c>
      <c r="BC113" s="225" t="s">
        <v>2305</v>
      </c>
      <c r="BD113" s="242">
        <v>14.8</v>
      </c>
      <c r="BE113" s="242">
        <v>7.4</v>
      </c>
      <c r="BF113" s="242">
        <v>92.5</v>
      </c>
      <c r="BG113" s="242">
        <v>1.2E-2</v>
      </c>
      <c r="BH113" s="225" t="s">
        <v>1899</v>
      </c>
      <c r="BI113" s="225"/>
      <c r="BJ113" s="242">
        <f>970+89+250+2910</f>
        <v>4219</v>
      </c>
      <c r="BK113" s="225"/>
      <c r="BL113" s="225"/>
      <c r="BM113" s="225"/>
      <c r="BN113" s="242">
        <f>450+390</f>
        <v>840</v>
      </c>
      <c r="BO113" s="242">
        <f t="shared" si="6"/>
        <v>5059</v>
      </c>
      <c r="BP113" s="242">
        <f t="shared" si="7"/>
        <v>278.245</v>
      </c>
      <c r="BQ113" s="242">
        <f t="shared" si="8"/>
        <v>5337.2449999999999</v>
      </c>
      <c r="BR113" s="230">
        <v>5337.25</v>
      </c>
      <c r="BS113" s="225" t="s">
        <v>188</v>
      </c>
      <c r="BT113" s="225"/>
      <c r="BU113" s="225"/>
      <c r="BV113" s="301" t="s">
        <v>2325</v>
      </c>
      <c r="BW113" s="301" t="s">
        <v>214</v>
      </c>
      <c r="BX113" s="222" t="s">
        <v>618</v>
      </c>
      <c r="BY113" s="301" t="s">
        <v>176</v>
      </c>
    </row>
    <row r="114" spans="1:77" s="12" customFormat="1" ht="13.5" customHeight="1">
      <c r="A114" s="64">
        <f t="shared" si="9"/>
        <v>2021</v>
      </c>
      <c r="B114" s="64">
        <f t="shared" si="10"/>
        <v>2</v>
      </c>
      <c r="C114" s="125" t="s">
        <v>191</v>
      </c>
      <c r="D114" s="168" t="str">
        <f t="shared" si="11"/>
        <v>non maj</v>
      </c>
      <c r="E114" s="292" t="s">
        <v>670</v>
      </c>
      <c r="F114" s="292" t="s">
        <v>1346</v>
      </c>
      <c r="G114" s="221">
        <v>600</v>
      </c>
      <c r="H114" s="222">
        <v>44239</v>
      </c>
      <c r="I114" s="222">
        <v>44242</v>
      </c>
      <c r="J114" s="223" t="s">
        <v>176</v>
      </c>
      <c r="K114" s="222" t="s">
        <v>176</v>
      </c>
      <c r="L114" s="223">
        <v>44246</v>
      </c>
      <c r="M114" s="223">
        <v>44246</v>
      </c>
      <c r="N114" s="223">
        <v>44252</v>
      </c>
      <c r="O114" s="222"/>
      <c r="P114" s="222">
        <v>44350</v>
      </c>
      <c r="Q114" s="222">
        <v>44284</v>
      </c>
      <c r="R114" s="222" t="s">
        <v>2360</v>
      </c>
      <c r="S114" s="222">
        <v>44355</v>
      </c>
      <c r="T114" s="222">
        <v>44355</v>
      </c>
      <c r="U114" s="222">
        <v>44378</v>
      </c>
      <c r="V114" s="224"/>
      <c r="W114" s="222"/>
      <c r="X114" s="225"/>
      <c r="Y114" s="225"/>
      <c r="Z114" s="225"/>
      <c r="AA114" s="225">
        <v>3</v>
      </c>
      <c r="AB114" s="225">
        <v>52060</v>
      </c>
      <c r="AC114" s="225">
        <v>1512</v>
      </c>
      <c r="AD114" s="225" t="s">
        <v>2361</v>
      </c>
      <c r="AE114" s="225">
        <v>38850</v>
      </c>
      <c r="AF114" s="225" t="s">
        <v>1931</v>
      </c>
      <c r="AG114" s="226">
        <v>476358306</v>
      </c>
      <c r="AH114" s="246" t="s">
        <v>2362</v>
      </c>
      <c r="AI114" s="225" t="s">
        <v>1168</v>
      </c>
      <c r="AJ114" s="225"/>
      <c r="AK114" s="225"/>
      <c r="AL114" s="225" t="s">
        <v>176</v>
      </c>
      <c r="AM114" s="225" t="s">
        <v>176</v>
      </c>
      <c r="AN114" s="225" t="s">
        <v>176</v>
      </c>
      <c r="AO114" s="225" t="s">
        <v>176</v>
      </c>
      <c r="AP114" s="222" t="s">
        <v>587</v>
      </c>
      <c r="AQ114" s="225" t="s">
        <v>225</v>
      </c>
      <c r="AR114" s="225" t="s">
        <v>2026</v>
      </c>
      <c r="AS114" s="241" t="s">
        <v>266</v>
      </c>
      <c r="AT114" s="226">
        <v>476069938</v>
      </c>
      <c r="AU114" s="225" t="s">
        <v>176</v>
      </c>
      <c r="AV114" s="241" t="s">
        <v>188</v>
      </c>
      <c r="AW114" s="223">
        <v>44457</v>
      </c>
      <c r="AX114" s="225" t="s">
        <v>1880</v>
      </c>
      <c r="AY114" s="242" t="s">
        <v>2363</v>
      </c>
      <c r="AZ114" s="225" t="s">
        <v>1880</v>
      </c>
      <c r="BA114" s="225" t="s">
        <v>267</v>
      </c>
      <c r="BB114" s="225" t="s">
        <v>433</v>
      </c>
      <c r="BC114" s="225" t="s">
        <v>2305</v>
      </c>
      <c r="BD114" s="242">
        <v>14.8</v>
      </c>
      <c r="BE114" s="242">
        <v>7.4</v>
      </c>
      <c r="BF114" s="242">
        <v>92.5</v>
      </c>
      <c r="BG114" s="242">
        <v>1.2E-2</v>
      </c>
      <c r="BH114" s="225" t="s">
        <v>1899</v>
      </c>
      <c r="BI114" s="225"/>
      <c r="BJ114" s="242">
        <f>1890+123.66+2690</f>
        <v>4703.66</v>
      </c>
      <c r="BK114" s="225"/>
      <c r="BL114" s="225"/>
      <c r="BM114" s="225"/>
      <c r="BN114" s="242">
        <f>590+390+50</f>
        <v>1030</v>
      </c>
      <c r="BO114" s="242">
        <f t="shared" si="6"/>
        <v>5733.66</v>
      </c>
      <c r="BP114" s="242">
        <f t="shared" si="7"/>
        <v>315.35129999999998</v>
      </c>
      <c r="BQ114" s="242">
        <f t="shared" si="8"/>
        <v>6049.0113000000001</v>
      </c>
      <c r="BR114" s="230">
        <v>6049.01</v>
      </c>
      <c r="BS114" s="225" t="s">
        <v>191</v>
      </c>
      <c r="BT114" s="225"/>
      <c r="BU114" s="225"/>
      <c r="BV114" s="301" t="s">
        <v>2325</v>
      </c>
      <c r="BW114" s="301" t="s">
        <v>214</v>
      </c>
      <c r="BX114" s="301" t="s">
        <v>620</v>
      </c>
      <c r="BY114" s="301" t="s">
        <v>176</v>
      </c>
    </row>
    <row r="115" spans="1:77" s="12" customFormat="1" ht="13.5" customHeight="1">
      <c r="A115" s="64">
        <f t="shared" si="9"/>
        <v>2021</v>
      </c>
      <c r="B115" s="64">
        <f t="shared" si="10"/>
        <v>2</v>
      </c>
      <c r="C115" s="125" t="s">
        <v>191</v>
      </c>
      <c r="D115" s="168" t="str">
        <f t="shared" si="11"/>
        <v>non maj</v>
      </c>
      <c r="E115" s="292" t="s">
        <v>670</v>
      </c>
      <c r="F115" s="292" t="s">
        <v>1347</v>
      </c>
      <c r="G115" s="221">
        <v>600</v>
      </c>
      <c r="H115" s="222">
        <v>44241</v>
      </c>
      <c r="I115" s="222">
        <v>44242</v>
      </c>
      <c r="J115" s="223">
        <v>44246</v>
      </c>
      <c r="K115" s="222" t="s">
        <v>2364</v>
      </c>
      <c r="L115" s="223">
        <v>44252</v>
      </c>
      <c r="M115" s="223">
        <v>44252</v>
      </c>
      <c r="N115" s="223">
        <v>44258</v>
      </c>
      <c r="O115" s="222"/>
      <c r="P115" s="222">
        <v>44383</v>
      </c>
      <c r="Q115" s="222">
        <v>44361</v>
      </c>
      <c r="R115" s="222" t="s">
        <v>2365</v>
      </c>
      <c r="S115" s="222">
        <v>44438</v>
      </c>
      <c r="T115" s="222">
        <v>44438</v>
      </c>
      <c r="U115" s="222">
        <v>44455</v>
      </c>
      <c r="V115" s="224"/>
      <c r="W115" s="222"/>
      <c r="X115" s="225"/>
      <c r="Y115" s="225"/>
      <c r="Z115" s="225"/>
      <c r="AA115" s="225">
        <v>1</v>
      </c>
      <c r="AB115" s="225">
        <v>27210</v>
      </c>
      <c r="AC115" s="225">
        <v>4</v>
      </c>
      <c r="AD115" s="225" t="s">
        <v>2366</v>
      </c>
      <c r="AE115" s="225">
        <v>38500</v>
      </c>
      <c r="AF115" s="225" t="s">
        <v>225</v>
      </c>
      <c r="AG115" s="226">
        <v>663839478</v>
      </c>
      <c r="AH115" s="246" t="s">
        <v>2367</v>
      </c>
      <c r="AI115" s="225" t="s">
        <v>1168</v>
      </c>
      <c r="AJ115" s="225"/>
      <c r="AK115" s="225"/>
      <c r="AL115" s="225" t="s">
        <v>176</v>
      </c>
      <c r="AM115" s="225" t="s">
        <v>176</v>
      </c>
      <c r="AN115" s="225" t="s">
        <v>176</v>
      </c>
      <c r="AO115" s="225" t="s">
        <v>176</v>
      </c>
      <c r="AP115" s="222" t="s">
        <v>587</v>
      </c>
      <c r="AQ115" s="225" t="s">
        <v>225</v>
      </c>
      <c r="AR115" s="225" t="s">
        <v>2026</v>
      </c>
      <c r="AS115" s="241" t="s">
        <v>266</v>
      </c>
      <c r="AT115" s="226">
        <v>476069938</v>
      </c>
      <c r="AU115" s="225" t="s">
        <v>176</v>
      </c>
      <c r="AV115" s="241" t="s">
        <v>188</v>
      </c>
      <c r="AW115" s="223">
        <v>44457</v>
      </c>
      <c r="AX115" s="225" t="s">
        <v>1880</v>
      </c>
      <c r="AY115" s="242" t="s">
        <v>1935</v>
      </c>
      <c r="AZ115" s="225" t="s">
        <v>1880</v>
      </c>
      <c r="BA115" s="225" t="s">
        <v>380</v>
      </c>
      <c r="BB115" s="225" t="s">
        <v>280</v>
      </c>
      <c r="BC115" s="225" t="s">
        <v>2368</v>
      </c>
      <c r="BD115" s="242">
        <v>40</v>
      </c>
      <c r="BE115" s="242">
        <v>5.9</v>
      </c>
      <c r="BF115" s="242">
        <v>83.6</v>
      </c>
      <c r="BG115" s="242">
        <v>7.0000000000000007E-2</v>
      </c>
      <c r="BH115" s="225" t="s">
        <v>1882</v>
      </c>
      <c r="BI115" s="225"/>
      <c r="BJ115" s="242">
        <f>2272+170+460+215</f>
        <v>3117</v>
      </c>
      <c r="BK115" s="225"/>
      <c r="BL115" s="225"/>
      <c r="BM115" s="225"/>
      <c r="BN115" s="242">
        <f>300+450</f>
        <v>750</v>
      </c>
      <c r="BO115" s="242">
        <f t="shared" si="6"/>
        <v>3867</v>
      </c>
      <c r="BP115" s="242">
        <f t="shared" si="7"/>
        <v>212.685</v>
      </c>
      <c r="BQ115" s="242">
        <f t="shared" si="8"/>
        <v>4079.6849999999999</v>
      </c>
      <c r="BR115" s="230">
        <v>4079.69</v>
      </c>
      <c r="BS115" s="225" t="s">
        <v>188</v>
      </c>
      <c r="BT115" s="225"/>
      <c r="BU115" s="225"/>
      <c r="BV115" s="301" t="s">
        <v>2325</v>
      </c>
      <c r="BW115" s="301" t="s">
        <v>214</v>
      </c>
      <c r="BX115" s="301" t="s">
        <v>620</v>
      </c>
      <c r="BY115" s="301">
        <v>2021</v>
      </c>
    </row>
    <row r="116" spans="1:77" ht="13.5" customHeight="1">
      <c r="A116" s="64">
        <f t="shared" si="9"/>
        <v>2021</v>
      </c>
      <c r="B116" s="64">
        <f t="shared" si="10"/>
        <v>6</v>
      </c>
      <c r="C116" s="125" t="s">
        <v>188</v>
      </c>
      <c r="D116" s="168" t="str">
        <f t="shared" si="11"/>
        <v>NC</v>
      </c>
      <c r="E116" s="294" t="s">
        <v>670</v>
      </c>
      <c r="F116" s="294" t="s">
        <v>1348</v>
      </c>
      <c r="G116" s="221">
        <v>600</v>
      </c>
      <c r="H116" s="222">
        <v>44244</v>
      </c>
      <c r="I116" s="222">
        <v>44245</v>
      </c>
      <c r="J116" s="223">
        <v>44246</v>
      </c>
      <c r="K116" s="222" t="s">
        <v>2369</v>
      </c>
      <c r="L116" s="223">
        <v>44348</v>
      </c>
      <c r="M116" s="223">
        <v>44348</v>
      </c>
      <c r="N116" s="223">
        <v>44354</v>
      </c>
      <c r="O116" s="222"/>
      <c r="P116" s="222">
        <v>44526</v>
      </c>
      <c r="Q116" s="222">
        <v>44453</v>
      </c>
      <c r="R116" s="222" t="s">
        <v>2370</v>
      </c>
      <c r="S116" s="222"/>
      <c r="T116" s="222"/>
      <c r="U116" s="222"/>
      <c r="V116" s="224"/>
      <c r="W116" s="222">
        <v>44930</v>
      </c>
      <c r="X116" s="225" t="s">
        <v>2371</v>
      </c>
      <c r="Y116" s="225"/>
      <c r="Z116" s="225"/>
      <c r="AA116" s="225">
        <v>4</v>
      </c>
      <c r="AB116" s="225">
        <v>46699</v>
      </c>
      <c r="AC116" s="225">
        <v>506</v>
      </c>
      <c r="AD116" s="225" t="s">
        <v>1999</v>
      </c>
      <c r="AE116" s="225">
        <v>38210</v>
      </c>
      <c r="AF116" s="225" t="s">
        <v>1903</v>
      </c>
      <c r="AG116" s="226">
        <v>677803804</v>
      </c>
      <c r="AH116" s="246" t="s">
        <v>2372</v>
      </c>
      <c r="AI116" s="225" t="s">
        <v>1168</v>
      </c>
      <c r="AJ116" s="225"/>
      <c r="AK116" s="225"/>
      <c r="AL116" s="225" t="s">
        <v>176</v>
      </c>
      <c r="AM116" s="225" t="s">
        <v>176</v>
      </c>
      <c r="AN116" s="225" t="s">
        <v>176</v>
      </c>
      <c r="AO116" s="225" t="s">
        <v>176</v>
      </c>
      <c r="AP116" s="225" t="s">
        <v>843</v>
      </c>
      <c r="AQ116" s="225" t="s">
        <v>2373</v>
      </c>
      <c r="AR116" s="225" t="s">
        <v>2374</v>
      </c>
      <c r="AS116" s="241" t="s">
        <v>195</v>
      </c>
      <c r="AT116" s="226">
        <v>681726245</v>
      </c>
      <c r="AU116" s="225" t="s">
        <v>176</v>
      </c>
      <c r="AV116" s="241" t="s">
        <v>188</v>
      </c>
      <c r="AW116" s="223">
        <v>44278</v>
      </c>
      <c r="AX116" s="225" t="s">
        <v>4113</v>
      </c>
      <c r="AY116" s="225">
        <v>1975</v>
      </c>
      <c r="AZ116" s="225" t="s">
        <v>1880</v>
      </c>
      <c r="BA116" s="225" t="s">
        <v>267</v>
      </c>
      <c r="BB116" s="225" t="s">
        <v>208</v>
      </c>
      <c r="BC116" s="225" t="s">
        <v>2375</v>
      </c>
      <c r="BD116" s="225"/>
      <c r="BE116" s="225">
        <v>8</v>
      </c>
      <c r="BF116" s="225">
        <v>91.3</v>
      </c>
      <c r="BG116" s="225">
        <v>0.121</v>
      </c>
      <c r="BH116" s="225" t="s">
        <v>1899</v>
      </c>
      <c r="BI116" s="225"/>
      <c r="BJ116" s="225">
        <f>1416.42+6435+149.97+139.26</f>
        <v>8140.6500000000005</v>
      </c>
      <c r="BK116" s="225"/>
      <c r="BL116" s="225"/>
      <c r="BM116" s="225"/>
      <c r="BN116" s="225">
        <f>384+384</f>
        <v>768</v>
      </c>
      <c r="BO116" s="225">
        <f t="shared" si="6"/>
        <v>8908.6500000000015</v>
      </c>
      <c r="BP116" s="230">
        <f t="shared" si="7"/>
        <v>489.97575000000006</v>
      </c>
      <c r="BQ116" s="230">
        <f t="shared" si="8"/>
        <v>9398.6257500000011</v>
      </c>
      <c r="BR116" s="230">
        <v>8632.8700000000008</v>
      </c>
      <c r="BS116" s="225" t="s">
        <v>188</v>
      </c>
      <c r="BT116" s="225"/>
      <c r="BU116" s="225"/>
      <c r="BV116" s="301">
        <v>0</v>
      </c>
      <c r="BW116" s="301" t="s">
        <v>214</v>
      </c>
      <c r="BX116" s="301" t="s">
        <v>214</v>
      </c>
      <c r="BY116" s="301" t="s">
        <v>176</v>
      </c>
    </row>
    <row r="117" spans="1:77" s="12" customFormat="1" ht="13.5" customHeight="1">
      <c r="A117" s="64">
        <f t="shared" si="9"/>
        <v>2021</v>
      </c>
      <c r="B117" s="64">
        <f t="shared" si="10"/>
        <v>3</v>
      </c>
      <c r="C117" s="125" t="s">
        <v>191</v>
      </c>
      <c r="D117" s="168" t="str">
        <f t="shared" si="11"/>
        <v>maj</v>
      </c>
      <c r="E117" s="292" t="s">
        <v>670</v>
      </c>
      <c r="F117" s="292" t="s">
        <v>1349</v>
      </c>
      <c r="G117" s="221">
        <v>1000</v>
      </c>
      <c r="H117" s="222">
        <v>44244</v>
      </c>
      <c r="I117" s="222">
        <v>44245</v>
      </c>
      <c r="J117" s="223">
        <v>44246</v>
      </c>
      <c r="K117" s="222" t="s">
        <v>2376</v>
      </c>
      <c r="L117" s="223">
        <v>44259</v>
      </c>
      <c r="M117" s="223">
        <v>44259</v>
      </c>
      <c r="N117" s="223">
        <v>44270</v>
      </c>
      <c r="O117" s="222"/>
      <c r="P117" s="222">
        <v>44498</v>
      </c>
      <c r="Q117" s="222">
        <v>44469</v>
      </c>
      <c r="R117" s="222" t="s">
        <v>176</v>
      </c>
      <c r="S117" s="222">
        <v>44512</v>
      </c>
      <c r="T117" s="222">
        <v>44512</v>
      </c>
      <c r="U117" s="222">
        <v>44518</v>
      </c>
      <c r="V117" s="224"/>
      <c r="W117" s="222"/>
      <c r="X117" s="225"/>
      <c r="Y117" s="225"/>
      <c r="Z117" s="225"/>
      <c r="AA117" s="225">
        <v>2</v>
      </c>
      <c r="AB117" s="225">
        <v>26187</v>
      </c>
      <c r="AC117" s="225">
        <v>72</v>
      </c>
      <c r="AD117" s="225" t="s">
        <v>2377</v>
      </c>
      <c r="AE117" s="225">
        <v>38500</v>
      </c>
      <c r="AF117" s="225" t="s">
        <v>225</v>
      </c>
      <c r="AG117" s="226">
        <v>623112745</v>
      </c>
      <c r="AH117" s="295" t="s">
        <v>2378</v>
      </c>
      <c r="AI117" s="225" t="s">
        <v>1168</v>
      </c>
      <c r="AJ117" s="225"/>
      <c r="AK117" s="225"/>
      <c r="AL117" s="225" t="s">
        <v>176</v>
      </c>
      <c r="AM117" s="225" t="s">
        <v>176</v>
      </c>
      <c r="AN117" s="225" t="s">
        <v>176</v>
      </c>
      <c r="AO117" s="225" t="s">
        <v>176</v>
      </c>
      <c r="AP117" s="225" t="s">
        <v>1888</v>
      </c>
      <c r="AQ117" s="225" t="s">
        <v>225</v>
      </c>
      <c r="AR117" s="225" t="s">
        <v>1889</v>
      </c>
      <c r="AS117" s="295" t="s">
        <v>269</v>
      </c>
      <c r="AT117" s="226" t="s">
        <v>600</v>
      </c>
      <c r="AU117" s="225" t="s">
        <v>176</v>
      </c>
      <c r="AV117" s="251" t="s">
        <v>188</v>
      </c>
      <c r="AW117" s="223">
        <v>44503</v>
      </c>
      <c r="AX117" s="225" t="s">
        <v>4113</v>
      </c>
      <c r="AY117" s="225">
        <v>1990</v>
      </c>
      <c r="AZ117" s="225" t="s">
        <v>1880</v>
      </c>
      <c r="BA117" s="225" t="s">
        <v>267</v>
      </c>
      <c r="BB117" s="225" t="s">
        <v>221</v>
      </c>
      <c r="BC117" s="225" t="s">
        <v>2379</v>
      </c>
      <c r="BD117" s="225">
        <v>18</v>
      </c>
      <c r="BE117" s="225">
        <v>10</v>
      </c>
      <c r="BF117" s="225">
        <v>90.4</v>
      </c>
      <c r="BG117" s="225">
        <v>3.3999999999999998E-3</v>
      </c>
      <c r="BH117" s="225" t="s">
        <v>1882</v>
      </c>
      <c r="BI117" s="225"/>
      <c r="BJ117" s="225">
        <f>2480+112+90+62+45+60+85+15</f>
        <v>2949</v>
      </c>
      <c r="BK117" s="225"/>
      <c r="BL117" s="225"/>
      <c r="BM117" s="225"/>
      <c r="BN117" s="225">
        <f>30+300</f>
        <v>330</v>
      </c>
      <c r="BO117" s="225">
        <f t="shared" si="6"/>
        <v>3279</v>
      </c>
      <c r="BP117" s="230">
        <f t="shared" si="7"/>
        <v>180.345</v>
      </c>
      <c r="BQ117" s="230">
        <f t="shared" si="8"/>
        <v>3459.3449999999998</v>
      </c>
      <c r="BR117" s="230">
        <v>3459.35</v>
      </c>
      <c r="BS117" s="225" t="s">
        <v>191</v>
      </c>
      <c r="BT117" s="225"/>
      <c r="BU117" s="225"/>
      <c r="BV117" s="225" t="s">
        <v>2325</v>
      </c>
      <c r="BW117" s="301" t="s">
        <v>214</v>
      </c>
      <c r="BX117" s="222" t="s">
        <v>618</v>
      </c>
      <c r="BY117" s="301" t="s">
        <v>176</v>
      </c>
    </row>
    <row r="118" spans="1:77" s="12" customFormat="1" ht="13.5" customHeight="1">
      <c r="A118" s="64">
        <f t="shared" si="9"/>
        <v>2021</v>
      </c>
      <c r="B118" s="64">
        <f t="shared" si="10"/>
        <v>2</v>
      </c>
      <c r="C118" s="125" t="s">
        <v>191</v>
      </c>
      <c r="D118" s="168" t="str">
        <f t="shared" si="11"/>
        <v>non maj</v>
      </c>
      <c r="E118" s="292" t="s">
        <v>670</v>
      </c>
      <c r="F118" s="292" t="s">
        <v>1350</v>
      </c>
      <c r="G118" s="221">
        <v>600</v>
      </c>
      <c r="H118" s="222">
        <v>44245</v>
      </c>
      <c r="I118" s="222">
        <v>44245</v>
      </c>
      <c r="J118" s="223" t="s">
        <v>176</v>
      </c>
      <c r="K118" s="222" t="s">
        <v>176</v>
      </c>
      <c r="L118" s="223">
        <v>44246</v>
      </c>
      <c r="M118" s="223">
        <v>44246</v>
      </c>
      <c r="N118" s="223">
        <v>44252</v>
      </c>
      <c r="O118" s="222"/>
      <c r="P118" s="222">
        <v>44390</v>
      </c>
      <c r="Q118" s="222">
        <v>44382</v>
      </c>
      <c r="R118" s="222" t="s">
        <v>2380</v>
      </c>
      <c r="S118" s="222">
        <v>44413</v>
      </c>
      <c r="T118" s="222">
        <v>44413</v>
      </c>
      <c r="U118" s="222">
        <v>44453</v>
      </c>
      <c r="V118" s="224"/>
      <c r="W118" s="222"/>
      <c r="X118" s="225"/>
      <c r="Y118" s="225"/>
      <c r="Z118" s="225"/>
      <c r="AA118" s="225">
        <v>2</v>
      </c>
      <c r="AB118" s="225">
        <v>40838</v>
      </c>
      <c r="AC118" s="225">
        <v>351</v>
      </c>
      <c r="AD118" s="225" t="s">
        <v>2381</v>
      </c>
      <c r="AE118" s="225">
        <v>38620</v>
      </c>
      <c r="AF118" s="225" t="s">
        <v>2382</v>
      </c>
      <c r="AG118" s="226">
        <v>688946735</v>
      </c>
      <c r="AH118" s="246" t="s">
        <v>2383</v>
      </c>
      <c r="AI118" s="225" t="s">
        <v>1168</v>
      </c>
      <c r="AJ118" s="225"/>
      <c r="AK118" s="225"/>
      <c r="AL118" s="225" t="s">
        <v>176</v>
      </c>
      <c r="AM118" s="225" t="s">
        <v>176</v>
      </c>
      <c r="AN118" s="225" t="s">
        <v>176</v>
      </c>
      <c r="AO118" s="225" t="s">
        <v>176</v>
      </c>
      <c r="AP118" s="225" t="s">
        <v>845</v>
      </c>
      <c r="AQ118" s="225" t="s">
        <v>1910</v>
      </c>
      <c r="AR118" s="225" t="s">
        <v>1966</v>
      </c>
      <c r="AS118" s="241" t="s">
        <v>430</v>
      </c>
      <c r="AT118" s="226">
        <v>474432868</v>
      </c>
      <c r="AU118" s="225" t="s">
        <v>176</v>
      </c>
      <c r="AV118" s="241" t="s">
        <v>188</v>
      </c>
      <c r="AW118" s="223">
        <v>44514</v>
      </c>
      <c r="AX118" s="225" t="s">
        <v>4113</v>
      </c>
      <c r="AY118" s="225">
        <v>1985</v>
      </c>
      <c r="AZ118" s="225" t="s">
        <v>1880</v>
      </c>
      <c r="BA118" s="225" t="s">
        <v>267</v>
      </c>
      <c r="BB118" s="225" t="s">
        <v>853</v>
      </c>
      <c r="BC118" s="225" t="s">
        <v>2384</v>
      </c>
      <c r="BD118" s="225">
        <v>14</v>
      </c>
      <c r="BE118" s="225">
        <v>9.1</v>
      </c>
      <c r="BF118" s="225">
        <v>90.2</v>
      </c>
      <c r="BG118" s="225">
        <v>4.5999999999999999E-3</v>
      </c>
      <c r="BH118" s="225" t="s">
        <v>1882</v>
      </c>
      <c r="BI118" s="225"/>
      <c r="BJ118" s="225">
        <f>3250+216+396.28+166</f>
        <v>4028.2799999999997</v>
      </c>
      <c r="BK118" s="225"/>
      <c r="BL118" s="225"/>
      <c r="BM118" s="225"/>
      <c r="BN118" s="225">
        <v>675</v>
      </c>
      <c r="BO118" s="225">
        <f t="shared" si="6"/>
        <v>4703.28</v>
      </c>
      <c r="BP118" s="230">
        <f t="shared" si="7"/>
        <v>258.68039999999996</v>
      </c>
      <c r="BQ118" s="230">
        <f t="shared" si="8"/>
        <v>4961.9603999999999</v>
      </c>
      <c r="BR118" s="230">
        <v>4961.96</v>
      </c>
      <c r="BS118" s="225" t="s">
        <v>188</v>
      </c>
      <c r="BT118" s="225"/>
      <c r="BU118" s="225"/>
      <c r="BV118" s="301" t="s">
        <v>2325</v>
      </c>
      <c r="BW118" s="301" t="s">
        <v>214</v>
      </c>
      <c r="BX118" s="301" t="s">
        <v>620</v>
      </c>
      <c r="BY118" s="301" t="s">
        <v>176</v>
      </c>
    </row>
    <row r="119" spans="1:77" s="12" customFormat="1" ht="13.5" customHeight="1">
      <c r="A119" s="64">
        <f t="shared" si="9"/>
        <v>2021</v>
      </c>
      <c r="B119" s="64">
        <f t="shared" si="10"/>
        <v>2</v>
      </c>
      <c r="C119" s="125" t="s">
        <v>191</v>
      </c>
      <c r="D119" s="168" t="str">
        <f t="shared" si="11"/>
        <v>non maj</v>
      </c>
      <c r="E119" s="292" t="s">
        <v>670</v>
      </c>
      <c r="F119" s="292" t="s">
        <v>1351</v>
      </c>
      <c r="G119" s="221">
        <v>600</v>
      </c>
      <c r="H119" s="222">
        <v>44245</v>
      </c>
      <c r="I119" s="222">
        <v>44245</v>
      </c>
      <c r="J119" s="223" t="s">
        <v>176</v>
      </c>
      <c r="K119" s="222" t="s">
        <v>176</v>
      </c>
      <c r="L119" s="223">
        <v>44246</v>
      </c>
      <c r="M119" s="223">
        <v>44246</v>
      </c>
      <c r="N119" s="223">
        <v>44252</v>
      </c>
      <c r="O119" s="222"/>
      <c r="P119" s="222">
        <v>44551</v>
      </c>
      <c r="Q119" s="222">
        <v>44403</v>
      </c>
      <c r="R119" s="222" t="s">
        <v>2385</v>
      </c>
      <c r="S119" s="222">
        <v>44592</v>
      </c>
      <c r="T119" s="222">
        <v>44592</v>
      </c>
      <c r="U119" s="222">
        <v>44593</v>
      </c>
      <c r="V119" s="224"/>
      <c r="W119" s="222"/>
      <c r="X119" s="225"/>
      <c r="Y119" s="225"/>
      <c r="Z119" s="225"/>
      <c r="AA119" s="225">
        <v>2</v>
      </c>
      <c r="AB119" s="225">
        <v>82383</v>
      </c>
      <c r="AC119" s="225">
        <v>280</v>
      </c>
      <c r="AD119" s="225" t="s">
        <v>2386</v>
      </c>
      <c r="AE119" s="225">
        <v>38850</v>
      </c>
      <c r="AF119" s="225" t="s">
        <v>2151</v>
      </c>
      <c r="AG119" s="226">
        <v>695223795</v>
      </c>
      <c r="AH119" s="246" t="s">
        <v>2387</v>
      </c>
      <c r="AI119" s="225" t="s">
        <v>1168</v>
      </c>
      <c r="AJ119" s="225"/>
      <c r="AK119" s="225"/>
      <c r="AL119" s="225" t="s">
        <v>176</v>
      </c>
      <c r="AM119" s="225" t="s">
        <v>176</v>
      </c>
      <c r="AN119" s="225" t="s">
        <v>176</v>
      </c>
      <c r="AO119" s="225" t="s">
        <v>176</v>
      </c>
      <c r="AP119" s="225" t="s">
        <v>845</v>
      </c>
      <c r="AQ119" s="225" t="s">
        <v>1910</v>
      </c>
      <c r="AR119" s="225" t="s">
        <v>1966</v>
      </c>
      <c r="AS119" s="241" t="s">
        <v>430</v>
      </c>
      <c r="AT119" s="226">
        <v>474432868</v>
      </c>
      <c r="AU119" s="225" t="s">
        <v>176</v>
      </c>
      <c r="AV119" s="241" t="s">
        <v>188</v>
      </c>
      <c r="AW119" s="223">
        <v>44514</v>
      </c>
      <c r="AX119" s="225" t="s">
        <v>4113</v>
      </c>
      <c r="AY119" s="225">
        <v>1993</v>
      </c>
      <c r="AZ119" s="225" t="s">
        <v>4113</v>
      </c>
      <c r="BA119" s="225" t="s">
        <v>380</v>
      </c>
      <c r="BB119" s="225" t="s">
        <v>706</v>
      </c>
      <c r="BC119" s="225" t="s">
        <v>2388</v>
      </c>
      <c r="BD119" s="225">
        <v>38</v>
      </c>
      <c r="BE119" s="225">
        <v>9.9</v>
      </c>
      <c r="BF119" s="225">
        <v>77.900000000000006</v>
      </c>
      <c r="BG119" s="225">
        <v>0.1</v>
      </c>
      <c r="BH119" s="225" t="s">
        <v>1882</v>
      </c>
      <c r="BI119" s="225"/>
      <c r="BJ119" s="225">
        <f>4248+512.5+35+238+845.52+236+28+107+305+472</f>
        <v>7027.02</v>
      </c>
      <c r="BK119" s="225"/>
      <c r="BL119" s="225"/>
      <c r="BM119" s="225"/>
      <c r="BN119" s="225">
        <f>350+1400</f>
        <v>1750</v>
      </c>
      <c r="BO119" s="225">
        <f t="shared" si="6"/>
        <v>8777.02</v>
      </c>
      <c r="BP119" s="230">
        <f t="shared" si="7"/>
        <v>482.73610000000002</v>
      </c>
      <c r="BQ119" s="230">
        <f t="shared" si="8"/>
        <v>9259.7561000000005</v>
      </c>
      <c r="BR119" s="230">
        <v>9864.27</v>
      </c>
      <c r="BS119" s="225" t="s">
        <v>191</v>
      </c>
      <c r="BT119" s="225"/>
      <c r="BU119" s="225"/>
      <c r="BV119" s="301" t="s">
        <v>2325</v>
      </c>
      <c r="BW119" s="301" t="s">
        <v>214</v>
      </c>
      <c r="BX119" s="301" t="s">
        <v>620</v>
      </c>
      <c r="BY119" s="301">
        <v>2021</v>
      </c>
    </row>
    <row r="120" spans="1:77" ht="13.5" customHeight="1">
      <c r="A120" s="64">
        <f t="shared" si="9"/>
        <v>2021</v>
      </c>
      <c r="B120" s="64">
        <f t="shared" si="10"/>
        <v>3</v>
      </c>
      <c r="C120" s="125" t="s">
        <v>191</v>
      </c>
      <c r="D120" s="168" t="str">
        <f t="shared" si="11"/>
        <v>non maj</v>
      </c>
      <c r="E120" s="292" t="s">
        <v>670</v>
      </c>
      <c r="F120" s="292" t="s">
        <v>1353</v>
      </c>
      <c r="G120" s="221">
        <v>600</v>
      </c>
      <c r="H120" s="222">
        <v>44245</v>
      </c>
      <c r="I120" s="222">
        <v>44245</v>
      </c>
      <c r="J120" s="223">
        <v>44215</v>
      </c>
      <c r="K120" s="222" t="s">
        <v>2389</v>
      </c>
      <c r="L120" s="223">
        <v>44266</v>
      </c>
      <c r="M120" s="223">
        <v>44266</v>
      </c>
      <c r="N120" s="223">
        <v>44277</v>
      </c>
      <c r="O120" s="222"/>
      <c r="P120" s="222">
        <v>44371</v>
      </c>
      <c r="Q120" s="222">
        <v>44320</v>
      </c>
      <c r="R120" s="222" t="s">
        <v>176</v>
      </c>
      <c r="S120" s="222">
        <v>44372</v>
      </c>
      <c r="T120" s="222">
        <v>44372</v>
      </c>
      <c r="U120" s="222">
        <v>44389</v>
      </c>
      <c r="V120" s="224"/>
      <c r="W120" s="222"/>
      <c r="X120" s="225"/>
      <c r="Y120" s="225"/>
      <c r="Z120" s="225"/>
      <c r="AA120" s="225">
        <v>2</v>
      </c>
      <c r="AB120" s="225">
        <v>102564</v>
      </c>
      <c r="AC120" s="225">
        <v>304</v>
      </c>
      <c r="AD120" s="225" t="s">
        <v>2390</v>
      </c>
      <c r="AE120" s="225">
        <v>38140</v>
      </c>
      <c r="AF120" s="225" t="s">
        <v>1924</v>
      </c>
      <c r="AG120" s="226">
        <v>608405553</v>
      </c>
      <c r="AH120" s="246" t="s">
        <v>2391</v>
      </c>
      <c r="AI120" s="225" t="s">
        <v>1168</v>
      </c>
      <c r="AJ120" s="225"/>
      <c r="AK120" s="225"/>
      <c r="AL120" s="225" t="s">
        <v>176</v>
      </c>
      <c r="AM120" s="225" t="s">
        <v>176</v>
      </c>
      <c r="AN120" s="225" t="s">
        <v>176</v>
      </c>
      <c r="AO120" s="225" t="s">
        <v>176</v>
      </c>
      <c r="AP120" s="225" t="s">
        <v>2052</v>
      </c>
      <c r="AQ120" s="225" t="s">
        <v>232</v>
      </c>
      <c r="AR120" s="225" t="s">
        <v>233</v>
      </c>
      <c r="AS120" s="241" t="s">
        <v>234</v>
      </c>
      <c r="AT120" s="226">
        <v>476500550</v>
      </c>
      <c r="AU120" s="225" t="s">
        <v>176</v>
      </c>
      <c r="AV120" s="241" t="s">
        <v>188</v>
      </c>
      <c r="AW120" s="223">
        <v>44375</v>
      </c>
      <c r="AX120" s="225" t="s">
        <v>4113</v>
      </c>
      <c r="AY120" s="225">
        <v>1993</v>
      </c>
      <c r="AZ120" s="225" t="s">
        <v>1880</v>
      </c>
      <c r="BA120" s="225" t="s">
        <v>380</v>
      </c>
      <c r="BB120" s="225" t="s">
        <v>270</v>
      </c>
      <c r="BC120" s="225" t="s">
        <v>2392</v>
      </c>
      <c r="BD120" s="225">
        <v>32</v>
      </c>
      <c r="BE120" s="225">
        <v>7</v>
      </c>
      <c r="BF120" s="225">
        <v>77.900000000000006</v>
      </c>
      <c r="BG120" s="225">
        <v>0.08</v>
      </c>
      <c r="BH120" s="225" t="s">
        <v>1882</v>
      </c>
      <c r="BI120" s="225"/>
      <c r="BJ120" s="225">
        <f>184.2+108.46+2250+265.4</f>
        <v>2808.06</v>
      </c>
      <c r="BK120" s="225"/>
      <c r="BL120" s="225"/>
      <c r="BM120" s="225"/>
      <c r="BN120" s="225">
        <f>614.56+900</f>
        <v>1514.56</v>
      </c>
      <c r="BO120" s="225">
        <f t="shared" si="6"/>
        <v>4322.62</v>
      </c>
      <c r="BP120" s="230">
        <f t="shared" si="7"/>
        <v>237.7441</v>
      </c>
      <c r="BQ120" s="230">
        <f t="shared" si="8"/>
        <v>4560.3640999999998</v>
      </c>
      <c r="BR120" s="230">
        <v>4560.3599999999997</v>
      </c>
      <c r="BS120" s="225" t="s">
        <v>191</v>
      </c>
      <c r="BT120" s="225"/>
      <c r="BU120" s="225"/>
      <c r="BV120" s="301" t="s">
        <v>2325</v>
      </c>
      <c r="BW120" s="301" t="s">
        <v>214</v>
      </c>
      <c r="BX120" s="301" t="s">
        <v>620</v>
      </c>
      <c r="BY120" s="301">
        <v>2021</v>
      </c>
    </row>
    <row r="121" spans="1:77" s="12" customFormat="1" ht="13.5" customHeight="1">
      <c r="A121" s="64">
        <f t="shared" si="9"/>
        <v>2021</v>
      </c>
      <c r="B121" s="64">
        <f t="shared" si="10"/>
        <v>2</v>
      </c>
      <c r="C121" s="125" t="s">
        <v>191</v>
      </c>
      <c r="D121" s="168" t="str">
        <f t="shared" si="11"/>
        <v>maj</v>
      </c>
      <c r="E121" s="292" t="s">
        <v>670</v>
      </c>
      <c r="F121" s="292" t="s">
        <v>1354</v>
      </c>
      <c r="G121" s="221">
        <v>1000</v>
      </c>
      <c r="H121" s="222">
        <v>44249</v>
      </c>
      <c r="I121" s="222">
        <v>44250</v>
      </c>
      <c r="J121" s="223" t="s">
        <v>176</v>
      </c>
      <c r="K121" s="222" t="s">
        <v>176</v>
      </c>
      <c r="L121" s="223">
        <v>44252</v>
      </c>
      <c r="M121" s="223">
        <v>44252</v>
      </c>
      <c r="N121" s="223">
        <v>44258</v>
      </c>
      <c r="O121" s="222"/>
      <c r="P121" s="222">
        <v>44393</v>
      </c>
      <c r="Q121" s="222">
        <v>44368</v>
      </c>
      <c r="R121" s="222" t="s">
        <v>176</v>
      </c>
      <c r="S121" s="222">
        <v>44413</v>
      </c>
      <c r="T121" s="222">
        <v>44413</v>
      </c>
      <c r="U121" s="222">
        <v>44453</v>
      </c>
      <c r="V121" s="224"/>
      <c r="W121" s="222"/>
      <c r="X121" s="225"/>
      <c r="Y121" s="225"/>
      <c r="Z121" s="225"/>
      <c r="AA121" s="225">
        <v>6</v>
      </c>
      <c r="AB121" s="225">
        <v>28729</v>
      </c>
      <c r="AC121" s="225">
        <v>292</v>
      </c>
      <c r="AD121" s="225" t="s">
        <v>2338</v>
      </c>
      <c r="AE121" s="225">
        <v>38500</v>
      </c>
      <c r="AF121" s="225" t="s">
        <v>271</v>
      </c>
      <c r="AG121" s="226">
        <v>625917386</v>
      </c>
      <c r="AH121" s="246" t="s">
        <v>2393</v>
      </c>
      <c r="AI121" s="225" t="s">
        <v>1168</v>
      </c>
      <c r="AJ121" s="225"/>
      <c r="AK121" s="225"/>
      <c r="AL121" s="225" t="s">
        <v>176</v>
      </c>
      <c r="AM121" s="225" t="s">
        <v>176</v>
      </c>
      <c r="AN121" s="225" t="s">
        <v>176</v>
      </c>
      <c r="AO121" s="225" t="s">
        <v>176</v>
      </c>
      <c r="AP121" s="222" t="s">
        <v>587</v>
      </c>
      <c r="AQ121" s="225" t="s">
        <v>225</v>
      </c>
      <c r="AR121" s="225" t="s">
        <v>2026</v>
      </c>
      <c r="AS121" s="241" t="s">
        <v>266</v>
      </c>
      <c r="AT121" s="226">
        <v>476069938</v>
      </c>
      <c r="AU121" s="225" t="s">
        <v>176</v>
      </c>
      <c r="AV121" s="241" t="s">
        <v>188</v>
      </c>
      <c r="AW121" s="223">
        <v>44457</v>
      </c>
      <c r="AX121" s="225" t="s">
        <v>1879</v>
      </c>
      <c r="AY121" s="242">
        <v>1977</v>
      </c>
      <c r="AZ121" s="225" t="s">
        <v>1880</v>
      </c>
      <c r="BA121" s="225" t="s">
        <v>380</v>
      </c>
      <c r="BB121" s="225" t="s">
        <v>399</v>
      </c>
      <c r="BC121" s="225" t="s">
        <v>2394</v>
      </c>
      <c r="BD121" s="242">
        <v>23</v>
      </c>
      <c r="BE121" s="242">
        <v>6.2</v>
      </c>
      <c r="BF121" s="242">
        <v>80.400000000000006</v>
      </c>
      <c r="BG121" s="242">
        <v>0.09</v>
      </c>
      <c r="BH121" s="225" t="s">
        <v>1882</v>
      </c>
      <c r="BI121" s="225"/>
      <c r="BJ121" s="242">
        <f>460+250+96.84+89+250+1920+265</f>
        <v>3330.84</v>
      </c>
      <c r="BK121" s="225"/>
      <c r="BL121" s="225"/>
      <c r="BM121" s="225"/>
      <c r="BN121" s="242">
        <f>450+300</f>
        <v>750</v>
      </c>
      <c r="BO121" s="242">
        <f t="shared" si="6"/>
        <v>4080.84</v>
      </c>
      <c r="BP121" s="242">
        <f t="shared" si="7"/>
        <v>224.4462</v>
      </c>
      <c r="BQ121" s="242">
        <f t="shared" si="8"/>
        <v>4305.2862000000005</v>
      </c>
      <c r="BR121" s="230">
        <v>4318.9399999999996</v>
      </c>
      <c r="BS121" s="225" t="s">
        <v>188</v>
      </c>
      <c r="BT121" s="225"/>
      <c r="BU121" s="225"/>
      <c r="BV121" s="301" t="s">
        <v>2325</v>
      </c>
      <c r="BW121" s="301" t="s">
        <v>214</v>
      </c>
      <c r="BX121" s="222" t="s">
        <v>618</v>
      </c>
      <c r="BY121" s="301">
        <v>2021</v>
      </c>
    </row>
    <row r="122" spans="1:77" s="13" customFormat="1" ht="13.5" customHeight="1">
      <c r="A122" s="64" t="e">
        <f t="shared" si="9"/>
        <v>#VALUE!</v>
      </c>
      <c r="B122" s="64" t="e">
        <f t="shared" si="10"/>
        <v>#VALUE!</v>
      </c>
      <c r="C122" s="125" t="s">
        <v>188</v>
      </c>
      <c r="D122" s="168" t="str">
        <f t="shared" si="11"/>
        <v>NC</v>
      </c>
      <c r="E122" s="291" t="s">
        <v>670</v>
      </c>
      <c r="F122" s="291" t="s">
        <v>1355</v>
      </c>
      <c r="G122" s="221" t="s">
        <v>176</v>
      </c>
      <c r="H122" s="222">
        <v>44250</v>
      </c>
      <c r="I122" s="222">
        <v>44250</v>
      </c>
      <c r="J122" s="223">
        <v>44252</v>
      </c>
      <c r="K122" s="222" t="s">
        <v>2395</v>
      </c>
      <c r="L122" s="223" t="s">
        <v>176</v>
      </c>
      <c r="M122" s="223" t="s">
        <v>176</v>
      </c>
      <c r="N122" s="223" t="s">
        <v>176</v>
      </c>
      <c r="O122" s="222"/>
      <c r="P122" s="222" t="s">
        <v>176</v>
      </c>
      <c r="Q122" s="222" t="s">
        <v>176</v>
      </c>
      <c r="R122" s="222" t="s">
        <v>176</v>
      </c>
      <c r="S122" s="222" t="s">
        <v>176</v>
      </c>
      <c r="T122" s="222" t="s">
        <v>176</v>
      </c>
      <c r="U122" s="222" t="s">
        <v>176</v>
      </c>
      <c r="V122" s="224"/>
      <c r="W122" s="222">
        <v>44301</v>
      </c>
      <c r="X122" s="225" t="s">
        <v>2396</v>
      </c>
      <c r="Y122" s="225"/>
      <c r="Z122" s="225"/>
      <c r="AA122" s="225">
        <v>4</v>
      </c>
      <c r="AB122" s="225">
        <v>40747</v>
      </c>
      <c r="AC122" s="225">
        <v>120</v>
      </c>
      <c r="AD122" s="225" t="s">
        <v>2397</v>
      </c>
      <c r="AE122" s="225">
        <v>38140</v>
      </c>
      <c r="AF122" s="225" t="s">
        <v>1924</v>
      </c>
      <c r="AG122" s="226">
        <v>681016828</v>
      </c>
      <c r="AH122" s="246" t="s">
        <v>2398</v>
      </c>
      <c r="AI122" s="225" t="s">
        <v>1168</v>
      </c>
      <c r="AJ122" s="225"/>
      <c r="AK122" s="225"/>
      <c r="AL122" s="225" t="s">
        <v>176</v>
      </c>
      <c r="AM122" s="225" t="s">
        <v>176</v>
      </c>
      <c r="AN122" s="225" t="s">
        <v>176</v>
      </c>
      <c r="AO122" s="225" t="s">
        <v>176</v>
      </c>
      <c r="AP122" s="225" t="s">
        <v>2018</v>
      </c>
      <c r="AQ122" s="225" t="s">
        <v>225</v>
      </c>
      <c r="AR122" s="225" t="s">
        <v>2019</v>
      </c>
      <c r="AS122" s="241" t="s">
        <v>273</v>
      </c>
      <c r="AT122" s="226">
        <v>476059444</v>
      </c>
      <c r="AU122" s="225" t="s">
        <v>176</v>
      </c>
      <c r="AV122" s="241" t="s">
        <v>188</v>
      </c>
      <c r="AW122" s="223">
        <v>44424</v>
      </c>
      <c r="AX122" s="225" t="s">
        <v>1880</v>
      </c>
      <c r="AY122" s="225" t="s">
        <v>2399</v>
      </c>
      <c r="AZ122" s="225" t="s">
        <v>1880</v>
      </c>
      <c r="BA122" s="225" t="s">
        <v>267</v>
      </c>
      <c r="BB122" s="225" t="s">
        <v>208</v>
      </c>
      <c r="BC122" s="225" t="s">
        <v>2400</v>
      </c>
      <c r="BD122" s="225">
        <v>14.5</v>
      </c>
      <c r="BE122" s="225">
        <v>8</v>
      </c>
      <c r="BF122" s="225">
        <v>91.5</v>
      </c>
      <c r="BG122" s="225">
        <v>4.0000000000000001E-3</v>
      </c>
      <c r="BH122" s="225" t="s">
        <v>1899</v>
      </c>
      <c r="BI122" s="225"/>
      <c r="BJ122" s="225">
        <f>3930+220+175+410</f>
        <v>4735</v>
      </c>
      <c r="BK122" s="225"/>
      <c r="BL122" s="225"/>
      <c r="BM122" s="225"/>
      <c r="BN122" s="225">
        <v>490</v>
      </c>
      <c r="BO122" s="225">
        <f t="shared" si="6"/>
        <v>5225</v>
      </c>
      <c r="BP122" s="230">
        <f t="shared" si="7"/>
        <v>287.375</v>
      </c>
      <c r="BQ122" s="230">
        <f t="shared" si="8"/>
        <v>5512.375</v>
      </c>
      <c r="BR122" s="230">
        <v>5512.38</v>
      </c>
      <c r="BS122" s="225" t="s">
        <v>188</v>
      </c>
      <c r="BT122" s="225"/>
      <c r="BU122" s="225"/>
      <c r="BV122" s="301">
        <v>0</v>
      </c>
      <c r="BW122" s="301" t="s">
        <v>214</v>
      </c>
      <c r="BX122" s="301" t="s">
        <v>214</v>
      </c>
      <c r="BY122" s="301" t="s">
        <v>176</v>
      </c>
    </row>
    <row r="123" spans="1:77" ht="13.5" customHeight="1">
      <c r="A123" s="64">
        <f t="shared" si="9"/>
        <v>2021</v>
      </c>
      <c r="B123" s="64">
        <f t="shared" si="10"/>
        <v>2</v>
      </c>
      <c r="C123" s="125" t="s">
        <v>191</v>
      </c>
      <c r="D123" s="168" t="str">
        <f t="shared" si="11"/>
        <v>non maj</v>
      </c>
      <c r="E123" s="292" t="s">
        <v>670</v>
      </c>
      <c r="F123" s="292" t="s">
        <v>1356</v>
      </c>
      <c r="G123" s="221">
        <v>600</v>
      </c>
      <c r="H123" s="222">
        <v>44250</v>
      </c>
      <c r="I123" s="222">
        <v>44252</v>
      </c>
      <c r="J123" s="223">
        <v>44252</v>
      </c>
      <c r="K123" s="222" t="s">
        <v>2401</v>
      </c>
      <c r="L123" s="223">
        <v>44252</v>
      </c>
      <c r="M123" s="223">
        <v>44252</v>
      </c>
      <c r="N123" s="223">
        <v>44230</v>
      </c>
      <c r="O123" s="222"/>
      <c r="P123" s="222">
        <v>44330</v>
      </c>
      <c r="Q123" s="222">
        <v>44323</v>
      </c>
      <c r="R123" s="222" t="s">
        <v>176</v>
      </c>
      <c r="S123" s="222">
        <v>44341</v>
      </c>
      <c r="T123" s="222">
        <v>44341</v>
      </c>
      <c r="U123" s="222">
        <v>44347</v>
      </c>
      <c r="V123" s="224"/>
      <c r="W123" s="222"/>
      <c r="X123" s="225"/>
      <c r="Y123" s="225"/>
      <c r="Z123" s="225"/>
      <c r="AA123" s="225">
        <v>4</v>
      </c>
      <c r="AB123" s="225">
        <v>41724</v>
      </c>
      <c r="AC123" s="225">
        <v>11</v>
      </c>
      <c r="AD123" s="225" t="s">
        <v>2402</v>
      </c>
      <c r="AE123" s="225">
        <v>38500</v>
      </c>
      <c r="AF123" s="225" t="s">
        <v>1984</v>
      </c>
      <c r="AG123" s="226">
        <v>675220900</v>
      </c>
      <c r="AH123" s="246" t="s">
        <v>2403</v>
      </c>
      <c r="AI123" s="225" t="s">
        <v>1168</v>
      </c>
      <c r="AJ123" s="225"/>
      <c r="AK123" s="225"/>
      <c r="AL123" s="225" t="s">
        <v>176</v>
      </c>
      <c r="AM123" s="225" t="s">
        <v>176</v>
      </c>
      <c r="AN123" s="225" t="s">
        <v>176</v>
      </c>
      <c r="AO123" s="225" t="s">
        <v>176</v>
      </c>
      <c r="AP123" s="225" t="s">
        <v>268</v>
      </c>
      <c r="AQ123" s="225" t="s">
        <v>1893</v>
      </c>
      <c r="AR123" s="225" t="s">
        <v>1933</v>
      </c>
      <c r="AS123" s="246" t="s">
        <v>1934</v>
      </c>
      <c r="AT123" s="226">
        <v>476355605</v>
      </c>
      <c r="AU123" s="225" t="s">
        <v>176</v>
      </c>
      <c r="AV123" s="241" t="s">
        <v>188</v>
      </c>
      <c r="AW123" s="223">
        <v>44495</v>
      </c>
      <c r="AX123" s="225" t="s">
        <v>4113</v>
      </c>
      <c r="AY123" s="225">
        <v>1996</v>
      </c>
      <c r="AZ123" s="225" t="s">
        <v>1880</v>
      </c>
      <c r="BA123" s="225" t="s">
        <v>380</v>
      </c>
      <c r="BB123" s="225" t="s">
        <v>1936</v>
      </c>
      <c r="BC123" s="225" t="s">
        <v>2404</v>
      </c>
      <c r="BD123" s="225">
        <v>22</v>
      </c>
      <c r="BE123" s="225">
        <v>7</v>
      </c>
      <c r="BF123" s="225">
        <v>80</v>
      </c>
      <c r="BG123" s="225">
        <v>0.08</v>
      </c>
      <c r="BH123" s="225" t="s">
        <v>1882</v>
      </c>
      <c r="BI123" s="225"/>
      <c r="BJ123" s="225">
        <f>49.54+75.64+2365+218+89.6+33.54+75.6</f>
        <v>2906.9199999999996</v>
      </c>
      <c r="BK123" s="225"/>
      <c r="BL123" s="225"/>
      <c r="BM123" s="225"/>
      <c r="BN123" s="225">
        <v>525</v>
      </c>
      <c r="BO123" s="225">
        <f t="shared" si="6"/>
        <v>3431.9199999999996</v>
      </c>
      <c r="BP123" s="230">
        <f t="shared" si="7"/>
        <v>188.75559999999999</v>
      </c>
      <c r="BQ123" s="230">
        <f t="shared" si="8"/>
        <v>3620.6755999999996</v>
      </c>
      <c r="BR123" s="230">
        <v>3620.68</v>
      </c>
      <c r="BS123" s="225" t="s">
        <v>191</v>
      </c>
      <c r="BT123" s="225"/>
      <c r="BU123" s="225"/>
      <c r="BV123" s="301" t="s">
        <v>2325</v>
      </c>
      <c r="BW123" s="301" t="s">
        <v>214</v>
      </c>
      <c r="BX123" s="301" t="s">
        <v>620</v>
      </c>
      <c r="BY123" s="301">
        <v>2021</v>
      </c>
    </row>
    <row r="124" spans="1:77" s="12" customFormat="1" ht="13.5" customHeight="1">
      <c r="A124" s="64">
        <f t="shared" si="9"/>
        <v>2021</v>
      </c>
      <c r="B124" s="64">
        <f t="shared" si="10"/>
        <v>3</v>
      </c>
      <c r="C124" s="125" t="s">
        <v>191</v>
      </c>
      <c r="D124" s="168" t="str">
        <f t="shared" si="11"/>
        <v>maj</v>
      </c>
      <c r="E124" s="232" t="s">
        <v>670</v>
      </c>
      <c r="F124" s="232" t="s">
        <v>1358</v>
      </c>
      <c r="G124" s="221">
        <v>1000</v>
      </c>
      <c r="H124" s="222">
        <v>44251</v>
      </c>
      <c r="I124" s="222">
        <v>44252</v>
      </c>
      <c r="J124" s="223">
        <v>44252</v>
      </c>
      <c r="K124" s="222" t="s">
        <v>2405</v>
      </c>
      <c r="L124" s="223">
        <v>44259</v>
      </c>
      <c r="M124" s="223">
        <v>44259</v>
      </c>
      <c r="N124" s="223">
        <v>44270</v>
      </c>
      <c r="O124" s="222"/>
      <c r="P124" s="222">
        <v>44628</v>
      </c>
      <c r="Q124" s="222">
        <v>44561</v>
      </c>
      <c r="R124" s="222" t="s">
        <v>176</v>
      </c>
      <c r="S124" s="222">
        <v>44630</v>
      </c>
      <c r="T124" s="222">
        <v>44630</v>
      </c>
      <c r="U124" s="222">
        <v>44630</v>
      </c>
      <c r="V124" s="224"/>
      <c r="W124" s="222"/>
      <c r="X124" s="225"/>
      <c r="Y124" s="225"/>
      <c r="Z124" s="225"/>
      <c r="AA124" s="225">
        <v>3</v>
      </c>
      <c r="AB124" s="225">
        <v>32876</v>
      </c>
      <c r="AC124" s="225">
        <v>305</v>
      </c>
      <c r="AD124" s="225" t="s">
        <v>2406</v>
      </c>
      <c r="AE124" s="225">
        <v>38850</v>
      </c>
      <c r="AF124" s="225" t="s">
        <v>2151</v>
      </c>
      <c r="AG124" s="226">
        <v>614040050</v>
      </c>
      <c r="AH124" s="246" t="s">
        <v>2407</v>
      </c>
      <c r="AI124" s="225" t="s">
        <v>1168</v>
      </c>
      <c r="AJ124" s="225"/>
      <c r="AK124" s="225"/>
      <c r="AL124" s="225" t="s">
        <v>176</v>
      </c>
      <c r="AM124" s="225" t="s">
        <v>176</v>
      </c>
      <c r="AN124" s="225" t="s">
        <v>176</v>
      </c>
      <c r="AO124" s="225" t="s">
        <v>176</v>
      </c>
      <c r="AP124" s="225" t="s">
        <v>385</v>
      </c>
      <c r="AQ124" s="225" t="s">
        <v>265</v>
      </c>
      <c r="AR124" s="225" t="s">
        <v>1959</v>
      </c>
      <c r="AS124" s="241" t="s">
        <v>1960</v>
      </c>
      <c r="AT124" s="226">
        <v>476065876</v>
      </c>
      <c r="AU124" s="225" t="s">
        <v>176</v>
      </c>
      <c r="AV124" s="241" t="s">
        <v>188</v>
      </c>
      <c r="AW124" s="223">
        <v>44398</v>
      </c>
      <c r="AX124" s="225" t="s">
        <v>1879</v>
      </c>
      <c r="AY124" s="225">
        <v>1900</v>
      </c>
      <c r="AZ124" s="225" t="s">
        <v>1880</v>
      </c>
      <c r="BA124" s="225" t="s">
        <v>267</v>
      </c>
      <c r="BB124" s="225" t="s">
        <v>190</v>
      </c>
      <c r="BC124" s="225" t="s">
        <v>2408</v>
      </c>
      <c r="BD124" s="225">
        <v>16</v>
      </c>
      <c r="BE124" s="225">
        <v>9.1</v>
      </c>
      <c r="BF124" s="225">
        <v>91.8</v>
      </c>
      <c r="BG124" s="225">
        <v>3.0000000000000001E-3</v>
      </c>
      <c r="BH124" s="225" t="s">
        <v>1882</v>
      </c>
      <c r="BI124" s="225"/>
      <c r="BJ124" s="225">
        <f>3170+520</f>
        <v>3690</v>
      </c>
      <c r="BK124" s="225"/>
      <c r="BL124" s="225"/>
      <c r="BM124" s="225"/>
      <c r="BN124" s="225">
        <v>400</v>
      </c>
      <c r="BO124" s="225">
        <f t="shared" si="6"/>
        <v>4090</v>
      </c>
      <c r="BP124" s="230">
        <f t="shared" si="7"/>
        <v>224.95</v>
      </c>
      <c r="BQ124" s="230">
        <f t="shared" si="8"/>
        <v>4314.95</v>
      </c>
      <c r="BR124" s="230">
        <v>4314.95</v>
      </c>
      <c r="BS124" s="225" t="s">
        <v>191</v>
      </c>
      <c r="BT124" s="225"/>
      <c r="BU124" s="225"/>
      <c r="BV124" s="301" t="s">
        <v>2325</v>
      </c>
      <c r="BW124" s="301" t="s">
        <v>214</v>
      </c>
      <c r="BX124" s="222" t="s">
        <v>618</v>
      </c>
      <c r="BY124" s="301" t="s">
        <v>176</v>
      </c>
    </row>
    <row r="125" spans="1:77" s="12" customFormat="1" ht="13.5" customHeight="1">
      <c r="A125" s="64">
        <f t="shared" si="9"/>
        <v>2021</v>
      </c>
      <c r="B125" s="64">
        <f t="shared" si="10"/>
        <v>2</v>
      </c>
      <c r="C125" s="125" t="s">
        <v>191</v>
      </c>
      <c r="D125" s="168" t="str">
        <f t="shared" si="11"/>
        <v>non maj</v>
      </c>
      <c r="E125" s="292" t="s">
        <v>670</v>
      </c>
      <c r="F125" s="292" t="s">
        <v>1359</v>
      </c>
      <c r="G125" s="221">
        <v>600</v>
      </c>
      <c r="H125" s="222">
        <v>44251</v>
      </c>
      <c r="I125" s="222">
        <v>44252</v>
      </c>
      <c r="J125" s="223" t="s">
        <v>176</v>
      </c>
      <c r="K125" s="222" t="s">
        <v>176</v>
      </c>
      <c r="L125" s="223">
        <v>44252</v>
      </c>
      <c r="M125" s="223">
        <v>44252</v>
      </c>
      <c r="N125" s="223">
        <v>44230</v>
      </c>
      <c r="O125" s="222"/>
      <c r="P125" s="222">
        <v>44313</v>
      </c>
      <c r="Q125" s="222">
        <v>44292</v>
      </c>
      <c r="R125" s="222" t="s">
        <v>176</v>
      </c>
      <c r="S125" s="222">
        <v>44319</v>
      </c>
      <c r="T125" s="222">
        <v>44319</v>
      </c>
      <c r="U125" s="222">
        <v>44326</v>
      </c>
      <c r="V125" s="224"/>
      <c r="W125" s="222"/>
      <c r="X125" s="225"/>
      <c r="Y125" s="225"/>
      <c r="Z125" s="225"/>
      <c r="AA125" s="225">
        <v>2</v>
      </c>
      <c r="AB125" s="225">
        <v>129708</v>
      </c>
      <c r="AC125" s="225">
        <v>44</v>
      </c>
      <c r="AD125" s="225" t="s">
        <v>2409</v>
      </c>
      <c r="AE125" s="225">
        <v>38500</v>
      </c>
      <c r="AF125" s="225" t="s">
        <v>225</v>
      </c>
      <c r="AG125" s="226">
        <v>689952429</v>
      </c>
      <c r="AH125" s="246" t="s">
        <v>2410</v>
      </c>
      <c r="AI125" s="225" t="s">
        <v>1168</v>
      </c>
      <c r="AJ125" s="225"/>
      <c r="AK125" s="225"/>
      <c r="AL125" s="225" t="s">
        <v>176</v>
      </c>
      <c r="AM125" s="225" t="s">
        <v>176</v>
      </c>
      <c r="AN125" s="225" t="s">
        <v>176</v>
      </c>
      <c r="AO125" s="225" t="s">
        <v>176</v>
      </c>
      <c r="AP125" s="222" t="s">
        <v>587</v>
      </c>
      <c r="AQ125" s="225" t="s">
        <v>225</v>
      </c>
      <c r="AR125" s="225" t="s">
        <v>2026</v>
      </c>
      <c r="AS125" s="241" t="s">
        <v>266</v>
      </c>
      <c r="AT125" s="226">
        <v>476069938</v>
      </c>
      <c r="AU125" s="225" t="s">
        <v>176</v>
      </c>
      <c r="AV125" s="241" t="s">
        <v>188</v>
      </c>
      <c r="AW125" s="223">
        <v>44457</v>
      </c>
      <c r="AX125" s="225" t="s">
        <v>1879</v>
      </c>
      <c r="AY125" s="242">
        <v>1963</v>
      </c>
      <c r="AZ125" s="225" t="s">
        <v>4113</v>
      </c>
      <c r="BA125" s="225" t="s">
        <v>380</v>
      </c>
      <c r="BB125" s="225" t="s">
        <v>190</v>
      </c>
      <c r="BC125" s="225" t="s">
        <v>2411</v>
      </c>
      <c r="BD125" s="242">
        <v>28</v>
      </c>
      <c r="BE125" s="242">
        <v>12.6</v>
      </c>
      <c r="BF125" s="242">
        <v>76.2</v>
      </c>
      <c r="BG125" s="242">
        <v>0.09</v>
      </c>
      <c r="BH125" s="225" t="s">
        <v>1882</v>
      </c>
      <c r="BI125" s="225"/>
      <c r="BJ125" s="242">
        <f>2145.4+290+550+370+140</f>
        <v>3495.4</v>
      </c>
      <c r="BK125" s="225"/>
      <c r="BL125" s="225"/>
      <c r="BM125" s="225"/>
      <c r="BN125" s="242">
        <f>320+450</f>
        <v>770</v>
      </c>
      <c r="BO125" s="242">
        <f t="shared" si="6"/>
        <v>4265.3999999999996</v>
      </c>
      <c r="BP125" s="242">
        <f t="shared" si="7"/>
        <v>234.59699999999998</v>
      </c>
      <c r="BQ125" s="242">
        <f t="shared" si="8"/>
        <v>4499.9969999999994</v>
      </c>
      <c r="BR125" s="230">
        <v>4500</v>
      </c>
      <c r="BS125" s="225" t="s">
        <v>188</v>
      </c>
      <c r="BT125" s="225"/>
      <c r="BU125" s="225"/>
      <c r="BV125" s="301" t="s">
        <v>2325</v>
      </c>
      <c r="BW125" s="301" t="s">
        <v>214</v>
      </c>
      <c r="BX125" s="301" t="s">
        <v>620</v>
      </c>
      <c r="BY125" s="301">
        <v>2021</v>
      </c>
    </row>
    <row r="126" spans="1:77" s="12" customFormat="1" ht="13.5" customHeight="1">
      <c r="A126" s="64">
        <f t="shared" si="9"/>
        <v>2021</v>
      </c>
      <c r="B126" s="64">
        <f t="shared" si="10"/>
        <v>3</v>
      </c>
      <c r="C126" s="125" t="s">
        <v>191</v>
      </c>
      <c r="D126" s="168" t="str">
        <f t="shared" si="11"/>
        <v>non maj</v>
      </c>
      <c r="E126" s="292" t="s">
        <v>670</v>
      </c>
      <c r="F126" s="292" t="s">
        <v>1361</v>
      </c>
      <c r="G126" s="221">
        <v>600</v>
      </c>
      <c r="H126" s="222">
        <v>44252</v>
      </c>
      <c r="I126" s="222">
        <v>44253</v>
      </c>
      <c r="J126" s="223" t="s">
        <v>176</v>
      </c>
      <c r="K126" s="222" t="s">
        <v>176</v>
      </c>
      <c r="L126" s="223">
        <v>44259</v>
      </c>
      <c r="M126" s="223">
        <v>44259</v>
      </c>
      <c r="N126" s="223">
        <v>44270</v>
      </c>
      <c r="O126" s="222"/>
      <c r="P126" s="222">
        <v>44392</v>
      </c>
      <c r="Q126" s="222">
        <v>44376</v>
      </c>
      <c r="R126" s="222" t="s">
        <v>176</v>
      </c>
      <c r="S126" s="222">
        <v>44393</v>
      </c>
      <c r="T126" s="222">
        <v>44393</v>
      </c>
      <c r="U126" s="222">
        <v>44434</v>
      </c>
      <c r="V126" s="224"/>
      <c r="W126" s="222"/>
      <c r="X126" s="225"/>
      <c r="Y126" s="225"/>
      <c r="Z126" s="225"/>
      <c r="AA126" s="225">
        <v>2</v>
      </c>
      <c r="AB126" s="225">
        <v>42826</v>
      </c>
      <c r="AC126" s="225">
        <v>25</v>
      </c>
      <c r="AD126" s="225" t="s">
        <v>2412</v>
      </c>
      <c r="AE126" s="225">
        <v>38140</v>
      </c>
      <c r="AF126" s="225" t="s">
        <v>1946</v>
      </c>
      <c r="AG126" s="226">
        <v>683079330</v>
      </c>
      <c r="AH126" s="246" t="s">
        <v>2413</v>
      </c>
      <c r="AI126" s="225" t="s">
        <v>1168</v>
      </c>
      <c r="AJ126" s="225"/>
      <c r="AK126" s="225"/>
      <c r="AL126" s="225" t="s">
        <v>176</v>
      </c>
      <c r="AM126" s="225" t="s">
        <v>176</v>
      </c>
      <c r="AN126" s="225" t="s">
        <v>176</v>
      </c>
      <c r="AO126" s="225" t="s">
        <v>176</v>
      </c>
      <c r="AP126" s="225" t="s">
        <v>1874</v>
      </c>
      <c r="AQ126" s="225" t="s">
        <v>1875</v>
      </c>
      <c r="AR126" s="225" t="s">
        <v>1876</v>
      </c>
      <c r="AS126" s="246" t="s">
        <v>1877</v>
      </c>
      <c r="AT126" s="226" t="s">
        <v>434</v>
      </c>
      <c r="AU126" s="225" t="s">
        <v>176</v>
      </c>
      <c r="AV126" s="241" t="s">
        <v>1878</v>
      </c>
      <c r="AW126" s="223">
        <v>44517</v>
      </c>
      <c r="AX126" s="225" t="s">
        <v>4113</v>
      </c>
      <c r="AY126" s="225">
        <v>1990</v>
      </c>
      <c r="AZ126" s="225" t="s">
        <v>1880</v>
      </c>
      <c r="BA126" s="225" t="s">
        <v>380</v>
      </c>
      <c r="BB126" s="225" t="s">
        <v>280</v>
      </c>
      <c r="BC126" s="225" t="s">
        <v>2414</v>
      </c>
      <c r="BD126" s="225">
        <v>17</v>
      </c>
      <c r="BE126" s="225">
        <v>9</v>
      </c>
      <c r="BF126" s="225">
        <v>79.5</v>
      </c>
      <c r="BG126" s="225">
        <v>0.12</v>
      </c>
      <c r="BH126" s="225" t="s">
        <v>1882</v>
      </c>
      <c r="BI126" s="225"/>
      <c r="BJ126" s="225">
        <f>2650+119+45+82</f>
        <v>2896</v>
      </c>
      <c r="BK126" s="225"/>
      <c r="BL126" s="225"/>
      <c r="BM126" s="225"/>
      <c r="BN126" s="225">
        <v>490</v>
      </c>
      <c r="BO126" s="225">
        <f t="shared" si="6"/>
        <v>3386</v>
      </c>
      <c r="BP126" s="230">
        <f t="shared" si="7"/>
        <v>186.23</v>
      </c>
      <c r="BQ126" s="230">
        <f t="shared" si="8"/>
        <v>3572.23</v>
      </c>
      <c r="BR126" s="230">
        <v>3572.23</v>
      </c>
      <c r="BS126" s="225" t="s">
        <v>188</v>
      </c>
      <c r="BT126" s="225"/>
      <c r="BU126" s="225"/>
      <c r="BV126" s="301" t="s">
        <v>2325</v>
      </c>
      <c r="BW126" s="301" t="s">
        <v>214</v>
      </c>
      <c r="BX126" s="301" t="s">
        <v>620</v>
      </c>
      <c r="BY126" s="301">
        <v>2021</v>
      </c>
    </row>
    <row r="127" spans="1:77" s="12" customFormat="1" ht="13.5" customHeight="1">
      <c r="A127" s="64">
        <f t="shared" si="9"/>
        <v>2021</v>
      </c>
      <c r="B127" s="64">
        <f t="shared" si="10"/>
        <v>3</v>
      </c>
      <c r="C127" s="125" t="s">
        <v>191</v>
      </c>
      <c r="D127" s="168" t="str">
        <f t="shared" si="11"/>
        <v>non maj</v>
      </c>
      <c r="E127" s="292" t="s">
        <v>670</v>
      </c>
      <c r="F127" s="292" t="s">
        <v>1363</v>
      </c>
      <c r="G127" s="221">
        <v>600</v>
      </c>
      <c r="H127" s="222">
        <v>44252</v>
      </c>
      <c r="I127" s="222">
        <v>44253</v>
      </c>
      <c r="J127" s="223" t="s">
        <v>176</v>
      </c>
      <c r="K127" s="222" t="s">
        <v>176</v>
      </c>
      <c r="L127" s="223">
        <v>44259</v>
      </c>
      <c r="M127" s="223">
        <v>44259</v>
      </c>
      <c r="N127" s="223">
        <v>44270</v>
      </c>
      <c r="O127" s="222"/>
      <c r="P127" s="222">
        <v>44399</v>
      </c>
      <c r="Q127" s="222">
        <v>44389</v>
      </c>
      <c r="R127" s="222" t="s">
        <v>176</v>
      </c>
      <c r="S127" s="222">
        <v>44413</v>
      </c>
      <c r="T127" s="222">
        <v>44413</v>
      </c>
      <c r="U127" s="222">
        <v>44453</v>
      </c>
      <c r="V127" s="224"/>
      <c r="W127" s="222"/>
      <c r="X127" s="225"/>
      <c r="Y127" s="225"/>
      <c r="Z127" s="225"/>
      <c r="AA127" s="225">
        <v>2</v>
      </c>
      <c r="AB127" s="225">
        <v>33129</v>
      </c>
      <c r="AC127" s="225">
        <v>40</v>
      </c>
      <c r="AD127" s="225" t="s">
        <v>2415</v>
      </c>
      <c r="AE127" s="225">
        <v>38140</v>
      </c>
      <c r="AF127" s="225" t="s">
        <v>1924</v>
      </c>
      <c r="AG127" s="226">
        <v>647219904</v>
      </c>
      <c r="AH127" s="246" t="s">
        <v>2416</v>
      </c>
      <c r="AI127" s="225" t="s">
        <v>1168</v>
      </c>
      <c r="AJ127" s="225"/>
      <c r="AK127" s="225"/>
      <c r="AL127" s="225" t="s">
        <v>176</v>
      </c>
      <c r="AM127" s="225" t="s">
        <v>176</v>
      </c>
      <c r="AN127" s="225" t="s">
        <v>176</v>
      </c>
      <c r="AO127" s="225" t="s">
        <v>176</v>
      </c>
      <c r="AP127" s="225" t="s">
        <v>268</v>
      </c>
      <c r="AQ127" s="225" t="s">
        <v>1893</v>
      </c>
      <c r="AR127" s="225" t="s">
        <v>1933</v>
      </c>
      <c r="AS127" s="246" t="s">
        <v>1934</v>
      </c>
      <c r="AT127" s="226">
        <v>476355605</v>
      </c>
      <c r="AU127" s="225" t="s">
        <v>176</v>
      </c>
      <c r="AV127" s="241" t="s">
        <v>188</v>
      </c>
      <c r="AW127" s="223">
        <v>44495</v>
      </c>
      <c r="AX127" s="225" t="s">
        <v>4113</v>
      </c>
      <c r="AY127" s="225">
        <v>1986</v>
      </c>
      <c r="AZ127" s="225" t="s">
        <v>1880</v>
      </c>
      <c r="BA127" s="225" t="s">
        <v>380</v>
      </c>
      <c r="BB127" s="225" t="s">
        <v>1936</v>
      </c>
      <c r="BC127" s="225" t="s">
        <v>612</v>
      </c>
      <c r="BD127" s="225">
        <v>14</v>
      </c>
      <c r="BE127" s="225">
        <v>7.8</v>
      </c>
      <c r="BF127" s="225">
        <v>81</v>
      </c>
      <c r="BG127" s="225">
        <v>0.08</v>
      </c>
      <c r="BH127" s="225" t="s">
        <v>1882</v>
      </c>
      <c r="BI127" s="225"/>
      <c r="BJ127" s="225">
        <f>232+24.5+44.8+118+74+235+47.55+2470+218+89.6+33.54+65.35</f>
        <v>3652.3399999999997</v>
      </c>
      <c r="BK127" s="225"/>
      <c r="BL127" s="225"/>
      <c r="BM127" s="225"/>
      <c r="BN127" s="225">
        <f>99.9+325+525</f>
        <v>949.9</v>
      </c>
      <c r="BO127" s="225">
        <f t="shared" si="6"/>
        <v>4602.24</v>
      </c>
      <c r="BP127" s="230">
        <f t="shared" si="7"/>
        <v>253.1232</v>
      </c>
      <c r="BQ127" s="230">
        <f t="shared" si="8"/>
        <v>4855.3631999999998</v>
      </c>
      <c r="BR127" s="230">
        <v>4854.51</v>
      </c>
      <c r="BS127" s="225" t="s">
        <v>188</v>
      </c>
      <c r="BT127" s="225"/>
      <c r="BU127" s="225"/>
      <c r="BV127" s="301" t="s">
        <v>2325</v>
      </c>
      <c r="BW127" s="301" t="s">
        <v>214</v>
      </c>
      <c r="BX127" s="301" t="s">
        <v>620</v>
      </c>
      <c r="BY127" s="301">
        <v>2021</v>
      </c>
    </row>
    <row r="128" spans="1:77" s="12" customFormat="1" ht="13.5" customHeight="1">
      <c r="A128" s="64">
        <f t="shared" si="9"/>
        <v>2021</v>
      </c>
      <c r="B128" s="64">
        <f t="shared" si="10"/>
        <v>3</v>
      </c>
      <c r="C128" s="125" t="s">
        <v>191</v>
      </c>
      <c r="D128" s="168" t="str">
        <f t="shared" si="11"/>
        <v>non maj</v>
      </c>
      <c r="E128" s="292" t="s">
        <v>670</v>
      </c>
      <c r="F128" s="292" t="s">
        <v>1364</v>
      </c>
      <c r="G128" s="221">
        <v>600</v>
      </c>
      <c r="H128" s="222">
        <v>44230</v>
      </c>
      <c r="I128" s="222">
        <v>44231</v>
      </c>
      <c r="J128" s="223" t="s">
        <v>176</v>
      </c>
      <c r="K128" s="222" t="s">
        <v>176</v>
      </c>
      <c r="L128" s="223">
        <v>44259</v>
      </c>
      <c r="M128" s="223">
        <v>44259</v>
      </c>
      <c r="N128" s="223">
        <v>44270</v>
      </c>
      <c r="O128" s="222"/>
      <c r="P128" s="222">
        <v>44347</v>
      </c>
      <c r="Q128" s="222">
        <v>44336</v>
      </c>
      <c r="R128" s="222" t="s">
        <v>176</v>
      </c>
      <c r="S128" s="222">
        <v>44347</v>
      </c>
      <c r="T128" s="222">
        <v>44347</v>
      </c>
      <c r="U128" s="222">
        <v>44372</v>
      </c>
      <c r="V128" s="224"/>
      <c r="W128" s="222"/>
      <c r="X128" s="225"/>
      <c r="Y128" s="225"/>
      <c r="Z128" s="225"/>
      <c r="AA128" s="225">
        <v>2</v>
      </c>
      <c r="AB128" s="225">
        <v>45831</v>
      </c>
      <c r="AC128" s="225">
        <v>379</v>
      </c>
      <c r="AD128" s="225" t="s">
        <v>1930</v>
      </c>
      <c r="AE128" s="225">
        <v>38850</v>
      </c>
      <c r="AF128" s="225" t="s">
        <v>1931</v>
      </c>
      <c r="AG128" s="226">
        <v>687062764</v>
      </c>
      <c r="AH128" s="246" t="s">
        <v>2417</v>
      </c>
      <c r="AI128" s="225" t="s">
        <v>1168</v>
      </c>
      <c r="AJ128" s="225"/>
      <c r="AK128" s="225"/>
      <c r="AL128" s="225" t="s">
        <v>176</v>
      </c>
      <c r="AM128" s="225" t="s">
        <v>176</v>
      </c>
      <c r="AN128" s="225" t="s">
        <v>176</v>
      </c>
      <c r="AO128" s="225" t="s">
        <v>176</v>
      </c>
      <c r="AP128" s="225" t="s">
        <v>3294</v>
      </c>
      <c r="AQ128" s="225" t="s">
        <v>231</v>
      </c>
      <c r="AR128" s="225" t="s">
        <v>1036</v>
      </c>
      <c r="AS128" s="241" t="s">
        <v>798</v>
      </c>
      <c r="AT128" s="226">
        <v>479524432</v>
      </c>
      <c r="AU128" s="225" t="s">
        <v>176</v>
      </c>
      <c r="AV128" s="241" t="s">
        <v>188</v>
      </c>
      <c r="AW128" s="223">
        <v>44377</v>
      </c>
      <c r="AX128" s="225" t="s">
        <v>4113</v>
      </c>
      <c r="AY128" s="225" t="s">
        <v>2399</v>
      </c>
      <c r="AZ128" s="225" t="s">
        <v>1880</v>
      </c>
      <c r="BA128" s="225" t="s">
        <v>267</v>
      </c>
      <c r="BB128" s="225" t="s">
        <v>217</v>
      </c>
      <c r="BC128" s="225" t="s">
        <v>2418</v>
      </c>
      <c r="BD128" s="225">
        <v>14</v>
      </c>
      <c r="BE128" s="225">
        <v>7.9</v>
      </c>
      <c r="BF128" s="225">
        <v>87.1</v>
      </c>
      <c r="BG128" s="225">
        <v>6.0000000000000001E-3</v>
      </c>
      <c r="BH128" s="225" t="s">
        <v>1882</v>
      </c>
      <c r="BI128" s="225"/>
      <c r="BJ128" s="225">
        <f>2760+490+240+80+180</f>
        <v>3750</v>
      </c>
      <c r="BK128" s="225"/>
      <c r="BL128" s="225"/>
      <c r="BM128" s="225"/>
      <c r="BN128" s="225">
        <v>81</v>
      </c>
      <c r="BO128" s="225">
        <f t="shared" si="6"/>
        <v>3831</v>
      </c>
      <c r="BP128" s="230">
        <f t="shared" si="7"/>
        <v>210.70500000000001</v>
      </c>
      <c r="BQ128" s="230">
        <f t="shared" si="8"/>
        <v>4041.7049999999999</v>
      </c>
      <c r="BR128" s="230">
        <v>4083</v>
      </c>
      <c r="BS128" s="225" t="s">
        <v>188</v>
      </c>
      <c r="BT128" s="225"/>
      <c r="BU128" s="225"/>
      <c r="BV128" s="301" t="s">
        <v>2325</v>
      </c>
      <c r="BW128" s="301" t="s">
        <v>214</v>
      </c>
      <c r="BX128" s="301" t="s">
        <v>620</v>
      </c>
      <c r="BY128" s="301" t="s">
        <v>176</v>
      </c>
    </row>
    <row r="129" spans="1:77" s="30" customFormat="1" ht="13.5" customHeight="1">
      <c r="A129" s="64">
        <f t="shared" si="9"/>
        <v>2021</v>
      </c>
      <c r="B129" s="64">
        <f t="shared" si="10"/>
        <v>4</v>
      </c>
      <c r="C129" s="125" t="s">
        <v>191</v>
      </c>
      <c r="D129" s="168" t="str">
        <f t="shared" si="11"/>
        <v>maj</v>
      </c>
      <c r="E129" s="292" t="s">
        <v>670</v>
      </c>
      <c r="F129" s="292" t="s">
        <v>1365</v>
      </c>
      <c r="G129" s="221">
        <v>1000</v>
      </c>
      <c r="H129" s="222">
        <v>44260</v>
      </c>
      <c r="I129" s="222">
        <v>44263</v>
      </c>
      <c r="J129" s="223">
        <v>44278</v>
      </c>
      <c r="K129" s="222" t="s">
        <v>2419</v>
      </c>
      <c r="L129" s="223">
        <v>44287</v>
      </c>
      <c r="M129" s="223">
        <v>44287</v>
      </c>
      <c r="N129" s="223">
        <v>44292</v>
      </c>
      <c r="O129" s="222"/>
      <c r="P129" s="222">
        <v>44377</v>
      </c>
      <c r="Q129" s="222">
        <v>44369</v>
      </c>
      <c r="R129" s="222" t="s">
        <v>176</v>
      </c>
      <c r="S129" s="222">
        <v>44383</v>
      </c>
      <c r="T129" s="222">
        <v>44383</v>
      </c>
      <c r="U129" s="222">
        <v>44389</v>
      </c>
      <c r="V129" s="224"/>
      <c r="W129" s="222"/>
      <c r="X129" s="225"/>
      <c r="Y129" s="225"/>
      <c r="Z129" s="225"/>
      <c r="AA129" s="225">
        <v>2</v>
      </c>
      <c r="AB129" s="225">
        <v>25406</v>
      </c>
      <c r="AC129" s="225">
        <v>77</v>
      </c>
      <c r="AD129" s="225" t="s">
        <v>2420</v>
      </c>
      <c r="AE129" s="225">
        <v>38500</v>
      </c>
      <c r="AF129" s="225" t="s">
        <v>2297</v>
      </c>
      <c r="AG129" s="226">
        <v>680443876</v>
      </c>
      <c r="AH129" s="246" t="s">
        <v>2421</v>
      </c>
      <c r="AI129" s="225" t="s">
        <v>1168</v>
      </c>
      <c r="AJ129" s="225"/>
      <c r="AK129" s="225"/>
      <c r="AL129" s="225" t="s">
        <v>176</v>
      </c>
      <c r="AM129" s="225" t="s">
        <v>176</v>
      </c>
      <c r="AN129" s="225" t="s">
        <v>176</v>
      </c>
      <c r="AO129" s="225" t="s">
        <v>176</v>
      </c>
      <c r="AP129" s="222" t="s">
        <v>587</v>
      </c>
      <c r="AQ129" s="225" t="s">
        <v>225</v>
      </c>
      <c r="AR129" s="225" t="s">
        <v>2026</v>
      </c>
      <c r="AS129" s="241" t="s">
        <v>266</v>
      </c>
      <c r="AT129" s="226">
        <v>476069938</v>
      </c>
      <c r="AU129" s="225" t="s">
        <v>176</v>
      </c>
      <c r="AV129" s="241" t="s">
        <v>188</v>
      </c>
      <c r="AW129" s="223">
        <v>44457</v>
      </c>
      <c r="AX129" s="225" t="s">
        <v>4113</v>
      </c>
      <c r="AY129" s="242" t="s">
        <v>1935</v>
      </c>
      <c r="AZ129" s="225" t="s">
        <v>4113</v>
      </c>
      <c r="BA129" s="225" t="s">
        <v>380</v>
      </c>
      <c r="BB129" s="225" t="s">
        <v>2105</v>
      </c>
      <c r="BC129" s="225" t="s">
        <v>2422</v>
      </c>
      <c r="BD129" s="242">
        <v>35</v>
      </c>
      <c r="BE129" s="242">
        <v>8.6</v>
      </c>
      <c r="BF129" s="242">
        <v>80.5</v>
      </c>
      <c r="BG129" s="242">
        <v>0.1</v>
      </c>
      <c r="BH129" s="225" t="s">
        <v>1882</v>
      </c>
      <c r="BI129" s="225"/>
      <c r="BJ129" s="242">
        <f>760+2750+990</f>
        <v>4500</v>
      </c>
      <c r="BK129" s="225"/>
      <c r="BL129" s="225"/>
      <c r="BM129" s="225"/>
      <c r="BN129" s="242">
        <f>450+790</f>
        <v>1240</v>
      </c>
      <c r="BO129" s="242">
        <f t="shared" si="6"/>
        <v>5740</v>
      </c>
      <c r="BP129" s="242">
        <f t="shared" si="7"/>
        <v>315.7</v>
      </c>
      <c r="BQ129" s="242">
        <f t="shared" si="8"/>
        <v>6055.7</v>
      </c>
      <c r="BR129" s="230">
        <v>6055.7</v>
      </c>
      <c r="BS129" s="225" t="s">
        <v>188</v>
      </c>
      <c r="BT129" s="225"/>
      <c r="BU129" s="225"/>
      <c r="BV129" s="301" t="s">
        <v>2325</v>
      </c>
      <c r="BW129" s="301" t="s">
        <v>214</v>
      </c>
      <c r="BX129" s="222" t="s">
        <v>618</v>
      </c>
      <c r="BY129" s="301">
        <v>2021</v>
      </c>
    </row>
    <row r="130" spans="1:77" s="12" customFormat="1" ht="13.5" customHeight="1">
      <c r="A130" s="64">
        <f t="shared" si="9"/>
        <v>2021</v>
      </c>
      <c r="B130" s="64">
        <f t="shared" si="10"/>
        <v>3</v>
      </c>
      <c r="C130" s="125" t="s">
        <v>191</v>
      </c>
      <c r="D130" s="168" t="str">
        <f t="shared" si="11"/>
        <v>maj</v>
      </c>
      <c r="E130" s="292" t="s">
        <v>670</v>
      </c>
      <c r="F130" s="292" t="s">
        <v>1366</v>
      </c>
      <c r="G130" s="221">
        <v>1000</v>
      </c>
      <c r="H130" s="222">
        <v>44264</v>
      </c>
      <c r="I130" s="222">
        <v>44278</v>
      </c>
      <c r="J130" s="223" t="s">
        <v>176</v>
      </c>
      <c r="K130" s="222" t="s">
        <v>176</v>
      </c>
      <c r="L130" s="223">
        <v>44271</v>
      </c>
      <c r="M130" s="223">
        <v>44271</v>
      </c>
      <c r="N130" s="223">
        <v>44277</v>
      </c>
      <c r="O130" s="222"/>
      <c r="P130" s="222">
        <v>44322</v>
      </c>
      <c r="Q130" s="222">
        <v>44320</v>
      </c>
      <c r="R130" s="222" t="s">
        <v>176</v>
      </c>
      <c r="S130" s="222">
        <v>44323</v>
      </c>
      <c r="T130" s="222">
        <v>44323</v>
      </c>
      <c r="U130" s="222">
        <v>44350</v>
      </c>
      <c r="V130" s="224"/>
      <c r="W130" s="222"/>
      <c r="X130" s="225"/>
      <c r="Y130" s="225"/>
      <c r="Z130" s="225"/>
      <c r="AA130" s="225">
        <v>1</v>
      </c>
      <c r="AB130" s="225">
        <v>18520</v>
      </c>
      <c r="AC130" s="225">
        <v>431</v>
      </c>
      <c r="AD130" s="225" t="s">
        <v>2423</v>
      </c>
      <c r="AE130" s="225">
        <v>38500</v>
      </c>
      <c r="AF130" s="225" t="s">
        <v>1984</v>
      </c>
      <c r="AG130" s="226">
        <v>603535960</v>
      </c>
      <c r="AH130" s="246" t="s">
        <v>2424</v>
      </c>
      <c r="AI130" s="225" t="s">
        <v>1168</v>
      </c>
      <c r="AJ130" s="225"/>
      <c r="AK130" s="225"/>
      <c r="AL130" s="225" t="s">
        <v>176</v>
      </c>
      <c r="AM130" s="225" t="s">
        <v>176</v>
      </c>
      <c r="AN130" s="225" t="s">
        <v>176</v>
      </c>
      <c r="AO130" s="225" t="s">
        <v>176</v>
      </c>
      <c r="AP130" s="225" t="s">
        <v>675</v>
      </c>
      <c r="AQ130" s="225" t="s">
        <v>225</v>
      </c>
      <c r="AR130" s="225" t="s">
        <v>1948</v>
      </c>
      <c r="AS130" s="241" t="s">
        <v>673</v>
      </c>
      <c r="AT130" s="226">
        <v>951096343</v>
      </c>
      <c r="AU130" s="225" t="s">
        <v>176</v>
      </c>
      <c r="AV130" s="241" t="s">
        <v>188</v>
      </c>
      <c r="AW130" s="223">
        <v>44433</v>
      </c>
      <c r="AX130" s="225" t="s">
        <v>1880</v>
      </c>
      <c r="AY130" s="225" t="s">
        <v>1935</v>
      </c>
      <c r="AZ130" s="225" t="s">
        <v>1880</v>
      </c>
      <c r="BA130" s="225" t="s">
        <v>267</v>
      </c>
      <c r="BB130" s="225" t="s">
        <v>229</v>
      </c>
      <c r="BC130" s="225" t="s">
        <v>783</v>
      </c>
      <c r="BD130" s="225">
        <v>20</v>
      </c>
      <c r="BE130" s="225">
        <v>8.3000000000000007</v>
      </c>
      <c r="BF130" s="225">
        <v>87</v>
      </c>
      <c r="BG130" s="225">
        <v>1.7999999999999999E-2</v>
      </c>
      <c r="BH130" s="225" t="s">
        <v>1899</v>
      </c>
      <c r="BI130" s="225"/>
      <c r="BJ130" s="225">
        <f>4390+274.4+271.35+66.18+977.5+58.75</f>
        <v>6038.18</v>
      </c>
      <c r="BK130" s="225"/>
      <c r="BL130" s="225"/>
      <c r="BM130" s="225"/>
      <c r="BN130" s="225">
        <v>630</v>
      </c>
      <c r="BO130" s="225">
        <f t="shared" ref="BO130:BO193" si="12">BJ130+BN130</f>
        <v>6668.18</v>
      </c>
      <c r="BP130" s="230">
        <f t="shared" ref="BP130:BP193" si="13">BO130*0.055</f>
        <v>366.74990000000003</v>
      </c>
      <c r="BQ130" s="230">
        <f t="shared" ref="BQ130:BQ193" si="14">BO130+BP130</f>
        <v>7034.9299000000001</v>
      </c>
      <c r="BR130" s="230">
        <v>6500</v>
      </c>
      <c r="BS130" s="225" t="s">
        <v>191</v>
      </c>
      <c r="BT130" s="225"/>
      <c r="BU130" s="225"/>
      <c r="BV130" s="301" t="s">
        <v>2325</v>
      </c>
      <c r="BW130" s="301" t="s">
        <v>214</v>
      </c>
      <c r="BX130" s="222" t="s">
        <v>618</v>
      </c>
      <c r="BY130" s="301" t="s">
        <v>176</v>
      </c>
    </row>
    <row r="131" spans="1:77" ht="13.5" customHeight="1">
      <c r="A131" s="64">
        <f t="shared" ref="A131:A194" si="15">YEAR(L131)</f>
        <v>2021</v>
      </c>
      <c r="B131" s="64">
        <f t="shared" ref="B131:B194" si="16">MONTH(L131)</f>
        <v>3</v>
      </c>
      <c r="C131" s="125" t="s">
        <v>191</v>
      </c>
      <c r="D131" s="168" t="str">
        <f t="shared" ref="D131:D194" si="17">BX131</f>
        <v>non maj</v>
      </c>
      <c r="E131" s="292" t="s">
        <v>670</v>
      </c>
      <c r="F131" s="292" t="s">
        <v>1367</v>
      </c>
      <c r="G131" s="221">
        <v>600</v>
      </c>
      <c r="H131" s="222">
        <v>44264</v>
      </c>
      <c r="I131" s="222">
        <v>44278</v>
      </c>
      <c r="J131" s="223">
        <v>44271</v>
      </c>
      <c r="K131" s="222" t="s">
        <v>2425</v>
      </c>
      <c r="L131" s="223">
        <v>44281</v>
      </c>
      <c r="M131" s="223">
        <v>44281</v>
      </c>
      <c r="N131" s="223">
        <v>44286</v>
      </c>
      <c r="O131" s="222"/>
      <c r="P131" s="222">
        <v>44320</v>
      </c>
      <c r="Q131" s="222">
        <v>44313</v>
      </c>
      <c r="R131" s="222" t="s">
        <v>176</v>
      </c>
      <c r="S131" s="222">
        <v>44322</v>
      </c>
      <c r="T131" s="222">
        <v>44322</v>
      </c>
      <c r="U131" s="222">
        <v>44333</v>
      </c>
      <c r="V131" s="224"/>
      <c r="W131" s="222"/>
      <c r="X131" s="225"/>
      <c r="Y131" s="225"/>
      <c r="Z131" s="225"/>
      <c r="AA131" s="225">
        <v>3</v>
      </c>
      <c r="AB131" s="225">
        <v>74146</v>
      </c>
      <c r="AC131" s="225">
        <v>257</v>
      </c>
      <c r="AD131" s="225" t="s">
        <v>792</v>
      </c>
      <c r="AE131" s="225">
        <v>38340</v>
      </c>
      <c r="AF131" s="225" t="s">
        <v>232</v>
      </c>
      <c r="AG131" s="226">
        <v>476506230</v>
      </c>
      <c r="AH131" s="246" t="s">
        <v>2426</v>
      </c>
      <c r="AI131" s="225" t="s">
        <v>1168</v>
      </c>
      <c r="AJ131" s="225"/>
      <c r="AK131" s="225"/>
      <c r="AL131" s="225" t="s">
        <v>176</v>
      </c>
      <c r="AM131" s="225" t="s">
        <v>176</v>
      </c>
      <c r="AN131" s="225" t="s">
        <v>176</v>
      </c>
      <c r="AO131" s="225" t="s">
        <v>176</v>
      </c>
      <c r="AP131" s="225" t="s">
        <v>2052</v>
      </c>
      <c r="AQ131" s="225" t="s">
        <v>232</v>
      </c>
      <c r="AR131" s="225" t="s">
        <v>233</v>
      </c>
      <c r="AS131" s="241" t="s">
        <v>234</v>
      </c>
      <c r="AT131" s="226">
        <v>476500550</v>
      </c>
      <c r="AU131" s="225" t="s">
        <v>176</v>
      </c>
      <c r="AV131" s="241" t="s">
        <v>188</v>
      </c>
      <c r="AW131" s="223">
        <v>44375</v>
      </c>
      <c r="AX131" s="225" t="s">
        <v>1880</v>
      </c>
      <c r="AY131" s="225">
        <v>2001</v>
      </c>
      <c r="AZ131" s="225" t="s">
        <v>1880</v>
      </c>
      <c r="BA131" s="225" t="s">
        <v>380</v>
      </c>
      <c r="BB131" s="225" t="s">
        <v>270</v>
      </c>
      <c r="BC131" s="225" t="s">
        <v>2427</v>
      </c>
      <c r="BD131" s="225">
        <v>8</v>
      </c>
      <c r="BE131" s="225">
        <v>4</v>
      </c>
      <c r="BF131" s="225">
        <v>76</v>
      </c>
      <c r="BG131" s="225">
        <v>0.09</v>
      </c>
      <c r="BH131" s="225" t="s">
        <v>1882</v>
      </c>
      <c r="BI131" s="225"/>
      <c r="BJ131" s="225">
        <f>338.99+61.09+152.53+2458.33+205.2</f>
        <v>3216.14</v>
      </c>
      <c r="BK131" s="225"/>
      <c r="BL131" s="225"/>
      <c r="BM131" s="225"/>
      <c r="BN131" s="225">
        <f>40+650</f>
        <v>690</v>
      </c>
      <c r="BO131" s="225">
        <f t="shared" si="12"/>
        <v>3906.14</v>
      </c>
      <c r="BP131" s="230">
        <f t="shared" si="13"/>
        <v>214.83769999999998</v>
      </c>
      <c r="BQ131" s="230">
        <f t="shared" si="14"/>
        <v>4120.9776999999995</v>
      </c>
      <c r="BR131" s="230">
        <v>3637.44</v>
      </c>
      <c r="BS131" s="225" t="s">
        <v>188</v>
      </c>
      <c r="BT131" s="225"/>
      <c r="BU131" s="225"/>
      <c r="BV131" s="301" t="s">
        <v>2325</v>
      </c>
      <c r="BW131" s="301" t="s">
        <v>214</v>
      </c>
      <c r="BX131" s="301" t="s">
        <v>620</v>
      </c>
      <c r="BY131" s="301">
        <v>2021</v>
      </c>
    </row>
    <row r="132" spans="1:77" ht="13.5" customHeight="1">
      <c r="A132" s="64">
        <f t="shared" si="15"/>
        <v>2021</v>
      </c>
      <c r="B132" s="64">
        <f t="shared" si="16"/>
        <v>3</v>
      </c>
      <c r="C132" s="125" t="s">
        <v>191</v>
      </c>
      <c r="D132" s="168" t="str">
        <f t="shared" si="17"/>
        <v>non maj</v>
      </c>
      <c r="E132" s="292" t="s">
        <v>670</v>
      </c>
      <c r="F132" s="292" t="s">
        <v>1368</v>
      </c>
      <c r="G132" s="221">
        <v>600</v>
      </c>
      <c r="H132" s="222">
        <v>44267</v>
      </c>
      <c r="I132" s="222">
        <v>44278</v>
      </c>
      <c r="J132" s="223" t="s">
        <v>176</v>
      </c>
      <c r="K132" s="222" t="s">
        <v>176</v>
      </c>
      <c r="L132" s="223">
        <v>44271</v>
      </c>
      <c r="M132" s="223">
        <v>44271</v>
      </c>
      <c r="N132" s="223">
        <v>44277</v>
      </c>
      <c r="O132" s="222"/>
      <c r="P132" s="222">
        <v>44308</v>
      </c>
      <c r="Q132" s="222">
        <v>44299</v>
      </c>
      <c r="R132" s="222" t="s">
        <v>176</v>
      </c>
      <c r="S132" s="222">
        <v>44308</v>
      </c>
      <c r="T132" s="222">
        <v>44308</v>
      </c>
      <c r="U132" s="222">
        <v>44328</v>
      </c>
      <c r="V132" s="224"/>
      <c r="W132" s="222"/>
      <c r="X132" s="225"/>
      <c r="Y132" s="225"/>
      <c r="Z132" s="225"/>
      <c r="AA132" s="225">
        <v>3</v>
      </c>
      <c r="AB132" s="225">
        <f>19071+21873</f>
        <v>40944</v>
      </c>
      <c r="AC132" s="225">
        <v>81</v>
      </c>
      <c r="AD132" s="225" t="s">
        <v>2428</v>
      </c>
      <c r="AE132" s="225">
        <v>38140</v>
      </c>
      <c r="AF132" s="225" t="s">
        <v>1924</v>
      </c>
      <c r="AG132" s="226">
        <v>661245850</v>
      </c>
      <c r="AH132" s="246" t="s">
        <v>2429</v>
      </c>
      <c r="AI132" s="225" t="s">
        <v>1168</v>
      </c>
      <c r="AJ132" s="225"/>
      <c r="AK132" s="225"/>
      <c r="AL132" s="225" t="s">
        <v>176</v>
      </c>
      <c r="AM132" s="225" t="s">
        <v>176</v>
      </c>
      <c r="AN132" s="225" t="s">
        <v>176</v>
      </c>
      <c r="AO132" s="225" t="s">
        <v>176</v>
      </c>
      <c r="AP132" s="225" t="s">
        <v>268</v>
      </c>
      <c r="AQ132" s="225" t="s">
        <v>1893</v>
      </c>
      <c r="AR132" s="225" t="s">
        <v>1933</v>
      </c>
      <c r="AS132" s="246" t="s">
        <v>1934</v>
      </c>
      <c r="AT132" s="226">
        <v>476355605</v>
      </c>
      <c r="AU132" s="225" t="s">
        <v>176</v>
      </c>
      <c r="AV132" s="241" t="s">
        <v>188</v>
      </c>
      <c r="AW132" s="223">
        <v>44495</v>
      </c>
      <c r="AX132" s="225" t="s">
        <v>4113</v>
      </c>
      <c r="AY132" s="225">
        <v>1996</v>
      </c>
      <c r="AZ132" s="225" t="s">
        <v>4113</v>
      </c>
      <c r="BA132" s="225" t="s">
        <v>380</v>
      </c>
      <c r="BB132" s="225" t="s">
        <v>1936</v>
      </c>
      <c r="BC132" s="225" t="s">
        <v>2240</v>
      </c>
      <c r="BD132" s="225">
        <v>26</v>
      </c>
      <c r="BE132" s="225">
        <v>8</v>
      </c>
      <c r="BF132" s="225">
        <v>81</v>
      </c>
      <c r="BG132" s="225">
        <v>7.0000000000000007E-2</v>
      </c>
      <c r="BH132" s="225" t="s">
        <v>1882</v>
      </c>
      <c r="BI132" s="225"/>
      <c r="BJ132" s="225">
        <f>395.6+365.75+1645+266.4+565+479</f>
        <v>3716.75</v>
      </c>
      <c r="BK132" s="225"/>
      <c r="BL132" s="225"/>
      <c r="BM132" s="225"/>
      <c r="BN132" s="225">
        <f>118.56+1050</f>
        <v>1168.56</v>
      </c>
      <c r="BO132" s="225">
        <f t="shared" si="12"/>
        <v>4885.3099999999995</v>
      </c>
      <c r="BP132" s="230">
        <f t="shared" si="13"/>
        <v>268.69204999999999</v>
      </c>
      <c r="BQ132" s="230">
        <f t="shared" si="14"/>
        <v>5154.0020499999991</v>
      </c>
      <c r="BR132" s="230">
        <v>5154</v>
      </c>
      <c r="BS132" s="225" t="s">
        <v>191</v>
      </c>
      <c r="BT132" s="225"/>
      <c r="BU132" s="225"/>
      <c r="BV132" s="301" t="s">
        <v>2325</v>
      </c>
      <c r="BW132" s="301" t="s">
        <v>214</v>
      </c>
      <c r="BX132" s="301" t="s">
        <v>620</v>
      </c>
      <c r="BY132" s="301">
        <v>2021</v>
      </c>
    </row>
    <row r="133" spans="1:77" s="12" customFormat="1" ht="13.5" customHeight="1">
      <c r="A133" s="64">
        <f t="shared" si="15"/>
        <v>2021</v>
      </c>
      <c r="B133" s="64">
        <f t="shared" si="16"/>
        <v>5</v>
      </c>
      <c r="C133" s="125" t="s">
        <v>191</v>
      </c>
      <c r="D133" s="168" t="str">
        <f t="shared" si="17"/>
        <v>non maj</v>
      </c>
      <c r="E133" s="292" t="s">
        <v>670</v>
      </c>
      <c r="F133" s="292" t="s">
        <v>1369</v>
      </c>
      <c r="G133" s="221">
        <v>600</v>
      </c>
      <c r="H133" s="222">
        <v>44267</v>
      </c>
      <c r="I133" s="222">
        <v>44278</v>
      </c>
      <c r="J133" s="223">
        <v>44271</v>
      </c>
      <c r="K133" s="222" t="s">
        <v>2281</v>
      </c>
      <c r="L133" s="223">
        <v>44319</v>
      </c>
      <c r="M133" s="223">
        <v>44319</v>
      </c>
      <c r="N133" s="223">
        <v>44326</v>
      </c>
      <c r="O133" s="222"/>
      <c r="P133" s="222">
        <v>44361</v>
      </c>
      <c r="Q133" s="222">
        <v>44336</v>
      </c>
      <c r="R133" s="222" t="s">
        <v>176</v>
      </c>
      <c r="S133" s="222">
        <v>44362</v>
      </c>
      <c r="T133" s="222">
        <v>44362</v>
      </c>
      <c r="U133" s="222">
        <v>44378</v>
      </c>
      <c r="V133" s="224"/>
      <c r="W133" s="222"/>
      <c r="X133" s="225"/>
      <c r="Y133" s="225"/>
      <c r="Z133" s="225"/>
      <c r="AA133" s="225">
        <v>2</v>
      </c>
      <c r="AB133" s="225">
        <v>115275</v>
      </c>
      <c r="AC133" s="225">
        <v>4</v>
      </c>
      <c r="AD133" s="225" t="s">
        <v>2430</v>
      </c>
      <c r="AE133" s="225">
        <v>38340</v>
      </c>
      <c r="AF133" s="225" t="s">
        <v>2134</v>
      </c>
      <c r="AG133" s="226">
        <v>675749441</v>
      </c>
      <c r="AH133" s="246" t="s">
        <v>2431</v>
      </c>
      <c r="AI133" s="225" t="s">
        <v>1168</v>
      </c>
      <c r="AJ133" s="225"/>
      <c r="AK133" s="225"/>
      <c r="AL133" s="225" t="s">
        <v>176</v>
      </c>
      <c r="AM133" s="225" t="s">
        <v>176</v>
      </c>
      <c r="AN133" s="225" t="s">
        <v>176</v>
      </c>
      <c r="AO133" s="225" t="s">
        <v>176</v>
      </c>
      <c r="AP133" s="225" t="s">
        <v>805</v>
      </c>
      <c r="AQ133" s="225" t="s">
        <v>2432</v>
      </c>
      <c r="AR133" s="225" t="s">
        <v>1035</v>
      </c>
      <c r="AS133" s="241" t="s">
        <v>686</v>
      </c>
      <c r="AT133" s="226">
        <v>476441060</v>
      </c>
      <c r="AU133" s="225" t="s">
        <v>176</v>
      </c>
      <c r="AV133" s="241" t="s">
        <v>188</v>
      </c>
      <c r="AW133" s="223">
        <v>44398</v>
      </c>
      <c r="AX133" s="225" t="s">
        <v>4113</v>
      </c>
      <c r="AY133" s="225">
        <v>1990</v>
      </c>
      <c r="AZ133" s="225" t="s">
        <v>1880</v>
      </c>
      <c r="BA133" s="225" t="s">
        <v>380</v>
      </c>
      <c r="BB133" s="225" t="s">
        <v>405</v>
      </c>
      <c r="BC133" s="225" t="s">
        <v>1034</v>
      </c>
      <c r="BD133" s="225">
        <v>11</v>
      </c>
      <c r="BE133" s="225">
        <v>5.7</v>
      </c>
      <c r="BF133" s="225">
        <v>85</v>
      </c>
      <c r="BG133" s="225">
        <v>7.0000000000000007E-2</v>
      </c>
      <c r="BH133" s="225" t="s">
        <v>1882</v>
      </c>
      <c r="BI133" s="225"/>
      <c r="BJ133" s="225">
        <f>550+6238.33+1870.81+295+145+145</f>
        <v>9244.14</v>
      </c>
      <c r="BK133" s="225"/>
      <c r="BL133" s="225"/>
      <c r="BM133" s="225"/>
      <c r="BN133" s="225">
        <f>1400+400+152+1100</f>
        <v>3052</v>
      </c>
      <c r="BO133" s="225">
        <f t="shared" si="12"/>
        <v>12296.14</v>
      </c>
      <c r="BP133" s="230">
        <f t="shared" si="13"/>
        <v>676.28769999999997</v>
      </c>
      <c r="BQ133" s="230">
        <f t="shared" si="14"/>
        <v>12972.4277</v>
      </c>
      <c r="BR133" s="230">
        <v>12000</v>
      </c>
      <c r="BS133" s="225" t="s">
        <v>188</v>
      </c>
      <c r="BT133" s="225"/>
      <c r="BU133" s="225"/>
      <c r="BV133" s="301" t="s">
        <v>2325</v>
      </c>
      <c r="BW133" s="301" t="s">
        <v>214</v>
      </c>
      <c r="BX133" s="301" t="s">
        <v>620</v>
      </c>
      <c r="BY133" s="301">
        <v>2021</v>
      </c>
    </row>
    <row r="134" spans="1:77" s="12" customFormat="1" ht="13.5" customHeight="1">
      <c r="A134" s="64">
        <f t="shared" si="15"/>
        <v>2021</v>
      </c>
      <c r="B134" s="64">
        <f t="shared" si="16"/>
        <v>3</v>
      </c>
      <c r="C134" s="125" t="s">
        <v>191</v>
      </c>
      <c r="D134" s="168" t="str">
        <f t="shared" si="17"/>
        <v>non maj</v>
      </c>
      <c r="E134" s="292" t="s">
        <v>670</v>
      </c>
      <c r="F134" s="292" t="s">
        <v>1370</v>
      </c>
      <c r="G134" s="221">
        <v>600</v>
      </c>
      <c r="H134" s="222">
        <v>44267</v>
      </c>
      <c r="I134" s="222">
        <v>44278</v>
      </c>
      <c r="J134" s="223" t="s">
        <v>176</v>
      </c>
      <c r="K134" s="222" t="s">
        <v>176</v>
      </c>
      <c r="L134" s="223">
        <v>44271</v>
      </c>
      <c r="M134" s="223">
        <v>44271</v>
      </c>
      <c r="N134" s="223">
        <v>44277</v>
      </c>
      <c r="O134" s="222"/>
      <c r="P134" s="222">
        <v>44379</v>
      </c>
      <c r="Q134" s="222">
        <v>44338</v>
      </c>
      <c r="R134" s="222" t="s">
        <v>176</v>
      </c>
      <c r="S134" s="222">
        <v>44393</v>
      </c>
      <c r="T134" s="222">
        <v>44393</v>
      </c>
      <c r="U134" s="222">
        <v>44434</v>
      </c>
      <c r="V134" s="224"/>
      <c r="W134" s="222"/>
      <c r="X134" s="225"/>
      <c r="Y134" s="225"/>
      <c r="Z134" s="225"/>
      <c r="AA134" s="225">
        <v>1</v>
      </c>
      <c r="AB134" s="225">
        <v>24759</v>
      </c>
      <c r="AC134" s="225">
        <v>35</v>
      </c>
      <c r="AD134" s="225" t="s">
        <v>2146</v>
      </c>
      <c r="AE134" s="225">
        <v>38140</v>
      </c>
      <c r="AF134" s="225" t="s">
        <v>1946</v>
      </c>
      <c r="AG134" s="226">
        <v>625410327</v>
      </c>
      <c r="AH134" s="295" t="s">
        <v>2433</v>
      </c>
      <c r="AI134" s="225" t="s">
        <v>1168</v>
      </c>
      <c r="AJ134" s="225"/>
      <c r="AK134" s="225"/>
      <c r="AL134" s="225" t="s">
        <v>176</v>
      </c>
      <c r="AM134" s="225" t="s">
        <v>176</v>
      </c>
      <c r="AN134" s="225" t="s">
        <v>176</v>
      </c>
      <c r="AO134" s="225" t="s">
        <v>176</v>
      </c>
      <c r="AP134" s="225" t="s">
        <v>1888</v>
      </c>
      <c r="AQ134" s="225" t="s">
        <v>225</v>
      </c>
      <c r="AR134" s="225" t="s">
        <v>1889</v>
      </c>
      <c r="AS134" s="295" t="s">
        <v>269</v>
      </c>
      <c r="AT134" s="226" t="s">
        <v>600</v>
      </c>
      <c r="AU134" s="225" t="s">
        <v>176</v>
      </c>
      <c r="AV134" s="251" t="s">
        <v>188</v>
      </c>
      <c r="AW134" s="223">
        <v>44503</v>
      </c>
      <c r="AX134" s="225" t="s">
        <v>4113</v>
      </c>
      <c r="AY134" s="225">
        <v>1980</v>
      </c>
      <c r="AZ134" s="225" t="s">
        <v>1880</v>
      </c>
      <c r="BA134" s="225" t="s">
        <v>380</v>
      </c>
      <c r="BB134" s="225" t="s">
        <v>1936</v>
      </c>
      <c r="BC134" s="225" t="s">
        <v>2434</v>
      </c>
      <c r="BD134" s="225">
        <v>18</v>
      </c>
      <c r="BE134" s="225">
        <v>7.6</v>
      </c>
      <c r="BF134" s="225">
        <v>76</v>
      </c>
      <c r="BG134" s="225">
        <v>0.08</v>
      </c>
      <c r="BH134" s="225" t="s">
        <v>1882</v>
      </c>
      <c r="BI134" s="225"/>
      <c r="BJ134" s="225">
        <f>2985+262.5+85+101+89+120+90+45+47+15</f>
        <v>3839.5</v>
      </c>
      <c r="BK134" s="225"/>
      <c r="BL134" s="225"/>
      <c r="BM134" s="225"/>
      <c r="BN134" s="225">
        <f>400+30+450</f>
        <v>880</v>
      </c>
      <c r="BO134" s="225">
        <f t="shared" si="12"/>
        <v>4719.5</v>
      </c>
      <c r="BP134" s="230">
        <f t="shared" si="13"/>
        <v>259.57249999999999</v>
      </c>
      <c r="BQ134" s="230">
        <f t="shared" si="14"/>
        <v>4979.0725000000002</v>
      </c>
      <c r="BR134" s="230">
        <v>4349.24</v>
      </c>
      <c r="BS134" s="225" t="s">
        <v>188</v>
      </c>
      <c r="BT134" s="225"/>
      <c r="BU134" s="225"/>
      <c r="BV134" s="225" t="s">
        <v>2325</v>
      </c>
      <c r="BW134" s="301" t="s">
        <v>214</v>
      </c>
      <c r="BX134" s="301" t="s">
        <v>620</v>
      </c>
      <c r="BY134" s="225">
        <v>2021</v>
      </c>
    </row>
    <row r="135" spans="1:77" s="12" customFormat="1" ht="13.5" customHeight="1">
      <c r="A135" s="64">
        <f t="shared" si="15"/>
        <v>2021</v>
      </c>
      <c r="B135" s="64">
        <f t="shared" si="16"/>
        <v>3</v>
      </c>
      <c r="C135" s="125" t="s">
        <v>191</v>
      </c>
      <c r="D135" s="168" t="str">
        <f t="shared" si="17"/>
        <v>non maj</v>
      </c>
      <c r="E135" s="292" t="s">
        <v>670</v>
      </c>
      <c r="F135" s="292" t="s">
        <v>1371</v>
      </c>
      <c r="G135" s="221">
        <v>600</v>
      </c>
      <c r="H135" s="222">
        <v>44267</v>
      </c>
      <c r="I135" s="222">
        <v>44278</v>
      </c>
      <c r="J135" s="223" t="s">
        <v>176</v>
      </c>
      <c r="K135" s="222" t="s">
        <v>176</v>
      </c>
      <c r="L135" s="223">
        <v>44271</v>
      </c>
      <c r="M135" s="223">
        <v>44271</v>
      </c>
      <c r="N135" s="223">
        <v>44277</v>
      </c>
      <c r="O135" s="222"/>
      <c r="P135" s="222">
        <v>44384</v>
      </c>
      <c r="Q135" s="222">
        <v>44353</v>
      </c>
      <c r="R135" s="222" t="s">
        <v>2435</v>
      </c>
      <c r="S135" s="222">
        <v>44438</v>
      </c>
      <c r="T135" s="222">
        <v>44438</v>
      </c>
      <c r="U135" s="222">
        <v>44455</v>
      </c>
      <c r="V135" s="224"/>
      <c r="W135" s="222"/>
      <c r="X135" s="225"/>
      <c r="Y135" s="225"/>
      <c r="Z135" s="225"/>
      <c r="AA135" s="225">
        <v>2</v>
      </c>
      <c r="AB135" s="225">
        <v>36068</v>
      </c>
      <c r="AC135" s="225">
        <v>116</v>
      </c>
      <c r="AD135" s="225" t="s">
        <v>2436</v>
      </c>
      <c r="AE135" s="225">
        <v>38620</v>
      </c>
      <c r="AF135" s="225" t="s">
        <v>2382</v>
      </c>
      <c r="AG135" s="226">
        <v>476075870</v>
      </c>
      <c r="AH135" s="295" t="s">
        <v>2437</v>
      </c>
      <c r="AI135" s="225" t="s">
        <v>1168</v>
      </c>
      <c r="AJ135" s="225"/>
      <c r="AK135" s="225"/>
      <c r="AL135" s="225" t="s">
        <v>176</v>
      </c>
      <c r="AM135" s="225" t="s">
        <v>176</v>
      </c>
      <c r="AN135" s="225" t="s">
        <v>176</v>
      </c>
      <c r="AO135" s="225" t="s">
        <v>176</v>
      </c>
      <c r="AP135" s="225" t="s">
        <v>1888</v>
      </c>
      <c r="AQ135" s="225" t="s">
        <v>225</v>
      </c>
      <c r="AR135" s="225" t="s">
        <v>1889</v>
      </c>
      <c r="AS135" s="295" t="s">
        <v>269</v>
      </c>
      <c r="AT135" s="226" t="s">
        <v>600</v>
      </c>
      <c r="AU135" s="225" t="s">
        <v>176</v>
      </c>
      <c r="AV135" s="251" t="s">
        <v>188</v>
      </c>
      <c r="AW135" s="223">
        <v>44503</v>
      </c>
      <c r="AX135" s="225" t="s">
        <v>4113</v>
      </c>
      <c r="AY135" s="225">
        <v>2001</v>
      </c>
      <c r="AZ135" s="225" t="s">
        <v>1880</v>
      </c>
      <c r="BA135" s="225" t="s">
        <v>380</v>
      </c>
      <c r="BB135" s="225" t="s">
        <v>1936</v>
      </c>
      <c r="BC135" s="225" t="s">
        <v>2187</v>
      </c>
      <c r="BD135" s="225">
        <v>22</v>
      </c>
      <c r="BE135" s="225">
        <v>7</v>
      </c>
      <c r="BF135" s="225">
        <v>80</v>
      </c>
      <c r="BG135" s="225">
        <v>0.08</v>
      </c>
      <c r="BH135" s="225" t="s">
        <v>1882</v>
      </c>
      <c r="BI135" s="225"/>
      <c r="BJ135" s="225">
        <f>3317.21+300+85+101+120+90+45+47+89+22+68+15</f>
        <v>4299.21</v>
      </c>
      <c r="BK135" s="225"/>
      <c r="BL135" s="225"/>
      <c r="BM135" s="225"/>
      <c r="BN135" s="225">
        <f>30+350</f>
        <v>380</v>
      </c>
      <c r="BO135" s="225">
        <f t="shared" si="12"/>
        <v>4679.21</v>
      </c>
      <c r="BP135" s="230">
        <f t="shared" si="13"/>
        <v>257.35655000000003</v>
      </c>
      <c r="BQ135" s="230">
        <f t="shared" si="14"/>
        <v>4936.5665500000005</v>
      </c>
      <c r="BR135" s="230">
        <v>4236.05</v>
      </c>
      <c r="BS135" s="225" t="s">
        <v>188</v>
      </c>
      <c r="BT135" s="225"/>
      <c r="BU135" s="225"/>
      <c r="BV135" s="225" t="s">
        <v>2325</v>
      </c>
      <c r="BW135" s="301" t="s">
        <v>214</v>
      </c>
      <c r="BX135" s="301" t="s">
        <v>620</v>
      </c>
      <c r="BY135" s="225">
        <v>2021</v>
      </c>
    </row>
    <row r="136" spans="1:77" s="12" customFormat="1" ht="13.5" customHeight="1">
      <c r="A136" s="64">
        <f t="shared" si="15"/>
        <v>2021</v>
      </c>
      <c r="B136" s="64">
        <f t="shared" si="16"/>
        <v>3</v>
      </c>
      <c r="C136" s="125" t="s">
        <v>191</v>
      </c>
      <c r="D136" s="168" t="str">
        <f t="shared" si="17"/>
        <v>maj</v>
      </c>
      <c r="E136" s="292" t="s">
        <v>670</v>
      </c>
      <c r="F136" s="292" t="s">
        <v>1372</v>
      </c>
      <c r="G136" s="221">
        <v>1000</v>
      </c>
      <c r="H136" s="222">
        <v>44271</v>
      </c>
      <c r="I136" s="222">
        <v>44278</v>
      </c>
      <c r="J136" s="223">
        <v>44278</v>
      </c>
      <c r="K136" s="222" t="s">
        <v>2425</v>
      </c>
      <c r="L136" s="223">
        <v>44281</v>
      </c>
      <c r="M136" s="223">
        <v>44281</v>
      </c>
      <c r="N136" s="223">
        <v>44286</v>
      </c>
      <c r="O136" s="222"/>
      <c r="P136" s="222">
        <v>44398</v>
      </c>
      <c r="Q136" s="222">
        <v>44378</v>
      </c>
      <c r="R136" s="222" t="s">
        <v>176</v>
      </c>
      <c r="S136" s="222">
        <v>44413</v>
      </c>
      <c r="T136" s="222">
        <v>44413</v>
      </c>
      <c r="U136" s="222">
        <v>44453</v>
      </c>
      <c r="V136" s="224"/>
      <c r="W136" s="222"/>
      <c r="X136" s="225"/>
      <c r="Y136" s="225"/>
      <c r="Z136" s="225"/>
      <c r="AA136" s="225">
        <v>1</v>
      </c>
      <c r="AB136" s="225">
        <v>11616</v>
      </c>
      <c r="AC136" s="225">
        <v>550</v>
      </c>
      <c r="AD136" s="225" t="s">
        <v>2438</v>
      </c>
      <c r="AE136" s="225">
        <v>38850</v>
      </c>
      <c r="AF136" s="225" t="s">
        <v>1931</v>
      </c>
      <c r="AG136" s="226" t="s">
        <v>2439</v>
      </c>
      <c r="AH136" s="246" t="s">
        <v>2440</v>
      </c>
      <c r="AI136" s="225" t="s">
        <v>1168</v>
      </c>
      <c r="AJ136" s="225"/>
      <c r="AK136" s="225"/>
      <c r="AL136" s="225" t="s">
        <v>176</v>
      </c>
      <c r="AM136" s="225" t="s">
        <v>176</v>
      </c>
      <c r="AN136" s="225" t="s">
        <v>176</v>
      </c>
      <c r="AO136" s="225" t="s">
        <v>176</v>
      </c>
      <c r="AP136" s="225" t="s">
        <v>2018</v>
      </c>
      <c r="AQ136" s="225" t="s">
        <v>225</v>
      </c>
      <c r="AR136" s="225" t="s">
        <v>2019</v>
      </c>
      <c r="AS136" s="241" t="s">
        <v>273</v>
      </c>
      <c r="AT136" s="226">
        <v>476059444</v>
      </c>
      <c r="AU136" s="225" t="s">
        <v>176</v>
      </c>
      <c r="AV136" s="241" t="s">
        <v>188</v>
      </c>
      <c r="AW136" s="223">
        <v>44424</v>
      </c>
      <c r="AX136" s="225" t="s">
        <v>4113</v>
      </c>
      <c r="AY136" s="225">
        <v>1991</v>
      </c>
      <c r="AZ136" s="225" t="s">
        <v>1880</v>
      </c>
      <c r="BA136" s="225" t="s">
        <v>267</v>
      </c>
      <c r="BB136" s="225" t="s">
        <v>208</v>
      </c>
      <c r="BC136" s="225" t="s">
        <v>2441</v>
      </c>
      <c r="BD136" s="225">
        <v>17.5</v>
      </c>
      <c r="BE136" s="225">
        <v>10</v>
      </c>
      <c r="BF136" s="225">
        <v>92.7</v>
      </c>
      <c r="BG136" s="225">
        <v>4.0000000000000001E-3</v>
      </c>
      <c r="BH136" s="225" t="s">
        <v>1899</v>
      </c>
      <c r="BI136" s="225"/>
      <c r="BJ136" s="225">
        <f>6050+175+220+911</f>
        <v>7356</v>
      </c>
      <c r="BK136" s="225"/>
      <c r="BL136" s="225"/>
      <c r="BM136" s="225"/>
      <c r="BN136" s="225">
        <f>880+770</f>
        <v>1650</v>
      </c>
      <c r="BO136" s="225">
        <f t="shared" si="12"/>
        <v>9006</v>
      </c>
      <c r="BP136" s="230">
        <f t="shared" si="13"/>
        <v>495.33</v>
      </c>
      <c r="BQ136" s="230">
        <f t="shared" si="14"/>
        <v>9501.33</v>
      </c>
      <c r="BR136" s="230">
        <v>9501.33</v>
      </c>
      <c r="BS136" s="225" t="s">
        <v>188</v>
      </c>
      <c r="BT136" s="225"/>
      <c r="BU136" s="225"/>
      <c r="BV136" s="301" t="s">
        <v>2325</v>
      </c>
      <c r="BW136" s="301" t="s">
        <v>214</v>
      </c>
      <c r="BX136" s="222" t="s">
        <v>618</v>
      </c>
      <c r="BY136" s="301" t="s">
        <v>176</v>
      </c>
    </row>
    <row r="137" spans="1:77" s="12" customFormat="1" ht="13.5" customHeight="1">
      <c r="A137" s="64">
        <f t="shared" si="15"/>
        <v>2021</v>
      </c>
      <c r="B137" s="64">
        <f t="shared" si="16"/>
        <v>3</v>
      </c>
      <c r="C137" s="125" t="s">
        <v>191</v>
      </c>
      <c r="D137" s="168" t="str">
        <f t="shared" si="17"/>
        <v>non maj</v>
      </c>
      <c r="E137" s="292" t="s">
        <v>670</v>
      </c>
      <c r="F137" s="292" t="s">
        <v>1373</v>
      </c>
      <c r="G137" s="221">
        <v>600</v>
      </c>
      <c r="H137" s="222">
        <v>44271</v>
      </c>
      <c r="I137" s="222">
        <v>44278</v>
      </c>
      <c r="J137" s="223" t="s">
        <v>176</v>
      </c>
      <c r="K137" s="222" t="s">
        <v>176</v>
      </c>
      <c r="L137" s="223">
        <v>44278</v>
      </c>
      <c r="M137" s="223">
        <v>44278</v>
      </c>
      <c r="N137" s="223">
        <v>44284</v>
      </c>
      <c r="O137" s="222"/>
      <c r="P137" s="222">
        <v>44320</v>
      </c>
      <c r="Q137" s="222">
        <v>44308</v>
      </c>
      <c r="R137" s="222" t="s">
        <v>176</v>
      </c>
      <c r="S137" s="222">
        <v>44322</v>
      </c>
      <c r="T137" s="222">
        <v>44322</v>
      </c>
      <c r="U137" s="222">
        <v>44333</v>
      </c>
      <c r="V137" s="224"/>
      <c r="W137" s="222"/>
      <c r="X137" s="225"/>
      <c r="Y137" s="225"/>
      <c r="Z137" s="225"/>
      <c r="AA137" s="225">
        <v>2</v>
      </c>
      <c r="AB137" s="225">
        <v>31727</v>
      </c>
      <c r="AC137" s="225">
        <v>5</v>
      </c>
      <c r="AD137" s="225" t="s">
        <v>2442</v>
      </c>
      <c r="AE137" s="225">
        <v>38210</v>
      </c>
      <c r="AF137" s="225" t="s">
        <v>265</v>
      </c>
      <c r="AG137" s="226" t="s">
        <v>2443</v>
      </c>
      <c r="AH137" s="246" t="s">
        <v>2444</v>
      </c>
      <c r="AI137" s="225" t="s">
        <v>1168</v>
      </c>
      <c r="AJ137" s="225"/>
      <c r="AK137" s="225"/>
      <c r="AL137" s="225" t="s">
        <v>176</v>
      </c>
      <c r="AM137" s="225" t="s">
        <v>176</v>
      </c>
      <c r="AN137" s="225" t="s">
        <v>176</v>
      </c>
      <c r="AO137" s="225" t="s">
        <v>176</v>
      </c>
      <c r="AP137" s="225" t="s">
        <v>2052</v>
      </c>
      <c r="AQ137" s="225" t="s">
        <v>232</v>
      </c>
      <c r="AR137" s="225" t="s">
        <v>233</v>
      </c>
      <c r="AS137" s="241" t="s">
        <v>234</v>
      </c>
      <c r="AT137" s="226">
        <v>476500550</v>
      </c>
      <c r="AU137" s="225" t="s">
        <v>176</v>
      </c>
      <c r="AV137" s="241" t="s">
        <v>188</v>
      </c>
      <c r="AW137" s="223">
        <v>44375</v>
      </c>
      <c r="AX137" s="225" t="s">
        <v>4113</v>
      </c>
      <c r="AY137" s="225">
        <v>1993</v>
      </c>
      <c r="AZ137" s="225" t="s">
        <v>1880</v>
      </c>
      <c r="BA137" s="225" t="s">
        <v>380</v>
      </c>
      <c r="BB137" s="225" t="s">
        <v>2066</v>
      </c>
      <c r="BC137" s="225" t="s">
        <v>2445</v>
      </c>
      <c r="BD137" s="225">
        <v>30</v>
      </c>
      <c r="BE137" s="225">
        <v>8</v>
      </c>
      <c r="BF137" s="225">
        <v>75</v>
      </c>
      <c r="BG137" s="225">
        <v>0.1</v>
      </c>
      <c r="BH137" s="225" t="s">
        <v>1882</v>
      </c>
      <c r="BI137" s="225"/>
      <c r="BJ137" s="225">
        <f>855.22+260.64+212.57+170.99+115.21+79.39+162.83+35.43+74.08+182.53+2638.39+76.67+42.5+82.72</f>
        <v>4989.170000000001</v>
      </c>
      <c r="BK137" s="225"/>
      <c r="BL137" s="225"/>
      <c r="BM137" s="225"/>
      <c r="BN137" s="225">
        <f>900+670</f>
        <v>1570</v>
      </c>
      <c r="BO137" s="225">
        <f t="shared" si="12"/>
        <v>6559.170000000001</v>
      </c>
      <c r="BP137" s="230">
        <f t="shared" si="13"/>
        <v>360.75435000000004</v>
      </c>
      <c r="BQ137" s="230">
        <f t="shared" si="14"/>
        <v>6919.9243500000011</v>
      </c>
      <c r="BR137" s="230">
        <v>6619.92</v>
      </c>
      <c r="BS137" s="225" t="s">
        <v>191</v>
      </c>
      <c r="BT137" s="225"/>
      <c r="BU137" s="225"/>
      <c r="BV137" s="301" t="s">
        <v>2325</v>
      </c>
      <c r="BW137" s="301" t="s">
        <v>214</v>
      </c>
      <c r="BX137" s="301" t="s">
        <v>620</v>
      </c>
      <c r="BY137" s="301">
        <v>2021</v>
      </c>
    </row>
    <row r="138" spans="1:77" ht="13.5" customHeight="1">
      <c r="A138" s="64">
        <f t="shared" si="15"/>
        <v>2021</v>
      </c>
      <c r="B138" s="64">
        <f t="shared" si="16"/>
        <v>3</v>
      </c>
      <c r="C138" s="125" t="s">
        <v>191</v>
      </c>
      <c r="D138" s="168" t="str">
        <f t="shared" si="17"/>
        <v>non maj</v>
      </c>
      <c r="E138" s="292" t="s">
        <v>670</v>
      </c>
      <c r="F138" s="292" t="s">
        <v>1374</v>
      </c>
      <c r="G138" s="221">
        <v>600</v>
      </c>
      <c r="H138" s="222">
        <v>44271</v>
      </c>
      <c r="I138" s="222">
        <v>44278</v>
      </c>
      <c r="J138" s="223" t="s">
        <v>176</v>
      </c>
      <c r="K138" s="222" t="s">
        <v>176</v>
      </c>
      <c r="L138" s="223">
        <v>44278</v>
      </c>
      <c r="M138" s="223">
        <v>44278</v>
      </c>
      <c r="N138" s="223">
        <v>44284</v>
      </c>
      <c r="O138" s="222"/>
      <c r="P138" s="222">
        <v>44343</v>
      </c>
      <c r="Q138" s="222">
        <v>44338</v>
      </c>
      <c r="R138" s="222" t="s">
        <v>176</v>
      </c>
      <c r="S138" s="222">
        <v>44343</v>
      </c>
      <c r="T138" s="222">
        <v>44343</v>
      </c>
      <c r="U138" s="222">
        <v>44351</v>
      </c>
      <c r="V138" s="224"/>
      <c r="W138" s="222"/>
      <c r="X138" s="225"/>
      <c r="Y138" s="225"/>
      <c r="Z138" s="225"/>
      <c r="AA138" s="225">
        <v>2</v>
      </c>
      <c r="AB138" s="225">
        <v>33408</v>
      </c>
      <c r="AC138" s="225">
        <v>185</v>
      </c>
      <c r="AD138" s="225" t="s">
        <v>2446</v>
      </c>
      <c r="AE138" s="225">
        <v>38210</v>
      </c>
      <c r="AF138" s="225" t="s">
        <v>1903</v>
      </c>
      <c r="AG138" s="226" t="s">
        <v>2447</v>
      </c>
      <c r="AH138" s="246" t="s">
        <v>2448</v>
      </c>
      <c r="AI138" s="225" t="s">
        <v>1168</v>
      </c>
      <c r="AJ138" s="225"/>
      <c r="AK138" s="225"/>
      <c r="AL138" s="225" t="s">
        <v>176</v>
      </c>
      <c r="AM138" s="225" t="s">
        <v>176</v>
      </c>
      <c r="AN138" s="225" t="s">
        <v>176</v>
      </c>
      <c r="AO138" s="225" t="s">
        <v>176</v>
      </c>
      <c r="AP138" s="225" t="s">
        <v>268</v>
      </c>
      <c r="AQ138" s="225" t="s">
        <v>1893</v>
      </c>
      <c r="AR138" s="225" t="s">
        <v>1933</v>
      </c>
      <c r="AS138" s="246" t="s">
        <v>1934</v>
      </c>
      <c r="AT138" s="226">
        <v>476355605</v>
      </c>
      <c r="AU138" s="225" t="s">
        <v>176</v>
      </c>
      <c r="AV138" s="241" t="s">
        <v>188</v>
      </c>
      <c r="AW138" s="223">
        <v>44495</v>
      </c>
      <c r="AX138" s="225" t="s">
        <v>4113</v>
      </c>
      <c r="AY138" s="225">
        <v>1978</v>
      </c>
      <c r="AZ138" s="225" t="s">
        <v>1880</v>
      </c>
      <c r="BA138" s="225" t="s">
        <v>380</v>
      </c>
      <c r="BB138" s="225" t="s">
        <v>1936</v>
      </c>
      <c r="BC138" s="225" t="s">
        <v>2404</v>
      </c>
      <c r="BD138" s="225">
        <v>22</v>
      </c>
      <c r="BE138" s="225">
        <v>7</v>
      </c>
      <c r="BF138" s="225">
        <v>80</v>
      </c>
      <c r="BG138" s="225">
        <v>0.08</v>
      </c>
      <c r="BH138" s="225" t="s">
        <v>1882</v>
      </c>
      <c r="BI138" s="225"/>
      <c r="BJ138" s="225">
        <f>74.54+48.75+2338+218+89.6+33.54+75.56</f>
        <v>2877.99</v>
      </c>
      <c r="BK138" s="225"/>
      <c r="BL138" s="225"/>
      <c r="BM138" s="225"/>
      <c r="BN138" s="225">
        <v>625</v>
      </c>
      <c r="BO138" s="225">
        <f t="shared" si="12"/>
        <v>3502.99</v>
      </c>
      <c r="BP138" s="230">
        <f t="shared" si="13"/>
        <v>192.66444999999999</v>
      </c>
      <c r="BQ138" s="230">
        <f t="shared" si="14"/>
        <v>3695.65445</v>
      </c>
      <c r="BR138" s="230">
        <v>3695.65</v>
      </c>
      <c r="BS138" s="225" t="s">
        <v>188</v>
      </c>
      <c r="BT138" s="225"/>
      <c r="BU138" s="225"/>
      <c r="BV138" s="301" t="s">
        <v>2325</v>
      </c>
      <c r="BW138" s="301" t="s">
        <v>214</v>
      </c>
      <c r="BX138" s="301" t="s">
        <v>620</v>
      </c>
      <c r="BY138" s="301">
        <v>2021</v>
      </c>
    </row>
    <row r="139" spans="1:77" s="12" customFormat="1" ht="13.5" customHeight="1">
      <c r="A139" s="64">
        <f t="shared" si="15"/>
        <v>2021</v>
      </c>
      <c r="B139" s="64">
        <f t="shared" si="16"/>
        <v>3</v>
      </c>
      <c r="C139" s="125" t="s">
        <v>191</v>
      </c>
      <c r="D139" s="168" t="str">
        <f t="shared" si="17"/>
        <v>maj</v>
      </c>
      <c r="E139" s="292" t="s">
        <v>670</v>
      </c>
      <c r="F139" s="292" t="s">
        <v>1375</v>
      </c>
      <c r="G139" s="221">
        <v>1000</v>
      </c>
      <c r="H139" s="222">
        <v>44273</v>
      </c>
      <c r="I139" s="222">
        <v>44278</v>
      </c>
      <c r="J139" s="223">
        <v>44278</v>
      </c>
      <c r="K139" s="222" t="s">
        <v>2449</v>
      </c>
      <c r="L139" s="223">
        <v>44281</v>
      </c>
      <c r="M139" s="223">
        <v>44281</v>
      </c>
      <c r="N139" s="223">
        <v>44286</v>
      </c>
      <c r="O139" s="222"/>
      <c r="P139" s="222">
        <v>44375</v>
      </c>
      <c r="Q139" s="222">
        <v>44355</v>
      </c>
      <c r="R139" s="222" t="s">
        <v>176</v>
      </c>
      <c r="S139" s="222">
        <v>44376</v>
      </c>
      <c r="T139" s="222">
        <v>44376</v>
      </c>
      <c r="U139" s="222">
        <v>44389</v>
      </c>
      <c r="V139" s="224"/>
      <c r="W139" s="222"/>
      <c r="X139" s="225"/>
      <c r="Y139" s="225"/>
      <c r="Z139" s="225"/>
      <c r="AA139" s="225">
        <v>2</v>
      </c>
      <c r="AB139" s="225">
        <v>18362</v>
      </c>
      <c r="AC139" s="225">
        <v>12</v>
      </c>
      <c r="AD139" s="225" t="s">
        <v>2450</v>
      </c>
      <c r="AE139" s="225">
        <v>38430</v>
      </c>
      <c r="AF139" s="225" t="s">
        <v>1893</v>
      </c>
      <c r="AG139" s="226">
        <v>786607325</v>
      </c>
      <c r="AH139" s="246" t="s">
        <v>2451</v>
      </c>
      <c r="AI139" s="225" t="s">
        <v>1168</v>
      </c>
      <c r="AJ139" s="225"/>
      <c r="AK139" s="225"/>
      <c r="AL139" s="225" t="s">
        <v>176</v>
      </c>
      <c r="AM139" s="225" t="s">
        <v>176</v>
      </c>
      <c r="AN139" s="225" t="s">
        <v>176</v>
      </c>
      <c r="AO139" s="225" t="s">
        <v>176</v>
      </c>
      <c r="AP139" s="222" t="s">
        <v>587</v>
      </c>
      <c r="AQ139" s="225" t="s">
        <v>225</v>
      </c>
      <c r="AR139" s="225" t="s">
        <v>2026</v>
      </c>
      <c r="AS139" s="241" t="s">
        <v>266</v>
      </c>
      <c r="AT139" s="226">
        <v>476069938</v>
      </c>
      <c r="AU139" s="225" t="s">
        <v>176</v>
      </c>
      <c r="AV139" s="241" t="s">
        <v>188</v>
      </c>
      <c r="AW139" s="223">
        <v>44457</v>
      </c>
      <c r="AX139" s="225" t="s">
        <v>4113</v>
      </c>
      <c r="AY139" s="242">
        <v>1995</v>
      </c>
      <c r="AZ139" s="225" t="s">
        <v>1880</v>
      </c>
      <c r="BA139" s="225" t="s">
        <v>380</v>
      </c>
      <c r="BB139" s="225" t="s">
        <v>280</v>
      </c>
      <c r="BC139" s="225" t="s">
        <v>2452</v>
      </c>
      <c r="BD139" s="242">
        <v>40</v>
      </c>
      <c r="BE139" s="242">
        <v>6</v>
      </c>
      <c r="BF139" s="242">
        <v>83</v>
      </c>
      <c r="BG139" s="242">
        <v>7.0000000000000007E-2</v>
      </c>
      <c r="BH139" s="225" t="s">
        <v>1882</v>
      </c>
      <c r="BI139" s="225"/>
      <c r="BJ139" s="242">
        <f>550+450+250+2990+89+330</f>
        <v>4659</v>
      </c>
      <c r="BK139" s="225"/>
      <c r="BL139" s="225"/>
      <c r="BM139" s="225"/>
      <c r="BN139" s="242">
        <v>300</v>
      </c>
      <c r="BO139" s="242">
        <f t="shared" si="12"/>
        <v>4959</v>
      </c>
      <c r="BP139" s="242">
        <f t="shared" si="13"/>
        <v>272.745</v>
      </c>
      <c r="BQ139" s="242">
        <f t="shared" si="14"/>
        <v>5231.7449999999999</v>
      </c>
      <c r="BR139" s="230">
        <v>5231.75</v>
      </c>
      <c r="BS139" s="225" t="s">
        <v>188</v>
      </c>
      <c r="BT139" s="225"/>
      <c r="BU139" s="225"/>
      <c r="BV139" s="301" t="s">
        <v>2325</v>
      </c>
      <c r="BW139" s="301" t="s">
        <v>214</v>
      </c>
      <c r="BX139" s="222" t="s">
        <v>618</v>
      </c>
      <c r="BY139" s="301">
        <v>2021</v>
      </c>
    </row>
    <row r="140" spans="1:77" s="12" customFormat="1" ht="13.5" customHeight="1">
      <c r="A140" s="64">
        <f t="shared" si="15"/>
        <v>2021</v>
      </c>
      <c r="B140" s="64">
        <f t="shared" si="16"/>
        <v>3</v>
      </c>
      <c r="C140" s="125" t="s">
        <v>191</v>
      </c>
      <c r="D140" s="168" t="str">
        <f t="shared" si="17"/>
        <v>non maj</v>
      </c>
      <c r="E140" s="292" t="s">
        <v>670</v>
      </c>
      <c r="F140" s="292" t="s">
        <v>1376</v>
      </c>
      <c r="G140" s="221">
        <v>600</v>
      </c>
      <c r="H140" s="222">
        <v>44278</v>
      </c>
      <c r="I140" s="222">
        <v>44280</v>
      </c>
      <c r="J140" s="223" t="s">
        <v>176</v>
      </c>
      <c r="K140" s="222" t="s">
        <v>176</v>
      </c>
      <c r="L140" s="223">
        <v>44281</v>
      </c>
      <c r="M140" s="223">
        <v>44281</v>
      </c>
      <c r="N140" s="223">
        <v>44286</v>
      </c>
      <c r="O140" s="222"/>
      <c r="P140" s="222">
        <v>44383</v>
      </c>
      <c r="Q140" s="222">
        <v>44345</v>
      </c>
      <c r="R140" s="222" t="s">
        <v>176</v>
      </c>
      <c r="S140" s="222">
        <v>44383</v>
      </c>
      <c r="T140" s="222">
        <v>44383</v>
      </c>
      <c r="U140" s="222">
        <v>44389</v>
      </c>
      <c r="V140" s="224"/>
      <c r="W140" s="222"/>
      <c r="X140" s="225"/>
      <c r="Y140" s="225"/>
      <c r="Z140" s="225"/>
      <c r="AA140" s="225">
        <v>4</v>
      </c>
      <c r="AB140" s="225">
        <v>60312</v>
      </c>
      <c r="AC140" s="225">
        <v>129</v>
      </c>
      <c r="AD140" s="225" t="s">
        <v>2453</v>
      </c>
      <c r="AE140" s="225">
        <v>38960</v>
      </c>
      <c r="AF140" s="225" t="s">
        <v>2088</v>
      </c>
      <c r="AG140" s="226">
        <v>676054951</v>
      </c>
      <c r="AH140" s="246" t="s">
        <v>2454</v>
      </c>
      <c r="AI140" s="225" t="s">
        <v>1168</v>
      </c>
      <c r="AJ140" s="225"/>
      <c r="AK140" s="225"/>
      <c r="AL140" s="225" t="s">
        <v>176</v>
      </c>
      <c r="AM140" s="225" t="s">
        <v>176</v>
      </c>
      <c r="AN140" s="225" t="s">
        <v>176</v>
      </c>
      <c r="AO140" s="225" t="s">
        <v>176</v>
      </c>
      <c r="AP140" s="225" t="s">
        <v>268</v>
      </c>
      <c r="AQ140" s="225" t="s">
        <v>1893</v>
      </c>
      <c r="AR140" s="225" t="s">
        <v>1933</v>
      </c>
      <c r="AS140" s="246" t="s">
        <v>1934</v>
      </c>
      <c r="AT140" s="226">
        <v>476355605</v>
      </c>
      <c r="AU140" s="225" t="s">
        <v>176</v>
      </c>
      <c r="AV140" s="241" t="s">
        <v>188</v>
      </c>
      <c r="AW140" s="223">
        <v>44495</v>
      </c>
      <c r="AX140" s="225" t="s">
        <v>1879</v>
      </c>
      <c r="AY140" s="225">
        <v>1976</v>
      </c>
      <c r="AZ140" s="225" t="s">
        <v>4113</v>
      </c>
      <c r="BA140" s="225" t="s">
        <v>380</v>
      </c>
      <c r="BB140" s="225" t="s">
        <v>1936</v>
      </c>
      <c r="BC140" s="225" t="s">
        <v>2178</v>
      </c>
      <c r="BD140" s="225">
        <v>23</v>
      </c>
      <c r="BE140" s="225">
        <v>10</v>
      </c>
      <c r="BF140" s="225">
        <v>78</v>
      </c>
      <c r="BG140" s="225">
        <v>7.0000000000000007E-2</v>
      </c>
      <c r="BH140" s="225" t="s">
        <v>1882</v>
      </c>
      <c r="BI140" s="225"/>
      <c r="BJ140" s="225">
        <f>420+27.55+47.65+365.75+1745+390.56+290.55+88.8</f>
        <v>3375.86</v>
      </c>
      <c r="BK140" s="225"/>
      <c r="BL140" s="225"/>
      <c r="BM140" s="225"/>
      <c r="BN140" s="225">
        <f>99.09+118.12+950+282.94</f>
        <v>1450.15</v>
      </c>
      <c r="BO140" s="225">
        <f t="shared" si="12"/>
        <v>4826.01</v>
      </c>
      <c r="BP140" s="230">
        <f t="shared" si="13"/>
        <v>265.43055000000004</v>
      </c>
      <c r="BQ140" s="230">
        <f t="shared" si="14"/>
        <v>5091.4405500000003</v>
      </c>
      <c r="BR140" s="230">
        <v>5091.4399999999996</v>
      </c>
      <c r="BS140" s="225" t="s">
        <v>191</v>
      </c>
      <c r="BT140" s="225"/>
      <c r="BU140" s="225"/>
      <c r="BV140" s="301" t="s">
        <v>2325</v>
      </c>
      <c r="BW140" s="301" t="s">
        <v>214</v>
      </c>
      <c r="BX140" s="301" t="s">
        <v>620</v>
      </c>
      <c r="BY140" s="301">
        <v>2021</v>
      </c>
    </row>
    <row r="141" spans="1:77" s="12" customFormat="1" ht="13.5" customHeight="1">
      <c r="A141" s="64">
        <f t="shared" si="15"/>
        <v>2021</v>
      </c>
      <c r="B141" s="64">
        <f t="shared" si="16"/>
        <v>4</v>
      </c>
      <c r="C141" s="125" t="s">
        <v>191</v>
      </c>
      <c r="D141" s="168" t="str">
        <f t="shared" si="17"/>
        <v>non maj</v>
      </c>
      <c r="E141" s="292" t="s">
        <v>670</v>
      </c>
      <c r="F141" s="292" t="s">
        <v>1377</v>
      </c>
      <c r="G141" s="221">
        <v>600</v>
      </c>
      <c r="H141" s="222">
        <v>44280</v>
      </c>
      <c r="I141" s="222">
        <v>44280</v>
      </c>
      <c r="J141" s="223">
        <v>44281</v>
      </c>
      <c r="K141" s="222" t="s">
        <v>2455</v>
      </c>
      <c r="L141" s="223">
        <v>44301</v>
      </c>
      <c r="M141" s="223">
        <v>44301</v>
      </c>
      <c r="N141" s="223">
        <v>44307</v>
      </c>
      <c r="O141" s="222"/>
      <c r="P141" s="222">
        <v>44459</v>
      </c>
      <c r="Q141" s="222">
        <v>44448</v>
      </c>
      <c r="R141" s="222" t="s">
        <v>176</v>
      </c>
      <c r="S141" s="222">
        <v>44462</v>
      </c>
      <c r="T141" s="222">
        <v>44462</v>
      </c>
      <c r="U141" s="222">
        <v>44469</v>
      </c>
      <c r="V141" s="224"/>
      <c r="W141" s="222"/>
      <c r="X141" s="225"/>
      <c r="Y141" s="225"/>
      <c r="Z141" s="225"/>
      <c r="AA141" s="225">
        <v>2</v>
      </c>
      <c r="AB141" s="225">
        <v>37669</v>
      </c>
      <c r="AC141" s="225">
        <v>664</v>
      </c>
      <c r="AD141" s="225" t="s">
        <v>2456</v>
      </c>
      <c r="AE141" s="225">
        <v>38960</v>
      </c>
      <c r="AF141" s="225" t="s">
        <v>2088</v>
      </c>
      <c r="AG141" s="226">
        <v>652546935</v>
      </c>
      <c r="AH141" s="246" t="s">
        <v>2457</v>
      </c>
      <c r="AI141" s="225" t="s">
        <v>1168</v>
      </c>
      <c r="AJ141" s="225"/>
      <c r="AK141" s="225"/>
      <c r="AL141" s="225" t="s">
        <v>176</v>
      </c>
      <c r="AM141" s="225" t="s">
        <v>176</v>
      </c>
      <c r="AN141" s="225" t="s">
        <v>176</v>
      </c>
      <c r="AO141" s="225" t="s">
        <v>176</v>
      </c>
      <c r="AP141" s="225" t="s">
        <v>675</v>
      </c>
      <c r="AQ141" s="225" t="s">
        <v>225</v>
      </c>
      <c r="AR141" s="225" t="s">
        <v>1948</v>
      </c>
      <c r="AS141" s="241" t="s">
        <v>673</v>
      </c>
      <c r="AT141" s="226">
        <v>951096343</v>
      </c>
      <c r="AU141" s="225" t="s">
        <v>176</v>
      </c>
      <c r="AV141" s="241" t="s">
        <v>188</v>
      </c>
      <c r="AW141" s="223">
        <v>44798</v>
      </c>
      <c r="AX141" s="225" t="s">
        <v>4113</v>
      </c>
      <c r="AY141" s="225">
        <v>1992</v>
      </c>
      <c r="AZ141" s="225" t="s">
        <v>1880</v>
      </c>
      <c r="BA141" s="225" t="s">
        <v>267</v>
      </c>
      <c r="BB141" s="225" t="s">
        <v>229</v>
      </c>
      <c r="BC141" s="225" t="s">
        <v>2093</v>
      </c>
      <c r="BD141" s="225">
        <v>20</v>
      </c>
      <c r="BE141" s="225">
        <v>7.9</v>
      </c>
      <c r="BF141" s="225">
        <v>89</v>
      </c>
      <c r="BG141" s="225">
        <v>1.7999999999999999E-2</v>
      </c>
      <c r="BH141" s="225" t="s">
        <v>1899</v>
      </c>
      <c r="BI141" s="225"/>
      <c r="BJ141" s="225">
        <f>5885+298.15+271.35+324.5</f>
        <v>6779</v>
      </c>
      <c r="BK141" s="225"/>
      <c r="BL141" s="225"/>
      <c r="BM141" s="225"/>
      <c r="BN141" s="225">
        <v>630</v>
      </c>
      <c r="BO141" s="225">
        <f t="shared" si="12"/>
        <v>7409</v>
      </c>
      <c r="BP141" s="230">
        <f t="shared" si="13"/>
        <v>407.495</v>
      </c>
      <c r="BQ141" s="230">
        <f t="shared" si="14"/>
        <v>7816.4949999999999</v>
      </c>
      <c r="BR141" s="230">
        <v>7500</v>
      </c>
      <c r="BS141" s="225" t="s">
        <v>188</v>
      </c>
      <c r="BT141" s="225"/>
      <c r="BU141" s="225"/>
      <c r="BV141" s="301" t="s">
        <v>2325</v>
      </c>
      <c r="BW141" s="301" t="s">
        <v>214</v>
      </c>
      <c r="BX141" s="301" t="s">
        <v>620</v>
      </c>
      <c r="BY141" s="301" t="s">
        <v>176</v>
      </c>
    </row>
    <row r="142" spans="1:77" s="12" customFormat="1" ht="13.5" customHeight="1">
      <c r="A142" s="64">
        <f t="shared" si="15"/>
        <v>2021</v>
      </c>
      <c r="B142" s="64">
        <f t="shared" si="16"/>
        <v>4</v>
      </c>
      <c r="C142" s="125" t="s">
        <v>191</v>
      </c>
      <c r="D142" s="168" t="str">
        <f t="shared" si="17"/>
        <v>non maj</v>
      </c>
      <c r="E142" s="292" t="s">
        <v>670</v>
      </c>
      <c r="F142" s="292" t="s">
        <v>1378</v>
      </c>
      <c r="G142" s="221">
        <v>600</v>
      </c>
      <c r="H142" s="222">
        <v>44281</v>
      </c>
      <c r="I142" s="222">
        <v>44281</v>
      </c>
      <c r="J142" s="223">
        <v>44287</v>
      </c>
      <c r="K142" s="222" t="s">
        <v>2458</v>
      </c>
      <c r="L142" s="223">
        <v>44293</v>
      </c>
      <c r="M142" s="223">
        <v>44293</v>
      </c>
      <c r="N142" s="223">
        <v>44295</v>
      </c>
      <c r="O142" s="222"/>
      <c r="P142" s="222">
        <v>44389</v>
      </c>
      <c r="Q142" s="222">
        <v>44385</v>
      </c>
      <c r="R142" s="222" t="s">
        <v>176</v>
      </c>
      <c r="S142" s="222">
        <v>44393</v>
      </c>
      <c r="T142" s="222">
        <v>44393</v>
      </c>
      <c r="U142" s="222">
        <v>44434</v>
      </c>
      <c r="V142" s="224"/>
      <c r="W142" s="222"/>
      <c r="X142" s="225"/>
      <c r="Y142" s="225"/>
      <c r="Z142" s="225"/>
      <c r="AA142" s="225">
        <v>2</v>
      </c>
      <c r="AB142" s="225">
        <v>45534</v>
      </c>
      <c r="AC142" s="225">
        <v>51</v>
      </c>
      <c r="AD142" s="225" t="s">
        <v>2459</v>
      </c>
      <c r="AE142" s="225">
        <v>38620</v>
      </c>
      <c r="AF142" s="225" t="s">
        <v>2382</v>
      </c>
      <c r="AG142" s="226">
        <v>662696862</v>
      </c>
      <c r="AH142" s="246" t="s">
        <v>2460</v>
      </c>
      <c r="AI142" s="225" t="s">
        <v>1168</v>
      </c>
      <c r="AJ142" s="225"/>
      <c r="AK142" s="225"/>
      <c r="AL142" s="225" t="s">
        <v>176</v>
      </c>
      <c r="AM142" s="225" t="s">
        <v>176</v>
      </c>
      <c r="AN142" s="225" t="s">
        <v>176</v>
      </c>
      <c r="AO142" s="225" t="s">
        <v>176</v>
      </c>
      <c r="AP142" s="225" t="s">
        <v>675</v>
      </c>
      <c r="AQ142" s="225" t="s">
        <v>225</v>
      </c>
      <c r="AR142" s="225" t="s">
        <v>1948</v>
      </c>
      <c r="AS142" s="241" t="s">
        <v>673</v>
      </c>
      <c r="AT142" s="226">
        <v>951096343</v>
      </c>
      <c r="AU142" s="225" t="s">
        <v>176</v>
      </c>
      <c r="AV142" s="241" t="s">
        <v>188</v>
      </c>
      <c r="AW142" s="223">
        <v>44433</v>
      </c>
      <c r="AX142" s="225" t="s">
        <v>4113</v>
      </c>
      <c r="AY142" s="225" t="s">
        <v>1935</v>
      </c>
      <c r="AZ142" s="225" t="s">
        <v>1880</v>
      </c>
      <c r="BA142" s="225" t="s">
        <v>267</v>
      </c>
      <c r="BB142" s="225" t="s">
        <v>229</v>
      </c>
      <c r="BC142" s="225" t="s">
        <v>793</v>
      </c>
      <c r="BD142" s="225">
        <v>15</v>
      </c>
      <c r="BE142" s="225">
        <v>9.3000000000000007</v>
      </c>
      <c r="BF142" s="225">
        <v>87</v>
      </c>
      <c r="BG142" s="225">
        <v>1.7999999999999999E-2</v>
      </c>
      <c r="BH142" s="225" t="s">
        <v>1899</v>
      </c>
      <c r="BI142" s="225"/>
      <c r="BJ142" s="225">
        <f>5090.72+340.55+271.39+657.91</f>
        <v>6360.5700000000006</v>
      </c>
      <c r="BK142" s="225"/>
      <c r="BL142" s="225"/>
      <c r="BM142" s="225"/>
      <c r="BN142" s="225">
        <v>880.1</v>
      </c>
      <c r="BO142" s="225">
        <f t="shared" si="12"/>
        <v>7240.670000000001</v>
      </c>
      <c r="BP142" s="230">
        <f t="shared" si="13"/>
        <v>398.23685000000006</v>
      </c>
      <c r="BQ142" s="230">
        <f t="shared" si="14"/>
        <v>7638.9068500000012</v>
      </c>
      <c r="BR142" s="230">
        <v>7349.98</v>
      </c>
      <c r="BS142" s="225" t="s">
        <v>188</v>
      </c>
      <c r="BT142" s="225"/>
      <c r="BU142" s="225"/>
      <c r="BV142" s="301" t="s">
        <v>2325</v>
      </c>
      <c r="BW142" s="301" t="s">
        <v>214</v>
      </c>
      <c r="BX142" s="301" t="s">
        <v>620</v>
      </c>
      <c r="BY142" s="301" t="s">
        <v>176</v>
      </c>
    </row>
    <row r="143" spans="1:77" s="12" customFormat="1" ht="13.5" customHeight="1">
      <c r="A143" s="64">
        <f t="shared" si="15"/>
        <v>2021</v>
      </c>
      <c r="B143" s="64">
        <f t="shared" si="16"/>
        <v>4</v>
      </c>
      <c r="C143" s="125" t="s">
        <v>191</v>
      </c>
      <c r="D143" s="168" t="str">
        <f t="shared" si="17"/>
        <v>maj</v>
      </c>
      <c r="E143" s="292" t="s">
        <v>670</v>
      </c>
      <c r="F143" s="292" t="s">
        <v>1379</v>
      </c>
      <c r="G143" s="221">
        <v>1000</v>
      </c>
      <c r="H143" s="222">
        <v>44281</v>
      </c>
      <c r="I143" s="222">
        <v>44281</v>
      </c>
      <c r="J143" s="223">
        <v>44287</v>
      </c>
      <c r="K143" s="222" t="s">
        <v>2207</v>
      </c>
      <c r="L143" s="223">
        <v>44308</v>
      </c>
      <c r="M143" s="223">
        <v>44308</v>
      </c>
      <c r="N143" s="223">
        <v>44319</v>
      </c>
      <c r="O143" s="222"/>
      <c r="P143" s="222">
        <v>44385</v>
      </c>
      <c r="Q143" s="222">
        <v>44365</v>
      </c>
      <c r="R143" s="222" t="s">
        <v>2461</v>
      </c>
      <c r="S143" s="222">
        <v>44413</v>
      </c>
      <c r="T143" s="222">
        <v>44413</v>
      </c>
      <c r="U143" s="222">
        <v>44453</v>
      </c>
      <c r="V143" s="224"/>
      <c r="W143" s="222"/>
      <c r="X143" s="225"/>
      <c r="Y143" s="225"/>
      <c r="Z143" s="225"/>
      <c r="AA143" s="225">
        <v>1</v>
      </c>
      <c r="AB143" s="225">
        <v>4169</v>
      </c>
      <c r="AC143" s="225">
        <v>146</v>
      </c>
      <c r="AD143" s="225" t="s">
        <v>2462</v>
      </c>
      <c r="AE143" s="225">
        <v>38730</v>
      </c>
      <c r="AF143" s="225" t="s">
        <v>1916</v>
      </c>
      <c r="AG143" s="226">
        <v>682834197</v>
      </c>
      <c r="AH143" s="246" t="s">
        <v>2463</v>
      </c>
      <c r="AI143" s="225" t="s">
        <v>1168</v>
      </c>
      <c r="AJ143" s="225"/>
      <c r="AK143" s="225"/>
      <c r="AL143" s="225" t="s">
        <v>176</v>
      </c>
      <c r="AM143" s="225" t="s">
        <v>176</v>
      </c>
      <c r="AN143" s="225" t="s">
        <v>176</v>
      </c>
      <c r="AO143" s="225" t="s">
        <v>176</v>
      </c>
      <c r="AP143" s="225" t="s">
        <v>813</v>
      </c>
      <c r="AQ143" s="225" t="s">
        <v>2464</v>
      </c>
      <c r="AR143" s="225" t="s">
        <v>2465</v>
      </c>
      <c r="AS143" s="241" t="s">
        <v>2466</v>
      </c>
      <c r="AT143" s="226">
        <v>474281667</v>
      </c>
      <c r="AU143" s="225" t="s">
        <v>176</v>
      </c>
      <c r="AV143" s="241" t="s">
        <v>188</v>
      </c>
      <c r="AW143" s="223">
        <v>44436</v>
      </c>
      <c r="AX143" s="225" t="s">
        <v>4113</v>
      </c>
      <c r="AY143" s="225">
        <v>1980</v>
      </c>
      <c r="AZ143" s="225" t="s">
        <v>1880</v>
      </c>
      <c r="BA143" s="225" t="s">
        <v>380</v>
      </c>
      <c r="BB143" s="225" t="s">
        <v>221</v>
      </c>
      <c r="BC143" s="225" t="s">
        <v>2467</v>
      </c>
      <c r="BD143" s="225">
        <v>11</v>
      </c>
      <c r="BE143" s="225">
        <v>7.8</v>
      </c>
      <c r="BF143" s="225">
        <v>75</v>
      </c>
      <c r="BG143" s="225">
        <v>6.0000000000000001E-3</v>
      </c>
      <c r="BH143" s="225" t="s">
        <v>1882</v>
      </c>
      <c r="BI143" s="225"/>
      <c r="BJ143" s="225">
        <f>3420+108+550</f>
        <v>4078</v>
      </c>
      <c r="BK143" s="225"/>
      <c r="BL143" s="225"/>
      <c r="BM143" s="225"/>
      <c r="BN143" s="225">
        <v>650</v>
      </c>
      <c r="BO143" s="225">
        <f t="shared" si="12"/>
        <v>4728</v>
      </c>
      <c r="BP143" s="230">
        <f t="shared" si="13"/>
        <v>260.04000000000002</v>
      </c>
      <c r="BQ143" s="230">
        <f t="shared" si="14"/>
        <v>4988.04</v>
      </c>
      <c r="BR143" s="230">
        <v>4988.04</v>
      </c>
      <c r="BS143" s="225" t="s">
        <v>191</v>
      </c>
      <c r="BT143" s="225"/>
      <c r="BU143" s="225"/>
      <c r="BV143" s="301" t="s">
        <v>2325</v>
      </c>
      <c r="BW143" s="301" t="s">
        <v>214</v>
      </c>
      <c r="BX143" s="222" t="s">
        <v>618</v>
      </c>
      <c r="BY143" s="301">
        <v>2021</v>
      </c>
    </row>
    <row r="144" spans="1:77" s="12" customFormat="1" ht="13.5" customHeight="1">
      <c r="A144" s="64">
        <f t="shared" si="15"/>
        <v>2021</v>
      </c>
      <c r="B144" s="64">
        <f t="shared" si="16"/>
        <v>3</v>
      </c>
      <c r="C144" s="125" t="s">
        <v>191</v>
      </c>
      <c r="D144" s="168" t="str">
        <f t="shared" si="17"/>
        <v>maj</v>
      </c>
      <c r="E144" s="292" t="s">
        <v>670</v>
      </c>
      <c r="F144" s="292" t="s">
        <v>1380</v>
      </c>
      <c r="G144" s="221">
        <v>1000</v>
      </c>
      <c r="H144" s="222">
        <v>44256</v>
      </c>
      <c r="I144" s="222">
        <v>44285</v>
      </c>
      <c r="J144" s="223" t="s">
        <v>176</v>
      </c>
      <c r="K144" s="222" t="s">
        <v>176</v>
      </c>
      <c r="L144" s="223">
        <v>44285</v>
      </c>
      <c r="M144" s="223">
        <v>44285</v>
      </c>
      <c r="N144" s="223">
        <v>44285</v>
      </c>
      <c r="O144" s="222"/>
      <c r="P144" s="222">
        <v>44489</v>
      </c>
      <c r="Q144" s="222">
        <v>44476</v>
      </c>
      <c r="R144" s="222" t="s">
        <v>176</v>
      </c>
      <c r="S144" s="222">
        <v>44491</v>
      </c>
      <c r="T144" s="222">
        <v>44491</v>
      </c>
      <c r="U144" s="222">
        <v>44496</v>
      </c>
      <c r="V144" s="224"/>
      <c r="W144" s="222"/>
      <c r="X144" s="225"/>
      <c r="Y144" s="225"/>
      <c r="Z144" s="225"/>
      <c r="AA144" s="225">
        <v>3</v>
      </c>
      <c r="AB144" s="225">
        <v>32246</v>
      </c>
      <c r="AC144" s="225">
        <v>21</v>
      </c>
      <c r="AD144" s="225" t="s">
        <v>2468</v>
      </c>
      <c r="AE144" s="225">
        <v>38620</v>
      </c>
      <c r="AF144" s="225" t="s">
        <v>1871</v>
      </c>
      <c r="AG144" s="226">
        <v>680852715</v>
      </c>
      <c r="AH144" s="295" t="s">
        <v>2469</v>
      </c>
      <c r="AI144" s="225" t="s">
        <v>1168</v>
      </c>
      <c r="AJ144" s="225"/>
      <c r="AK144" s="225"/>
      <c r="AL144" s="225" t="s">
        <v>176</v>
      </c>
      <c r="AM144" s="225" t="s">
        <v>176</v>
      </c>
      <c r="AN144" s="225" t="s">
        <v>176</v>
      </c>
      <c r="AO144" s="225" t="s">
        <v>176</v>
      </c>
      <c r="AP144" s="225" t="s">
        <v>1888</v>
      </c>
      <c r="AQ144" s="225" t="s">
        <v>225</v>
      </c>
      <c r="AR144" s="225" t="s">
        <v>1889</v>
      </c>
      <c r="AS144" s="295" t="s">
        <v>269</v>
      </c>
      <c r="AT144" s="226" t="s">
        <v>600</v>
      </c>
      <c r="AU144" s="225" t="s">
        <v>176</v>
      </c>
      <c r="AV144" s="251" t="s">
        <v>188</v>
      </c>
      <c r="AW144" s="223">
        <v>44503</v>
      </c>
      <c r="AX144" s="225" t="s">
        <v>4113</v>
      </c>
      <c r="AY144" s="225">
        <v>1980</v>
      </c>
      <c r="AZ144" s="225" t="s">
        <v>1880</v>
      </c>
      <c r="BA144" s="225" t="s">
        <v>380</v>
      </c>
      <c r="BB144" s="225" t="s">
        <v>2007</v>
      </c>
      <c r="BC144" s="225" t="s">
        <v>2470</v>
      </c>
      <c r="BD144" s="225">
        <v>18</v>
      </c>
      <c r="BE144" s="225">
        <v>10.6</v>
      </c>
      <c r="BF144" s="225">
        <v>88</v>
      </c>
      <c r="BG144" s="225">
        <v>7.0000000000000007E-2</v>
      </c>
      <c r="BH144" s="225" t="s">
        <v>1882</v>
      </c>
      <c r="BI144" s="225"/>
      <c r="BJ144" s="225">
        <f>2864.04+525+138+220+101+60+45+90+47+22+28+140+138+15</f>
        <v>4433.04</v>
      </c>
      <c r="BK144" s="225"/>
      <c r="BL144" s="225"/>
      <c r="BM144" s="225"/>
      <c r="BN144" s="225">
        <f>30+450</f>
        <v>480</v>
      </c>
      <c r="BO144" s="225">
        <f t="shared" si="12"/>
        <v>4913.04</v>
      </c>
      <c r="BP144" s="230">
        <f t="shared" si="13"/>
        <v>270.21719999999999</v>
      </c>
      <c r="BQ144" s="230">
        <f t="shared" si="14"/>
        <v>5183.2572</v>
      </c>
      <c r="BR144" s="230">
        <v>5183.25</v>
      </c>
      <c r="BS144" s="225" t="s">
        <v>188</v>
      </c>
      <c r="BT144" s="225"/>
      <c r="BU144" s="225"/>
      <c r="BV144" s="225" t="s">
        <v>2325</v>
      </c>
      <c r="BW144" s="301" t="s">
        <v>214</v>
      </c>
      <c r="BX144" s="222" t="s">
        <v>618</v>
      </c>
      <c r="BY144" s="225">
        <v>2021</v>
      </c>
    </row>
    <row r="145" spans="1:77" s="12" customFormat="1" ht="13.5" customHeight="1">
      <c r="A145" s="64">
        <f t="shared" si="15"/>
        <v>2021</v>
      </c>
      <c r="B145" s="64">
        <f t="shared" si="16"/>
        <v>4</v>
      </c>
      <c r="C145" s="125" t="s">
        <v>191</v>
      </c>
      <c r="D145" s="168" t="str">
        <f t="shared" si="17"/>
        <v>non maj</v>
      </c>
      <c r="E145" s="292" t="s">
        <v>670</v>
      </c>
      <c r="F145" s="292" t="s">
        <v>1381</v>
      </c>
      <c r="G145" s="221">
        <v>600</v>
      </c>
      <c r="H145" s="222">
        <v>44265</v>
      </c>
      <c r="I145" s="222">
        <v>44287</v>
      </c>
      <c r="J145" s="223">
        <v>44287</v>
      </c>
      <c r="K145" s="222" t="s">
        <v>2471</v>
      </c>
      <c r="L145" s="223">
        <v>44293</v>
      </c>
      <c r="M145" s="223">
        <v>44293</v>
      </c>
      <c r="N145" s="223">
        <v>44295</v>
      </c>
      <c r="O145" s="222"/>
      <c r="P145" s="222">
        <v>44524</v>
      </c>
      <c r="Q145" s="222"/>
      <c r="R145" s="222" t="s">
        <v>176</v>
      </c>
      <c r="S145" s="222">
        <v>44525</v>
      </c>
      <c r="T145" s="222">
        <v>44525</v>
      </c>
      <c r="U145" s="222">
        <v>44539</v>
      </c>
      <c r="V145" s="224"/>
      <c r="W145" s="222"/>
      <c r="X145" s="225"/>
      <c r="Y145" s="225"/>
      <c r="Z145" s="225"/>
      <c r="AA145" s="225">
        <v>2</v>
      </c>
      <c r="AB145" s="225">
        <v>34985</v>
      </c>
      <c r="AC145" s="225">
        <v>50</v>
      </c>
      <c r="AD145" s="225" t="s">
        <v>2472</v>
      </c>
      <c r="AE145" s="225">
        <v>38140</v>
      </c>
      <c r="AF145" s="225" t="s">
        <v>1946</v>
      </c>
      <c r="AG145" s="226">
        <v>647046984</v>
      </c>
      <c r="AH145" s="246" t="s">
        <v>2473</v>
      </c>
      <c r="AI145" s="225" t="s">
        <v>1168</v>
      </c>
      <c r="AJ145" s="225"/>
      <c r="AK145" s="225"/>
      <c r="AL145" s="225" t="s">
        <v>176</v>
      </c>
      <c r="AM145" s="225" t="s">
        <v>176</v>
      </c>
      <c r="AN145" s="225" t="s">
        <v>176</v>
      </c>
      <c r="AO145" s="225" t="s">
        <v>176</v>
      </c>
      <c r="AP145" s="222" t="s">
        <v>587</v>
      </c>
      <c r="AQ145" s="225" t="s">
        <v>225</v>
      </c>
      <c r="AR145" s="225" t="s">
        <v>2026</v>
      </c>
      <c r="AS145" s="241" t="s">
        <v>266</v>
      </c>
      <c r="AT145" s="226">
        <v>476069938</v>
      </c>
      <c r="AU145" s="225" t="s">
        <v>176</v>
      </c>
      <c r="AV145" s="241" t="s">
        <v>188</v>
      </c>
      <c r="AW145" s="223">
        <v>44457</v>
      </c>
      <c r="AX145" s="225" t="s">
        <v>4113</v>
      </c>
      <c r="AY145" s="242">
        <v>1980</v>
      </c>
      <c r="AZ145" s="225" t="s">
        <v>1880</v>
      </c>
      <c r="BA145" s="225" t="s">
        <v>380</v>
      </c>
      <c r="BB145" s="225" t="s">
        <v>280</v>
      </c>
      <c r="BC145" s="225" t="s">
        <v>2474</v>
      </c>
      <c r="BD145" s="242">
        <v>35</v>
      </c>
      <c r="BE145" s="242">
        <v>5.9</v>
      </c>
      <c r="BF145" s="242">
        <v>80.2</v>
      </c>
      <c r="BG145" s="242">
        <v>0.09</v>
      </c>
      <c r="BH145" s="225" t="s">
        <v>1882</v>
      </c>
      <c r="BI145" s="225"/>
      <c r="BJ145" s="242">
        <f>460+250+96.84+89+2590</f>
        <v>3485.84</v>
      </c>
      <c r="BK145" s="225"/>
      <c r="BL145" s="225"/>
      <c r="BM145" s="225"/>
      <c r="BN145" s="242">
        <f>540+300</f>
        <v>840</v>
      </c>
      <c r="BO145" s="242">
        <f t="shared" si="12"/>
        <v>4325.84</v>
      </c>
      <c r="BP145" s="242">
        <f t="shared" si="13"/>
        <v>237.9212</v>
      </c>
      <c r="BQ145" s="242">
        <f t="shared" si="14"/>
        <v>4563.7611999999999</v>
      </c>
      <c r="BR145" s="230">
        <v>4468.8100000000004</v>
      </c>
      <c r="BS145" s="225" t="s">
        <v>188</v>
      </c>
      <c r="BT145" s="225"/>
      <c r="BU145" s="225"/>
      <c r="BV145" s="301" t="s">
        <v>2325</v>
      </c>
      <c r="BW145" s="301" t="s">
        <v>214</v>
      </c>
      <c r="BX145" s="301" t="s">
        <v>620</v>
      </c>
      <c r="BY145" s="301">
        <v>2021</v>
      </c>
    </row>
    <row r="146" spans="1:77" ht="13.5" customHeight="1">
      <c r="A146" s="64">
        <f t="shared" si="15"/>
        <v>2021</v>
      </c>
      <c r="B146" s="64">
        <f t="shared" si="16"/>
        <v>4</v>
      </c>
      <c r="C146" s="125" t="s">
        <v>191</v>
      </c>
      <c r="D146" s="168" t="str">
        <f t="shared" si="17"/>
        <v>non maj</v>
      </c>
      <c r="E146" s="292" t="s">
        <v>670</v>
      </c>
      <c r="F146" s="292" t="s">
        <v>1382</v>
      </c>
      <c r="G146" s="221">
        <v>600</v>
      </c>
      <c r="H146" s="222">
        <v>44270</v>
      </c>
      <c r="I146" s="222">
        <v>44287</v>
      </c>
      <c r="J146" s="223" t="s">
        <v>176</v>
      </c>
      <c r="K146" s="222" t="s">
        <v>176</v>
      </c>
      <c r="L146" s="223">
        <v>44287</v>
      </c>
      <c r="M146" s="223">
        <v>44287</v>
      </c>
      <c r="N146" s="223">
        <v>44292</v>
      </c>
      <c r="O146" s="222"/>
      <c r="P146" s="222">
        <v>44349</v>
      </c>
      <c r="Q146" s="222">
        <v>44336</v>
      </c>
      <c r="R146" s="222" t="s">
        <v>176</v>
      </c>
      <c r="S146" s="222">
        <v>44351</v>
      </c>
      <c r="T146" s="222">
        <v>44351</v>
      </c>
      <c r="U146" s="222">
        <v>44378</v>
      </c>
      <c r="V146" s="224"/>
      <c r="W146" s="222"/>
      <c r="X146" s="225"/>
      <c r="Y146" s="225"/>
      <c r="Z146" s="225"/>
      <c r="AA146" s="225">
        <v>2</v>
      </c>
      <c r="AB146" s="225">
        <v>169573</v>
      </c>
      <c r="AC146" s="225">
        <v>25</v>
      </c>
      <c r="AD146" s="225" t="s">
        <v>2475</v>
      </c>
      <c r="AE146" s="225">
        <v>38430</v>
      </c>
      <c r="AF146" s="225" t="s">
        <v>1893</v>
      </c>
      <c r="AG146" s="226">
        <v>607848815</v>
      </c>
      <c r="AH146" s="246" t="s">
        <v>2476</v>
      </c>
      <c r="AI146" s="225" t="s">
        <v>1168</v>
      </c>
      <c r="AJ146" s="225"/>
      <c r="AK146" s="225"/>
      <c r="AL146" s="225" t="s">
        <v>176</v>
      </c>
      <c r="AM146" s="225" t="s">
        <v>176</v>
      </c>
      <c r="AN146" s="225" t="s">
        <v>176</v>
      </c>
      <c r="AO146" s="225" t="s">
        <v>176</v>
      </c>
      <c r="AP146" s="225" t="s">
        <v>759</v>
      </c>
      <c r="AQ146" s="225" t="s">
        <v>2477</v>
      </c>
      <c r="AR146" s="225" t="s">
        <v>2478</v>
      </c>
      <c r="AS146" s="241" t="s">
        <v>2479</v>
      </c>
      <c r="AT146" s="226">
        <v>476911347</v>
      </c>
      <c r="AU146" s="225" t="s">
        <v>176</v>
      </c>
      <c r="AV146" s="241" t="s">
        <v>188</v>
      </c>
      <c r="AW146" s="223">
        <v>44340</v>
      </c>
      <c r="AX146" s="225" t="s">
        <v>4113</v>
      </c>
      <c r="AY146" s="225">
        <v>1985</v>
      </c>
      <c r="AZ146" s="225" t="s">
        <v>1880</v>
      </c>
      <c r="BA146" s="225" t="s">
        <v>380</v>
      </c>
      <c r="BB146" s="225" t="s">
        <v>799</v>
      </c>
      <c r="BC146" s="225" t="s">
        <v>2480</v>
      </c>
      <c r="BD146" s="225">
        <v>25</v>
      </c>
      <c r="BE146" s="225">
        <v>7</v>
      </c>
      <c r="BF146" s="225">
        <v>80</v>
      </c>
      <c r="BG146" s="225">
        <v>7.0000000000000007E-2</v>
      </c>
      <c r="BH146" s="225" t="s">
        <v>1899</v>
      </c>
      <c r="BI146" s="225"/>
      <c r="BJ146" s="225">
        <f>2351+55+310+80+580</f>
        <v>3376</v>
      </c>
      <c r="BK146" s="225"/>
      <c r="BL146" s="225"/>
      <c r="BM146" s="225"/>
      <c r="BN146" s="225">
        <f>650+370+240</f>
        <v>1260</v>
      </c>
      <c r="BO146" s="225">
        <f t="shared" si="12"/>
        <v>4636</v>
      </c>
      <c r="BP146" s="230">
        <f t="shared" si="13"/>
        <v>254.98</v>
      </c>
      <c r="BQ146" s="230">
        <f t="shared" si="14"/>
        <v>4890.9799999999996</v>
      </c>
      <c r="BR146" s="230">
        <v>5080.88</v>
      </c>
      <c r="BS146" s="225" t="s">
        <v>188</v>
      </c>
      <c r="BT146" s="225"/>
      <c r="BU146" s="225"/>
      <c r="BV146" s="301" t="s">
        <v>2325</v>
      </c>
      <c r="BW146" s="301" t="s">
        <v>214</v>
      </c>
      <c r="BX146" s="301" t="s">
        <v>620</v>
      </c>
      <c r="BY146" s="301">
        <v>2021</v>
      </c>
    </row>
    <row r="147" spans="1:77" s="12" customFormat="1" ht="13.5" customHeight="1">
      <c r="A147" s="64">
        <f t="shared" si="15"/>
        <v>2021</v>
      </c>
      <c r="B147" s="64">
        <f t="shared" si="16"/>
        <v>4</v>
      </c>
      <c r="C147" s="125" t="s">
        <v>191</v>
      </c>
      <c r="D147" s="168" t="str">
        <f t="shared" si="17"/>
        <v>non maj</v>
      </c>
      <c r="E147" s="292" t="s">
        <v>670</v>
      </c>
      <c r="F147" s="292" t="s">
        <v>1383</v>
      </c>
      <c r="G147" s="221">
        <v>600</v>
      </c>
      <c r="H147" s="222">
        <v>44271</v>
      </c>
      <c r="I147" s="222">
        <v>44287</v>
      </c>
      <c r="J147" s="223" t="s">
        <v>176</v>
      </c>
      <c r="K147" s="222" t="s">
        <v>176</v>
      </c>
      <c r="L147" s="223">
        <v>44287</v>
      </c>
      <c r="M147" s="223">
        <v>44287</v>
      </c>
      <c r="N147" s="223">
        <v>44292</v>
      </c>
      <c r="O147" s="222"/>
      <c r="P147" s="222">
        <v>44538</v>
      </c>
      <c r="Q147" s="222">
        <v>44497</v>
      </c>
      <c r="R147" s="222" t="s">
        <v>176</v>
      </c>
      <c r="S147" s="222">
        <v>44539</v>
      </c>
      <c r="T147" s="222">
        <v>44539</v>
      </c>
      <c r="U147" s="222">
        <v>44540</v>
      </c>
      <c r="V147" s="224"/>
      <c r="W147" s="222"/>
      <c r="X147" s="225"/>
      <c r="Y147" s="225"/>
      <c r="Z147" s="225"/>
      <c r="AA147" s="225">
        <v>4</v>
      </c>
      <c r="AB147" s="225">
        <v>52078</v>
      </c>
      <c r="AC147" s="225">
        <v>139</v>
      </c>
      <c r="AD147" s="225" t="s">
        <v>2481</v>
      </c>
      <c r="AE147" s="225">
        <v>38500</v>
      </c>
      <c r="AF147" s="225" t="s">
        <v>271</v>
      </c>
      <c r="AG147" s="226">
        <v>658482292</v>
      </c>
      <c r="AH147" s="246" t="s">
        <v>2482</v>
      </c>
      <c r="AI147" s="225" t="s">
        <v>1168</v>
      </c>
      <c r="AJ147" s="225"/>
      <c r="AK147" s="225"/>
      <c r="AL147" s="225" t="s">
        <v>176</v>
      </c>
      <c r="AM147" s="225" t="s">
        <v>176</v>
      </c>
      <c r="AN147" s="225" t="s">
        <v>176</v>
      </c>
      <c r="AO147" s="225" t="s">
        <v>176</v>
      </c>
      <c r="AP147" s="225" t="s">
        <v>769</v>
      </c>
      <c r="AQ147" s="225" t="s">
        <v>2117</v>
      </c>
      <c r="AR147" s="225" t="s">
        <v>2118</v>
      </c>
      <c r="AS147" s="241" t="s">
        <v>598</v>
      </c>
      <c r="AT147" s="226">
        <v>437039915</v>
      </c>
      <c r="AU147" s="225" t="s">
        <v>176</v>
      </c>
      <c r="AV147" s="241" t="s">
        <v>188</v>
      </c>
      <c r="AW147" s="223">
        <v>44432</v>
      </c>
      <c r="AX147" s="225" t="s">
        <v>1880</v>
      </c>
      <c r="AY147" s="225" t="s">
        <v>1935</v>
      </c>
      <c r="AZ147" s="225" t="s">
        <v>1181</v>
      </c>
      <c r="BA147" s="225" t="s">
        <v>267</v>
      </c>
      <c r="BB147" s="225" t="s">
        <v>2483</v>
      </c>
      <c r="BC147" s="270" t="s">
        <v>2484</v>
      </c>
      <c r="BD147" s="270">
        <v>11</v>
      </c>
      <c r="BE147" s="270">
        <v>15.4</v>
      </c>
      <c r="BF147" s="270">
        <v>93.8</v>
      </c>
      <c r="BG147" s="270">
        <v>8.8000000000000003E-4</v>
      </c>
      <c r="BH147" s="225" t="s">
        <v>1882</v>
      </c>
      <c r="BI147" s="225"/>
      <c r="BJ147" s="230">
        <f>10230.11+1073.06+150+345+991.47+50+851+389.62+46.58+337.18+13+37.99+25.3+155.25</f>
        <v>14695.56</v>
      </c>
      <c r="BK147" s="225"/>
      <c r="BL147" s="225"/>
      <c r="BM147" s="225"/>
      <c r="BN147" s="230">
        <f>2053.45+527.85+633.42+211.14</f>
        <v>3425.8599999999997</v>
      </c>
      <c r="BO147" s="230">
        <f t="shared" si="12"/>
        <v>18121.419999999998</v>
      </c>
      <c r="BP147" s="230">
        <f t="shared" si="13"/>
        <v>996.67809999999986</v>
      </c>
      <c r="BQ147" s="230">
        <f t="shared" si="14"/>
        <v>19118.098099999999</v>
      </c>
      <c r="BR147" s="230">
        <v>17957.599999999999</v>
      </c>
      <c r="BS147" s="225" t="s">
        <v>188</v>
      </c>
      <c r="BT147" s="225"/>
      <c r="BU147" s="225"/>
      <c r="BV147" s="301" t="s">
        <v>2325</v>
      </c>
      <c r="BW147" s="301" t="s">
        <v>214</v>
      </c>
      <c r="BX147" s="301" t="s">
        <v>620</v>
      </c>
      <c r="BY147" s="301" t="s">
        <v>176</v>
      </c>
    </row>
    <row r="148" spans="1:77" s="12" customFormat="1" ht="13.5" customHeight="1">
      <c r="A148" s="64">
        <f t="shared" si="15"/>
        <v>2021</v>
      </c>
      <c r="B148" s="64">
        <f t="shared" si="16"/>
        <v>4</v>
      </c>
      <c r="C148" s="125" t="s">
        <v>191</v>
      </c>
      <c r="D148" s="168" t="str">
        <f t="shared" si="17"/>
        <v>non maj</v>
      </c>
      <c r="E148" s="292" t="s">
        <v>670</v>
      </c>
      <c r="F148" s="292" t="s">
        <v>1384</v>
      </c>
      <c r="G148" s="221">
        <v>600</v>
      </c>
      <c r="H148" s="222">
        <v>44271</v>
      </c>
      <c r="I148" s="222">
        <v>44287</v>
      </c>
      <c r="J148" s="223" t="s">
        <v>176</v>
      </c>
      <c r="K148" s="222" t="s">
        <v>176</v>
      </c>
      <c r="L148" s="223">
        <v>44287</v>
      </c>
      <c r="M148" s="223">
        <v>44287</v>
      </c>
      <c r="N148" s="223">
        <v>44292</v>
      </c>
      <c r="O148" s="222"/>
      <c r="P148" s="222">
        <v>44368</v>
      </c>
      <c r="Q148" s="222">
        <v>44336</v>
      </c>
      <c r="R148" s="222" t="s">
        <v>176</v>
      </c>
      <c r="S148" s="222">
        <v>44372</v>
      </c>
      <c r="T148" s="222">
        <v>44372</v>
      </c>
      <c r="U148" s="222">
        <v>44389</v>
      </c>
      <c r="V148" s="224"/>
      <c r="W148" s="222"/>
      <c r="X148" s="225"/>
      <c r="Y148" s="225"/>
      <c r="Z148" s="225"/>
      <c r="AA148" s="225">
        <v>4</v>
      </c>
      <c r="AB148" s="225">
        <v>78228</v>
      </c>
      <c r="AC148" s="225">
        <v>337</v>
      </c>
      <c r="AD148" s="225" t="s">
        <v>2485</v>
      </c>
      <c r="AE148" s="225">
        <v>38850</v>
      </c>
      <c r="AF148" s="225" t="s">
        <v>1951</v>
      </c>
      <c r="AG148" s="226">
        <v>476353822</v>
      </c>
      <c r="AH148" s="295" t="s">
        <v>2486</v>
      </c>
      <c r="AI148" s="225" t="s">
        <v>1168</v>
      </c>
      <c r="AJ148" s="225"/>
      <c r="AK148" s="225"/>
      <c r="AL148" s="225" t="s">
        <v>176</v>
      </c>
      <c r="AM148" s="225" t="s">
        <v>176</v>
      </c>
      <c r="AN148" s="225" t="s">
        <v>176</v>
      </c>
      <c r="AO148" s="225" t="s">
        <v>176</v>
      </c>
      <c r="AP148" s="225" t="s">
        <v>1888</v>
      </c>
      <c r="AQ148" s="225" t="s">
        <v>225</v>
      </c>
      <c r="AR148" s="225" t="s">
        <v>1889</v>
      </c>
      <c r="AS148" s="295" t="s">
        <v>269</v>
      </c>
      <c r="AT148" s="226" t="s">
        <v>600</v>
      </c>
      <c r="AU148" s="225" t="s">
        <v>176</v>
      </c>
      <c r="AV148" s="251" t="s">
        <v>188</v>
      </c>
      <c r="AW148" s="223">
        <v>44503</v>
      </c>
      <c r="AX148" s="225" t="s">
        <v>4113</v>
      </c>
      <c r="AY148" s="225">
        <v>2001</v>
      </c>
      <c r="AZ148" s="225" t="s">
        <v>1880</v>
      </c>
      <c r="BA148" s="225" t="s">
        <v>380</v>
      </c>
      <c r="BB148" s="225" t="s">
        <v>1936</v>
      </c>
      <c r="BC148" s="225" t="s">
        <v>2187</v>
      </c>
      <c r="BD148" s="225">
        <v>22</v>
      </c>
      <c r="BE148" s="225">
        <v>7</v>
      </c>
      <c r="BF148" s="225">
        <v>80</v>
      </c>
      <c r="BG148" s="225">
        <v>0.08</v>
      </c>
      <c r="BH148" s="225" t="s">
        <v>1882</v>
      </c>
      <c r="BI148" s="225"/>
      <c r="BJ148" s="225">
        <f>2905.14+291+98+85+88+60+45+90+47+22+68+10</f>
        <v>3809.14</v>
      </c>
      <c r="BK148" s="225"/>
      <c r="BL148" s="225"/>
      <c r="BM148" s="225"/>
      <c r="BN148" s="225">
        <f>50+420</f>
        <v>470</v>
      </c>
      <c r="BO148" s="225">
        <f t="shared" si="12"/>
        <v>4279.1399999999994</v>
      </c>
      <c r="BP148" s="230">
        <f t="shared" si="13"/>
        <v>235.35269999999997</v>
      </c>
      <c r="BQ148" s="230">
        <f t="shared" si="14"/>
        <v>4514.4926999999998</v>
      </c>
      <c r="BR148" s="230">
        <v>3902.59</v>
      </c>
      <c r="BS148" s="225" t="s">
        <v>188</v>
      </c>
      <c r="BT148" s="225"/>
      <c r="BU148" s="225"/>
      <c r="BV148" s="225" t="s">
        <v>2325</v>
      </c>
      <c r="BW148" s="301" t="s">
        <v>214</v>
      </c>
      <c r="BX148" s="301" t="s">
        <v>620</v>
      </c>
      <c r="BY148" s="225">
        <v>2021</v>
      </c>
    </row>
    <row r="149" spans="1:77" s="12" customFormat="1" ht="13.5" customHeight="1">
      <c r="A149" s="64">
        <f t="shared" si="15"/>
        <v>2021</v>
      </c>
      <c r="B149" s="64">
        <f t="shared" si="16"/>
        <v>4</v>
      </c>
      <c r="C149" s="125" t="s">
        <v>191</v>
      </c>
      <c r="D149" s="168" t="str">
        <f t="shared" si="17"/>
        <v>maj</v>
      </c>
      <c r="E149" s="292" t="s">
        <v>670</v>
      </c>
      <c r="F149" s="292" t="s">
        <v>1385</v>
      </c>
      <c r="G149" s="221">
        <v>1000</v>
      </c>
      <c r="H149" s="222">
        <v>44278</v>
      </c>
      <c r="I149" s="222">
        <v>44287</v>
      </c>
      <c r="J149" s="223">
        <v>44287</v>
      </c>
      <c r="K149" s="222" t="s">
        <v>2487</v>
      </c>
      <c r="L149" s="223">
        <v>44293</v>
      </c>
      <c r="M149" s="223">
        <v>44293</v>
      </c>
      <c r="N149" s="223">
        <v>44295</v>
      </c>
      <c r="O149" s="222"/>
      <c r="P149" s="222">
        <v>44425</v>
      </c>
      <c r="Q149" s="222">
        <v>44408</v>
      </c>
      <c r="R149" s="222" t="s">
        <v>176</v>
      </c>
      <c r="S149" s="222">
        <v>44426</v>
      </c>
      <c r="T149" s="222">
        <v>44426</v>
      </c>
      <c r="U149" s="222">
        <v>44462</v>
      </c>
      <c r="V149" s="224"/>
      <c r="W149" s="222"/>
      <c r="X149" s="225"/>
      <c r="Y149" s="225"/>
      <c r="Z149" s="225"/>
      <c r="AA149" s="225">
        <v>2</v>
      </c>
      <c r="AB149" s="225">
        <v>25956</v>
      </c>
      <c r="AC149" s="225">
        <v>80</v>
      </c>
      <c r="AD149" s="225" t="s">
        <v>2488</v>
      </c>
      <c r="AE149" s="225">
        <v>38730</v>
      </c>
      <c r="AF149" s="225" t="s">
        <v>1916</v>
      </c>
      <c r="AG149" s="226">
        <v>675092556</v>
      </c>
      <c r="AH149" s="246" t="s">
        <v>2489</v>
      </c>
      <c r="AI149" s="225" t="s">
        <v>1168</v>
      </c>
      <c r="AJ149" s="225"/>
      <c r="AK149" s="225"/>
      <c r="AL149" s="225" t="s">
        <v>176</v>
      </c>
      <c r="AM149" s="225" t="s">
        <v>176</v>
      </c>
      <c r="AN149" s="225" t="s">
        <v>176</v>
      </c>
      <c r="AO149" s="225" t="s">
        <v>176</v>
      </c>
      <c r="AP149" s="222" t="s">
        <v>818</v>
      </c>
      <c r="AQ149" s="225" t="s">
        <v>225</v>
      </c>
      <c r="AR149" s="225" t="s">
        <v>1973</v>
      </c>
      <c r="AS149" s="241" t="s">
        <v>1974</v>
      </c>
      <c r="AT149" s="226">
        <v>476323235</v>
      </c>
      <c r="AU149" s="225" t="s">
        <v>176</v>
      </c>
      <c r="AV149" s="241" t="s">
        <v>188</v>
      </c>
      <c r="AW149" s="223">
        <v>44429</v>
      </c>
      <c r="AX149" s="225" t="s">
        <v>4113</v>
      </c>
      <c r="AY149" s="225">
        <v>1990</v>
      </c>
      <c r="AZ149" s="225" t="s">
        <v>1880</v>
      </c>
      <c r="BA149" s="225" t="s">
        <v>380</v>
      </c>
      <c r="BB149" s="225" t="s">
        <v>256</v>
      </c>
      <c r="BC149" s="225" t="s">
        <v>389</v>
      </c>
      <c r="BD149" s="225">
        <v>12</v>
      </c>
      <c r="BE149" s="225">
        <v>9.1999999999999993</v>
      </c>
      <c r="BF149" s="225">
        <v>77</v>
      </c>
      <c r="BG149" s="225">
        <v>0.04</v>
      </c>
      <c r="BH149" s="225" t="s">
        <v>1882</v>
      </c>
      <c r="BI149" s="225"/>
      <c r="BJ149" s="225">
        <f>720+265+2350+80+90+41+43+58+30+110+60</f>
        <v>3847</v>
      </c>
      <c r="BK149" s="225"/>
      <c r="BL149" s="225"/>
      <c r="BM149" s="225"/>
      <c r="BN149" s="225">
        <f>48+430+40+75+360</f>
        <v>953</v>
      </c>
      <c r="BO149" s="225">
        <f t="shared" si="12"/>
        <v>4800</v>
      </c>
      <c r="BP149" s="230">
        <f t="shared" si="13"/>
        <v>264</v>
      </c>
      <c r="BQ149" s="230">
        <f t="shared" si="14"/>
        <v>5064</v>
      </c>
      <c r="BR149" s="230">
        <v>4732.8500000000004</v>
      </c>
      <c r="BS149" s="225" t="s">
        <v>191</v>
      </c>
      <c r="BT149" s="225"/>
      <c r="BU149" s="225"/>
      <c r="BV149" s="301" t="s">
        <v>2325</v>
      </c>
      <c r="BW149" s="301" t="s">
        <v>214</v>
      </c>
      <c r="BX149" s="222" t="s">
        <v>618</v>
      </c>
      <c r="BY149" s="301">
        <v>2021</v>
      </c>
    </row>
    <row r="150" spans="1:77" s="12" customFormat="1" ht="13.5" customHeight="1">
      <c r="A150" s="64">
        <f t="shared" si="15"/>
        <v>2021</v>
      </c>
      <c r="B150" s="64">
        <f t="shared" si="16"/>
        <v>4</v>
      </c>
      <c r="C150" s="125" t="s">
        <v>191</v>
      </c>
      <c r="D150" s="168" t="str">
        <f t="shared" si="17"/>
        <v>non maj</v>
      </c>
      <c r="E150" s="232" t="s">
        <v>670</v>
      </c>
      <c r="F150" s="232" t="s">
        <v>1386</v>
      </c>
      <c r="G150" s="221">
        <v>600</v>
      </c>
      <c r="H150" s="222">
        <v>44286</v>
      </c>
      <c r="I150" s="222">
        <v>44287</v>
      </c>
      <c r="J150" s="223">
        <v>44287</v>
      </c>
      <c r="K150" s="222" t="s">
        <v>2490</v>
      </c>
      <c r="L150" s="223">
        <v>44287</v>
      </c>
      <c r="M150" s="223">
        <v>44287</v>
      </c>
      <c r="N150" s="223">
        <v>44292</v>
      </c>
      <c r="O150" s="222"/>
      <c r="P150" s="222">
        <v>44627</v>
      </c>
      <c r="Q150" s="222">
        <v>44326</v>
      </c>
      <c r="R150" s="222" t="s">
        <v>2491</v>
      </c>
      <c r="S150" s="222">
        <v>44662</v>
      </c>
      <c r="T150" s="222">
        <v>44662</v>
      </c>
      <c r="U150" s="222">
        <v>44663</v>
      </c>
      <c r="V150" s="224"/>
      <c r="W150" s="222"/>
      <c r="X150" s="225"/>
      <c r="Y150" s="225"/>
      <c r="Z150" s="225"/>
      <c r="AA150" s="225">
        <v>4</v>
      </c>
      <c r="AB150" s="225">
        <v>42427</v>
      </c>
      <c r="AC150" s="225">
        <v>31</v>
      </c>
      <c r="AD150" s="225" t="s">
        <v>426</v>
      </c>
      <c r="AE150" s="225">
        <v>38500</v>
      </c>
      <c r="AF150" s="225" t="s">
        <v>1907</v>
      </c>
      <c r="AG150" s="226">
        <v>634093384</v>
      </c>
      <c r="AH150" s="246" t="s">
        <v>2492</v>
      </c>
      <c r="AI150" s="225" t="s">
        <v>1168</v>
      </c>
      <c r="AJ150" s="225"/>
      <c r="AK150" s="225"/>
      <c r="AL150" s="225" t="s">
        <v>176</v>
      </c>
      <c r="AM150" s="225" t="s">
        <v>176</v>
      </c>
      <c r="AN150" s="225" t="s">
        <v>176</v>
      </c>
      <c r="AO150" s="225" t="s">
        <v>176</v>
      </c>
      <c r="AP150" s="225" t="s">
        <v>832</v>
      </c>
      <c r="AQ150" s="225" t="s">
        <v>2493</v>
      </c>
      <c r="AR150" s="225" t="s">
        <v>2494</v>
      </c>
      <c r="AS150" s="241" t="s">
        <v>260</v>
      </c>
      <c r="AT150" s="226">
        <v>476554922</v>
      </c>
      <c r="AU150" s="225" t="s">
        <v>176</v>
      </c>
      <c r="AV150" s="241" t="s">
        <v>191</v>
      </c>
      <c r="AW150" s="223">
        <v>44362</v>
      </c>
      <c r="AX150" s="225" t="s">
        <v>4113</v>
      </c>
      <c r="AY150" s="225" t="s">
        <v>1935</v>
      </c>
      <c r="AZ150" s="225" t="s">
        <v>1880</v>
      </c>
      <c r="BA150" s="225" t="s">
        <v>380</v>
      </c>
      <c r="BB150" s="225" t="s">
        <v>431</v>
      </c>
      <c r="BC150" s="225" t="s">
        <v>2495</v>
      </c>
      <c r="BD150" s="225">
        <v>14</v>
      </c>
      <c r="BE150" s="225">
        <v>7</v>
      </c>
      <c r="BF150" s="225">
        <v>85.4</v>
      </c>
      <c r="BG150" s="225">
        <v>5.6000000000000001E-2</v>
      </c>
      <c r="BH150" s="225" t="s">
        <v>1899</v>
      </c>
      <c r="BI150" s="225"/>
      <c r="BJ150" s="225">
        <f>0.553+840+119.5+108.7+133.8+152.2+63.4+86.3+242.9+45.7+58.1+41.3+75.5+43.5+132.4+48+25+115+75+85+550+55.4+27.7+124.2+42.5+2762.6</f>
        <v>6054.2529999999997</v>
      </c>
      <c r="BK150" s="225"/>
      <c r="BL150" s="225"/>
      <c r="BM150" s="225"/>
      <c r="BN150" s="225">
        <v>3600</v>
      </c>
      <c r="BO150" s="225">
        <f t="shared" si="12"/>
        <v>9654.2530000000006</v>
      </c>
      <c r="BP150" s="230">
        <f t="shared" si="13"/>
        <v>530.98391500000002</v>
      </c>
      <c r="BQ150" s="230">
        <f t="shared" si="14"/>
        <v>10185.236915000001</v>
      </c>
      <c r="BR150" s="230">
        <v>9626.24</v>
      </c>
      <c r="BS150" s="225" t="s">
        <v>188</v>
      </c>
      <c r="BT150" s="225"/>
      <c r="BU150" s="225"/>
      <c r="BV150" s="301" t="s">
        <v>2325</v>
      </c>
      <c r="BW150" s="301" t="s">
        <v>214</v>
      </c>
      <c r="BX150" s="301" t="s">
        <v>620</v>
      </c>
      <c r="BY150" s="301">
        <v>2021</v>
      </c>
    </row>
    <row r="151" spans="1:77" s="12" customFormat="1" ht="13.5" customHeight="1">
      <c r="A151" s="64">
        <f t="shared" si="15"/>
        <v>2021</v>
      </c>
      <c r="B151" s="64">
        <f t="shared" si="16"/>
        <v>4</v>
      </c>
      <c r="C151" s="125" t="s">
        <v>191</v>
      </c>
      <c r="D151" s="168" t="str">
        <f t="shared" si="17"/>
        <v>non maj</v>
      </c>
      <c r="E151" s="292" t="s">
        <v>670</v>
      </c>
      <c r="F151" s="292" t="s">
        <v>1387</v>
      </c>
      <c r="G151" s="221">
        <v>600</v>
      </c>
      <c r="H151" s="222">
        <v>44286</v>
      </c>
      <c r="I151" s="222">
        <v>44287</v>
      </c>
      <c r="J151" s="223" t="s">
        <v>176</v>
      </c>
      <c r="K151" s="222" t="s">
        <v>176</v>
      </c>
      <c r="L151" s="223">
        <v>44287</v>
      </c>
      <c r="M151" s="223">
        <v>44287</v>
      </c>
      <c r="N151" s="223">
        <v>44292</v>
      </c>
      <c r="O151" s="222"/>
      <c r="P151" s="222">
        <v>44455</v>
      </c>
      <c r="Q151" s="222">
        <v>44286</v>
      </c>
      <c r="R151" s="222" t="s">
        <v>176</v>
      </c>
      <c r="S151" s="222">
        <v>44462</v>
      </c>
      <c r="T151" s="222">
        <v>44462</v>
      </c>
      <c r="U151" s="222">
        <v>44469</v>
      </c>
      <c r="V151" s="224"/>
      <c r="W151" s="222"/>
      <c r="X151" s="225"/>
      <c r="Y151" s="225"/>
      <c r="Z151" s="225"/>
      <c r="AA151" s="225">
        <v>4</v>
      </c>
      <c r="AB151" s="225">
        <v>56872</v>
      </c>
      <c r="AC151" s="225">
        <v>219</v>
      </c>
      <c r="AD151" s="225" t="s">
        <v>2496</v>
      </c>
      <c r="AE151" s="225">
        <v>38500</v>
      </c>
      <c r="AF151" s="225" t="s">
        <v>1907</v>
      </c>
      <c r="AG151" s="226">
        <v>631177259</v>
      </c>
      <c r="AH151" s="246" t="s">
        <v>2497</v>
      </c>
      <c r="AI151" s="225" t="s">
        <v>1168</v>
      </c>
      <c r="AJ151" s="225"/>
      <c r="AK151" s="225"/>
      <c r="AL151" s="225" t="s">
        <v>176</v>
      </c>
      <c r="AM151" s="225" t="s">
        <v>176</v>
      </c>
      <c r="AN151" s="225" t="s">
        <v>176</v>
      </c>
      <c r="AO151" s="225" t="s">
        <v>176</v>
      </c>
      <c r="AP151" s="225" t="s">
        <v>675</v>
      </c>
      <c r="AQ151" s="225" t="s">
        <v>225</v>
      </c>
      <c r="AR151" s="225" t="s">
        <v>1948</v>
      </c>
      <c r="AS151" s="241" t="s">
        <v>673</v>
      </c>
      <c r="AT151" s="226">
        <v>951096343</v>
      </c>
      <c r="AU151" s="225" t="s">
        <v>176</v>
      </c>
      <c r="AV151" s="241" t="s">
        <v>188</v>
      </c>
      <c r="AW151" s="223">
        <v>44433</v>
      </c>
      <c r="AX151" s="225" t="s">
        <v>1879</v>
      </c>
      <c r="AY151" s="225" t="s">
        <v>1935</v>
      </c>
      <c r="AZ151" s="225" t="s">
        <v>1880</v>
      </c>
      <c r="BA151" s="225" t="s">
        <v>267</v>
      </c>
      <c r="BB151" s="225" t="s">
        <v>229</v>
      </c>
      <c r="BC151" s="225" t="s">
        <v>783</v>
      </c>
      <c r="BD151" s="225">
        <v>20</v>
      </c>
      <c r="BE151" s="225">
        <v>8.3000000000000007</v>
      </c>
      <c r="BF151" s="225">
        <v>87</v>
      </c>
      <c r="BG151" s="225">
        <v>1.7999999999999999E-2</v>
      </c>
      <c r="BH151" s="225" t="s">
        <v>1899</v>
      </c>
      <c r="BI151" s="225"/>
      <c r="BJ151" s="225">
        <f>4990+250.44+271.35+324.5+269.9</f>
        <v>6106.19</v>
      </c>
      <c r="BK151" s="225"/>
      <c r="BL151" s="225"/>
      <c r="BM151" s="225"/>
      <c r="BN151" s="225">
        <v>360</v>
      </c>
      <c r="BO151" s="225">
        <f t="shared" si="12"/>
        <v>6466.19</v>
      </c>
      <c r="BP151" s="230">
        <f t="shared" si="13"/>
        <v>355.64044999999999</v>
      </c>
      <c r="BQ151" s="230">
        <f t="shared" si="14"/>
        <v>6821.8304499999995</v>
      </c>
      <c r="BR151" s="230">
        <v>6800</v>
      </c>
      <c r="BS151" s="225" t="s">
        <v>191</v>
      </c>
      <c r="BT151" s="225"/>
      <c r="BU151" s="225"/>
      <c r="BV151" s="301" t="s">
        <v>2325</v>
      </c>
      <c r="BW151" s="301" t="s">
        <v>214</v>
      </c>
      <c r="BX151" s="301" t="s">
        <v>620</v>
      </c>
      <c r="BY151" s="301" t="s">
        <v>176</v>
      </c>
    </row>
    <row r="152" spans="1:77" s="12" customFormat="1" ht="13.5" customHeight="1">
      <c r="A152" s="64">
        <f t="shared" si="15"/>
        <v>2021</v>
      </c>
      <c r="B152" s="64">
        <f t="shared" si="16"/>
        <v>4</v>
      </c>
      <c r="C152" s="125" t="s">
        <v>191</v>
      </c>
      <c r="D152" s="168" t="str">
        <f t="shared" si="17"/>
        <v>maj</v>
      </c>
      <c r="E152" s="292" t="s">
        <v>670</v>
      </c>
      <c r="F152" s="292" t="s">
        <v>1388</v>
      </c>
      <c r="G152" s="221">
        <v>1000</v>
      </c>
      <c r="H152" s="222">
        <v>44284</v>
      </c>
      <c r="I152" s="222">
        <v>44287</v>
      </c>
      <c r="J152" s="223">
        <v>44287</v>
      </c>
      <c r="K152" s="222" t="s">
        <v>2498</v>
      </c>
      <c r="L152" s="223">
        <v>44298</v>
      </c>
      <c r="M152" s="223">
        <v>44298</v>
      </c>
      <c r="N152" s="223">
        <v>44305</v>
      </c>
      <c r="O152" s="222"/>
      <c r="P152" s="222">
        <v>44421</v>
      </c>
      <c r="Q152" s="222">
        <v>44420</v>
      </c>
      <c r="R152" s="222" t="s">
        <v>176</v>
      </c>
      <c r="S152" s="222">
        <v>44424</v>
      </c>
      <c r="T152" s="222">
        <v>44424</v>
      </c>
      <c r="U152" s="222">
        <v>44461</v>
      </c>
      <c r="V152" s="224"/>
      <c r="W152" s="222"/>
      <c r="X152" s="225"/>
      <c r="Y152" s="225"/>
      <c r="Z152" s="225"/>
      <c r="AA152" s="225">
        <v>2</v>
      </c>
      <c r="AB152" s="225">
        <v>17732</v>
      </c>
      <c r="AC152" s="225">
        <v>15</v>
      </c>
      <c r="AD152" s="225" t="s">
        <v>2499</v>
      </c>
      <c r="AE152" s="225">
        <v>38500</v>
      </c>
      <c r="AF152" s="225" t="s">
        <v>225</v>
      </c>
      <c r="AG152" s="226">
        <v>688942089</v>
      </c>
      <c r="AH152" s="246" t="s">
        <v>2500</v>
      </c>
      <c r="AI152" s="225" t="s">
        <v>1168</v>
      </c>
      <c r="AJ152" s="225"/>
      <c r="AK152" s="225"/>
      <c r="AL152" s="225" t="s">
        <v>176</v>
      </c>
      <c r="AM152" s="225" t="s">
        <v>176</v>
      </c>
      <c r="AN152" s="225" t="s">
        <v>176</v>
      </c>
      <c r="AO152" s="225" t="s">
        <v>176</v>
      </c>
      <c r="AP152" s="225" t="s">
        <v>268</v>
      </c>
      <c r="AQ152" s="225" t="s">
        <v>1893</v>
      </c>
      <c r="AR152" s="225" t="s">
        <v>1933</v>
      </c>
      <c r="AS152" s="246" t="s">
        <v>1934</v>
      </c>
      <c r="AT152" s="226">
        <v>476355605</v>
      </c>
      <c r="AU152" s="225" t="s">
        <v>176</v>
      </c>
      <c r="AV152" s="241" t="s">
        <v>188</v>
      </c>
      <c r="AW152" s="223">
        <v>44495</v>
      </c>
      <c r="AX152" s="225" t="s">
        <v>4113</v>
      </c>
      <c r="AY152" s="225">
        <v>1990</v>
      </c>
      <c r="AZ152" s="225" t="s">
        <v>1880</v>
      </c>
      <c r="BA152" s="225" t="s">
        <v>380</v>
      </c>
      <c r="BB152" s="225" t="s">
        <v>2007</v>
      </c>
      <c r="BC152" s="225" t="s">
        <v>2501</v>
      </c>
      <c r="BD152" s="225">
        <v>8</v>
      </c>
      <c r="BE152" s="225">
        <v>5.0999999999999996</v>
      </c>
      <c r="BF152" s="225">
        <v>82</v>
      </c>
      <c r="BG152" s="225">
        <v>0.09</v>
      </c>
      <c r="BH152" s="225" t="s">
        <v>1882</v>
      </c>
      <c r="BI152" s="225"/>
      <c r="BJ152" s="225">
        <f>87.59+316.9+985.68+110.12+229.02+108.65+72.36+135.14+113.48+91.96+1874+198.25+44.8+108.83+33.54+218</f>
        <v>4728.32</v>
      </c>
      <c r="BK152" s="225"/>
      <c r="BL152" s="225"/>
      <c r="BM152" s="225"/>
      <c r="BN152" s="225">
        <f>609.8+525</f>
        <v>1134.8</v>
      </c>
      <c r="BO152" s="225">
        <f t="shared" si="12"/>
        <v>5863.12</v>
      </c>
      <c r="BP152" s="230">
        <f t="shared" si="13"/>
        <v>322.47160000000002</v>
      </c>
      <c r="BQ152" s="230">
        <f t="shared" si="14"/>
        <v>6185.5915999999997</v>
      </c>
      <c r="BR152" s="230">
        <v>6185.59</v>
      </c>
      <c r="BS152" s="225" t="s">
        <v>191</v>
      </c>
      <c r="BT152" s="225"/>
      <c r="BU152" s="225"/>
      <c r="BV152" s="301" t="s">
        <v>2325</v>
      </c>
      <c r="BW152" s="301" t="s">
        <v>214</v>
      </c>
      <c r="BX152" s="222" t="s">
        <v>618</v>
      </c>
      <c r="BY152" s="301">
        <v>2021</v>
      </c>
    </row>
    <row r="153" spans="1:77" s="13" customFormat="1" ht="13.5" customHeight="1">
      <c r="A153" s="64">
        <f t="shared" si="15"/>
        <v>2021</v>
      </c>
      <c r="B153" s="64">
        <f t="shared" si="16"/>
        <v>4</v>
      </c>
      <c r="C153" s="125" t="s">
        <v>191</v>
      </c>
      <c r="D153" s="168" t="str">
        <f t="shared" si="17"/>
        <v>non maj</v>
      </c>
      <c r="E153" s="292" t="s">
        <v>670</v>
      </c>
      <c r="F153" s="292" t="s">
        <v>1389</v>
      </c>
      <c r="G153" s="221">
        <v>600</v>
      </c>
      <c r="H153" s="222">
        <v>44288</v>
      </c>
      <c r="I153" s="222">
        <v>44292</v>
      </c>
      <c r="J153" s="223" t="s">
        <v>176</v>
      </c>
      <c r="K153" s="222" t="s">
        <v>176</v>
      </c>
      <c r="L153" s="223">
        <v>44293</v>
      </c>
      <c r="M153" s="223">
        <v>44293</v>
      </c>
      <c r="N153" s="223">
        <v>44295</v>
      </c>
      <c r="O153" s="222"/>
      <c r="P153" s="222">
        <v>44453</v>
      </c>
      <c r="Q153" s="222">
        <v>44446</v>
      </c>
      <c r="R153" s="222" t="s">
        <v>176</v>
      </c>
      <c r="S153" s="222">
        <v>44455</v>
      </c>
      <c r="T153" s="222">
        <v>44455</v>
      </c>
      <c r="U153" s="222">
        <v>44469</v>
      </c>
      <c r="V153" s="224"/>
      <c r="W153" s="222"/>
      <c r="X153" s="225"/>
      <c r="Y153" s="225"/>
      <c r="Z153" s="225"/>
      <c r="AA153" s="225">
        <v>3</v>
      </c>
      <c r="AB153" s="225">
        <v>44200</v>
      </c>
      <c r="AC153" s="225" t="s">
        <v>2502</v>
      </c>
      <c r="AD153" s="225" t="s">
        <v>2503</v>
      </c>
      <c r="AE153" s="225">
        <v>38140</v>
      </c>
      <c r="AF153" s="225" t="s">
        <v>1924</v>
      </c>
      <c r="AG153" s="226">
        <v>476915676</v>
      </c>
      <c r="AH153" s="246" t="s">
        <v>2504</v>
      </c>
      <c r="AI153" s="225" t="s">
        <v>1168</v>
      </c>
      <c r="AJ153" s="225"/>
      <c r="AK153" s="225"/>
      <c r="AL153" s="225" t="s">
        <v>176</v>
      </c>
      <c r="AM153" s="225" t="s">
        <v>176</v>
      </c>
      <c r="AN153" s="225" t="s">
        <v>176</v>
      </c>
      <c r="AO153" s="225" t="s">
        <v>176</v>
      </c>
      <c r="AP153" s="225" t="s">
        <v>2002</v>
      </c>
      <c r="AQ153" s="225" t="s">
        <v>1895</v>
      </c>
      <c r="AR153" s="225" t="s">
        <v>2003</v>
      </c>
      <c r="AS153" s="241" t="s">
        <v>245</v>
      </c>
      <c r="AT153" s="226">
        <v>476452433</v>
      </c>
      <c r="AU153" s="225" t="s">
        <v>176</v>
      </c>
      <c r="AV153" s="241" t="s">
        <v>188</v>
      </c>
      <c r="AW153" s="223">
        <v>44589</v>
      </c>
      <c r="AX153" s="225" t="s">
        <v>4113</v>
      </c>
      <c r="AY153" s="225">
        <v>1998</v>
      </c>
      <c r="AZ153" s="225" t="s">
        <v>1880</v>
      </c>
      <c r="BA153" s="225" t="s">
        <v>380</v>
      </c>
      <c r="BB153" s="225" t="s">
        <v>246</v>
      </c>
      <c r="BC153" s="225" t="s">
        <v>2505</v>
      </c>
      <c r="BD153" s="225">
        <v>15</v>
      </c>
      <c r="BE153" s="225">
        <v>7.9</v>
      </c>
      <c r="BF153" s="225">
        <v>81</v>
      </c>
      <c r="BG153" s="225">
        <v>0.08</v>
      </c>
      <c r="BH153" s="225" t="s">
        <v>1882</v>
      </c>
      <c r="BI153" s="225"/>
      <c r="BJ153" s="225">
        <f>7213.27+654.03+74.65+90.45+255+175.33+447.56</f>
        <v>8910.2899999999991</v>
      </c>
      <c r="BK153" s="225"/>
      <c r="BL153" s="225"/>
      <c r="BM153" s="225"/>
      <c r="BN153" s="225">
        <f>585+400</f>
        <v>985</v>
      </c>
      <c r="BO153" s="225">
        <f t="shared" si="12"/>
        <v>9895.2899999999991</v>
      </c>
      <c r="BP153" s="230">
        <f t="shared" si="13"/>
        <v>544.24095</v>
      </c>
      <c r="BQ153" s="230">
        <f t="shared" si="14"/>
        <v>10439.530949999998</v>
      </c>
      <c r="BR153" s="230">
        <v>10018.59</v>
      </c>
      <c r="BS153" s="225" t="s">
        <v>188</v>
      </c>
      <c r="BT153" s="225"/>
      <c r="BU153" s="225"/>
      <c r="BV153" s="301" t="s">
        <v>2325</v>
      </c>
      <c r="BW153" s="301" t="s">
        <v>214</v>
      </c>
      <c r="BX153" s="301" t="s">
        <v>620</v>
      </c>
      <c r="BY153" s="301">
        <v>2021</v>
      </c>
    </row>
    <row r="154" spans="1:77" s="12" customFormat="1" ht="13.5" customHeight="1">
      <c r="A154" s="64">
        <f t="shared" si="15"/>
        <v>2021</v>
      </c>
      <c r="B154" s="64">
        <f t="shared" si="16"/>
        <v>4</v>
      </c>
      <c r="C154" s="125" t="s">
        <v>191</v>
      </c>
      <c r="D154" s="168" t="str">
        <f t="shared" si="17"/>
        <v>maj</v>
      </c>
      <c r="E154" s="292" t="s">
        <v>670</v>
      </c>
      <c r="F154" s="292" t="s">
        <v>1390</v>
      </c>
      <c r="G154" s="221">
        <v>1000</v>
      </c>
      <c r="H154" s="222">
        <v>44288</v>
      </c>
      <c r="I154" s="222">
        <v>44292</v>
      </c>
      <c r="J154" s="223">
        <v>44293</v>
      </c>
      <c r="K154" s="222" t="s">
        <v>2506</v>
      </c>
      <c r="L154" s="223">
        <v>44298</v>
      </c>
      <c r="M154" s="223">
        <v>44298</v>
      </c>
      <c r="N154" s="223">
        <v>44305</v>
      </c>
      <c r="O154" s="222"/>
      <c r="P154" s="222">
        <v>44349</v>
      </c>
      <c r="Q154" s="222">
        <v>44341</v>
      </c>
      <c r="R154" s="222" t="s">
        <v>897</v>
      </c>
      <c r="S154" s="222">
        <v>44355</v>
      </c>
      <c r="T154" s="222">
        <v>44355</v>
      </c>
      <c r="U154" s="222">
        <v>44378</v>
      </c>
      <c r="V154" s="224"/>
      <c r="W154" s="222"/>
      <c r="X154" s="225"/>
      <c r="Y154" s="225"/>
      <c r="Z154" s="225"/>
      <c r="AA154" s="225">
        <v>3</v>
      </c>
      <c r="AB154" s="225">
        <v>14789</v>
      </c>
      <c r="AC154" s="225">
        <v>75</v>
      </c>
      <c r="AD154" s="225" t="s">
        <v>2507</v>
      </c>
      <c r="AE154" s="225">
        <v>38850</v>
      </c>
      <c r="AF154" s="225" t="s">
        <v>2151</v>
      </c>
      <c r="AG154" s="226">
        <v>622182443</v>
      </c>
      <c r="AH154" s="246" t="s">
        <v>2508</v>
      </c>
      <c r="AI154" s="225" t="s">
        <v>1168</v>
      </c>
      <c r="AJ154" s="225"/>
      <c r="AK154" s="225"/>
      <c r="AL154" s="225" t="s">
        <v>176</v>
      </c>
      <c r="AM154" s="225" t="s">
        <v>176</v>
      </c>
      <c r="AN154" s="225" t="s">
        <v>176</v>
      </c>
      <c r="AO154" s="225" t="s">
        <v>176</v>
      </c>
      <c r="AP154" s="225" t="s">
        <v>585</v>
      </c>
      <c r="AQ154" s="225" t="s">
        <v>227</v>
      </c>
      <c r="AR154" s="225" t="s">
        <v>2509</v>
      </c>
      <c r="AS154" s="241" t="s">
        <v>228</v>
      </c>
      <c r="AT154" s="226">
        <v>618630529</v>
      </c>
      <c r="AU154" s="225" t="s">
        <v>176</v>
      </c>
      <c r="AV154" s="241" t="s">
        <v>188</v>
      </c>
      <c r="AW154" s="223">
        <v>44514</v>
      </c>
      <c r="AX154" s="225" t="s">
        <v>1880</v>
      </c>
      <c r="AY154" s="225">
        <v>1998</v>
      </c>
      <c r="AZ154" s="225" t="s">
        <v>1880</v>
      </c>
      <c r="BA154" s="225" t="s">
        <v>267</v>
      </c>
      <c r="BB154" s="225" t="s">
        <v>229</v>
      </c>
      <c r="BC154" s="225" t="s">
        <v>783</v>
      </c>
      <c r="BD154" s="225">
        <v>20</v>
      </c>
      <c r="BE154" s="225">
        <v>8.3000000000000007</v>
      </c>
      <c r="BF154" s="225">
        <v>87</v>
      </c>
      <c r="BG154" s="225">
        <v>1.7999999999999999E-2</v>
      </c>
      <c r="BH154" s="225" t="s">
        <v>1899</v>
      </c>
      <c r="BI154" s="225"/>
      <c r="BJ154" s="225">
        <f>4390+15+70+200+75+65+250+30</f>
        <v>5095</v>
      </c>
      <c r="BK154" s="225"/>
      <c r="BL154" s="225"/>
      <c r="BM154" s="225"/>
      <c r="BN154" s="225">
        <v>570</v>
      </c>
      <c r="BO154" s="225">
        <f t="shared" si="12"/>
        <v>5665</v>
      </c>
      <c r="BP154" s="230">
        <f t="shared" si="13"/>
        <v>311.57499999999999</v>
      </c>
      <c r="BQ154" s="230">
        <f t="shared" si="14"/>
        <v>5976.5749999999998</v>
      </c>
      <c r="BR154" s="230">
        <v>5276.06</v>
      </c>
      <c r="BS154" s="225" t="s">
        <v>191</v>
      </c>
      <c r="BT154" s="225"/>
      <c r="BU154" s="225"/>
      <c r="BV154" s="301" t="s">
        <v>2325</v>
      </c>
      <c r="BW154" s="301" t="s">
        <v>214</v>
      </c>
      <c r="BX154" s="222" t="s">
        <v>618</v>
      </c>
      <c r="BY154" s="301" t="s">
        <v>176</v>
      </c>
    </row>
    <row r="155" spans="1:77" s="12" customFormat="1" ht="13.5" customHeight="1">
      <c r="A155" s="64">
        <f t="shared" si="15"/>
        <v>2021</v>
      </c>
      <c r="B155" s="64">
        <f t="shared" si="16"/>
        <v>4</v>
      </c>
      <c r="C155" s="125" t="s">
        <v>191</v>
      </c>
      <c r="D155" s="168" t="str">
        <f t="shared" si="17"/>
        <v>non maj</v>
      </c>
      <c r="E155" s="292" t="s">
        <v>670</v>
      </c>
      <c r="F155" s="292" t="s">
        <v>1391</v>
      </c>
      <c r="G155" s="221">
        <v>600</v>
      </c>
      <c r="H155" s="222">
        <v>44294</v>
      </c>
      <c r="I155" s="222">
        <v>44298</v>
      </c>
      <c r="J155" s="223" t="s">
        <v>176</v>
      </c>
      <c r="K155" s="222" t="s">
        <v>176</v>
      </c>
      <c r="L155" s="223">
        <v>44298</v>
      </c>
      <c r="M155" s="223">
        <v>44298</v>
      </c>
      <c r="N155" s="223">
        <v>44305</v>
      </c>
      <c r="O155" s="222"/>
      <c r="P155" s="222">
        <v>44519</v>
      </c>
      <c r="Q155" s="222">
        <v>44468</v>
      </c>
      <c r="R155" s="222" t="s">
        <v>176</v>
      </c>
      <c r="S155" s="222">
        <v>44525</v>
      </c>
      <c r="T155" s="222">
        <v>44525</v>
      </c>
      <c r="U155" s="222">
        <v>44539</v>
      </c>
      <c r="V155" s="224"/>
      <c r="W155" s="222"/>
      <c r="X155" s="225"/>
      <c r="Y155" s="225"/>
      <c r="Z155" s="225"/>
      <c r="AA155" s="225">
        <v>4</v>
      </c>
      <c r="AB155" s="225">
        <v>46984</v>
      </c>
      <c r="AC155" s="225">
        <v>116</v>
      </c>
      <c r="AD155" s="225" t="s">
        <v>2510</v>
      </c>
      <c r="AE155" s="225">
        <v>38500</v>
      </c>
      <c r="AF155" s="225" t="s">
        <v>1907</v>
      </c>
      <c r="AG155" s="226">
        <v>645255437</v>
      </c>
      <c r="AH155" s="246" t="s">
        <v>2511</v>
      </c>
      <c r="AI155" s="225" t="s">
        <v>1168</v>
      </c>
      <c r="AJ155" s="225"/>
      <c r="AK155" s="225"/>
      <c r="AL155" s="225" t="s">
        <v>176</v>
      </c>
      <c r="AM155" s="225" t="s">
        <v>176</v>
      </c>
      <c r="AN155" s="225" t="s">
        <v>176</v>
      </c>
      <c r="AO155" s="225" t="s">
        <v>176</v>
      </c>
      <c r="AP155" s="225" t="s">
        <v>675</v>
      </c>
      <c r="AQ155" s="225" t="s">
        <v>225</v>
      </c>
      <c r="AR155" s="225" t="s">
        <v>1948</v>
      </c>
      <c r="AS155" s="241" t="s">
        <v>673</v>
      </c>
      <c r="AT155" s="226">
        <v>951096343</v>
      </c>
      <c r="AU155" s="225" t="s">
        <v>176</v>
      </c>
      <c r="AV155" s="241" t="s">
        <v>188</v>
      </c>
      <c r="AW155" s="223">
        <v>44433</v>
      </c>
      <c r="AX155" s="225" t="s">
        <v>4113</v>
      </c>
      <c r="AY155" s="225">
        <v>2000</v>
      </c>
      <c r="AZ155" s="225" t="s">
        <v>1880</v>
      </c>
      <c r="BA155" s="225" t="s">
        <v>267</v>
      </c>
      <c r="BB155" s="225" t="s">
        <v>229</v>
      </c>
      <c r="BC155" s="225" t="s">
        <v>783</v>
      </c>
      <c r="BD155" s="225">
        <v>20</v>
      </c>
      <c r="BE155" s="225">
        <v>8.3000000000000007</v>
      </c>
      <c r="BF155" s="225">
        <v>87</v>
      </c>
      <c r="BG155" s="225">
        <v>1.7999999999999999E-2</v>
      </c>
      <c r="BH155" s="225" t="s">
        <v>1899</v>
      </c>
      <c r="BI155" s="225"/>
      <c r="BJ155" s="225">
        <f>4890+300.47+271.09+324.17+66.35+269.19</f>
        <v>6121.27</v>
      </c>
      <c r="BK155" s="225"/>
      <c r="BL155" s="225"/>
      <c r="BM155" s="225"/>
      <c r="BN155" s="225">
        <v>628.44000000000005</v>
      </c>
      <c r="BO155" s="225">
        <f t="shared" si="12"/>
        <v>6749.7100000000009</v>
      </c>
      <c r="BP155" s="230">
        <f t="shared" si="13"/>
        <v>371.23405000000008</v>
      </c>
      <c r="BQ155" s="230">
        <f t="shared" si="14"/>
        <v>7120.944050000001</v>
      </c>
      <c r="BR155" s="230">
        <v>7000</v>
      </c>
      <c r="BS155" s="225" t="s">
        <v>191</v>
      </c>
      <c r="BT155" s="225"/>
      <c r="BU155" s="225"/>
      <c r="BV155" s="301" t="s">
        <v>2325</v>
      </c>
      <c r="BW155" s="301" t="s">
        <v>214</v>
      </c>
      <c r="BX155" s="301" t="s">
        <v>620</v>
      </c>
      <c r="BY155" s="301" t="s">
        <v>176</v>
      </c>
    </row>
    <row r="156" spans="1:77" s="12" customFormat="1" ht="13.5" customHeight="1">
      <c r="A156" s="64">
        <f t="shared" si="15"/>
        <v>2021</v>
      </c>
      <c r="B156" s="64">
        <f t="shared" si="16"/>
        <v>4</v>
      </c>
      <c r="C156" s="125" t="s">
        <v>191</v>
      </c>
      <c r="D156" s="168" t="str">
        <f t="shared" si="17"/>
        <v>non maj</v>
      </c>
      <c r="E156" s="292" t="s">
        <v>670</v>
      </c>
      <c r="F156" s="292" t="s">
        <v>1392</v>
      </c>
      <c r="G156" s="221">
        <v>600</v>
      </c>
      <c r="H156" s="222">
        <v>44295</v>
      </c>
      <c r="I156" s="222">
        <v>44298</v>
      </c>
      <c r="J156" s="223" t="s">
        <v>176</v>
      </c>
      <c r="K156" s="222" t="s">
        <v>176</v>
      </c>
      <c r="L156" s="223">
        <v>44298</v>
      </c>
      <c r="M156" s="223">
        <v>44298</v>
      </c>
      <c r="N156" s="223">
        <v>44305</v>
      </c>
      <c r="O156" s="222"/>
      <c r="P156" s="222">
        <v>44441</v>
      </c>
      <c r="Q156" s="222">
        <v>44405</v>
      </c>
      <c r="R156" s="222" t="s">
        <v>176</v>
      </c>
      <c r="S156" s="222">
        <v>44442</v>
      </c>
      <c r="T156" s="222">
        <v>44442</v>
      </c>
      <c r="U156" s="222">
        <v>44469</v>
      </c>
      <c r="V156" s="224"/>
      <c r="W156" s="222"/>
      <c r="X156" s="225"/>
      <c r="Y156" s="225"/>
      <c r="Z156" s="225"/>
      <c r="AA156" s="225">
        <v>2</v>
      </c>
      <c r="AB156" s="225">
        <v>64816</v>
      </c>
      <c r="AC156" s="225">
        <v>57</v>
      </c>
      <c r="AD156" s="225" t="s">
        <v>2512</v>
      </c>
      <c r="AE156" s="225">
        <v>38500</v>
      </c>
      <c r="AF156" s="225" t="s">
        <v>2297</v>
      </c>
      <c r="AG156" s="226">
        <v>672083137</v>
      </c>
      <c r="AH156" s="246" t="s">
        <v>2513</v>
      </c>
      <c r="AI156" s="225" t="s">
        <v>1168</v>
      </c>
      <c r="AJ156" s="225"/>
      <c r="AK156" s="225"/>
      <c r="AL156" s="225" t="s">
        <v>176</v>
      </c>
      <c r="AM156" s="225" t="s">
        <v>176</v>
      </c>
      <c r="AN156" s="225" t="s">
        <v>176</v>
      </c>
      <c r="AO156" s="225" t="s">
        <v>176</v>
      </c>
      <c r="AP156" s="225" t="s">
        <v>805</v>
      </c>
      <c r="AQ156" s="225" t="s">
        <v>2432</v>
      </c>
      <c r="AR156" s="225" t="s">
        <v>1035</v>
      </c>
      <c r="AS156" s="241" t="s">
        <v>401</v>
      </c>
      <c r="AT156" s="226">
        <v>476441060</v>
      </c>
      <c r="AU156" s="225" t="s">
        <v>176</v>
      </c>
      <c r="AV156" s="241" t="s">
        <v>188</v>
      </c>
      <c r="AW156" s="223">
        <v>44398</v>
      </c>
      <c r="AX156" s="225" t="s">
        <v>4113</v>
      </c>
      <c r="AY156" s="225">
        <v>1993</v>
      </c>
      <c r="AZ156" s="225" t="s">
        <v>1880</v>
      </c>
      <c r="BA156" s="225" t="s">
        <v>380</v>
      </c>
      <c r="BB156" s="225" t="s">
        <v>219</v>
      </c>
      <c r="BC156" s="225" t="s">
        <v>2514</v>
      </c>
      <c r="BD156" s="225">
        <v>4</v>
      </c>
      <c r="BE156" s="225">
        <v>6.8</v>
      </c>
      <c r="BF156" s="225">
        <v>78</v>
      </c>
      <c r="BG156" s="225">
        <v>0.06</v>
      </c>
      <c r="BH156" s="225" t="s">
        <v>1882</v>
      </c>
      <c r="BI156" s="225"/>
      <c r="BJ156" s="225">
        <f>500.5+23+67+84+2772+295</f>
        <v>3741.5</v>
      </c>
      <c r="BK156" s="225"/>
      <c r="BL156" s="225"/>
      <c r="BM156" s="225"/>
      <c r="BN156" s="225">
        <v>680</v>
      </c>
      <c r="BO156" s="225">
        <f t="shared" si="12"/>
        <v>4421.5</v>
      </c>
      <c r="BP156" s="230">
        <f t="shared" si="13"/>
        <v>243.1825</v>
      </c>
      <c r="BQ156" s="230">
        <f t="shared" si="14"/>
        <v>4664.6824999999999</v>
      </c>
      <c r="BR156" s="230">
        <v>4000.03</v>
      </c>
      <c r="BS156" s="225" t="s">
        <v>191</v>
      </c>
      <c r="BT156" s="225"/>
      <c r="BU156" s="225"/>
      <c r="BV156" s="301" t="s">
        <v>2325</v>
      </c>
      <c r="BW156" s="301" t="s">
        <v>214</v>
      </c>
      <c r="BX156" s="301" t="s">
        <v>620</v>
      </c>
      <c r="BY156" s="301">
        <v>2021</v>
      </c>
    </row>
    <row r="157" spans="1:77" ht="13.5" customHeight="1">
      <c r="A157" s="64">
        <f t="shared" si="15"/>
        <v>2021</v>
      </c>
      <c r="B157" s="64">
        <f t="shared" si="16"/>
        <v>4</v>
      </c>
      <c r="C157" s="125" t="s">
        <v>191</v>
      </c>
      <c r="D157" s="168" t="str">
        <f t="shared" si="17"/>
        <v>maj</v>
      </c>
      <c r="E157" s="292" t="s">
        <v>670</v>
      </c>
      <c r="F157" s="292" t="s">
        <v>1393</v>
      </c>
      <c r="G157" s="221">
        <v>1000</v>
      </c>
      <c r="H157" s="222">
        <v>44299</v>
      </c>
      <c r="I157" s="222">
        <v>44301</v>
      </c>
      <c r="J157" s="223" t="s">
        <v>176</v>
      </c>
      <c r="K157" s="222" t="s">
        <v>176</v>
      </c>
      <c r="L157" s="223">
        <v>44301</v>
      </c>
      <c r="M157" s="223">
        <v>44301</v>
      </c>
      <c r="N157" s="223">
        <v>44307</v>
      </c>
      <c r="O157" s="222"/>
      <c r="P157" s="222">
        <v>44390</v>
      </c>
      <c r="Q157" s="222">
        <v>44389</v>
      </c>
      <c r="R157" s="222" t="s">
        <v>176</v>
      </c>
      <c r="S157" s="222">
        <v>44393</v>
      </c>
      <c r="T157" s="222">
        <v>44393</v>
      </c>
      <c r="U157" s="222">
        <v>44434</v>
      </c>
      <c r="V157" s="224"/>
      <c r="W157" s="222"/>
      <c r="X157" s="225"/>
      <c r="Y157" s="225"/>
      <c r="Z157" s="225"/>
      <c r="AA157" s="225">
        <v>1</v>
      </c>
      <c r="AB157" s="225">
        <v>14428</v>
      </c>
      <c r="AC157" s="225">
        <v>22</v>
      </c>
      <c r="AD157" s="225" t="s">
        <v>2515</v>
      </c>
      <c r="AE157" s="225">
        <v>38430</v>
      </c>
      <c r="AF157" s="225" t="s">
        <v>1893</v>
      </c>
      <c r="AG157" s="226">
        <v>476955063</v>
      </c>
      <c r="AH157" s="246" t="s">
        <v>2516</v>
      </c>
      <c r="AI157" s="225" t="s">
        <v>1168</v>
      </c>
      <c r="AJ157" s="225"/>
      <c r="AK157" s="225"/>
      <c r="AL157" s="225" t="s">
        <v>176</v>
      </c>
      <c r="AM157" s="225" t="s">
        <v>176</v>
      </c>
      <c r="AN157" s="225" t="s">
        <v>176</v>
      </c>
      <c r="AO157" s="225" t="s">
        <v>176</v>
      </c>
      <c r="AP157" s="225" t="s">
        <v>268</v>
      </c>
      <c r="AQ157" s="225" t="s">
        <v>1893</v>
      </c>
      <c r="AR157" s="225" t="s">
        <v>1933</v>
      </c>
      <c r="AS157" s="246" t="s">
        <v>1934</v>
      </c>
      <c r="AT157" s="226">
        <v>476355605</v>
      </c>
      <c r="AU157" s="225" t="s">
        <v>176</v>
      </c>
      <c r="AV157" s="241" t="s">
        <v>188</v>
      </c>
      <c r="AW157" s="223">
        <v>44495</v>
      </c>
      <c r="AX157" s="225" t="s">
        <v>4113</v>
      </c>
      <c r="AY157" s="225">
        <v>1990</v>
      </c>
      <c r="AZ157" s="225" t="s">
        <v>4113</v>
      </c>
      <c r="BA157" s="225" t="s">
        <v>380</v>
      </c>
      <c r="BB157" s="225" t="s">
        <v>1936</v>
      </c>
      <c r="BC157" s="225" t="s">
        <v>2240</v>
      </c>
      <c r="BD157" s="225">
        <v>26</v>
      </c>
      <c r="BE157" s="225">
        <v>8</v>
      </c>
      <c r="BF157" s="225">
        <v>81</v>
      </c>
      <c r="BG157" s="225">
        <v>7.0000000000000007E-2</v>
      </c>
      <c r="BH157" s="225" t="s">
        <v>1882</v>
      </c>
      <c r="BI157" s="225"/>
      <c r="BJ157" s="225">
        <f>360+24.5+41.4+94+365.75+1345+590.56+222+65.35+68.69</f>
        <v>3177.25</v>
      </c>
      <c r="BK157" s="225"/>
      <c r="BL157" s="225"/>
      <c r="BM157" s="225"/>
      <c r="BN157" s="225">
        <f>282.94+99.09+99.09+950</f>
        <v>1431.12</v>
      </c>
      <c r="BO157" s="225">
        <f t="shared" si="12"/>
        <v>4608.37</v>
      </c>
      <c r="BP157" s="230">
        <f t="shared" si="13"/>
        <v>253.46035000000001</v>
      </c>
      <c r="BQ157" s="230">
        <f t="shared" si="14"/>
        <v>4861.8303500000002</v>
      </c>
      <c r="BR157" s="230">
        <v>4861.83</v>
      </c>
      <c r="BS157" s="225" t="s">
        <v>188</v>
      </c>
      <c r="BT157" s="225"/>
      <c r="BU157" s="225"/>
      <c r="BV157" s="301" t="s">
        <v>2325</v>
      </c>
      <c r="BW157" s="301" t="s">
        <v>214</v>
      </c>
      <c r="BX157" s="222" t="s">
        <v>618</v>
      </c>
      <c r="BY157" s="301">
        <v>2021</v>
      </c>
    </row>
    <row r="158" spans="1:77" s="12" customFormat="1" ht="13.5" customHeight="1">
      <c r="A158" s="64">
        <f t="shared" si="15"/>
        <v>2021</v>
      </c>
      <c r="B158" s="64">
        <f t="shared" si="16"/>
        <v>4</v>
      </c>
      <c r="C158" s="125" t="s">
        <v>191</v>
      </c>
      <c r="D158" s="168" t="str">
        <f t="shared" si="17"/>
        <v>non maj</v>
      </c>
      <c r="E158" s="292" t="s">
        <v>670</v>
      </c>
      <c r="F158" s="292" t="s">
        <v>1394</v>
      </c>
      <c r="G158" s="221">
        <v>600</v>
      </c>
      <c r="H158" s="222">
        <v>44299</v>
      </c>
      <c r="I158" s="222">
        <v>44301</v>
      </c>
      <c r="J158" s="223">
        <v>44301</v>
      </c>
      <c r="K158" s="222" t="s">
        <v>2517</v>
      </c>
      <c r="L158" s="223">
        <v>44305</v>
      </c>
      <c r="M158" s="223">
        <v>44305</v>
      </c>
      <c r="N158" s="223">
        <v>44312</v>
      </c>
      <c r="O158" s="222"/>
      <c r="P158" s="222">
        <v>44495</v>
      </c>
      <c r="Q158" s="222">
        <v>44349</v>
      </c>
      <c r="R158" s="222" t="s">
        <v>176</v>
      </c>
      <c r="S158" s="222">
        <v>44497</v>
      </c>
      <c r="T158" s="222">
        <v>44497</v>
      </c>
      <c r="U158" s="222">
        <v>44498</v>
      </c>
      <c r="V158" s="224"/>
      <c r="W158" s="222"/>
      <c r="X158" s="225"/>
      <c r="Y158" s="225"/>
      <c r="Z158" s="225"/>
      <c r="AA158" s="225">
        <v>3</v>
      </c>
      <c r="AB158" s="225">
        <v>45309</v>
      </c>
      <c r="AC158" s="225" t="s">
        <v>2518</v>
      </c>
      <c r="AD158" s="225" t="s">
        <v>2519</v>
      </c>
      <c r="AE158" s="225">
        <v>38500</v>
      </c>
      <c r="AF158" s="225" t="s">
        <v>1907</v>
      </c>
      <c r="AG158" s="226">
        <v>645356996</v>
      </c>
      <c r="AH158" s="246" t="s">
        <v>2520</v>
      </c>
      <c r="AI158" s="225" t="s">
        <v>1168</v>
      </c>
      <c r="AJ158" s="225"/>
      <c r="AK158" s="225"/>
      <c r="AL158" s="225" t="s">
        <v>176</v>
      </c>
      <c r="AM158" s="225" t="s">
        <v>176</v>
      </c>
      <c r="AN158" s="225" t="s">
        <v>176</v>
      </c>
      <c r="AO158" s="225" t="s">
        <v>176</v>
      </c>
      <c r="AP158" s="225" t="s">
        <v>678</v>
      </c>
      <c r="AQ158" s="225" t="s">
        <v>2014</v>
      </c>
      <c r="AR158" s="225" t="s">
        <v>2015</v>
      </c>
      <c r="AS158" s="241" t="s">
        <v>274</v>
      </c>
      <c r="AT158" s="226">
        <v>437064566</v>
      </c>
      <c r="AU158" s="225" t="s">
        <v>176</v>
      </c>
      <c r="AV158" s="241" t="s">
        <v>188</v>
      </c>
      <c r="AW158" s="223">
        <v>44633</v>
      </c>
      <c r="AX158" s="225" t="s">
        <v>1879</v>
      </c>
      <c r="AY158" s="225">
        <v>1987</v>
      </c>
      <c r="AZ158" s="225" t="s">
        <v>1880</v>
      </c>
      <c r="BA158" s="225" t="s">
        <v>267</v>
      </c>
      <c r="BB158" s="225" t="s">
        <v>391</v>
      </c>
      <c r="BC158" s="225" t="s">
        <v>2521</v>
      </c>
      <c r="BD158" s="225">
        <v>12</v>
      </c>
      <c r="BE158" s="225">
        <v>10.5</v>
      </c>
      <c r="BF158" s="225">
        <v>87</v>
      </c>
      <c r="BG158" s="225">
        <v>0.01</v>
      </c>
      <c r="BH158" s="225" t="s">
        <v>1882</v>
      </c>
      <c r="BI158" s="225"/>
      <c r="BJ158" s="225">
        <f>146.44+85.75+110.28+144.54+79.12+60.66+145.92+48.44+80.33+6.59+27.73+58.92+31.64+131.88+38.57+70.34+21.1+22.86+2066.04</f>
        <v>3377.1499999999996</v>
      </c>
      <c r="BK158" s="225"/>
      <c r="BL158" s="225"/>
      <c r="BM158" s="225"/>
      <c r="BN158" s="225">
        <f>2.9+0.01+1568.19</f>
        <v>1571.1000000000001</v>
      </c>
      <c r="BO158" s="225">
        <f t="shared" si="12"/>
        <v>4948.25</v>
      </c>
      <c r="BP158" s="230">
        <f t="shared" si="13"/>
        <v>272.15375</v>
      </c>
      <c r="BQ158" s="230">
        <f t="shared" si="14"/>
        <v>5220.4037500000004</v>
      </c>
      <c r="BR158" s="230">
        <v>4761.08</v>
      </c>
      <c r="BS158" s="225" t="s">
        <v>191</v>
      </c>
      <c r="BT158" s="225"/>
      <c r="BU158" s="225"/>
      <c r="BV158" s="301" t="s">
        <v>2325</v>
      </c>
      <c r="BW158" s="301" t="s">
        <v>214</v>
      </c>
      <c r="BX158" s="301" t="s">
        <v>620</v>
      </c>
      <c r="BY158" s="301" t="s">
        <v>176</v>
      </c>
    </row>
    <row r="159" spans="1:77" s="12" customFormat="1" ht="13.5" customHeight="1">
      <c r="A159" s="64">
        <f t="shared" si="15"/>
        <v>2021</v>
      </c>
      <c r="B159" s="64">
        <f t="shared" si="16"/>
        <v>4</v>
      </c>
      <c r="C159" s="125" t="s">
        <v>191</v>
      </c>
      <c r="D159" s="168" t="str">
        <f t="shared" si="17"/>
        <v>non maj</v>
      </c>
      <c r="E159" s="292" t="s">
        <v>670</v>
      </c>
      <c r="F159" s="292" t="s">
        <v>1395</v>
      </c>
      <c r="G159" s="221">
        <v>600</v>
      </c>
      <c r="H159" s="222">
        <v>44302</v>
      </c>
      <c r="I159" s="222">
        <v>44305</v>
      </c>
      <c r="J159" s="223" t="s">
        <v>176</v>
      </c>
      <c r="K159" s="222" t="s">
        <v>176</v>
      </c>
      <c r="L159" s="223">
        <v>44305</v>
      </c>
      <c r="M159" s="223">
        <v>44305</v>
      </c>
      <c r="N159" s="223">
        <v>44312</v>
      </c>
      <c r="O159" s="222"/>
      <c r="P159" s="222">
        <v>44454</v>
      </c>
      <c r="Q159" s="222">
        <v>44401</v>
      </c>
      <c r="R159" s="222" t="s">
        <v>176</v>
      </c>
      <c r="S159" s="222">
        <v>44455</v>
      </c>
      <c r="T159" s="222">
        <v>44455</v>
      </c>
      <c r="U159" s="222">
        <v>44469</v>
      </c>
      <c r="V159" s="224"/>
      <c r="W159" s="222"/>
      <c r="X159" s="225"/>
      <c r="Y159" s="225"/>
      <c r="Z159" s="225"/>
      <c r="AA159" s="225">
        <v>3</v>
      </c>
      <c r="AB159" s="225">
        <v>84071</v>
      </c>
      <c r="AC159" s="225">
        <v>37</v>
      </c>
      <c r="AD159" s="225" t="s">
        <v>2522</v>
      </c>
      <c r="AE159" s="225">
        <v>38500</v>
      </c>
      <c r="AF159" s="225" t="s">
        <v>271</v>
      </c>
      <c r="AG159" s="226">
        <v>767605415</v>
      </c>
      <c r="AH159" s="246" t="s">
        <v>2523</v>
      </c>
      <c r="AI159" s="225" t="s">
        <v>1168</v>
      </c>
      <c r="AJ159" s="225"/>
      <c r="AK159" s="225"/>
      <c r="AL159" s="225" t="s">
        <v>176</v>
      </c>
      <c r="AM159" s="225" t="s">
        <v>176</v>
      </c>
      <c r="AN159" s="225" t="s">
        <v>176</v>
      </c>
      <c r="AO159" s="225" t="s">
        <v>176</v>
      </c>
      <c r="AP159" s="225" t="s">
        <v>675</v>
      </c>
      <c r="AQ159" s="225" t="s">
        <v>225</v>
      </c>
      <c r="AR159" s="225" t="s">
        <v>1948</v>
      </c>
      <c r="AS159" s="241" t="s">
        <v>673</v>
      </c>
      <c r="AT159" s="226">
        <v>951096343</v>
      </c>
      <c r="AU159" s="225" t="s">
        <v>176</v>
      </c>
      <c r="AV159" s="241" t="s">
        <v>188</v>
      </c>
      <c r="AW159" s="223">
        <v>44433</v>
      </c>
      <c r="AX159" s="225" t="s">
        <v>4113</v>
      </c>
      <c r="AY159" s="225">
        <v>1988</v>
      </c>
      <c r="AZ159" s="225" t="s">
        <v>1880</v>
      </c>
      <c r="BA159" s="225" t="s">
        <v>267</v>
      </c>
      <c r="BB159" s="225" t="s">
        <v>413</v>
      </c>
      <c r="BC159" s="225" t="s">
        <v>2524</v>
      </c>
      <c r="BD159" s="225">
        <v>10</v>
      </c>
      <c r="BE159" s="225">
        <v>11.3</v>
      </c>
      <c r="BF159" s="225">
        <v>90</v>
      </c>
      <c r="BG159" s="225">
        <v>0.01</v>
      </c>
      <c r="BH159" s="225" t="s">
        <v>1882</v>
      </c>
      <c r="BI159" s="225"/>
      <c r="BJ159" s="225">
        <f>5362.5+300.4+271.35+295</f>
        <v>6229.25</v>
      </c>
      <c r="BK159" s="225"/>
      <c r="BL159" s="225"/>
      <c r="BM159" s="225"/>
      <c r="BN159" s="225">
        <v>630</v>
      </c>
      <c r="BO159" s="225">
        <f t="shared" si="12"/>
        <v>6859.25</v>
      </c>
      <c r="BP159" s="230">
        <f t="shared" si="13"/>
        <v>377.25875000000002</v>
      </c>
      <c r="BQ159" s="230">
        <f t="shared" si="14"/>
        <v>7236.50875</v>
      </c>
      <c r="BR159" s="230">
        <v>6387.9</v>
      </c>
      <c r="BS159" s="225" t="s">
        <v>188</v>
      </c>
      <c r="BT159" s="225"/>
      <c r="BU159" s="225"/>
      <c r="BV159" s="301" t="s">
        <v>2325</v>
      </c>
      <c r="BW159" s="301" t="s">
        <v>214</v>
      </c>
      <c r="BX159" s="301" t="s">
        <v>620</v>
      </c>
      <c r="BY159" s="301" t="s">
        <v>176</v>
      </c>
    </row>
    <row r="160" spans="1:77" s="12" customFormat="1" ht="13.5" customHeight="1">
      <c r="A160" s="64">
        <f t="shared" si="15"/>
        <v>2021</v>
      </c>
      <c r="B160" s="64">
        <f t="shared" si="16"/>
        <v>4</v>
      </c>
      <c r="C160" s="125" t="s">
        <v>191</v>
      </c>
      <c r="D160" s="168" t="str">
        <f t="shared" si="17"/>
        <v>non maj</v>
      </c>
      <c r="E160" s="292" t="s">
        <v>670</v>
      </c>
      <c r="F160" s="292" t="s">
        <v>1396</v>
      </c>
      <c r="G160" s="221">
        <v>600</v>
      </c>
      <c r="H160" s="222">
        <v>44304</v>
      </c>
      <c r="I160" s="222">
        <v>44305</v>
      </c>
      <c r="J160" s="223">
        <v>44305</v>
      </c>
      <c r="K160" s="222" t="s">
        <v>2525</v>
      </c>
      <c r="L160" s="223">
        <v>44306</v>
      </c>
      <c r="M160" s="223">
        <v>44306</v>
      </c>
      <c r="N160" s="223">
        <v>44313</v>
      </c>
      <c r="O160" s="222"/>
      <c r="P160" s="222">
        <v>44446</v>
      </c>
      <c r="Q160" s="222">
        <v>44377</v>
      </c>
      <c r="R160" s="222" t="s">
        <v>176</v>
      </c>
      <c r="S160" s="222">
        <v>44455</v>
      </c>
      <c r="T160" s="222">
        <v>44455</v>
      </c>
      <c r="U160" s="222">
        <v>44469</v>
      </c>
      <c r="V160" s="224"/>
      <c r="W160" s="222"/>
      <c r="X160" s="225"/>
      <c r="Y160" s="225"/>
      <c r="Z160" s="225"/>
      <c r="AA160" s="225">
        <v>2</v>
      </c>
      <c r="AB160" s="225">
        <v>115583</v>
      </c>
      <c r="AC160" s="225">
        <v>42</v>
      </c>
      <c r="AD160" s="225" t="s">
        <v>2526</v>
      </c>
      <c r="AE160" s="225">
        <v>38500</v>
      </c>
      <c r="AF160" s="225" t="s">
        <v>225</v>
      </c>
      <c r="AG160" s="226">
        <v>630398972</v>
      </c>
      <c r="AH160" s="246" t="s">
        <v>2527</v>
      </c>
      <c r="AI160" s="225" t="s">
        <v>1168</v>
      </c>
      <c r="AJ160" s="225"/>
      <c r="AK160" s="225"/>
      <c r="AL160" s="225" t="s">
        <v>176</v>
      </c>
      <c r="AM160" s="225" t="s">
        <v>176</v>
      </c>
      <c r="AN160" s="225" t="s">
        <v>176</v>
      </c>
      <c r="AO160" s="225" t="s">
        <v>176</v>
      </c>
      <c r="AP160" s="222" t="s">
        <v>818</v>
      </c>
      <c r="AQ160" s="225" t="s">
        <v>225</v>
      </c>
      <c r="AR160" s="225" t="s">
        <v>1973</v>
      </c>
      <c r="AS160" s="241" t="s">
        <v>1974</v>
      </c>
      <c r="AT160" s="226">
        <v>476323235</v>
      </c>
      <c r="AU160" s="225" t="s">
        <v>176</v>
      </c>
      <c r="AV160" s="241" t="s">
        <v>188</v>
      </c>
      <c r="AW160" s="223">
        <v>44429</v>
      </c>
      <c r="AX160" s="225" t="s">
        <v>1879</v>
      </c>
      <c r="AY160" s="225">
        <v>1990</v>
      </c>
      <c r="AZ160" s="225" t="s">
        <v>1880</v>
      </c>
      <c r="BA160" s="225" t="s">
        <v>380</v>
      </c>
      <c r="BB160" s="225" t="s">
        <v>219</v>
      </c>
      <c r="BC160" s="225" t="s">
        <v>2514</v>
      </c>
      <c r="BD160" s="225">
        <v>4</v>
      </c>
      <c r="BE160" s="225">
        <v>6.8</v>
      </c>
      <c r="BF160" s="225">
        <v>78</v>
      </c>
      <c r="BG160" s="225">
        <v>0.06</v>
      </c>
      <c r="BH160" s="225" t="s">
        <v>1882</v>
      </c>
      <c r="BI160" s="225"/>
      <c r="BJ160" s="225">
        <f>570+160+2640+69+82+29+30+110</f>
        <v>3690</v>
      </c>
      <c r="BK160" s="225"/>
      <c r="BL160" s="225"/>
      <c r="BM160" s="225"/>
      <c r="BN160" s="225">
        <f>35+310+40+330+20</f>
        <v>735</v>
      </c>
      <c r="BO160" s="225">
        <f t="shared" si="12"/>
        <v>4425</v>
      </c>
      <c r="BP160" s="230">
        <f t="shared" si="13"/>
        <v>243.375</v>
      </c>
      <c r="BQ160" s="230">
        <f t="shared" si="14"/>
        <v>4668.375</v>
      </c>
      <c r="BR160" s="230">
        <v>4298.97</v>
      </c>
      <c r="BS160" s="225" t="s">
        <v>188</v>
      </c>
      <c r="BT160" s="225"/>
      <c r="BU160" s="225"/>
      <c r="BV160" s="301" t="s">
        <v>2325</v>
      </c>
      <c r="BW160" s="301" t="s">
        <v>214</v>
      </c>
      <c r="BX160" s="301" t="s">
        <v>620</v>
      </c>
      <c r="BY160" s="301">
        <v>2021</v>
      </c>
    </row>
    <row r="161" spans="1:77" s="12" customFormat="1" ht="13.5" customHeight="1">
      <c r="A161" s="64">
        <f t="shared" si="15"/>
        <v>2021</v>
      </c>
      <c r="B161" s="64">
        <f t="shared" si="16"/>
        <v>4</v>
      </c>
      <c r="C161" s="125" t="s">
        <v>191</v>
      </c>
      <c r="D161" s="168" t="str">
        <f t="shared" si="17"/>
        <v>non maj</v>
      </c>
      <c r="E161" s="292" t="s">
        <v>670</v>
      </c>
      <c r="F161" s="292" t="s">
        <v>1397</v>
      </c>
      <c r="G161" s="221">
        <v>600</v>
      </c>
      <c r="H161" s="222">
        <v>44305</v>
      </c>
      <c r="I161" s="222">
        <v>44305</v>
      </c>
      <c r="J161" s="223">
        <v>44305</v>
      </c>
      <c r="K161" s="222" t="s">
        <v>2528</v>
      </c>
      <c r="L161" s="223">
        <v>44306</v>
      </c>
      <c r="M161" s="223">
        <v>44306</v>
      </c>
      <c r="N161" s="223">
        <v>44313</v>
      </c>
      <c r="O161" s="222"/>
      <c r="P161" s="222">
        <v>44377</v>
      </c>
      <c r="Q161" s="222">
        <v>44356</v>
      </c>
      <c r="R161" s="222" t="s">
        <v>176</v>
      </c>
      <c r="S161" s="222">
        <v>44383</v>
      </c>
      <c r="T161" s="222">
        <v>44383</v>
      </c>
      <c r="U161" s="222">
        <v>44389</v>
      </c>
      <c r="V161" s="224"/>
      <c r="W161" s="222"/>
      <c r="X161" s="225"/>
      <c r="Y161" s="225"/>
      <c r="Z161" s="225"/>
      <c r="AA161" s="225">
        <v>2</v>
      </c>
      <c r="AB161" s="225">
        <v>133121</v>
      </c>
      <c r="AC161" s="225">
        <v>976</v>
      </c>
      <c r="AD161" s="225" t="s">
        <v>2529</v>
      </c>
      <c r="AE161" s="225">
        <v>38500</v>
      </c>
      <c r="AF161" s="225" t="s">
        <v>1907</v>
      </c>
      <c r="AG161" s="226">
        <v>622733959</v>
      </c>
      <c r="AH161" s="246" t="s">
        <v>2530</v>
      </c>
      <c r="AI161" s="225" t="s">
        <v>1168</v>
      </c>
      <c r="AJ161" s="225"/>
      <c r="AK161" s="225"/>
      <c r="AL161" s="225" t="s">
        <v>176</v>
      </c>
      <c r="AM161" s="225" t="s">
        <v>176</v>
      </c>
      <c r="AN161" s="225" t="s">
        <v>176</v>
      </c>
      <c r="AO161" s="225" t="s">
        <v>176</v>
      </c>
      <c r="AP161" s="225" t="s">
        <v>2052</v>
      </c>
      <c r="AQ161" s="225" t="s">
        <v>232</v>
      </c>
      <c r="AR161" s="225" t="s">
        <v>233</v>
      </c>
      <c r="AS161" s="241" t="s">
        <v>234</v>
      </c>
      <c r="AT161" s="226">
        <v>476500550</v>
      </c>
      <c r="AU161" s="225" t="s">
        <v>176</v>
      </c>
      <c r="AV161" s="241" t="s">
        <v>188</v>
      </c>
      <c r="AW161" s="223">
        <v>44375</v>
      </c>
      <c r="AX161" s="225" t="s">
        <v>1879</v>
      </c>
      <c r="AY161" s="225">
        <v>1990</v>
      </c>
      <c r="AZ161" s="225" t="s">
        <v>1880</v>
      </c>
      <c r="BA161" s="225" t="s">
        <v>380</v>
      </c>
      <c r="BB161" s="225" t="s">
        <v>235</v>
      </c>
      <c r="BC161" s="225">
        <v>760</v>
      </c>
      <c r="BD161" s="225">
        <v>40</v>
      </c>
      <c r="BE161" s="225">
        <v>12</v>
      </c>
      <c r="BF161" s="225">
        <v>80</v>
      </c>
      <c r="BG161" s="225">
        <v>0.06</v>
      </c>
      <c r="BH161" s="225" t="s">
        <v>1882</v>
      </c>
      <c r="BI161" s="225"/>
      <c r="BJ161" s="225">
        <f>845.79+1995+182.53+44.15+88.73</f>
        <v>3156.2000000000003</v>
      </c>
      <c r="BK161" s="225"/>
      <c r="BL161" s="225"/>
      <c r="BM161" s="225"/>
      <c r="BN161" s="225">
        <v>1346.17</v>
      </c>
      <c r="BO161" s="225">
        <f t="shared" si="12"/>
        <v>4502.3700000000008</v>
      </c>
      <c r="BP161" s="230">
        <f t="shared" si="13"/>
        <v>247.63035000000005</v>
      </c>
      <c r="BQ161" s="230">
        <f t="shared" si="14"/>
        <v>4750.0003500000012</v>
      </c>
      <c r="BR161" s="230">
        <v>4750</v>
      </c>
      <c r="BS161" s="225" t="s">
        <v>188</v>
      </c>
      <c r="BT161" s="225"/>
      <c r="BU161" s="225"/>
      <c r="BV161" s="301" t="s">
        <v>2325</v>
      </c>
      <c r="BW161" s="301" t="s">
        <v>214</v>
      </c>
      <c r="BX161" s="301" t="s">
        <v>620</v>
      </c>
      <c r="BY161" s="301">
        <v>2021</v>
      </c>
    </row>
    <row r="162" spans="1:77" s="12" customFormat="1" ht="13.5" customHeight="1">
      <c r="A162" s="64">
        <f t="shared" si="15"/>
        <v>2021</v>
      </c>
      <c r="B162" s="64">
        <f t="shared" si="16"/>
        <v>5</v>
      </c>
      <c r="C162" s="125" t="s">
        <v>191</v>
      </c>
      <c r="D162" s="168" t="str">
        <f t="shared" si="17"/>
        <v>non maj</v>
      </c>
      <c r="E162" s="292" t="s">
        <v>670</v>
      </c>
      <c r="F162" s="292" t="s">
        <v>1398</v>
      </c>
      <c r="G162" s="221">
        <v>600</v>
      </c>
      <c r="H162" s="222">
        <v>44306</v>
      </c>
      <c r="I162" s="222">
        <v>44308</v>
      </c>
      <c r="J162" s="223">
        <v>44308</v>
      </c>
      <c r="K162" s="222" t="s">
        <v>2531</v>
      </c>
      <c r="L162" s="223">
        <v>44317</v>
      </c>
      <c r="M162" s="223">
        <v>44317</v>
      </c>
      <c r="N162" s="223">
        <v>44319</v>
      </c>
      <c r="O162" s="222"/>
      <c r="P162" s="222">
        <v>44379</v>
      </c>
      <c r="Q162" s="222">
        <v>44373</v>
      </c>
      <c r="R162" s="222" t="s">
        <v>2532</v>
      </c>
      <c r="S162" s="222">
        <v>44426</v>
      </c>
      <c r="T162" s="222">
        <v>44426</v>
      </c>
      <c r="U162" s="222">
        <v>44461</v>
      </c>
      <c r="V162" s="224"/>
      <c r="W162" s="222" t="s">
        <v>176</v>
      </c>
      <c r="X162" s="225" t="s">
        <v>2533</v>
      </c>
      <c r="Y162" s="225"/>
      <c r="Z162" s="225"/>
      <c r="AA162" s="225">
        <v>3</v>
      </c>
      <c r="AB162" s="225">
        <v>48851</v>
      </c>
      <c r="AC162" s="225">
        <v>65</v>
      </c>
      <c r="AD162" s="225" t="s">
        <v>2534</v>
      </c>
      <c r="AE162" s="225">
        <v>38140</v>
      </c>
      <c r="AF162" s="225" t="s">
        <v>1946</v>
      </c>
      <c r="AG162" s="226">
        <v>682939237</v>
      </c>
      <c r="AH162" s="246" t="s">
        <v>2535</v>
      </c>
      <c r="AI162" s="225" t="s">
        <v>1168</v>
      </c>
      <c r="AJ162" s="225"/>
      <c r="AK162" s="225"/>
      <c r="AL162" s="225" t="s">
        <v>176</v>
      </c>
      <c r="AM162" s="225" t="s">
        <v>176</v>
      </c>
      <c r="AN162" s="225" t="s">
        <v>176</v>
      </c>
      <c r="AO162" s="225" t="s">
        <v>176</v>
      </c>
      <c r="AP162" s="225" t="s">
        <v>778</v>
      </c>
      <c r="AQ162" s="225" t="s">
        <v>1926</v>
      </c>
      <c r="AR162" s="225" t="s">
        <v>779</v>
      </c>
      <c r="AS162" s="241" t="s">
        <v>251</v>
      </c>
      <c r="AT162" s="226">
        <v>438021901</v>
      </c>
      <c r="AU162" s="225" t="s">
        <v>176</v>
      </c>
      <c r="AV162" s="241" t="s">
        <v>188</v>
      </c>
      <c r="AW162" s="223">
        <v>44641</v>
      </c>
      <c r="AX162" s="225" t="s">
        <v>4113</v>
      </c>
      <c r="AY162" s="225">
        <v>1994</v>
      </c>
      <c r="AZ162" s="225" t="s">
        <v>4113</v>
      </c>
      <c r="BA162" s="225" t="s">
        <v>380</v>
      </c>
      <c r="BB162" s="225" t="s">
        <v>2536</v>
      </c>
      <c r="BC162" s="225" t="s">
        <v>2537</v>
      </c>
      <c r="BD162" s="225">
        <v>30</v>
      </c>
      <c r="BE162" s="225">
        <v>14.1</v>
      </c>
      <c r="BF162" s="225">
        <v>80.2</v>
      </c>
      <c r="BG162" s="225">
        <v>0.09</v>
      </c>
      <c r="BH162" s="225" t="s">
        <v>1882</v>
      </c>
      <c r="BI162" s="225"/>
      <c r="BJ162" s="225">
        <f>3113+344+1434</f>
        <v>4891</v>
      </c>
      <c r="BK162" s="225"/>
      <c r="BL162" s="225"/>
      <c r="BM162" s="225"/>
      <c r="BN162" s="225">
        <v>891</v>
      </c>
      <c r="BO162" s="225">
        <f t="shared" si="12"/>
        <v>5782</v>
      </c>
      <c r="BP162" s="230">
        <f t="shared" si="13"/>
        <v>318.01</v>
      </c>
      <c r="BQ162" s="230">
        <f t="shared" si="14"/>
        <v>6100.01</v>
      </c>
      <c r="BR162" s="230">
        <v>6100</v>
      </c>
      <c r="BS162" s="225" t="s">
        <v>188</v>
      </c>
      <c r="BT162" s="225"/>
      <c r="BU162" s="225"/>
      <c r="BV162" s="301" t="s">
        <v>2325</v>
      </c>
      <c r="BW162" s="301" t="s">
        <v>214</v>
      </c>
      <c r="BX162" s="301" t="s">
        <v>620</v>
      </c>
      <c r="BY162" s="301"/>
    </row>
    <row r="163" spans="1:77" s="12" customFormat="1" ht="13.5" customHeight="1">
      <c r="A163" s="64">
        <f t="shared" si="15"/>
        <v>2021</v>
      </c>
      <c r="B163" s="64">
        <f t="shared" si="16"/>
        <v>4</v>
      </c>
      <c r="C163" s="125" t="s">
        <v>191</v>
      </c>
      <c r="D163" s="168" t="str">
        <f t="shared" si="17"/>
        <v>maj</v>
      </c>
      <c r="E163" s="292" t="s">
        <v>670</v>
      </c>
      <c r="F163" s="292" t="s">
        <v>1399</v>
      </c>
      <c r="G163" s="221">
        <v>1000</v>
      </c>
      <c r="H163" s="222">
        <v>44307</v>
      </c>
      <c r="I163" s="222">
        <v>44308</v>
      </c>
      <c r="J163" s="223">
        <v>44308</v>
      </c>
      <c r="K163" s="222" t="s">
        <v>2538</v>
      </c>
      <c r="L163" s="223">
        <v>44313</v>
      </c>
      <c r="M163" s="223">
        <v>44313</v>
      </c>
      <c r="N163" s="223">
        <v>44319</v>
      </c>
      <c r="O163" s="222"/>
      <c r="P163" s="222">
        <v>44467</v>
      </c>
      <c r="Q163" s="222">
        <v>44455</v>
      </c>
      <c r="R163" s="222" t="s">
        <v>176</v>
      </c>
      <c r="S163" s="222">
        <v>44469</v>
      </c>
      <c r="T163" s="222">
        <v>44469</v>
      </c>
      <c r="U163" s="222">
        <v>44469</v>
      </c>
      <c r="V163" s="224"/>
      <c r="W163" s="222"/>
      <c r="X163" s="225"/>
      <c r="Y163" s="225"/>
      <c r="Z163" s="225"/>
      <c r="AA163" s="225">
        <v>2</v>
      </c>
      <c r="AB163" s="225">
        <f>16891+7173</f>
        <v>24064</v>
      </c>
      <c r="AC163" s="225">
        <v>94</v>
      </c>
      <c r="AD163" s="225" t="s">
        <v>2539</v>
      </c>
      <c r="AE163" s="225">
        <v>38620</v>
      </c>
      <c r="AF163" s="225" t="s">
        <v>2540</v>
      </c>
      <c r="AG163" s="226">
        <v>624279382</v>
      </c>
      <c r="AH163" s="246" t="s">
        <v>2541</v>
      </c>
      <c r="AI163" s="225" t="s">
        <v>1168</v>
      </c>
      <c r="AJ163" s="225"/>
      <c r="AK163" s="225"/>
      <c r="AL163" s="225" t="s">
        <v>176</v>
      </c>
      <c r="AM163" s="225" t="s">
        <v>176</v>
      </c>
      <c r="AN163" s="225" t="s">
        <v>176</v>
      </c>
      <c r="AO163" s="225" t="s">
        <v>176</v>
      </c>
      <c r="AP163" s="225" t="s">
        <v>774</v>
      </c>
      <c r="AQ163" s="225" t="s">
        <v>387</v>
      </c>
      <c r="AR163" s="225" t="s">
        <v>1029</v>
      </c>
      <c r="AS163" s="241" t="s">
        <v>693</v>
      </c>
      <c r="AT163" s="226">
        <v>476221190</v>
      </c>
      <c r="AU163" s="225" t="s">
        <v>176</v>
      </c>
      <c r="AV163" s="241" t="s">
        <v>188</v>
      </c>
      <c r="AW163" s="223">
        <v>44349</v>
      </c>
      <c r="AX163" s="225" t="s">
        <v>1880</v>
      </c>
      <c r="AY163" s="225" t="s">
        <v>1935</v>
      </c>
      <c r="AZ163" s="225" t="s">
        <v>1880</v>
      </c>
      <c r="BA163" s="225" t="s">
        <v>380</v>
      </c>
      <c r="BB163" s="225" t="s">
        <v>2542</v>
      </c>
      <c r="BC163" s="225" t="s">
        <v>2543</v>
      </c>
      <c r="BD163" s="225">
        <v>27</v>
      </c>
      <c r="BE163" s="225">
        <v>13</v>
      </c>
      <c r="BF163" s="225">
        <v>81.599999999999994</v>
      </c>
      <c r="BG163" s="225">
        <v>0.12</v>
      </c>
      <c r="BH163" s="225" t="s">
        <v>1882</v>
      </c>
      <c r="BI163" s="225"/>
      <c r="BJ163" s="225">
        <f>1879.02+400</f>
        <v>2279.02</v>
      </c>
      <c r="BK163" s="225"/>
      <c r="BL163" s="225"/>
      <c r="BM163" s="225"/>
      <c r="BN163" s="225">
        <f>55+400.5</f>
        <v>455.5</v>
      </c>
      <c r="BO163" s="225">
        <f t="shared" si="12"/>
        <v>2734.52</v>
      </c>
      <c r="BP163" s="230">
        <f t="shared" si="13"/>
        <v>150.39859999999999</v>
      </c>
      <c r="BQ163" s="230">
        <f t="shared" si="14"/>
        <v>2884.9186</v>
      </c>
      <c r="BR163" s="230">
        <v>2884.92</v>
      </c>
      <c r="BS163" s="225" t="s">
        <v>188</v>
      </c>
      <c r="BT163" s="225"/>
      <c r="BU163" s="225"/>
      <c r="BV163" s="301" t="s">
        <v>2325</v>
      </c>
      <c r="BW163" s="301" t="s">
        <v>214</v>
      </c>
      <c r="BX163" s="222" t="s">
        <v>618</v>
      </c>
      <c r="BY163" s="301">
        <v>2021</v>
      </c>
    </row>
    <row r="164" spans="1:77" s="12" customFormat="1" ht="13.5" customHeight="1">
      <c r="A164" s="64" t="e">
        <f t="shared" si="15"/>
        <v>#VALUE!</v>
      </c>
      <c r="B164" s="64" t="e">
        <f t="shared" si="16"/>
        <v>#VALUE!</v>
      </c>
      <c r="C164" s="125" t="s">
        <v>188</v>
      </c>
      <c r="D164" s="168" t="str">
        <f t="shared" si="17"/>
        <v>NC</v>
      </c>
      <c r="E164" s="291" t="s">
        <v>670</v>
      </c>
      <c r="F164" s="291" t="s">
        <v>1400</v>
      </c>
      <c r="G164" s="221" t="s">
        <v>176</v>
      </c>
      <c r="H164" s="222">
        <v>44307</v>
      </c>
      <c r="I164" s="222">
        <v>44308</v>
      </c>
      <c r="J164" s="223" t="s">
        <v>176</v>
      </c>
      <c r="K164" s="222" t="s">
        <v>176</v>
      </c>
      <c r="L164" s="223" t="s">
        <v>176</v>
      </c>
      <c r="M164" s="223" t="s">
        <v>176</v>
      </c>
      <c r="N164" s="223" t="s">
        <v>176</v>
      </c>
      <c r="O164" s="222"/>
      <c r="P164" s="222" t="s">
        <v>176</v>
      </c>
      <c r="Q164" s="222" t="s">
        <v>176</v>
      </c>
      <c r="R164" s="222" t="s">
        <v>176</v>
      </c>
      <c r="S164" s="222" t="s">
        <v>176</v>
      </c>
      <c r="T164" s="222" t="s">
        <v>176</v>
      </c>
      <c r="U164" s="222" t="s">
        <v>176</v>
      </c>
      <c r="V164" s="224"/>
      <c r="W164" s="222">
        <v>44308</v>
      </c>
      <c r="X164" s="225" t="s">
        <v>2396</v>
      </c>
      <c r="Y164" s="225"/>
      <c r="Z164" s="225"/>
      <c r="AA164" s="225">
        <v>2</v>
      </c>
      <c r="AB164" s="225">
        <v>29717</v>
      </c>
      <c r="AC164" s="225">
        <v>740</v>
      </c>
      <c r="AD164" s="225" t="s">
        <v>2544</v>
      </c>
      <c r="AE164" s="225">
        <v>38210</v>
      </c>
      <c r="AF164" s="225" t="s">
        <v>265</v>
      </c>
      <c r="AG164" s="226">
        <v>668005367</v>
      </c>
      <c r="AH164" s="246" t="s">
        <v>176</v>
      </c>
      <c r="AI164" s="225" t="s">
        <v>1168</v>
      </c>
      <c r="AJ164" s="225"/>
      <c r="AK164" s="225"/>
      <c r="AL164" s="225" t="s">
        <v>176</v>
      </c>
      <c r="AM164" s="225" t="s">
        <v>176</v>
      </c>
      <c r="AN164" s="225" t="s">
        <v>176</v>
      </c>
      <c r="AO164" s="225" t="s">
        <v>176</v>
      </c>
      <c r="AP164" s="225" t="s">
        <v>947</v>
      </c>
      <c r="AQ164" s="225" t="s">
        <v>2545</v>
      </c>
      <c r="AR164" s="225" t="s">
        <v>903</v>
      </c>
      <c r="AS164" s="241" t="s">
        <v>2546</v>
      </c>
      <c r="AT164" s="226">
        <v>676354364</v>
      </c>
      <c r="AU164" s="225" t="s">
        <v>176</v>
      </c>
      <c r="AV164" s="241" t="s">
        <v>191</v>
      </c>
      <c r="AW164" s="223">
        <v>44495</v>
      </c>
      <c r="AX164" s="225" t="s">
        <v>4113</v>
      </c>
      <c r="AY164" s="225">
        <v>2006</v>
      </c>
      <c r="AZ164" s="225" t="s">
        <v>1880</v>
      </c>
      <c r="BA164" s="225" t="s">
        <v>267</v>
      </c>
      <c r="BB164" s="225" t="s">
        <v>2547</v>
      </c>
      <c r="BC164" s="225" t="s">
        <v>2548</v>
      </c>
      <c r="BD164" s="225" t="s">
        <v>176</v>
      </c>
      <c r="BE164" s="225" t="s">
        <v>176</v>
      </c>
      <c r="BF164" s="225" t="s">
        <v>176</v>
      </c>
      <c r="BG164" s="225" t="s">
        <v>176</v>
      </c>
      <c r="BH164" s="225" t="s">
        <v>191</v>
      </c>
      <c r="BI164" s="225"/>
      <c r="BJ164" s="225">
        <f>2090+189.27+218.22+227.8</f>
        <v>2725.29</v>
      </c>
      <c r="BK164" s="225"/>
      <c r="BL164" s="225"/>
      <c r="BM164" s="225"/>
      <c r="BN164" s="225">
        <v>500</v>
      </c>
      <c r="BO164" s="225">
        <f t="shared" si="12"/>
        <v>3225.29</v>
      </c>
      <c r="BP164" s="230">
        <f t="shared" si="13"/>
        <v>177.39095</v>
      </c>
      <c r="BQ164" s="230">
        <f t="shared" si="14"/>
        <v>3402.6809499999999</v>
      </c>
      <c r="BR164" s="230"/>
      <c r="BS164" s="225"/>
      <c r="BT164" s="225"/>
      <c r="BU164" s="225"/>
      <c r="BV164" s="301">
        <v>0</v>
      </c>
      <c r="BW164" s="301" t="s">
        <v>214</v>
      </c>
      <c r="BX164" s="301" t="s">
        <v>214</v>
      </c>
      <c r="BY164" s="301" t="s">
        <v>176</v>
      </c>
    </row>
    <row r="165" spans="1:77" s="12" customFormat="1" ht="13.5" customHeight="1">
      <c r="A165" s="64">
        <f t="shared" si="15"/>
        <v>2021</v>
      </c>
      <c r="B165" s="64">
        <f t="shared" si="16"/>
        <v>5</v>
      </c>
      <c r="C165" s="125" t="s">
        <v>191</v>
      </c>
      <c r="D165" s="168" t="str">
        <f t="shared" si="17"/>
        <v>non maj</v>
      </c>
      <c r="E165" s="292" t="s">
        <v>670</v>
      </c>
      <c r="F165" s="292" t="s">
        <v>1401</v>
      </c>
      <c r="G165" s="221">
        <v>600</v>
      </c>
      <c r="H165" s="222">
        <v>44315</v>
      </c>
      <c r="I165" s="222">
        <v>44320</v>
      </c>
      <c r="J165" s="223" t="s">
        <v>176</v>
      </c>
      <c r="K165" s="222" t="s">
        <v>176</v>
      </c>
      <c r="L165" s="223">
        <v>44322</v>
      </c>
      <c r="M165" s="223">
        <v>44322</v>
      </c>
      <c r="N165" s="223">
        <v>44333</v>
      </c>
      <c r="O165" s="222"/>
      <c r="P165" s="222">
        <v>44582</v>
      </c>
      <c r="Q165" s="222">
        <v>44400</v>
      </c>
      <c r="R165" s="222"/>
      <c r="S165" s="222">
        <v>44594</v>
      </c>
      <c r="T165" s="222">
        <v>44595</v>
      </c>
      <c r="U165" s="222">
        <v>44600</v>
      </c>
      <c r="V165" s="224"/>
      <c r="W165" s="222"/>
      <c r="X165" s="225"/>
      <c r="Y165" s="225"/>
      <c r="Z165" s="225"/>
      <c r="AA165" s="225">
        <v>2</v>
      </c>
      <c r="AB165" s="225">
        <v>33751</v>
      </c>
      <c r="AC165" s="225">
        <v>382</v>
      </c>
      <c r="AD165" s="225" t="s">
        <v>1983</v>
      </c>
      <c r="AE165" s="225">
        <v>38500</v>
      </c>
      <c r="AF165" s="225" t="s">
        <v>1984</v>
      </c>
      <c r="AG165" s="226">
        <v>648589845</v>
      </c>
      <c r="AH165" s="246" t="s">
        <v>2549</v>
      </c>
      <c r="AI165" s="225" t="s">
        <v>1168</v>
      </c>
      <c r="AJ165" s="225"/>
      <c r="AK165" s="225"/>
      <c r="AL165" s="225" t="s">
        <v>176</v>
      </c>
      <c r="AM165" s="225" t="s">
        <v>176</v>
      </c>
      <c r="AN165" s="225" t="s">
        <v>176</v>
      </c>
      <c r="AO165" s="225" t="s">
        <v>176</v>
      </c>
      <c r="AP165" s="225" t="s">
        <v>678</v>
      </c>
      <c r="AQ165" s="225" t="s">
        <v>2014</v>
      </c>
      <c r="AR165" s="225" t="s">
        <v>2015</v>
      </c>
      <c r="AS165" s="241" t="s">
        <v>274</v>
      </c>
      <c r="AT165" s="226">
        <v>437064566</v>
      </c>
      <c r="AU165" s="225" t="s">
        <v>176</v>
      </c>
      <c r="AV165" s="241" t="s">
        <v>188</v>
      </c>
      <c r="AW165" s="223">
        <v>44633</v>
      </c>
      <c r="AX165" s="225" t="s">
        <v>4113</v>
      </c>
      <c r="AY165" s="225">
        <v>1992</v>
      </c>
      <c r="AZ165" s="225" t="s">
        <v>1880</v>
      </c>
      <c r="BA165" s="225" t="s">
        <v>380</v>
      </c>
      <c r="BB165" s="225" t="s">
        <v>212</v>
      </c>
      <c r="BC165" s="225" t="s">
        <v>2550</v>
      </c>
      <c r="BD165" s="225">
        <v>20</v>
      </c>
      <c r="BE165" s="225">
        <v>9</v>
      </c>
      <c r="BF165" s="225">
        <v>77</v>
      </c>
      <c r="BG165" s="225">
        <v>0.1</v>
      </c>
      <c r="BH165" s="225" t="s">
        <v>1882</v>
      </c>
      <c r="BI165" s="225"/>
      <c r="BJ165" s="225">
        <f>23.58+74.87+60.1+19.01+23.27+184.61+58.64+35.74+229.08+422.37+62.77+87.96+58.72+44+2+213.85+175.98+125.95+151.15+9.5+95+1490+375</f>
        <v>4023.15</v>
      </c>
      <c r="BK165" s="225"/>
      <c r="BL165" s="225"/>
      <c r="BM165" s="225"/>
      <c r="BN165" s="225">
        <f>880+450</f>
        <v>1330</v>
      </c>
      <c r="BO165" s="225">
        <f t="shared" si="12"/>
        <v>5353.15</v>
      </c>
      <c r="BP165" s="230">
        <f t="shared" si="13"/>
        <v>294.42325</v>
      </c>
      <c r="BQ165" s="230">
        <f t="shared" si="14"/>
        <v>5647.5732499999995</v>
      </c>
      <c r="BR165" s="230">
        <v>5080.93</v>
      </c>
      <c r="BS165" s="225" t="s">
        <v>188</v>
      </c>
      <c r="BT165" s="225"/>
      <c r="BU165" s="225"/>
      <c r="BV165" s="301" t="s">
        <v>2325</v>
      </c>
      <c r="BW165" s="301" t="s">
        <v>214</v>
      </c>
      <c r="BX165" s="301" t="s">
        <v>620</v>
      </c>
      <c r="BY165" s="301">
        <v>2021</v>
      </c>
    </row>
    <row r="166" spans="1:77" ht="13.5" customHeight="1">
      <c r="A166" s="64">
        <f t="shared" si="15"/>
        <v>2021</v>
      </c>
      <c r="B166" s="64">
        <f t="shared" si="16"/>
        <v>5</v>
      </c>
      <c r="C166" s="125" t="s">
        <v>191</v>
      </c>
      <c r="D166" s="168" t="str">
        <f t="shared" si="17"/>
        <v>non maj</v>
      </c>
      <c r="E166" s="292" t="s">
        <v>670</v>
      </c>
      <c r="F166" s="292" t="s">
        <v>1402</v>
      </c>
      <c r="G166" s="221">
        <v>600</v>
      </c>
      <c r="H166" s="222">
        <v>44317</v>
      </c>
      <c r="I166" s="222">
        <v>44320</v>
      </c>
      <c r="J166" s="223" t="s">
        <v>176</v>
      </c>
      <c r="K166" s="222" t="s">
        <v>176</v>
      </c>
      <c r="L166" s="223">
        <v>44322</v>
      </c>
      <c r="M166" s="223">
        <v>44322</v>
      </c>
      <c r="N166" s="223">
        <v>44333</v>
      </c>
      <c r="O166" s="222"/>
      <c r="P166" s="222">
        <v>44410</v>
      </c>
      <c r="Q166" s="222">
        <v>44383</v>
      </c>
      <c r="R166" s="222" t="s">
        <v>176</v>
      </c>
      <c r="S166" s="222">
        <v>44413</v>
      </c>
      <c r="T166" s="222">
        <v>44413</v>
      </c>
      <c r="U166" s="222">
        <v>44453</v>
      </c>
      <c r="V166" s="224"/>
      <c r="W166" s="222"/>
      <c r="X166" s="225"/>
      <c r="Y166" s="225"/>
      <c r="Z166" s="225"/>
      <c r="AA166" s="225">
        <v>2</v>
      </c>
      <c r="AB166" s="225">
        <f>23758+24547</f>
        <v>48305</v>
      </c>
      <c r="AC166" s="225">
        <v>19</v>
      </c>
      <c r="AD166" s="225" t="s">
        <v>2551</v>
      </c>
      <c r="AE166" s="225">
        <v>38210</v>
      </c>
      <c r="AF166" s="225" t="s">
        <v>265</v>
      </c>
      <c r="AG166" s="226">
        <v>659397120</v>
      </c>
      <c r="AH166" s="246" t="s">
        <v>2552</v>
      </c>
      <c r="AI166" s="225" t="s">
        <v>1168</v>
      </c>
      <c r="AJ166" s="225"/>
      <c r="AK166" s="225"/>
      <c r="AL166" s="225" t="s">
        <v>176</v>
      </c>
      <c r="AM166" s="225" t="s">
        <v>176</v>
      </c>
      <c r="AN166" s="225" t="s">
        <v>176</v>
      </c>
      <c r="AO166" s="225" t="s">
        <v>176</v>
      </c>
      <c r="AP166" s="225" t="s">
        <v>268</v>
      </c>
      <c r="AQ166" s="225" t="s">
        <v>1893</v>
      </c>
      <c r="AR166" s="225" t="s">
        <v>1933</v>
      </c>
      <c r="AS166" s="246" t="s">
        <v>1934</v>
      </c>
      <c r="AT166" s="226">
        <v>476355605</v>
      </c>
      <c r="AU166" s="225" t="s">
        <v>176</v>
      </c>
      <c r="AV166" s="241" t="s">
        <v>188</v>
      </c>
      <c r="AW166" s="223">
        <v>44495</v>
      </c>
      <c r="AX166" s="225" t="s">
        <v>4113</v>
      </c>
      <c r="AY166" s="225">
        <v>1996</v>
      </c>
      <c r="AZ166" s="225" t="s">
        <v>1880</v>
      </c>
      <c r="BA166" s="225" t="s">
        <v>380</v>
      </c>
      <c r="BB166" s="225" t="s">
        <v>1936</v>
      </c>
      <c r="BC166" s="225" t="s">
        <v>2553</v>
      </c>
      <c r="BD166" s="225">
        <v>14</v>
      </c>
      <c r="BE166" s="225">
        <v>5</v>
      </c>
      <c r="BF166" s="225">
        <v>81</v>
      </c>
      <c r="BG166" s="225">
        <v>0.06</v>
      </c>
      <c r="BH166" s="225" t="s">
        <v>1882</v>
      </c>
      <c r="BI166" s="225"/>
      <c r="BJ166" s="225">
        <f>81.06+75.64+41.4+2060+178+89.6+95.6+33.54</f>
        <v>2654.8399999999997</v>
      </c>
      <c r="BK166" s="225"/>
      <c r="BL166" s="225"/>
      <c r="BM166" s="225"/>
      <c r="BN166" s="225">
        <v>525</v>
      </c>
      <c r="BO166" s="225">
        <f t="shared" si="12"/>
        <v>3179.8399999999997</v>
      </c>
      <c r="BP166" s="230">
        <f t="shared" si="13"/>
        <v>174.8912</v>
      </c>
      <c r="BQ166" s="230">
        <f t="shared" si="14"/>
        <v>3354.7311999999997</v>
      </c>
      <c r="BR166" s="230">
        <v>3354.73</v>
      </c>
      <c r="BS166" s="225" t="s">
        <v>188</v>
      </c>
      <c r="BT166" s="225"/>
      <c r="BU166" s="225"/>
      <c r="BV166" s="301" t="s">
        <v>2325</v>
      </c>
      <c r="BW166" s="301" t="s">
        <v>214</v>
      </c>
      <c r="BX166" s="301" t="s">
        <v>620</v>
      </c>
      <c r="BY166" s="301">
        <v>2021</v>
      </c>
    </row>
    <row r="167" spans="1:77" s="12" customFormat="1" ht="13.5" customHeight="1">
      <c r="A167" s="64" t="e">
        <f t="shared" si="15"/>
        <v>#VALUE!</v>
      </c>
      <c r="B167" s="64" t="e">
        <f t="shared" si="16"/>
        <v>#VALUE!</v>
      </c>
      <c r="C167" s="125" t="s">
        <v>188</v>
      </c>
      <c r="D167" s="168" t="str">
        <f t="shared" si="17"/>
        <v>NC</v>
      </c>
      <c r="E167" s="291" t="s">
        <v>670</v>
      </c>
      <c r="F167" s="291" t="s">
        <v>1403</v>
      </c>
      <c r="G167" s="221" t="s">
        <v>176</v>
      </c>
      <c r="H167" s="222">
        <v>44320</v>
      </c>
      <c r="I167" s="222">
        <v>44320</v>
      </c>
      <c r="J167" s="223" t="s">
        <v>176</v>
      </c>
      <c r="K167" s="222" t="s">
        <v>176</v>
      </c>
      <c r="L167" s="223" t="s">
        <v>176</v>
      </c>
      <c r="M167" s="223" t="s">
        <v>176</v>
      </c>
      <c r="N167" s="223" t="s">
        <v>176</v>
      </c>
      <c r="O167" s="222"/>
      <c r="P167" s="222" t="s">
        <v>176</v>
      </c>
      <c r="Q167" s="222" t="s">
        <v>176</v>
      </c>
      <c r="R167" s="222" t="s">
        <v>176</v>
      </c>
      <c r="S167" s="222" t="s">
        <v>176</v>
      </c>
      <c r="T167" s="222" t="s">
        <v>176</v>
      </c>
      <c r="U167" s="222" t="s">
        <v>176</v>
      </c>
      <c r="V167" s="224"/>
      <c r="W167" s="222">
        <v>44322</v>
      </c>
      <c r="X167" s="225" t="s">
        <v>2554</v>
      </c>
      <c r="Y167" s="225"/>
      <c r="Z167" s="225"/>
      <c r="AA167" s="225">
        <v>2</v>
      </c>
      <c r="AB167" s="225">
        <v>24670</v>
      </c>
      <c r="AC167" s="225">
        <v>130</v>
      </c>
      <c r="AD167" s="225" t="s">
        <v>2555</v>
      </c>
      <c r="AE167" s="225">
        <v>38850</v>
      </c>
      <c r="AF167" s="225" t="s">
        <v>1931</v>
      </c>
      <c r="AG167" s="226">
        <v>683891392</v>
      </c>
      <c r="AH167" s="246" t="s">
        <v>2556</v>
      </c>
      <c r="AI167" s="225" t="s">
        <v>1168</v>
      </c>
      <c r="AJ167" s="225"/>
      <c r="AK167" s="225"/>
      <c r="AL167" s="225" t="s">
        <v>176</v>
      </c>
      <c r="AM167" s="225" t="s">
        <v>176</v>
      </c>
      <c r="AN167" s="225" t="s">
        <v>176</v>
      </c>
      <c r="AO167" s="225" t="s">
        <v>176</v>
      </c>
      <c r="AP167" s="225" t="s">
        <v>749</v>
      </c>
      <c r="AQ167" s="225" t="s">
        <v>209</v>
      </c>
      <c r="AR167" s="225" t="s">
        <v>1013</v>
      </c>
      <c r="AS167" s="241" t="s">
        <v>2557</v>
      </c>
      <c r="AT167" s="226">
        <v>476042368</v>
      </c>
      <c r="AU167" s="225" t="s">
        <v>176</v>
      </c>
      <c r="AV167" s="241" t="s">
        <v>188</v>
      </c>
      <c r="AW167" s="223">
        <v>44524</v>
      </c>
      <c r="AX167" s="225"/>
      <c r="AY167" s="225"/>
      <c r="AZ167" s="225" t="s">
        <v>1880</v>
      </c>
      <c r="BA167" s="225" t="s">
        <v>380</v>
      </c>
      <c r="BB167" s="225" t="s">
        <v>432</v>
      </c>
      <c r="BC167" s="225" t="s">
        <v>1012</v>
      </c>
      <c r="BD167" s="225">
        <v>30</v>
      </c>
      <c r="BE167" s="225">
        <v>8</v>
      </c>
      <c r="BF167" s="225">
        <v>78</v>
      </c>
      <c r="BG167" s="225">
        <v>0.1</v>
      </c>
      <c r="BH167" s="225" t="s">
        <v>1882</v>
      </c>
      <c r="BI167" s="225"/>
      <c r="BJ167" s="225">
        <f>57.9+20.95+29.9+41.9+72.9+56+50.9+199.5+19.3+45.9+1290+72+19.95+51.7+100</f>
        <v>2128.8000000000002</v>
      </c>
      <c r="BK167" s="225"/>
      <c r="BL167" s="225"/>
      <c r="BM167" s="225"/>
      <c r="BN167" s="225">
        <f>940+144</f>
        <v>1084</v>
      </c>
      <c r="BO167" s="225">
        <f t="shared" si="12"/>
        <v>3212.8</v>
      </c>
      <c r="BP167" s="230">
        <f t="shared" si="13"/>
        <v>176.70400000000001</v>
      </c>
      <c r="BQ167" s="230">
        <f t="shared" si="14"/>
        <v>3389.5040000000004</v>
      </c>
      <c r="BR167" s="230">
        <v>3212.8</v>
      </c>
      <c r="BS167" s="225" t="s">
        <v>191</v>
      </c>
      <c r="BT167" s="225"/>
      <c r="BU167" s="225"/>
      <c r="BV167" s="301">
        <v>0</v>
      </c>
      <c r="BW167" s="301" t="s">
        <v>214</v>
      </c>
      <c r="BX167" s="301" t="s">
        <v>214</v>
      </c>
      <c r="BY167" s="301" t="s">
        <v>176</v>
      </c>
    </row>
    <row r="168" spans="1:77" ht="13.5" customHeight="1">
      <c r="A168" s="64">
        <f t="shared" si="15"/>
        <v>2021</v>
      </c>
      <c r="B168" s="64">
        <f t="shared" si="16"/>
        <v>5</v>
      </c>
      <c r="C168" s="125" t="s">
        <v>191</v>
      </c>
      <c r="D168" s="168" t="str">
        <f t="shared" si="17"/>
        <v>maj</v>
      </c>
      <c r="E168" s="232" t="s">
        <v>670</v>
      </c>
      <c r="F168" s="232" t="s">
        <v>1406</v>
      </c>
      <c r="G168" s="221">
        <v>1000</v>
      </c>
      <c r="H168" s="222">
        <v>44320</v>
      </c>
      <c r="I168" s="222">
        <v>44320</v>
      </c>
      <c r="J168" s="223" t="s">
        <v>176</v>
      </c>
      <c r="K168" s="222" t="s">
        <v>176</v>
      </c>
      <c r="L168" s="223">
        <v>44322</v>
      </c>
      <c r="M168" s="223">
        <v>44322</v>
      </c>
      <c r="N168" s="223">
        <v>44333</v>
      </c>
      <c r="O168" s="222"/>
      <c r="P168" s="222">
        <v>44424</v>
      </c>
      <c r="Q168" s="222">
        <v>44418</v>
      </c>
      <c r="R168" s="222" t="s">
        <v>176</v>
      </c>
      <c r="S168" s="222">
        <v>44788</v>
      </c>
      <c r="T168" s="222">
        <v>44788</v>
      </c>
      <c r="U168" s="222" t="s">
        <v>176</v>
      </c>
      <c r="V168" s="224"/>
      <c r="W168" s="222"/>
      <c r="X168" s="225"/>
      <c r="Y168" s="225"/>
      <c r="Z168" s="225"/>
      <c r="AA168" s="225">
        <v>3</v>
      </c>
      <c r="AB168" s="225">
        <v>28976</v>
      </c>
      <c r="AC168" s="225">
        <v>437</v>
      </c>
      <c r="AD168" s="225" t="s">
        <v>2558</v>
      </c>
      <c r="AE168" s="225">
        <v>38850</v>
      </c>
      <c r="AF168" s="225" t="s">
        <v>1931</v>
      </c>
      <c r="AG168" s="226">
        <v>676783853</v>
      </c>
      <c r="AH168" s="246" t="s">
        <v>2559</v>
      </c>
      <c r="AI168" s="225" t="s">
        <v>1168</v>
      </c>
      <c r="AJ168" s="225"/>
      <c r="AK168" s="225"/>
      <c r="AL168" s="225" t="s">
        <v>176</v>
      </c>
      <c r="AM168" s="225" t="s">
        <v>176</v>
      </c>
      <c r="AN168" s="225" t="s">
        <v>176</v>
      </c>
      <c r="AO168" s="225" t="s">
        <v>176</v>
      </c>
      <c r="AP168" s="222" t="s">
        <v>587</v>
      </c>
      <c r="AQ168" s="225" t="s">
        <v>225</v>
      </c>
      <c r="AR168" s="225" t="s">
        <v>2026</v>
      </c>
      <c r="AS168" s="241" t="s">
        <v>266</v>
      </c>
      <c r="AT168" s="226">
        <v>476069938</v>
      </c>
      <c r="AU168" s="225" t="s">
        <v>176</v>
      </c>
      <c r="AV168" s="241" t="s">
        <v>188</v>
      </c>
      <c r="AW168" s="223">
        <v>44457</v>
      </c>
      <c r="AX168" s="225" t="s">
        <v>4113</v>
      </c>
      <c r="AY168" s="242">
        <v>2000</v>
      </c>
      <c r="AZ168" s="225" t="s">
        <v>1880</v>
      </c>
      <c r="BA168" s="225" t="s">
        <v>380</v>
      </c>
      <c r="BB168" s="225" t="s">
        <v>280</v>
      </c>
      <c r="BC168" s="225" t="s">
        <v>2560</v>
      </c>
      <c r="BD168" s="242">
        <v>26</v>
      </c>
      <c r="BE168" s="242">
        <v>9</v>
      </c>
      <c r="BF168" s="242">
        <v>79.5</v>
      </c>
      <c r="BG168" s="242">
        <v>0.12</v>
      </c>
      <c r="BH168" s="225" t="s">
        <v>1882</v>
      </c>
      <c r="BI168" s="225"/>
      <c r="BJ168" s="242">
        <f>2620+510+4483+1690</f>
        <v>9303</v>
      </c>
      <c r="BK168" s="225"/>
      <c r="BL168" s="225"/>
      <c r="BM168" s="225"/>
      <c r="BN168" s="242">
        <f>490+350+450+390+590</f>
        <v>2270</v>
      </c>
      <c r="BO168" s="242">
        <f t="shared" si="12"/>
        <v>11573</v>
      </c>
      <c r="BP168" s="242">
        <f t="shared" si="13"/>
        <v>636.51499999999999</v>
      </c>
      <c r="BQ168" s="242">
        <f t="shared" si="14"/>
        <v>12209.514999999999</v>
      </c>
      <c r="BR168" s="230">
        <v>12209.52</v>
      </c>
      <c r="BS168" s="225" t="s">
        <v>188</v>
      </c>
      <c r="BT168" s="225"/>
      <c r="BU168" s="225"/>
      <c r="BV168" s="301" t="s">
        <v>2325</v>
      </c>
      <c r="BW168" s="301" t="s">
        <v>214</v>
      </c>
      <c r="BX168" s="222" t="s">
        <v>618</v>
      </c>
      <c r="BY168" s="301">
        <v>2021</v>
      </c>
    </row>
    <row r="169" spans="1:77" s="13" customFormat="1" ht="13.5" customHeight="1">
      <c r="A169" s="64">
        <f t="shared" si="15"/>
        <v>2021</v>
      </c>
      <c r="B169" s="64">
        <f t="shared" si="16"/>
        <v>5</v>
      </c>
      <c r="C169" s="125" t="s">
        <v>191</v>
      </c>
      <c r="D169" s="168" t="str">
        <f t="shared" si="17"/>
        <v>non maj</v>
      </c>
      <c r="E169" s="292" t="s">
        <v>670</v>
      </c>
      <c r="F169" s="292" t="s">
        <v>1407</v>
      </c>
      <c r="G169" s="221">
        <v>600</v>
      </c>
      <c r="H169" s="222">
        <v>44320</v>
      </c>
      <c r="I169" s="222">
        <v>44320</v>
      </c>
      <c r="J169" s="223">
        <v>44322</v>
      </c>
      <c r="K169" s="222" t="s">
        <v>2561</v>
      </c>
      <c r="L169" s="223">
        <v>44323</v>
      </c>
      <c r="M169" s="223">
        <v>44323</v>
      </c>
      <c r="N169" s="223">
        <v>44328</v>
      </c>
      <c r="O169" s="222"/>
      <c r="P169" s="222">
        <v>44473</v>
      </c>
      <c r="Q169" s="222">
        <v>44454</v>
      </c>
      <c r="R169" s="222" t="s">
        <v>176</v>
      </c>
      <c r="S169" s="222">
        <v>44476</v>
      </c>
      <c r="T169" s="222">
        <v>44476</v>
      </c>
      <c r="U169" s="222">
        <v>44481</v>
      </c>
      <c r="V169" s="224"/>
      <c r="W169" s="222"/>
      <c r="X169" s="225"/>
      <c r="Y169" s="225"/>
      <c r="Z169" s="225"/>
      <c r="AA169" s="225">
        <v>4</v>
      </c>
      <c r="AB169" s="225">
        <v>54189</v>
      </c>
      <c r="AC169" s="225">
        <v>405</v>
      </c>
      <c r="AD169" s="225" t="s">
        <v>2562</v>
      </c>
      <c r="AE169" s="225">
        <v>38140</v>
      </c>
      <c r="AF169" s="225" t="s">
        <v>1957</v>
      </c>
      <c r="AG169" s="226">
        <v>615207989</v>
      </c>
      <c r="AH169" s="246" t="s">
        <v>2563</v>
      </c>
      <c r="AI169" s="225" t="s">
        <v>1168</v>
      </c>
      <c r="AJ169" s="225"/>
      <c r="AK169" s="225"/>
      <c r="AL169" s="225" t="s">
        <v>176</v>
      </c>
      <c r="AM169" s="225" t="s">
        <v>176</v>
      </c>
      <c r="AN169" s="225" t="s">
        <v>176</v>
      </c>
      <c r="AO169" s="225" t="s">
        <v>176</v>
      </c>
      <c r="AP169" s="225" t="s">
        <v>947</v>
      </c>
      <c r="AQ169" s="225" t="s">
        <v>2545</v>
      </c>
      <c r="AR169" s="225" t="s">
        <v>903</v>
      </c>
      <c r="AS169" s="241" t="s">
        <v>2546</v>
      </c>
      <c r="AT169" s="226">
        <v>676354364</v>
      </c>
      <c r="AU169" s="225" t="s">
        <v>176</v>
      </c>
      <c r="AV169" s="241" t="s">
        <v>2564</v>
      </c>
      <c r="AW169" s="223">
        <v>44495</v>
      </c>
      <c r="AX169" s="225" t="s">
        <v>4113</v>
      </c>
      <c r="AY169" s="225">
        <v>1990</v>
      </c>
      <c r="AZ169" s="225" t="s">
        <v>1880</v>
      </c>
      <c r="BA169" s="225" t="s">
        <v>380</v>
      </c>
      <c r="BB169" s="225" t="s">
        <v>242</v>
      </c>
      <c r="BC169" s="225" t="s">
        <v>901</v>
      </c>
      <c r="BD169" s="225">
        <v>28</v>
      </c>
      <c r="BE169" s="225">
        <v>10</v>
      </c>
      <c r="BF169" s="225">
        <v>81</v>
      </c>
      <c r="BG169" s="225">
        <v>0.05</v>
      </c>
      <c r="BH169" s="225" t="s">
        <v>1899</v>
      </c>
      <c r="BI169" s="225"/>
      <c r="BJ169" s="225">
        <f>4240+139+206+1340.54+206.07+249.9+45+258.16</f>
        <v>6684.6699999999992</v>
      </c>
      <c r="BK169" s="225"/>
      <c r="BL169" s="225"/>
      <c r="BM169" s="225"/>
      <c r="BN169" s="225">
        <v>635</v>
      </c>
      <c r="BO169" s="225">
        <f t="shared" si="12"/>
        <v>7319.6699999999992</v>
      </c>
      <c r="BP169" s="230">
        <f t="shared" si="13"/>
        <v>402.58184999999997</v>
      </c>
      <c r="BQ169" s="230">
        <f t="shared" si="14"/>
        <v>7722.2518499999987</v>
      </c>
      <c r="BR169" s="230">
        <v>7722.26</v>
      </c>
      <c r="BS169" s="225" t="s">
        <v>188</v>
      </c>
      <c r="BT169" s="225"/>
      <c r="BU169" s="225"/>
      <c r="BV169" s="301" t="s">
        <v>2325</v>
      </c>
      <c r="BW169" s="301" t="s">
        <v>214</v>
      </c>
      <c r="BX169" s="301" t="s">
        <v>620</v>
      </c>
      <c r="BY169" s="301">
        <v>2021</v>
      </c>
    </row>
    <row r="170" spans="1:77" s="12" customFormat="1" ht="13.5" customHeight="1">
      <c r="A170" s="64">
        <f t="shared" si="15"/>
        <v>2021</v>
      </c>
      <c r="B170" s="64">
        <f t="shared" si="16"/>
        <v>5</v>
      </c>
      <c r="C170" s="125" t="s">
        <v>191</v>
      </c>
      <c r="D170" s="168" t="str">
        <f t="shared" si="17"/>
        <v>non maj</v>
      </c>
      <c r="E170" s="292" t="s">
        <v>670</v>
      </c>
      <c r="F170" s="292" t="s">
        <v>1410</v>
      </c>
      <c r="G170" s="221">
        <v>600</v>
      </c>
      <c r="H170" s="222">
        <v>44321</v>
      </c>
      <c r="I170" s="222">
        <v>44322</v>
      </c>
      <c r="J170" s="223" t="s">
        <v>176</v>
      </c>
      <c r="K170" s="222" t="s">
        <v>176</v>
      </c>
      <c r="L170" s="223">
        <v>44322</v>
      </c>
      <c r="M170" s="223">
        <v>44322</v>
      </c>
      <c r="N170" s="223">
        <v>44333</v>
      </c>
      <c r="O170" s="222"/>
      <c r="P170" s="222">
        <v>44398</v>
      </c>
      <c r="Q170" s="222">
        <v>44383</v>
      </c>
      <c r="R170" s="222" t="s">
        <v>176</v>
      </c>
      <c r="S170" s="222">
        <v>44413</v>
      </c>
      <c r="T170" s="222">
        <v>44413</v>
      </c>
      <c r="U170" s="222">
        <v>44453</v>
      </c>
      <c r="V170" s="224"/>
      <c r="W170" s="222"/>
      <c r="X170" s="225"/>
      <c r="Y170" s="225"/>
      <c r="Z170" s="225"/>
      <c r="AA170" s="225">
        <v>2</v>
      </c>
      <c r="AB170" s="225">
        <v>34349</v>
      </c>
      <c r="AC170" s="225">
        <v>175</v>
      </c>
      <c r="AD170" s="225" t="s">
        <v>2565</v>
      </c>
      <c r="AE170" s="225">
        <v>38850</v>
      </c>
      <c r="AF170" s="225" t="s">
        <v>1951</v>
      </c>
      <c r="AG170" s="226">
        <v>770399256</v>
      </c>
      <c r="AH170" s="246"/>
      <c r="AI170" s="225" t="s">
        <v>1168</v>
      </c>
      <c r="AJ170" s="225"/>
      <c r="AK170" s="225"/>
      <c r="AL170" s="225" t="s">
        <v>176</v>
      </c>
      <c r="AM170" s="225" t="s">
        <v>176</v>
      </c>
      <c r="AN170" s="225" t="s">
        <v>176</v>
      </c>
      <c r="AO170" s="225" t="s">
        <v>176</v>
      </c>
      <c r="AP170" s="225" t="s">
        <v>2052</v>
      </c>
      <c r="AQ170" s="225" t="s">
        <v>232</v>
      </c>
      <c r="AR170" s="225" t="s">
        <v>233</v>
      </c>
      <c r="AS170" s="241" t="s">
        <v>234</v>
      </c>
      <c r="AT170" s="226">
        <v>476500550</v>
      </c>
      <c r="AU170" s="225" t="s">
        <v>176</v>
      </c>
      <c r="AV170" s="241" t="s">
        <v>188</v>
      </c>
      <c r="AW170" s="223">
        <v>44375</v>
      </c>
      <c r="AX170" s="225" t="s">
        <v>4113</v>
      </c>
      <c r="AY170" s="225">
        <v>1990</v>
      </c>
      <c r="AZ170" s="225" t="s">
        <v>1880</v>
      </c>
      <c r="BA170" s="225" t="s">
        <v>380</v>
      </c>
      <c r="BB170" s="225" t="s">
        <v>270</v>
      </c>
      <c r="BC170" s="225" t="s">
        <v>2163</v>
      </c>
      <c r="BD170" s="225">
        <v>10</v>
      </c>
      <c r="BE170" s="225">
        <v>5</v>
      </c>
      <c r="BF170" s="225">
        <v>80</v>
      </c>
      <c r="BG170" s="225">
        <v>0.08</v>
      </c>
      <c r="BH170" s="225" t="s">
        <v>1882</v>
      </c>
      <c r="BI170" s="225"/>
      <c r="BJ170" s="225">
        <f>313.28+41.09+197.82+2500+108.44+88.24+536.26</f>
        <v>3785.13</v>
      </c>
      <c r="BK170" s="225"/>
      <c r="BL170" s="225"/>
      <c r="BM170" s="225"/>
      <c r="BN170" s="225">
        <v>900</v>
      </c>
      <c r="BO170" s="225">
        <f t="shared" si="12"/>
        <v>4685.13</v>
      </c>
      <c r="BP170" s="230">
        <f t="shared" si="13"/>
        <v>257.68215000000004</v>
      </c>
      <c r="BQ170" s="230">
        <f t="shared" si="14"/>
        <v>4942.8121499999997</v>
      </c>
      <c r="BR170" s="230">
        <v>4942.8100000000004</v>
      </c>
      <c r="BS170" s="225" t="s">
        <v>191</v>
      </c>
      <c r="BT170" s="225"/>
      <c r="BU170" s="225"/>
      <c r="BV170" s="301" t="s">
        <v>2325</v>
      </c>
      <c r="BW170" s="301" t="s">
        <v>214</v>
      </c>
      <c r="BX170" s="301" t="s">
        <v>620</v>
      </c>
      <c r="BY170" s="301">
        <v>2021</v>
      </c>
    </row>
    <row r="171" spans="1:77" s="12" customFormat="1" ht="13.5" customHeight="1">
      <c r="A171" s="64">
        <f t="shared" si="15"/>
        <v>2021</v>
      </c>
      <c r="B171" s="64">
        <f t="shared" si="16"/>
        <v>5</v>
      </c>
      <c r="C171" s="125" t="s">
        <v>191</v>
      </c>
      <c r="D171" s="168" t="str">
        <f t="shared" si="17"/>
        <v>maj</v>
      </c>
      <c r="E171" s="292" t="s">
        <v>670</v>
      </c>
      <c r="F171" s="292" t="s">
        <v>1411</v>
      </c>
      <c r="G171" s="221">
        <v>1000</v>
      </c>
      <c r="H171" s="222">
        <v>44322</v>
      </c>
      <c r="I171" s="222">
        <v>44323</v>
      </c>
      <c r="J171" s="223" t="s">
        <v>176</v>
      </c>
      <c r="K171" s="222" t="s">
        <v>176</v>
      </c>
      <c r="L171" s="223">
        <v>44323</v>
      </c>
      <c r="M171" s="223">
        <v>44323</v>
      </c>
      <c r="N171" s="223">
        <v>44328</v>
      </c>
      <c r="O171" s="222"/>
      <c r="P171" s="222">
        <v>44438</v>
      </c>
      <c r="Q171" s="222">
        <v>44400</v>
      </c>
      <c r="R171" s="222" t="s">
        <v>176</v>
      </c>
      <c r="S171" s="222">
        <v>44439</v>
      </c>
      <c r="T171" s="222">
        <v>44439</v>
      </c>
      <c r="U171" s="222">
        <v>44455</v>
      </c>
      <c r="V171" s="224"/>
      <c r="W171" s="222"/>
      <c r="X171" s="225"/>
      <c r="Y171" s="225"/>
      <c r="Z171" s="225"/>
      <c r="AA171" s="225">
        <v>4</v>
      </c>
      <c r="AB171" s="225">
        <f>25586+1007</f>
        <v>26593</v>
      </c>
      <c r="AC171" s="225">
        <v>115</v>
      </c>
      <c r="AD171" s="225" t="s">
        <v>2566</v>
      </c>
      <c r="AE171" s="225">
        <v>38210</v>
      </c>
      <c r="AF171" s="225" t="s">
        <v>1903</v>
      </c>
      <c r="AG171" s="226">
        <v>667207220</v>
      </c>
      <c r="AH171" s="246" t="s">
        <v>2567</v>
      </c>
      <c r="AI171" s="225" t="s">
        <v>1168</v>
      </c>
      <c r="AJ171" s="225"/>
      <c r="AK171" s="225"/>
      <c r="AL171" s="225" t="s">
        <v>176</v>
      </c>
      <c r="AM171" s="225" t="s">
        <v>176</v>
      </c>
      <c r="AN171" s="225" t="s">
        <v>176</v>
      </c>
      <c r="AO171" s="225" t="s">
        <v>176</v>
      </c>
      <c r="AP171" s="225" t="s">
        <v>263</v>
      </c>
      <c r="AQ171" s="225" t="s">
        <v>1910</v>
      </c>
      <c r="AR171" s="225" t="s">
        <v>2568</v>
      </c>
      <c r="AS171" s="241" t="s">
        <v>595</v>
      </c>
      <c r="AT171" s="226">
        <v>438920220</v>
      </c>
      <c r="AU171" s="225" t="s">
        <v>176</v>
      </c>
      <c r="AV171" s="241" t="s">
        <v>188</v>
      </c>
      <c r="AW171" s="223">
        <v>44668</v>
      </c>
      <c r="AX171" s="225" t="s">
        <v>4113</v>
      </c>
      <c r="AY171" s="225">
        <v>1999</v>
      </c>
      <c r="AZ171" s="225" t="s">
        <v>1880</v>
      </c>
      <c r="BA171" s="225" t="s">
        <v>380</v>
      </c>
      <c r="BB171" s="225" t="s">
        <v>219</v>
      </c>
      <c r="BC171" s="225" t="s">
        <v>2514</v>
      </c>
      <c r="BD171" s="225">
        <v>4</v>
      </c>
      <c r="BE171" s="225">
        <v>6.8</v>
      </c>
      <c r="BF171" s="225">
        <v>78</v>
      </c>
      <c r="BG171" s="225">
        <v>0.06</v>
      </c>
      <c r="BH171" s="225" t="s">
        <v>1882</v>
      </c>
      <c r="BI171" s="225"/>
      <c r="BJ171" s="225">
        <f>2856+308+248+128+267</f>
        <v>3807</v>
      </c>
      <c r="BK171" s="225"/>
      <c r="BL171" s="225"/>
      <c r="BM171" s="225"/>
      <c r="BN171" s="225">
        <f>699+128+48</f>
        <v>875</v>
      </c>
      <c r="BO171" s="225">
        <f t="shared" si="12"/>
        <v>4682</v>
      </c>
      <c r="BP171" s="230">
        <f t="shared" si="13"/>
        <v>257.51</v>
      </c>
      <c r="BQ171" s="230">
        <f t="shared" si="14"/>
        <v>4939.51</v>
      </c>
      <c r="BR171" s="230">
        <v>4782.43</v>
      </c>
      <c r="BS171" s="225" t="s">
        <v>188</v>
      </c>
      <c r="BT171" s="225"/>
      <c r="BU171" s="225"/>
      <c r="BV171" s="301" t="s">
        <v>2325</v>
      </c>
      <c r="BW171" s="301" t="s">
        <v>214</v>
      </c>
      <c r="BX171" s="222" t="s">
        <v>618</v>
      </c>
      <c r="BY171" s="301">
        <v>2021</v>
      </c>
    </row>
    <row r="172" spans="1:77" s="13" customFormat="1" ht="13.5" customHeight="1">
      <c r="A172" s="64">
        <f t="shared" si="15"/>
        <v>2021</v>
      </c>
      <c r="B172" s="64">
        <f t="shared" si="16"/>
        <v>5</v>
      </c>
      <c r="C172" s="125" t="s">
        <v>191</v>
      </c>
      <c r="D172" s="168" t="str">
        <f t="shared" si="17"/>
        <v>non maj</v>
      </c>
      <c r="E172" s="292" t="s">
        <v>670</v>
      </c>
      <c r="F172" s="292" t="s">
        <v>1412</v>
      </c>
      <c r="G172" s="221">
        <v>600</v>
      </c>
      <c r="H172" s="222">
        <v>44323</v>
      </c>
      <c r="I172" s="222">
        <v>44323</v>
      </c>
      <c r="J172" s="223" t="s">
        <v>176</v>
      </c>
      <c r="K172" s="222" t="s">
        <v>176</v>
      </c>
      <c r="L172" s="223">
        <v>44326</v>
      </c>
      <c r="M172" s="223">
        <v>44326</v>
      </c>
      <c r="N172" s="223">
        <v>44333</v>
      </c>
      <c r="O172" s="222"/>
      <c r="P172" s="222">
        <v>44524</v>
      </c>
      <c r="Q172" s="222">
        <v>44408</v>
      </c>
      <c r="R172" s="222" t="s">
        <v>176</v>
      </c>
      <c r="S172" s="222">
        <v>44525</v>
      </c>
      <c r="T172" s="222">
        <v>44525</v>
      </c>
      <c r="U172" s="222">
        <v>44539</v>
      </c>
      <c r="V172" s="224"/>
      <c r="W172" s="222"/>
      <c r="X172" s="225"/>
      <c r="Y172" s="225"/>
      <c r="Z172" s="225"/>
      <c r="AA172" s="225">
        <v>1</v>
      </c>
      <c r="AB172" s="225">
        <v>19840</v>
      </c>
      <c r="AC172" s="225">
        <v>110</v>
      </c>
      <c r="AD172" s="225" t="s">
        <v>2569</v>
      </c>
      <c r="AE172" s="225">
        <v>38140</v>
      </c>
      <c r="AF172" s="225" t="s">
        <v>1946</v>
      </c>
      <c r="AG172" s="226">
        <v>781789698</v>
      </c>
      <c r="AH172" s="246" t="s">
        <v>2570</v>
      </c>
      <c r="AI172" s="225" t="s">
        <v>1168</v>
      </c>
      <c r="AJ172" s="225"/>
      <c r="AK172" s="225"/>
      <c r="AL172" s="225" t="s">
        <v>176</v>
      </c>
      <c r="AM172" s="225" t="s">
        <v>176</v>
      </c>
      <c r="AN172" s="225" t="s">
        <v>176</v>
      </c>
      <c r="AO172" s="225" t="s">
        <v>176</v>
      </c>
      <c r="AP172" s="222" t="s">
        <v>818</v>
      </c>
      <c r="AQ172" s="225" t="s">
        <v>225</v>
      </c>
      <c r="AR172" s="225" t="s">
        <v>1973</v>
      </c>
      <c r="AS172" s="241" t="s">
        <v>1974</v>
      </c>
      <c r="AT172" s="226">
        <v>476323235</v>
      </c>
      <c r="AU172" s="225" t="s">
        <v>176</v>
      </c>
      <c r="AV172" s="241" t="s">
        <v>188</v>
      </c>
      <c r="AW172" s="223">
        <v>44429</v>
      </c>
      <c r="AX172" s="225" t="s">
        <v>4113</v>
      </c>
      <c r="AY172" s="225">
        <v>1994</v>
      </c>
      <c r="AZ172" s="225" t="s">
        <v>1880</v>
      </c>
      <c r="BA172" s="225" t="s">
        <v>380</v>
      </c>
      <c r="BB172" s="225" t="s">
        <v>256</v>
      </c>
      <c r="BC172" s="225" t="s">
        <v>389</v>
      </c>
      <c r="BD172" s="225">
        <v>12</v>
      </c>
      <c r="BE172" s="225">
        <v>9.1999999999999993</v>
      </c>
      <c r="BF172" s="225">
        <v>77</v>
      </c>
      <c r="BG172" s="225">
        <v>0.04</v>
      </c>
      <c r="BH172" s="225" t="s">
        <v>1882</v>
      </c>
      <c r="BI172" s="225"/>
      <c r="BJ172" s="225">
        <f>1436+30+2350+80+90+82+69+29+26+109</f>
        <v>4301</v>
      </c>
      <c r="BK172" s="225"/>
      <c r="BL172" s="225"/>
      <c r="BM172" s="225"/>
      <c r="BN172" s="225">
        <f>35+375+60+280+25</f>
        <v>775</v>
      </c>
      <c r="BO172" s="225">
        <f t="shared" si="12"/>
        <v>5076</v>
      </c>
      <c r="BP172" s="230">
        <f t="shared" si="13"/>
        <v>279.18</v>
      </c>
      <c r="BQ172" s="230">
        <f t="shared" si="14"/>
        <v>5355.18</v>
      </c>
      <c r="BR172" s="230">
        <v>5060.8599999999997</v>
      </c>
      <c r="BS172" s="225" t="s">
        <v>191</v>
      </c>
      <c r="BT172" s="225"/>
      <c r="BU172" s="225"/>
      <c r="BV172" s="301" t="s">
        <v>2325</v>
      </c>
      <c r="BW172" s="301" t="s">
        <v>214</v>
      </c>
      <c r="BX172" s="301" t="s">
        <v>620</v>
      </c>
      <c r="BY172" s="301">
        <v>2021</v>
      </c>
    </row>
    <row r="173" spans="1:77" s="13" customFormat="1" ht="13.5" customHeight="1">
      <c r="A173" s="64">
        <f t="shared" si="15"/>
        <v>2021</v>
      </c>
      <c r="B173" s="64">
        <f t="shared" si="16"/>
        <v>5</v>
      </c>
      <c r="C173" s="125" t="s">
        <v>191</v>
      </c>
      <c r="D173" s="168" t="str">
        <f t="shared" si="17"/>
        <v>non maj</v>
      </c>
      <c r="E173" s="292" t="s">
        <v>670</v>
      </c>
      <c r="F173" s="292" t="s">
        <v>1413</v>
      </c>
      <c r="G173" s="221">
        <v>600</v>
      </c>
      <c r="H173" s="222">
        <v>44323</v>
      </c>
      <c r="I173" s="222">
        <v>44326</v>
      </c>
      <c r="J173" s="223" t="s">
        <v>176</v>
      </c>
      <c r="K173" s="222" t="s">
        <v>176</v>
      </c>
      <c r="L173" s="223">
        <v>44326</v>
      </c>
      <c r="M173" s="223">
        <v>44326</v>
      </c>
      <c r="N173" s="223">
        <v>44333</v>
      </c>
      <c r="O173" s="222"/>
      <c r="P173" s="222">
        <v>44503</v>
      </c>
      <c r="Q173" s="222">
        <v>44491</v>
      </c>
      <c r="R173" s="222" t="s">
        <v>176</v>
      </c>
      <c r="S173" s="222">
        <v>44512</v>
      </c>
      <c r="T173" s="222">
        <v>44512</v>
      </c>
      <c r="U173" s="222">
        <v>44518</v>
      </c>
      <c r="V173" s="224"/>
      <c r="W173" s="222"/>
      <c r="X173" s="225"/>
      <c r="Y173" s="225"/>
      <c r="Z173" s="225"/>
      <c r="AA173" s="225">
        <v>4</v>
      </c>
      <c r="AB173" s="225">
        <v>42237</v>
      </c>
      <c r="AC173" s="225">
        <v>74</v>
      </c>
      <c r="AD173" s="225" t="s">
        <v>2571</v>
      </c>
      <c r="AE173" s="225">
        <v>38500</v>
      </c>
      <c r="AF173" s="225" t="s">
        <v>225</v>
      </c>
      <c r="AG173" s="226">
        <v>760038201</v>
      </c>
      <c r="AH173" s="246" t="s">
        <v>2572</v>
      </c>
      <c r="AI173" s="225" t="s">
        <v>1168</v>
      </c>
      <c r="AJ173" s="225"/>
      <c r="AK173" s="225"/>
      <c r="AL173" s="225" t="s">
        <v>176</v>
      </c>
      <c r="AM173" s="225" t="s">
        <v>176</v>
      </c>
      <c r="AN173" s="225" t="s">
        <v>176</v>
      </c>
      <c r="AO173" s="225" t="s">
        <v>176</v>
      </c>
      <c r="AP173" s="222" t="s">
        <v>587</v>
      </c>
      <c r="AQ173" s="225" t="s">
        <v>225</v>
      </c>
      <c r="AR173" s="225" t="s">
        <v>2026</v>
      </c>
      <c r="AS173" s="241" t="s">
        <v>266</v>
      </c>
      <c r="AT173" s="226">
        <v>476069938</v>
      </c>
      <c r="AU173" s="225" t="s">
        <v>176</v>
      </c>
      <c r="AV173" s="241" t="s">
        <v>188</v>
      </c>
      <c r="AW173" s="223">
        <v>44457</v>
      </c>
      <c r="AX173" s="225" t="s">
        <v>1879</v>
      </c>
      <c r="AY173" s="242">
        <v>1993</v>
      </c>
      <c r="AZ173" s="225" t="s">
        <v>1880</v>
      </c>
      <c r="BA173" s="225" t="s">
        <v>380</v>
      </c>
      <c r="BB173" s="225" t="s">
        <v>2105</v>
      </c>
      <c r="BC173" s="225" t="s">
        <v>2573</v>
      </c>
      <c r="BD173" s="242">
        <v>18</v>
      </c>
      <c r="BE173" s="242">
        <v>9.4</v>
      </c>
      <c r="BF173" s="242">
        <v>90</v>
      </c>
      <c r="BG173" s="242">
        <v>8.0000000000000002E-3</v>
      </c>
      <c r="BH173" s="225" t="s">
        <v>1882</v>
      </c>
      <c r="BI173" s="225"/>
      <c r="BJ173" s="242">
        <f>3930+390+250+89+319+6410+375</f>
        <v>11763</v>
      </c>
      <c r="BK173" s="225"/>
      <c r="BL173" s="225"/>
      <c r="BM173" s="225"/>
      <c r="BN173" s="242">
        <f>590+450</f>
        <v>1040</v>
      </c>
      <c r="BO173" s="242">
        <f t="shared" si="12"/>
        <v>12803</v>
      </c>
      <c r="BP173" s="242">
        <f t="shared" si="13"/>
        <v>704.16499999999996</v>
      </c>
      <c r="BQ173" s="242">
        <f t="shared" si="14"/>
        <v>13507.165000000001</v>
      </c>
      <c r="BR173" s="230">
        <v>13507.17</v>
      </c>
      <c r="BS173" s="225" t="s">
        <v>188</v>
      </c>
      <c r="BT173" s="225"/>
      <c r="BU173" s="225"/>
      <c r="BV173" s="301" t="s">
        <v>2325</v>
      </c>
      <c r="BW173" s="301" t="s">
        <v>214</v>
      </c>
      <c r="BX173" s="301" t="s">
        <v>620</v>
      </c>
      <c r="BY173" s="301">
        <v>2021</v>
      </c>
    </row>
    <row r="174" spans="1:77" ht="13.5" customHeight="1">
      <c r="A174" s="64">
        <f t="shared" si="15"/>
        <v>2021</v>
      </c>
      <c r="B174" s="64">
        <f t="shared" si="16"/>
        <v>5</v>
      </c>
      <c r="C174" s="125" t="s">
        <v>191</v>
      </c>
      <c r="D174" s="168" t="str">
        <f t="shared" si="17"/>
        <v>non maj</v>
      </c>
      <c r="E174" s="292" t="s">
        <v>670</v>
      </c>
      <c r="F174" s="292" t="s">
        <v>1414</v>
      </c>
      <c r="G174" s="221">
        <v>600</v>
      </c>
      <c r="H174" s="222">
        <v>44327</v>
      </c>
      <c r="I174" s="222">
        <v>44333</v>
      </c>
      <c r="J174" s="223">
        <v>44341</v>
      </c>
      <c r="K174" s="222" t="s">
        <v>897</v>
      </c>
      <c r="L174" s="223">
        <v>44341</v>
      </c>
      <c r="M174" s="223">
        <v>44341</v>
      </c>
      <c r="N174" s="223">
        <v>44347</v>
      </c>
      <c r="O174" s="222"/>
      <c r="P174" s="222">
        <v>44362</v>
      </c>
      <c r="Q174" s="222">
        <v>44362</v>
      </c>
      <c r="R174" s="222" t="s">
        <v>176</v>
      </c>
      <c r="S174" s="222">
        <v>44368</v>
      </c>
      <c r="T174" s="222">
        <v>44368</v>
      </c>
      <c r="U174" s="222">
        <v>44378</v>
      </c>
      <c r="V174" s="224"/>
      <c r="W174" s="222"/>
      <c r="X174" s="225"/>
      <c r="Y174" s="225"/>
      <c r="Z174" s="225"/>
      <c r="AA174" s="225">
        <v>2</v>
      </c>
      <c r="AB174" s="225">
        <v>73004</v>
      </c>
      <c r="AC174" s="225">
        <v>740</v>
      </c>
      <c r="AD174" s="225" t="s">
        <v>2203</v>
      </c>
      <c r="AE174" s="225">
        <v>38140</v>
      </c>
      <c r="AF174" s="225" t="s">
        <v>1971</v>
      </c>
      <c r="AG174" s="226">
        <v>679412268</v>
      </c>
      <c r="AH174" s="246" t="s">
        <v>2574</v>
      </c>
      <c r="AI174" s="225" t="s">
        <v>1168</v>
      </c>
      <c r="AJ174" s="225"/>
      <c r="AK174" s="225"/>
      <c r="AL174" s="225" t="s">
        <v>176</v>
      </c>
      <c r="AM174" s="225" t="s">
        <v>176</v>
      </c>
      <c r="AN174" s="225" t="s">
        <v>176</v>
      </c>
      <c r="AO174" s="225" t="s">
        <v>176</v>
      </c>
      <c r="AP174" s="222" t="s">
        <v>587</v>
      </c>
      <c r="AQ174" s="225" t="s">
        <v>225</v>
      </c>
      <c r="AR174" s="225" t="s">
        <v>2026</v>
      </c>
      <c r="AS174" s="241" t="s">
        <v>266</v>
      </c>
      <c r="AT174" s="226">
        <v>476069938</v>
      </c>
      <c r="AU174" s="225" t="s">
        <v>176</v>
      </c>
      <c r="AV174" s="241" t="s">
        <v>188</v>
      </c>
      <c r="AW174" s="223">
        <v>44457</v>
      </c>
      <c r="AX174" s="225" t="s">
        <v>4113</v>
      </c>
      <c r="AY174" s="242">
        <v>1987</v>
      </c>
      <c r="AZ174" s="225" t="s">
        <v>4113</v>
      </c>
      <c r="BA174" s="225" t="s">
        <v>380</v>
      </c>
      <c r="BB174" s="225" t="s">
        <v>2105</v>
      </c>
      <c r="BC174" s="225" t="s">
        <v>2575</v>
      </c>
      <c r="BD174" s="242">
        <v>23</v>
      </c>
      <c r="BE174" s="242">
        <v>6.6</v>
      </c>
      <c r="BF174" s="242">
        <v>80.2</v>
      </c>
      <c r="BG174" s="242">
        <v>0.1</v>
      </c>
      <c r="BH174" s="225" t="s">
        <v>1882</v>
      </c>
      <c r="BI174" s="225"/>
      <c r="BJ174" s="242">
        <f>460+2218.5+890</f>
        <v>3568.5</v>
      </c>
      <c r="BK174" s="225"/>
      <c r="BL174" s="225"/>
      <c r="BM174" s="225"/>
      <c r="BN174" s="242">
        <f>390+430+450+560</f>
        <v>1830</v>
      </c>
      <c r="BO174" s="242">
        <f t="shared" si="12"/>
        <v>5398.5</v>
      </c>
      <c r="BP174" s="242">
        <f t="shared" si="13"/>
        <v>296.91750000000002</v>
      </c>
      <c r="BQ174" s="242">
        <f t="shared" si="14"/>
        <v>5695.4174999999996</v>
      </c>
      <c r="BR174" s="230">
        <v>5695.42</v>
      </c>
      <c r="BS174" s="225" t="s">
        <v>188</v>
      </c>
      <c r="BT174" s="225"/>
      <c r="BU174" s="225"/>
      <c r="BV174" s="301" t="s">
        <v>2325</v>
      </c>
      <c r="BW174" s="301" t="s">
        <v>214</v>
      </c>
      <c r="BX174" s="301" t="s">
        <v>620</v>
      </c>
      <c r="BY174" s="301">
        <v>2021</v>
      </c>
    </row>
    <row r="175" spans="1:77" ht="13.5" customHeight="1">
      <c r="A175" s="64">
        <f t="shared" si="15"/>
        <v>2021</v>
      </c>
      <c r="B175" s="64">
        <f t="shared" si="16"/>
        <v>5</v>
      </c>
      <c r="C175" s="125" t="s">
        <v>191</v>
      </c>
      <c r="D175" s="168" t="str">
        <f t="shared" si="17"/>
        <v>non maj</v>
      </c>
      <c r="E175" s="292" t="s">
        <v>670</v>
      </c>
      <c r="F175" s="292" t="s">
        <v>1415</v>
      </c>
      <c r="G175" s="221">
        <v>600</v>
      </c>
      <c r="H175" s="222">
        <v>44328</v>
      </c>
      <c r="I175" s="222">
        <v>44333</v>
      </c>
      <c r="J175" s="223" t="s">
        <v>176</v>
      </c>
      <c r="K175" s="222" t="s">
        <v>176</v>
      </c>
      <c r="L175" s="223">
        <v>44341</v>
      </c>
      <c r="M175" s="223">
        <v>44341</v>
      </c>
      <c r="N175" s="223">
        <v>44347</v>
      </c>
      <c r="O175" s="222"/>
      <c r="P175" s="222">
        <v>44495</v>
      </c>
      <c r="Q175" s="222">
        <v>44468</v>
      </c>
      <c r="R175" s="222" t="s">
        <v>176</v>
      </c>
      <c r="S175" s="222">
        <v>44497</v>
      </c>
      <c r="T175" s="222">
        <v>44497</v>
      </c>
      <c r="U175" s="222">
        <v>44498</v>
      </c>
      <c r="V175" s="224"/>
      <c r="W175" s="222"/>
      <c r="X175" s="225"/>
      <c r="Y175" s="225"/>
      <c r="Z175" s="225"/>
      <c r="AA175" s="225">
        <v>2</v>
      </c>
      <c r="AB175" s="225">
        <v>37596</v>
      </c>
      <c r="AC175" s="225">
        <v>54</v>
      </c>
      <c r="AD175" s="225" t="s">
        <v>2576</v>
      </c>
      <c r="AE175" s="225">
        <v>38730</v>
      </c>
      <c r="AF175" s="225" t="s">
        <v>1916</v>
      </c>
      <c r="AG175" s="226">
        <v>679602764</v>
      </c>
      <c r="AH175" s="246" t="s">
        <v>2577</v>
      </c>
      <c r="AI175" s="225" t="s">
        <v>1168</v>
      </c>
      <c r="AJ175" s="225"/>
      <c r="AK175" s="225"/>
      <c r="AL175" s="225" t="s">
        <v>176</v>
      </c>
      <c r="AM175" s="225" t="s">
        <v>176</v>
      </c>
      <c r="AN175" s="225" t="s">
        <v>176</v>
      </c>
      <c r="AO175" s="225" t="s">
        <v>176</v>
      </c>
      <c r="AP175" s="225" t="s">
        <v>1874</v>
      </c>
      <c r="AQ175" s="225" t="s">
        <v>1875</v>
      </c>
      <c r="AR175" s="225" t="s">
        <v>1876</v>
      </c>
      <c r="AS175" s="246" t="s">
        <v>1877</v>
      </c>
      <c r="AT175" s="226" t="s">
        <v>434</v>
      </c>
      <c r="AU175" s="225" t="s">
        <v>176</v>
      </c>
      <c r="AV175" s="241" t="s">
        <v>1878</v>
      </c>
      <c r="AW175" s="223">
        <v>44517</v>
      </c>
      <c r="AX175" s="225" t="s">
        <v>1879</v>
      </c>
      <c r="AY175" s="225">
        <v>1970</v>
      </c>
      <c r="AZ175" s="225" t="s">
        <v>1880</v>
      </c>
      <c r="BA175" s="225" t="s">
        <v>267</v>
      </c>
      <c r="BB175" s="225" t="s">
        <v>190</v>
      </c>
      <c r="BC175" s="225" t="s">
        <v>2408</v>
      </c>
      <c r="BD175" s="225">
        <v>16</v>
      </c>
      <c r="BE175" s="225">
        <v>9.1</v>
      </c>
      <c r="BF175" s="225">
        <v>91.8</v>
      </c>
      <c r="BG175" s="225">
        <v>3.7000000000000002E-3</v>
      </c>
      <c r="BH175" s="225" t="s">
        <v>1882</v>
      </c>
      <c r="BI175" s="225"/>
      <c r="BJ175" s="225">
        <f>4040+996+165+193</f>
        <v>5394</v>
      </c>
      <c r="BK175" s="225"/>
      <c r="BL175" s="225"/>
      <c r="BM175" s="225"/>
      <c r="BN175" s="225">
        <f>690</f>
        <v>690</v>
      </c>
      <c r="BO175" s="225">
        <f t="shared" si="12"/>
        <v>6084</v>
      </c>
      <c r="BP175" s="230">
        <f t="shared" si="13"/>
        <v>334.62</v>
      </c>
      <c r="BQ175" s="230">
        <f t="shared" si="14"/>
        <v>6418.62</v>
      </c>
      <c r="BR175" s="230">
        <v>6418.62</v>
      </c>
      <c r="BS175" s="225" t="s">
        <v>188</v>
      </c>
      <c r="BT175" s="225"/>
      <c r="BU175" s="225"/>
      <c r="BV175" s="301" t="s">
        <v>2325</v>
      </c>
      <c r="BW175" s="301" t="s">
        <v>214</v>
      </c>
      <c r="BX175" s="301" t="s">
        <v>620</v>
      </c>
      <c r="BY175" s="301" t="s">
        <v>176</v>
      </c>
    </row>
    <row r="176" spans="1:77" s="12" customFormat="1" ht="13.5" customHeight="1">
      <c r="A176" s="64">
        <f t="shared" si="15"/>
        <v>2021</v>
      </c>
      <c r="B176" s="64">
        <f t="shared" si="16"/>
        <v>5</v>
      </c>
      <c r="C176" s="125" t="s">
        <v>191</v>
      </c>
      <c r="D176" s="168" t="str">
        <f t="shared" si="17"/>
        <v>non maj</v>
      </c>
      <c r="E176" s="292" t="s">
        <v>670</v>
      </c>
      <c r="F176" s="292" t="s">
        <v>1416</v>
      </c>
      <c r="G176" s="221">
        <v>600</v>
      </c>
      <c r="H176" s="222">
        <v>44328</v>
      </c>
      <c r="I176" s="222">
        <v>44333</v>
      </c>
      <c r="J176" s="223" t="s">
        <v>176</v>
      </c>
      <c r="K176" s="222" t="s">
        <v>176</v>
      </c>
      <c r="L176" s="223">
        <v>44341</v>
      </c>
      <c r="M176" s="223">
        <v>44341</v>
      </c>
      <c r="N176" s="223">
        <v>44347</v>
      </c>
      <c r="O176" s="222"/>
      <c r="P176" s="222">
        <v>44412</v>
      </c>
      <c r="Q176" s="222">
        <v>44400</v>
      </c>
      <c r="R176" s="222" t="s">
        <v>176</v>
      </c>
      <c r="S176" s="222">
        <v>44413</v>
      </c>
      <c r="T176" s="222">
        <v>44413</v>
      </c>
      <c r="U176" s="222">
        <v>44453</v>
      </c>
      <c r="V176" s="224"/>
      <c r="W176" s="222"/>
      <c r="X176" s="225"/>
      <c r="Y176" s="225"/>
      <c r="Z176" s="225"/>
      <c r="AA176" s="225">
        <v>3</v>
      </c>
      <c r="AB176" s="225">
        <v>43812</v>
      </c>
      <c r="AC176" s="225" t="s">
        <v>2578</v>
      </c>
      <c r="AD176" s="225" t="s">
        <v>2579</v>
      </c>
      <c r="AE176" s="225">
        <v>38210</v>
      </c>
      <c r="AF176" s="225" t="s">
        <v>265</v>
      </c>
      <c r="AG176" s="226">
        <v>649309173</v>
      </c>
      <c r="AH176" s="246" t="s">
        <v>2580</v>
      </c>
      <c r="AI176" s="225" t="s">
        <v>1168</v>
      </c>
      <c r="AJ176" s="225"/>
      <c r="AK176" s="225"/>
      <c r="AL176" s="225" t="s">
        <v>176</v>
      </c>
      <c r="AM176" s="225" t="s">
        <v>176</v>
      </c>
      <c r="AN176" s="225" t="s">
        <v>176</v>
      </c>
      <c r="AO176" s="225" t="s">
        <v>176</v>
      </c>
      <c r="AP176" s="222" t="s">
        <v>587</v>
      </c>
      <c r="AQ176" s="225" t="s">
        <v>225</v>
      </c>
      <c r="AR176" s="225" t="s">
        <v>2026</v>
      </c>
      <c r="AS176" s="241" t="s">
        <v>266</v>
      </c>
      <c r="AT176" s="226">
        <v>476069938</v>
      </c>
      <c r="AU176" s="225" t="s">
        <v>176</v>
      </c>
      <c r="AV176" s="241" t="s">
        <v>188</v>
      </c>
      <c r="AW176" s="223">
        <v>44457</v>
      </c>
      <c r="AX176" s="225" t="s">
        <v>4113</v>
      </c>
      <c r="AY176" s="242">
        <v>1997</v>
      </c>
      <c r="AZ176" s="225" t="s">
        <v>1880</v>
      </c>
      <c r="BA176" s="225" t="s">
        <v>380</v>
      </c>
      <c r="BB176" s="225" t="s">
        <v>2105</v>
      </c>
      <c r="BC176" s="225" t="s">
        <v>2581</v>
      </c>
      <c r="BD176" s="242">
        <v>29</v>
      </c>
      <c r="BE176" s="242">
        <v>8</v>
      </c>
      <c r="BF176" s="242">
        <v>81.3</v>
      </c>
      <c r="BG176" s="242">
        <v>0.1</v>
      </c>
      <c r="BH176" s="225" t="s">
        <v>1882</v>
      </c>
      <c r="BI176" s="225"/>
      <c r="BJ176" s="242">
        <f>1890+250+170+3700</f>
        <v>6010</v>
      </c>
      <c r="BK176" s="225"/>
      <c r="BL176" s="225"/>
      <c r="BM176" s="225"/>
      <c r="BN176" s="242">
        <f>590+300</f>
        <v>890</v>
      </c>
      <c r="BO176" s="242">
        <f t="shared" si="12"/>
        <v>6900</v>
      </c>
      <c r="BP176" s="242">
        <f t="shared" si="13"/>
        <v>379.5</v>
      </c>
      <c r="BQ176" s="242">
        <f t="shared" si="14"/>
        <v>7279.5</v>
      </c>
      <c r="BR176" s="230">
        <v>7279.5</v>
      </c>
      <c r="BS176" s="225" t="s">
        <v>188</v>
      </c>
      <c r="BT176" s="225"/>
      <c r="BU176" s="225"/>
      <c r="BV176" s="301" t="s">
        <v>2325</v>
      </c>
      <c r="BW176" s="301" t="s">
        <v>214</v>
      </c>
      <c r="BX176" s="301" t="s">
        <v>620</v>
      </c>
      <c r="BY176" s="301">
        <v>2021</v>
      </c>
    </row>
    <row r="177" spans="1:77" ht="13.5" customHeight="1">
      <c r="A177" s="64">
        <f t="shared" si="15"/>
        <v>2021</v>
      </c>
      <c r="B177" s="64">
        <f t="shared" si="16"/>
        <v>5</v>
      </c>
      <c r="C177" s="125" t="s">
        <v>191</v>
      </c>
      <c r="D177" s="168" t="str">
        <f t="shared" si="17"/>
        <v>maj</v>
      </c>
      <c r="E177" s="292" t="s">
        <v>670</v>
      </c>
      <c r="F177" s="292" t="s">
        <v>1417</v>
      </c>
      <c r="G177" s="221">
        <v>1000</v>
      </c>
      <c r="H177" s="222">
        <v>44328</v>
      </c>
      <c r="I177" s="222">
        <v>44333</v>
      </c>
      <c r="J177" s="223">
        <v>44341</v>
      </c>
      <c r="K177" s="222" t="s">
        <v>2582</v>
      </c>
      <c r="L177" s="223">
        <v>44343</v>
      </c>
      <c r="M177" s="223">
        <v>44343</v>
      </c>
      <c r="N177" s="223">
        <v>44351</v>
      </c>
      <c r="O177" s="222"/>
      <c r="P177" s="222">
        <v>44504</v>
      </c>
      <c r="Q177" s="222">
        <v>44489</v>
      </c>
      <c r="R177" s="222" t="s">
        <v>176</v>
      </c>
      <c r="S177" s="222">
        <v>44512</v>
      </c>
      <c r="T177" s="222">
        <v>44512</v>
      </c>
      <c r="U177" s="222">
        <v>44518</v>
      </c>
      <c r="V177" s="224"/>
      <c r="W177" s="222"/>
      <c r="X177" s="225"/>
      <c r="Y177" s="225"/>
      <c r="Z177" s="225"/>
      <c r="AA177" s="225">
        <v>3</v>
      </c>
      <c r="AB177" s="225">
        <v>11934</v>
      </c>
      <c r="AC177" s="225">
        <v>100</v>
      </c>
      <c r="AD177" s="225" t="s">
        <v>2583</v>
      </c>
      <c r="AE177" s="225">
        <v>38620</v>
      </c>
      <c r="AF177" s="225" t="s">
        <v>2382</v>
      </c>
      <c r="AG177" s="226">
        <v>677665415</v>
      </c>
      <c r="AH177" s="246" t="s">
        <v>2584</v>
      </c>
      <c r="AI177" s="225" t="s">
        <v>1168</v>
      </c>
      <c r="AJ177" s="225"/>
      <c r="AK177" s="225"/>
      <c r="AL177" s="225" t="s">
        <v>176</v>
      </c>
      <c r="AM177" s="225" t="s">
        <v>176</v>
      </c>
      <c r="AN177" s="225" t="s">
        <v>176</v>
      </c>
      <c r="AO177" s="225" t="s">
        <v>176</v>
      </c>
      <c r="AP177" s="225" t="s">
        <v>579</v>
      </c>
      <c r="AQ177" s="225" t="s">
        <v>1895</v>
      </c>
      <c r="AR177" s="225" t="s">
        <v>1896</v>
      </c>
      <c r="AS177" s="241" t="s">
        <v>201</v>
      </c>
      <c r="AT177" s="226">
        <v>608287337</v>
      </c>
      <c r="AU177" s="225" t="s">
        <v>176</v>
      </c>
      <c r="AV177" s="241" t="s">
        <v>188</v>
      </c>
      <c r="AW177" s="223">
        <v>44417</v>
      </c>
      <c r="AX177" s="225" t="s">
        <v>1880</v>
      </c>
      <c r="AY177" s="225">
        <v>2001</v>
      </c>
      <c r="AZ177" s="225" t="s">
        <v>1880</v>
      </c>
      <c r="BA177" s="225" t="s">
        <v>267</v>
      </c>
      <c r="BB177" s="225" t="s">
        <v>1897</v>
      </c>
      <c r="BC177" s="225" t="s">
        <v>2212</v>
      </c>
      <c r="BD177" s="225">
        <v>26</v>
      </c>
      <c r="BE177" s="225">
        <v>8</v>
      </c>
      <c r="BF177" s="225">
        <v>91.9</v>
      </c>
      <c r="BG177" s="225">
        <v>7.0000000000000001E-3</v>
      </c>
      <c r="BH177" s="225" t="s">
        <v>1899</v>
      </c>
      <c r="BI177" s="225"/>
      <c r="BJ177" s="225">
        <f>3119+1300</f>
        <v>4419</v>
      </c>
      <c r="BK177" s="225"/>
      <c r="BL177" s="225"/>
      <c r="BM177" s="225"/>
      <c r="BN177" s="225">
        <v>900</v>
      </c>
      <c r="BO177" s="225">
        <f t="shared" si="12"/>
        <v>5319</v>
      </c>
      <c r="BP177" s="230">
        <f t="shared" si="13"/>
        <v>292.54500000000002</v>
      </c>
      <c r="BQ177" s="230">
        <f t="shared" si="14"/>
        <v>5611.5450000000001</v>
      </c>
      <c r="BR177" s="230">
        <v>5023.6899999999996</v>
      </c>
      <c r="BS177" s="225" t="s">
        <v>191</v>
      </c>
      <c r="BT177" s="225"/>
      <c r="BU177" s="225"/>
      <c r="BV177" s="301" t="s">
        <v>2325</v>
      </c>
      <c r="BW177" s="301" t="s">
        <v>214</v>
      </c>
      <c r="BX177" s="222" t="s">
        <v>618</v>
      </c>
      <c r="BY177" s="301" t="s">
        <v>176</v>
      </c>
    </row>
    <row r="178" spans="1:77" s="12" customFormat="1" ht="13.5" customHeight="1">
      <c r="A178" s="64">
        <f t="shared" si="15"/>
        <v>2021</v>
      </c>
      <c r="B178" s="64">
        <f t="shared" si="16"/>
        <v>5</v>
      </c>
      <c r="C178" s="125" t="s">
        <v>191</v>
      </c>
      <c r="D178" s="168" t="str">
        <f t="shared" si="17"/>
        <v>maj</v>
      </c>
      <c r="E178" s="292" t="s">
        <v>670</v>
      </c>
      <c r="F178" s="292" t="s">
        <v>1418</v>
      </c>
      <c r="G178" s="221">
        <v>1000</v>
      </c>
      <c r="H178" s="222">
        <v>44335</v>
      </c>
      <c r="I178" s="222">
        <v>44337</v>
      </c>
      <c r="J178" s="223">
        <v>44341</v>
      </c>
      <c r="K178" s="222" t="s">
        <v>2281</v>
      </c>
      <c r="L178" s="223">
        <v>44341</v>
      </c>
      <c r="M178" s="223">
        <v>44341</v>
      </c>
      <c r="N178" s="223">
        <v>44347</v>
      </c>
      <c r="O178" s="222"/>
      <c r="P178" s="222">
        <v>44469</v>
      </c>
      <c r="Q178" s="222">
        <v>44459</v>
      </c>
      <c r="R178" s="222" t="s">
        <v>176</v>
      </c>
      <c r="S178" s="222">
        <v>44476</v>
      </c>
      <c r="T178" s="222">
        <v>44476</v>
      </c>
      <c r="U178" s="222">
        <v>44481</v>
      </c>
      <c r="V178" s="224"/>
      <c r="W178" s="222"/>
      <c r="X178" s="225"/>
      <c r="Y178" s="225"/>
      <c r="Z178" s="225"/>
      <c r="AA178" s="225">
        <v>2</v>
      </c>
      <c r="AB178" s="225">
        <v>27424</v>
      </c>
      <c r="AC178" s="225" t="s">
        <v>2585</v>
      </c>
      <c r="AD178" s="225" t="s">
        <v>2586</v>
      </c>
      <c r="AE178" s="225">
        <v>38140</v>
      </c>
      <c r="AF178" s="225" t="s">
        <v>1924</v>
      </c>
      <c r="AG178" s="226">
        <v>770386895</v>
      </c>
      <c r="AH178" s="246" t="s">
        <v>2587</v>
      </c>
      <c r="AI178" s="225" t="s">
        <v>1168</v>
      </c>
      <c r="AJ178" s="225"/>
      <c r="AK178" s="225"/>
      <c r="AL178" s="225" t="s">
        <v>176</v>
      </c>
      <c r="AM178" s="225" t="s">
        <v>176</v>
      </c>
      <c r="AN178" s="225" t="s">
        <v>176</v>
      </c>
      <c r="AO178" s="225" t="s">
        <v>176</v>
      </c>
      <c r="AP178" s="222" t="s">
        <v>587</v>
      </c>
      <c r="AQ178" s="225" t="s">
        <v>225</v>
      </c>
      <c r="AR178" s="225" t="s">
        <v>2026</v>
      </c>
      <c r="AS178" s="241" t="s">
        <v>266</v>
      </c>
      <c r="AT178" s="226">
        <v>476069938</v>
      </c>
      <c r="AU178" s="225" t="s">
        <v>176</v>
      </c>
      <c r="AV178" s="241" t="s">
        <v>188</v>
      </c>
      <c r="AW178" s="223">
        <v>44822</v>
      </c>
      <c r="AX178" s="225" t="s">
        <v>4113</v>
      </c>
      <c r="AY178" s="242">
        <v>1990</v>
      </c>
      <c r="AZ178" s="225" t="s">
        <v>1880</v>
      </c>
      <c r="BA178" s="225" t="s">
        <v>380</v>
      </c>
      <c r="BB178" s="225" t="s">
        <v>280</v>
      </c>
      <c r="BC178" s="225" t="s">
        <v>2414</v>
      </c>
      <c r="BD178" s="242">
        <v>17</v>
      </c>
      <c r="BE178" s="242">
        <v>9</v>
      </c>
      <c r="BF178" s="242">
        <v>79.5</v>
      </c>
      <c r="BG178" s="242">
        <v>0.12</v>
      </c>
      <c r="BH178" s="225" t="s">
        <v>1882</v>
      </c>
      <c r="BI178" s="225"/>
      <c r="BJ178" s="242">
        <f>550+250+290+89+2750</f>
        <v>3929</v>
      </c>
      <c r="BK178" s="225"/>
      <c r="BL178" s="225"/>
      <c r="BM178" s="225"/>
      <c r="BN178" s="242">
        <f>450+300</f>
        <v>750</v>
      </c>
      <c r="BO178" s="242">
        <f t="shared" si="12"/>
        <v>4679</v>
      </c>
      <c r="BP178" s="242">
        <f t="shared" si="13"/>
        <v>257.34500000000003</v>
      </c>
      <c r="BQ178" s="242">
        <f t="shared" si="14"/>
        <v>4936.3450000000003</v>
      </c>
      <c r="BR178" s="230">
        <v>4936.3500000000004</v>
      </c>
      <c r="BS178" s="225" t="s">
        <v>188</v>
      </c>
      <c r="BT178" s="225"/>
      <c r="BU178" s="225"/>
      <c r="BV178" s="301" t="s">
        <v>2325</v>
      </c>
      <c r="BW178" s="301" t="s">
        <v>214</v>
      </c>
      <c r="BX178" s="222" t="s">
        <v>618</v>
      </c>
      <c r="BY178" s="301">
        <v>2021</v>
      </c>
    </row>
    <row r="179" spans="1:77" s="12" customFormat="1" ht="13.5" customHeight="1">
      <c r="A179" s="64">
        <f t="shared" si="15"/>
        <v>1900</v>
      </c>
      <c r="B179" s="64">
        <f t="shared" si="16"/>
        <v>1</v>
      </c>
      <c r="C179" s="125" t="s">
        <v>188</v>
      </c>
      <c r="D179" s="168" t="str">
        <f t="shared" si="17"/>
        <v>NC</v>
      </c>
      <c r="E179" s="294" t="s">
        <v>670</v>
      </c>
      <c r="F179" s="294" t="s">
        <v>1419</v>
      </c>
      <c r="G179" s="221" t="s">
        <v>2588</v>
      </c>
      <c r="H179" s="222">
        <v>44336</v>
      </c>
      <c r="I179" s="222">
        <v>44337</v>
      </c>
      <c r="J179" s="223">
        <v>44341</v>
      </c>
      <c r="K179" s="222" t="s">
        <v>2589</v>
      </c>
      <c r="L179" s="223"/>
      <c r="M179" s="223"/>
      <c r="N179" s="223"/>
      <c r="O179" s="222"/>
      <c r="P179" s="222"/>
      <c r="Q179" s="222"/>
      <c r="R179" s="222"/>
      <c r="S179" s="222"/>
      <c r="T179" s="222"/>
      <c r="U179" s="222"/>
      <c r="V179" s="224"/>
      <c r="W179" s="222">
        <v>44930</v>
      </c>
      <c r="X179" s="225" t="s">
        <v>2590</v>
      </c>
      <c r="Y179" s="225"/>
      <c r="Z179" s="225"/>
      <c r="AA179" s="225">
        <v>2</v>
      </c>
      <c r="AB179" s="225">
        <v>46144</v>
      </c>
      <c r="AC179" s="225">
        <v>961</v>
      </c>
      <c r="AD179" s="225" t="s">
        <v>2591</v>
      </c>
      <c r="AE179" s="225">
        <v>38620</v>
      </c>
      <c r="AF179" s="225" t="s">
        <v>2249</v>
      </c>
      <c r="AG179" s="226">
        <v>675872516</v>
      </c>
      <c r="AH179" s="246" t="s">
        <v>2592</v>
      </c>
      <c r="AI179" s="225" t="s">
        <v>1168</v>
      </c>
      <c r="AJ179" s="225"/>
      <c r="AK179" s="225"/>
      <c r="AL179" s="225" t="s">
        <v>176</v>
      </c>
      <c r="AM179" s="225" t="s">
        <v>176</v>
      </c>
      <c r="AN179" s="225" t="s">
        <v>176</v>
      </c>
      <c r="AO179" s="225" t="s">
        <v>176</v>
      </c>
      <c r="AP179" s="225" t="s">
        <v>940</v>
      </c>
      <c r="AQ179" s="225" t="s">
        <v>2593</v>
      </c>
      <c r="AR179" s="225" t="s">
        <v>2594</v>
      </c>
      <c r="AS179" s="241" t="s">
        <v>2595</v>
      </c>
      <c r="AT179" s="226">
        <v>623564343</v>
      </c>
      <c r="AU179" s="225" t="s">
        <v>176</v>
      </c>
      <c r="AV179" s="241" t="s">
        <v>191</v>
      </c>
      <c r="AW179" s="223">
        <v>44414</v>
      </c>
      <c r="AX179" s="225" t="s">
        <v>4113</v>
      </c>
      <c r="AY179" s="225">
        <v>1990</v>
      </c>
      <c r="AZ179" s="225" t="s">
        <v>1181</v>
      </c>
      <c r="BA179" s="225" t="s">
        <v>267</v>
      </c>
      <c r="BB179" s="225" t="s">
        <v>205</v>
      </c>
      <c r="BC179" s="225" t="s">
        <v>2596</v>
      </c>
      <c r="BD179" s="225">
        <v>18</v>
      </c>
      <c r="BE179" s="225">
        <v>15</v>
      </c>
      <c r="BF179" s="225">
        <v>95.2</v>
      </c>
      <c r="BG179" s="225">
        <v>3.0000000000000001E-3</v>
      </c>
      <c r="BH179" s="225" t="s">
        <v>1882</v>
      </c>
      <c r="BI179" s="225"/>
      <c r="BJ179" s="225">
        <f>950+14021+1185+190+120+480+1331+140+350</f>
        <v>18767</v>
      </c>
      <c r="BK179" s="225"/>
      <c r="BL179" s="225"/>
      <c r="BM179" s="225"/>
      <c r="BN179" s="225">
        <f>300+1100+3480</f>
        <v>4880</v>
      </c>
      <c r="BO179" s="225">
        <f t="shared" si="12"/>
        <v>23647</v>
      </c>
      <c r="BP179" s="230">
        <f t="shared" si="13"/>
        <v>1300.585</v>
      </c>
      <c r="BQ179" s="230">
        <f t="shared" si="14"/>
        <v>24947.584999999999</v>
      </c>
      <c r="BR179" s="230">
        <v>28090.43</v>
      </c>
      <c r="BS179" s="225" t="s">
        <v>188</v>
      </c>
      <c r="BT179" s="225"/>
      <c r="BU179" s="225"/>
      <c r="BV179" s="231">
        <v>0</v>
      </c>
      <c r="BW179" s="301" t="s">
        <v>214</v>
      </c>
      <c r="BX179" s="301" t="s">
        <v>214</v>
      </c>
      <c r="BY179" s="301"/>
    </row>
    <row r="180" spans="1:77" ht="13.5" customHeight="1">
      <c r="A180" s="64">
        <f t="shared" si="15"/>
        <v>2021</v>
      </c>
      <c r="B180" s="64">
        <f t="shared" si="16"/>
        <v>5</v>
      </c>
      <c r="C180" s="125" t="s">
        <v>191</v>
      </c>
      <c r="D180" s="168" t="str">
        <f t="shared" si="17"/>
        <v>maj</v>
      </c>
      <c r="E180" s="292" t="s">
        <v>670</v>
      </c>
      <c r="F180" s="292" t="s">
        <v>1420</v>
      </c>
      <c r="G180" s="221">
        <v>1000</v>
      </c>
      <c r="H180" s="222">
        <v>44337</v>
      </c>
      <c r="I180" s="222">
        <v>44337</v>
      </c>
      <c r="J180" s="223" t="s">
        <v>176</v>
      </c>
      <c r="K180" s="222" t="s">
        <v>176</v>
      </c>
      <c r="L180" s="223">
        <v>44341</v>
      </c>
      <c r="M180" s="223">
        <v>44341</v>
      </c>
      <c r="N180" s="223">
        <v>44347</v>
      </c>
      <c r="O180" s="222"/>
      <c r="P180" s="222">
        <v>44489</v>
      </c>
      <c r="Q180" s="222">
        <v>44480</v>
      </c>
      <c r="R180" s="222" t="s">
        <v>176</v>
      </c>
      <c r="S180" s="222">
        <v>44491</v>
      </c>
      <c r="T180" s="222">
        <v>44491</v>
      </c>
      <c r="U180" s="222">
        <v>44495</v>
      </c>
      <c r="V180" s="224"/>
      <c r="W180" s="222"/>
      <c r="X180" s="225"/>
      <c r="Y180" s="225"/>
      <c r="Z180" s="225"/>
      <c r="AA180" s="225">
        <v>2</v>
      </c>
      <c r="AB180" s="225">
        <v>14287</v>
      </c>
      <c r="AC180" s="225">
        <v>23</v>
      </c>
      <c r="AD180" s="225" t="s">
        <v>2597</v>
      </c>
      <c r="AE180" s="225">
        <v>38500</v>
      </c>
      <c r="AF180" s="225" t="s">
        <v>225</v>
      </c>
      <c r="AG180" s="226">
        <v>659473070</v>
      </c>
      <c r="AH180" s="295" t="s">
        <v>2598</v>
      </c>
      <c r="AI180" s="225" t="s">
        <v>1168</v>
      </c>
      <c r="AJ180" s="225"/>
      <c r="AK180" s="225"/>
      <c r="AL180" s="225" t="s">
        <v>176</v>
      </c>
      <c r="AM180" s="225" t="s">
        <v>176</v>
      </c>
      <c r="AN180" s="225" t="s">
        <v>176</v>
      </c>
      <c r="AO180" s="225" t="s">
        <v>176</v>
      </c>
      <c r="AP180" s="225" t="s">
        <v>1888</v>
      </c>
      <c r="AQ180" s="225" t="s">
        <v>225</v>
      </c>
      <c r="AR180" s="225" t="s">
        <v>1889</v>
      </c>
      <c r="AS180" s="295" t="s">
        <v>269</v>
      </c>
      <c r="AT180" s="226" t="s">
        <v>600</v>
      </c>
      <c r="AU180" s="225" t="s">
        <v>176</v>
      </c>
      <c r="AV180" s="251" t="s">
        <v>188</v>
      </c>
      <c r="AW180" s="223">
        <v>44138</v>
      </c>
      <c r="AX180" s="225" t="s">
        <v>4113</v>
      </c>
      <c r="AY180" s="225">
        <v>1990</v>
      </c>
      <c r="AZ180" s="225" t="s">
        <v>1880</v>
      </c>
      <c r="BA180" s="225" t="s">
        <v>380</v>
      </c>
      <c r="BB180" s="225" t="s">
        <v>1936</v>
      </c>
      <c r="BC180" s="225" t="s">
        <v>2599</v>
      </c>
      <c r="BD180" s="225">
        <v>31</v>
      </c>
      <c r="BE180" s="225">
        <v>6</v>
      </c>
      <c r="BF180" s="225">
        <v>80</v>
      </c>
      <c r="BG180" s="225">
        <v>0.08</v>
      </c>
      <c r="BH180" s="225" t="s">
        <v>1882</v>
      </c>
      <c r="BI180" s="225"/>
      <c r="BJ180" s="225">
        <f>1688+300+88+101+68+90+45+120+22+47+20</f>
        <v>2589</v>
      </c>
      <c r="BK180" s="225"/>
      <c r="BL180" s="225"/>
      <c r="BM180" s="225"/>
      <c r="BN180" s="225">
        <f>180+30+450</f>
        <v>660</v>
      </c>
      <c r="BO180" s="225">
        <f t="shared" si="12"/>
        <v>3249</v>
      </c>
      <c r="BP180" s="230">
        <f t="shared" si="13"/>
        <v>178.69499999999999</v>
      </c>
      <c r="BQ180" s="230">
        <f t="shared" si="14"/>
        <v>3427.6950000000002</v>
      </c>
      <c r="BR180" s="230">
        <v>2882.26</v>
      </c>
      <c r="BS180" s="225" t="s">
        <v>188</v>
      </c>
      <c r="BT180" s="225"/>
      <c r="BU180" s="225"/>
      <c r="BV180" s="225" t="s">
        <v>2325</v>
      </c>
      <c r="BW180" s="301" t="s">
        <v>214</v>
      </c>
      <c r="BX180" s="222" t="s">
        <v>618</v>
      </c>
      <c r="BY180" s="225">
        <v>2021</v>
      </c>
    </row>
    <row r="181" spans="1:77" s="12" customFormat="1" ht="13.5" customHeight="1">
      <c r="A181" s="64">
        <f t="shared" si="15"/>
        <v>2021</v>
      </c>
      <c r="B181" s="64">
        <f t="shared" si="16"/>
        <v>5</v>
      </c>
      <c r="C181" s="125" t="s">
        <v>191</v>
      </c>
      <c r="D181" s="168" t="str">
        <f t="shared" si="17"/>
        <v>non maj</v>
      </c>
      <c r="E181" s="292" t="s">
        <v>670</v>
      </c>
      <c r="F181" s="292" t="s">
        <v>2600</v>
      </c>
      <c r="G181" s="221">
        <v>600</v>
      </c>
      <c r="H181" s="222">
        <v>44337</v>
      </c>
      <c r="I181" s="222">
        <v>44337</v>
      </c>
      <c r="J181" s="223" t="s">
        <v>176</v>
      </c>
      <c r="K181" s="222" t="s">
        <v>176</v>
      </c>
      <c r="L181" s="223">
        <v>44341</v>
      </c>
      <c r="M181" s="223">
        <v>44341</v>
      </c>
      <c r="N181" s="223">
        <v>44347</v>
      </c>
      <c r="O181" s="222"/>
      <c r="P181" s="222">
        <v>44448</v>
      </c>
      <c r="Q181" s="222">
        <v>44412</v>
      </c>
      <c r="R181" s="222" t="s">
        <v>176</v>
      </c>
      <c r="S181" s="222">
        <v>44455</v>
      </c>
      <c r="T181" s="222">
        <v>44455</v>
      </c>
      <c r="U181" s="222">
        <v>44469</v>
      </c>
      <c r="V181" s="224"/>
      <c r="W181" s="222"/>
      <c r="X181" s="225"/>
      <c r="Y181" s="225"/>
      <c r="Z181" s="225"/>
      <c r="AA181" s="225">
        <v>2</v>
      </c>
      <c r="AB181" s="225">
        <v>42540</v>
      </c>
      <c r="AC181" s="225">
        <v>484</v>
      </c>
      <c r="AD181" s="225" t="s">
        <v>2601</v>
      </c>
      <c r="AE181" s="225">
        <v>38620</v>
      </c>
      <c r="AF181" s="225" t="s">
        <v>1871</v>
      </c>
      <c r="AG181" s="226">
        <v>637068367</v>
      </c>
      <c r="AH181" s="246" t="s">
        <v>2602</v>
      </c>
      <c r="AI181" s="225" t="s">
        <v>1168</v>
      </c>
      <c r="AJ181" s="225"/>
      <c r="AK181" s="225"/>
      <c r="AL181" s="225" t="s">
        <v>176</v>
      </c>
      <c r="AM181" s="225" t="s">
        <v>176</v>
      </c>
      <c r="AN181" s="225" t="s">
        <v>176</v>
      </c>
      <c r="AO181" s="225" t="s">
        <v>176</v>
      </c>
      <c r="AP181" s="225" t="s">
        <v>579</v>
      </c>
      <c r="AQ181" s="225" t="s">
        <v>1895</v>
      </c>
      <c r="AR181" s="225" t="s">
        <v>1896</v>
      </c>
      <c r="AS181" s="241" t="s">
        <v>201</v>
      </c>
      <c r="AT181" s="226">
        <v>608287337</v>
      </c>
      <c r="AU181" s="225" t="s">
        <v>176</v>
      </c>
      <c r="AV181" s="241" t="s">
        <v>188</v>
      </c>
      <c r="AW181" s="223">
        <v>44782</v>
      </c>
      <c r="AX181" s="225" t="s">
        <v>1880</v>
      </c>
      <c r="AY181" s="225" t="s">
        <v>1935</v>
      </c>
      <c r="AZ181" s="225" t="s">
        <v>1880</v>
      </c>
      <c r="BA181" s="225" t="s">
        <v>267</v>
      </c>
      <c r="BB181" s="225" t="s">
        <v>420</v>
      </c>
      <c r="BC181" s="225" t="s">
        <v>2603</v>
      </c>
      <c r="BD181" s="225">
        <v>14.7</v>
      </c>
      <c r="BE181" s="225">
        <v>9.6</v>
      </c>
      <c r="BF181" s="225">
        <v>92.5</v>
      </c>
      <c r="BG181" s="225">
        <v>8.0000000000000002E-3</v>
      </c>
      <c r="BH181" s="225" t="s">
        <v>1899</v>
      </c>
      <c r="BI181" s="225"/>
      <c r="BJ181" s="225">
        <f>3398+567+594</f>
        <v>4559</v>
      </c>
      <c r="BK181" s="225"/>
      <c r="BL181" s="225"/>
      <c r="BM181" s="225"/>
      <c r="BN181" s="225">
        <v>650</v>
      </c>
      <c r="BO181" s="225">
        <f t="shared" si="12"/>
        <v>5209</v>
      </c>
      <c r="BP181" s="230">
        <f t="shared" si="13"/>
        <v>286.495</v>
      </c>
      <c r="BQ181" s="230">
        <f t="shared" si="14"/>
        <v>5495.4949999999999</v>
      </c>
      <c r="BR181" s="230">
        <v>5000</v>
      </c>
      <c r="BS181" s="225" t="s">
        <v>191</v>
      </c>
      <c r="BT181" s="225"/>
      <c r="BU181" s="225"/>
      <c r="BV181" s="301" t="s">
        <v>2325</v>
      </c>
      <c r="BW181" s="301" t="s">
        <v>214</v>
      </c>
      <c r="BX181" s="301" t="s">
        <v>620</v>
      </c>
      <c r="BY181" s="301" t="s">
        <v>176</v>
      </c>
    </row>
    <row r="182" spans="1:77" s="12" customFormat="1" ht="13.5" customHeight="1">
      <c r="A182" s="64">
        <f t="shared" si="15"/>
        <v>2021</v>
      </c>
      <c r="B182" s="64">
        <f t="shared" si="16"/>
        <v>5</v>
      </c>
      <c r="C182" s="125" t="s">
        <v>191</v>
      </c>
      <c r="D182" s="168" t="str">
        <f t="shared" si="17"/>
        <v>maj</v>
      </c>
      <c r="E182" s="292" t="s">
        <v>670</v>
      </c>
      <c r="F182" s="292" t="s">
        <v>1422</v>
      </c>
      <c r="G182" s="221">
        <v>1000</v>
      </c>
      <c r="H182" s="222">
        <v>44340</v>
      </c>
      <c r="I182" s="222">
        <v>44341</v>
      </c>
      <c r="J182" s="223">
        <v>44341</v>
      </c>
      <c r="K182" s="222" t="s">
        <v>1044</v>
      </c>
      <c r="L182" s="223">
        <v>44347</v>
      </c>
      <c r="M182" s="223">
        <v>44347</v>
      </c>
      <c r="N182" s="223">
        <v>44354</v>
      </c>
      <c r="O182" s="222"/>
      <c r="P182" s="222">
        <v>44503</v>
      </c>
      <c r="Q182" s="222">
        <v>44406</v>
      </c>
      <c r="R182" s="222" t="s">
        <v>176</v>
      </c>
      <c r="S182" s="222">
        <v>44512</v>
      </c>
      <c r="T182" s="222">
        <v>44512</v>
      </c>
      <c r="U182" s="222">
        <v>44518</v>
      </c>
      <c r="V182" s="224"/>
      <c r="W182" s="222"/>
      <c r="X182" s="225"/>
      <c r="Y182" s="225"/>
      <c r="Z182" s="225"/>
      <c r="AA182" s="225">
        <v>5</v>
      </c>
      <c r="AB182" s="225">
        <v>41879</v>
      </c>
      <c r="AC182" s="225">
        <v>181</v>
      </c>
      <c r="AD182" s="225" t="s">
        <v>2604</v>
      </c>
      <c r="AE182" s="225">
        <v>38620</v>
      </c>
      <c r="AF182" s="225" t="s">
        <v>2382</v>
      </c>
      <c r="AG182" s="226">
        <v>651152215</v>
      </c>
      <c r="AH182" s="246" t="s">
        <v>2605</v>
      </c>
      <c r="AI182" s="225" t="s">
        <v>1168</v>
      </c>
      <c r="AJ182" s="225"/>
      <c r="AK182" s="225"/>
      <c r="AL182" s="225" t="s">
        <v>176</v>
      </c>
      <c r="AM182" s="225" t="s">
        <v>176</v>
      </c>
      <c r="AN182" s="225" t="s">
        <v>176</v>
      </c>
      <c r="AO182" s="225" t="s">
        <v>176</v>
      </c>
      <c r="AP182" s="225" t="s">
        <v>268</v>
      </c>
      <c r="AQ182" s="225" t="s">
        <v>1893</v>
      </c>
      <c r="AR182" s="225" t="s">
        <v>1933</v>
      </c>
      <c r="AS182" s="246" t="s">
        <v>1934</v>
      </c>
      <c r="AT182" s="226">
        <v>476355605</v>
      </c>
      <c r="AU182" s="225" t="s">
        <v>176</v>
      </c>
      <c r="AV182" s="241" t="s">
        <v>188</v>
      </c>
      <c r="AW182" s="223">
        <v>44495</v>
      </c>
      <c r="AX182" s="225" t="s">
        <v>4113</v>
      </c>
      <c r="AY182" s="225">
        <v>2001</v>
      </c>
      <c r="AZ182" s="225" t="s">
        <v>4113</v>
      </c>
      <c r="BA182" s="225" t="s">
        <v>380</v>
      </c>
      <c r="BB182" s="225" t="s">
        <v>1936</v>
      </c>
      <c r="BC182" s="225" t="s">
        <v>2606</v>
      </c>
      <c r="BD182" s="225">
        <v>23</v>
      </c>
      <c r="BE182" s="225">
        <v>10</v>
      </c>
      <c r="BF182" s="225">
        <v>78</v>
      </c>
      <c r="BG182" s="225">
        <v>7.0000000000000007E-2</v>
      </c>
      <c r="BH182" s="225" t="s">
        <v>1882</v>
      </c>
      <c r="BI182" s="225"/>
      <c r="BJ182" s="225">
        <f>87.59+316.9+246.42+226.13+72.41+977.76+110.12+69.05+312.1+87.04+70.86+68.69+207+295.6+365.75+1745+565+290.55+266.4</f>
        <v>6380.37</v>
      </c>
      <c r="BK182" s="225"/>
      <c r="BL182" s="225"/>
      <c r="BM182" s="225"/>
      <c r="BN182" s="225">
        <f>770+178.69+1150</f>
        <v>2098.69</v>
      </c>
      <c r="BO182" s="225">
        <f t="shared" si="12"/>
        <v>8479.06</v>
      </c>
      <c r="BP182" s="230">
        <f t="shared" si="13"/>
        <v>466.34829999999999</v>
      </c>
      <c r="BQ182" s="230">
        <f t="shared" si="14"/>
        <v>8945.4082999999991</v>
      </c>
      <c r="BR182" s="230">
        <v>8945.41</v>
      </c>
      <c r="BS182" s="225" t="s">
        <v>191</v>
      </c>
      <c r="BT182" s="225"/>
      <c r="BU182" s="225"/>
      <c r="BV182" s="301" t="s">
        <v>2325</v>
      </c>
      <c r="BW182" s="301" t="s">
        <v>214</v>
      </c>
      <c r="BX182" s="222" t="s">
        <v>618</v>
      </c>
      <c r="BY182" s="301">
        <v>2021</v>
      </c>
    </row>
    <row r="183" spans="1:77" s="12" customFormat="1" ht="13.5" customHeight="1">
      <c r="A183" s="64" t="e">
        <f t="shared" si="15"/>
        <v>#VALUE!</v>
      </c>
      <c r="B183" s="64" t="e">
        <f t="shared" si="16"/>
        <v>#VALUE!</v>
      </c>
      <c r="C183" s="125" t="s">
        <v>188</v>
      </c>
      <c r="D183" s="168" t="str">
        <f t="shared" si="17"/>
        <v>NC</v>
      </c>
      <c r="E183" s="291" t="s">
        <v>670</v>
      </c>
      <c r="F183" s="291" t="s">
        <v>1423</v>
      </c>
      <c r="G183" s="221" t="s">
        <v>176</v>
      </c>
      <c r="H183" s="222">
        <v>44341</v>
      </c>
      <c r="I183" s="222">
        <v>44341</v>
      </c>
      <c r="J183" s="223">
        <v>44341</v>
      </c>
      <c r="K183" s="222" t="s">
        <v>2607</v>
      </c>
      <c r="L183" s="223" t="s">
        <v>176</v>
      </c>
      <c r="M183" s="223" t="s">
        <v>176</v>
      </c>
      <c r="N183" s="223" t="s">
        <v>176</v>
      </c>
      <c r="O183" s="222"/>
      <c r="P183" s="222" t="s">
        <v>176</v>
      </c>
      <c r="Q183" s="222" t="s">
        <v>176</v>
      </c>
      <c r="R183" s="222" t="s">
        <v>176</v>
      </c>
      <c r="S183" s="222" t="s">
        <v>176</v>
      </c>
      <c r="T183" s="222" t="s">
        <v>176</v>
      </c>
      <c r="U183" s="222" t="s">
        <v>176</v>
      </c>
      <c r="V183" s="224"/>
      <c r="W183" s="222">
        <v>44347</v>
      </c>
      <c r="X183" s="225" t="s">
        <v>1939</v>
      </c>
      <c r="Y183" s="225"/>
      <c r="Z183" s="225"/>
      <c r="AA183" s="225">
        <v>2</v>
      </c>
      <c r="AB183" s="225">
        <v>46714</v>
      </c>
      <c r="AC183" s="225">
        <v>97</v>
      </c>
      <c r="AD183" s="225" t="s">
        <v>2608</v>
      </c>
      <c r="AE183" s="225">
        <v>38730</v>
      </c>
      <c r="AF183" s="225" t="s">
        <v>1916</v>
      </c>
      <c r="AG183" s="226">
        <v>607063767</v>
      </c>
      <c r="AH183" s="246" t="s">
        <v>2609</v>
      </c>
      <c r="AI183" s="225" t="s">
        <v>1168</v>
      </c>
      <c r="AJ183" s="225"/>
      <c r="AK183" s="225"/>
      <c r="AL183" s="225" t="s">
        <v>176</v>
      </c>
      <c r="AM183" s="225" t="s">
        <v>176</v>
      </c>
      <c r="AN183" s="225" t="s">
        <v>176</v>
      </c>
      <c r="AO183" s="225" t="s">
        <v>176</v>
      </c>
      <c r="AP183" s="222" t="s">
        <v>587</v>
      </c>
      <c r="AQ183" s="225" t="s">
        <v>225</v>
      </c>
      <c r="AR183" s="225" t="s">
        <v>2026</v>
      </c>
      <c r="AS183" s="241" t="s">
        <v>266</v>
      </c>
      <c r="AT183" s="226">
        <v>476069938</v>
      </c>
      <c r="AU183" s="225" t="s">
        <v>176</v>
      </c>
      <c r="AV183" s="241" t="s">
        <v>188</v>
      </c>
      <c r="AW183" s="223">
        <v>44457</v>
      </c>
      <c r="AX183" s="225" t="s">
        <v>4113</v>
      </c>
      <c r="AY183" s="242">
        <v>2001</v>
      </c>
      <c r="AZ183" s="225" t="s">
        <v>1880</v>
      </c>
      <c r="BA183" s="225" t="s">
        <v>267</v>
      </c>
      <c r="BB183" s="225" t="s">
        <v>2105</v>
      </c>
      <c r="BC183" s="225" t="s">
        <v>2610</v>
      </c>
      <c r="BD183" s="242">
        <v>18.399999999999999</v>
      </c>
      <c r="BE183" s="242">
        <v>9</v>
      </c>
      <c r="BF183" s="242">
        <v>90</v>
      </c>
      <c r="BG183" s="242">
        <v>2E-3</v>
      </c>
      <c r="BH183" s="225" t="s">
        <v>191</v>
      </c>
      <c r="BI183" s="225"/>
      <c r="BJ183" s="242">
        <f>4041.67+1479+110</f>
        <v>5630.67</v>
      </c>
      <c r="BK183" s="225"/>
      <c r="BL183" s="225"/>
      <c r="BM183" s="225"/>
      <c r="BN183" s="242">
        <f>1+590</f>
        <v>591</v>
      </c>
      <c r="BO183" s="242">
        <f t="shared" si="12"/>
        <v>6221.67</v>
      </c>
      <c r="BP183" s="242">
        <f t="shared" si="13"/>
        <v>342.19184999999999</v>
      </c>
      <c r="BQ183" s="242">
        <f t="shared" si="14"/>
        <v>6563.8618500000002</v>
      </c>
      <c r="BR183" s="230">
        <v>6563.86</v>
      </c>
      <c r="BS183" s="225" t="s">
        <v>188</v>
      </c>
      <c r="BT183" s="225"/>
      <c r="BU183" s="225"/>
      <c r="BV183" s="301">
        <v>0</v>
      </c>
      <c r="BW183" s="301" t="s">
        <v>214</v>
      </c>
      <c r="BX183" s="301" t="s">
        <v>214</v>
      </c>
      <c r="BY183" s="301" t="s">
        <v>176</v>
      </c>
    </row>
    <row r="184" spans="1:77" ht="13.5" customHeight="1">
      <c r="A184" s="64">
        <f t="shared" si="15"/>
        <v>2021</v>
      </c>
      <c r="B184" s="64">
        <f t="shared" si="16"/>
        <v>5</v>
      </c>
      <c r="C184" s="125" t="s">
        <v>191</v>
      </c>
      <c r="D184" s="168" t="str">
        <f t="shared" si="17"/>
        <v>non maj</v>
      </c>
      <c r="E184" s="292" t="s">
        <v>670</v>
      </c>
      <c r="F184" s="292" t="s">
        <v>1424</v>
      </c>
      <c r="G184" s="221">
        <v>600</v>
      </c>
      <c r="H184" s="222">
        <v>44341</v>
      </c>
      <c r="I184" s="222">
        <v>44341</v>
      </c>
      <c r="J184" s="223" t="s">
        <v>176</v>
      </c>
      <c r="K184" s="222" t="s">
        <v>176</v>
      </c>
      <c r="L184" s="223">
        <v>44347</v>
      </c>
      <c r="M184" s="223">
        <v>44347</v>
      </c>
      <c r="N184" s="223">
        <v>44354</v>
      </c>
      <c r="O184" s="222"/>
      <c r="P184" s="222">
        <v>44489</v>
      </c>
      <c r="Q184" s="222">
        <v>44459</v>
      </c>
      <c r="R184" s="222" t="s">
        <v>176</v>
      </c>
      <c r="S184" s="222">
        <v>44491</v>
      </c>
      <c r="T184" s="222">
        <v>44491</v>
      </c>
      <c r="U184" s="222">
        <v>44496</v>
      </c>
      <c r="V184" s="224"/>
      <c r="W184" s="222"/>
      <c r="X184" s="225"/>
      <c r="Y184" s="225"/>
      <c r="Z184" s="225"/>
      <c r="AA184" s="225">
        <v>2</v>
      </c>
      <c r="AB184" s="225">
        <v>70770</v>
      </c>
      <c r="AC184" s="225">
        <v>7</v>
      </c>
      <c r="AD184" s="225" t="s">
        <v>2611</v>
      </c>
      <c r="AE184" s="225">
        <v>38500</v>
      </c>
      <c r="AF184" s="225" t="s">
        <v>271</v>
      </c>
      <c r="AG184" s="226">
        <v>626073969</v>
      </c>
      <c r="AH184" s="246" t="s">
        <v>2612</v>
      </c>
      <c r="AI184" s="225" t="s">
        <v>1168</v>
      </c>
      <c r="AJ184" s="225"/>
      <c r="AK184" s="225"/>
      <c r="AL184" s="225" t="s">
        <v>176</v>
      </c>
      <c r="AM184" s="225" t="s">
        <v>176</v>
      </c>
      <c r="AN184" s="225" t="s">
        <v>176</v>
      </c>
      <c r="AO184" s="225" t="s">
        <v>176</v>
      </c>
      <c r="AP184" s="225" t="s">
        <v>2613</v>
      </c>
      <c r="AQ184" s="225" t="s">
        <v>387</v>
      </c>
      <c r="AR184" s="225" t="s">
        <v>2614</v>
      </c>
      <c r="AS184" s="241" t="s">
        <v>2615</v>
      </c>
      <c r="AT184" s="226">
        <v>662398956</v>
      </c>
      <c r="AU184" s="225" t="s">
        <v>176</v>
      </c>
      <c r="AV184" s="241" t="s">
        <v>188</v>
      </c>
      <c r="AW184" s="223">
        <v>44658</v>
      </c>
      <c r="AX184" s="225" t="s">
        <v>1879</v>
      </c>
      <c r="AY184" s="225">
        <v>2000</v>
      </c>
      <c r="AZ184" s="225" t="s">
        <v>1880</v>
      </c>
      <c r="BA184" s="225" t="s">
        <v>380</v>
      </c>
      <c r="BB184" s="225" t="s">
        <v>270</v>
      </c>
      <c r="BC184" s="225" t="s">
        <v>2616</v>
      </c>
      <c r="BD184" s="225">
        <v>32</v>
      </c>
      <c r="BE184" s="225">
        <v>4</v>
      </c>
      <c r="BF184" s="225">
        <v>80.8</v>
      </c>
      <c r="BG184" s="225">
        <v>0.11</v>
      </c>
      <c r="BH184" s="225" t="s">
        <v>1882</v>
      </c>
      <c r="BI184" s="225"/>
      <c r="BJ184" s="225">
        <f>2416.67+20.69+75.62+35.82+611.87+75.77+104.54+19.94+60.68+99.47</f>
        <v>3521.0699999999997</v>
      </c>
      <c r="BK184" s="225"/>
      <c r="BL184" s="225"/>
      <c r="BM184" s="225"/>
      <c r="BN184" s="225">
        <f>47.39+473.93+132.69+473.93</f>
        <v>1127.94</v>
      </c>
      <c r="BO184" s="225">
        <f t="shared" si="12"/>
        <v>4649.01</v>
      </c>
      <c r="BP184" s="230">
        <f t="shared" si="13"/>
        <v>255.69555000000003</v>
      </c>
      <c r="BQ184" s="230">
        <f t="shared" si="14"/>
        <v>4904.7055500000006</v>
      </c>
      <c r="BR184" s="230">
        <v>4588.21</v>
      </c>
      <c r="BS184" s="225" t="s">
        <v>191</v>
      </c>
      <c r="BT184" s="225"/>
      <c r="BU184" s="225"/>
      <c r="BV184" s="301" t="s">
        <v>2325</v>
      </c>
      <c r="BW184" s="301" t="s">
        <v>214</v>
      </c>
      <c r="BX184" s="301" t="s">
        <v>620</v>
      </c>
      <c r="BY184" s="301">
        <v>2021</v>
      </c>
    </row>
    <row r="185" spans="1:77" ht="13.5" customHeight="1">
      <c r="A185" s="64">
        <f t="shared" si="15"/>
        <v>2021</v>
      </c>
      <c r="B185" s="64">
        <f t="shared" si="16"/>
        <v>5</v>
      </c>
      <c r="C185" s="125" t="s">
        <v>191</v>
      </c>
      <c r="D185" s="168" t="str">
        <f t="shared" si="17"/>
        <v>non maj</v>
      </c>
      <c r="E185" s="292" t="s">
        <v>670</v>
      </c>
      <c r="F185" s="292" t="s">
        <v>1425</v>
      </c>
      <c r="G185" s="221">
        <v>600</v>
      </c>
      <c r="H185" s="222">
        <v>44344</v>
      </c>
      <c r="I185" s="222">
        <v>44344</v>
      </c>
      <c r="J185" s="223" t="s">
        <v>176</v>
      </c>
      <c r="K185" s="222" t="s">
        <v>176</v>
      </c>
      <c r="L185" s="223">
        <v>44347</v>
      </c>
      <c r="M185" s="223">
        <v>44347</v>
      </c>
      <c r="N185" s="223">
        <v>44354</v>
      </c>
      <c r="O185" s="222"/>
      <c r="P185" s="222">
        <v>44400</v>
      </c>
      <c r="Q185" s="222">
        <v>44398</v>
      </c>
      <c r="R185" s="222" t="s">
        <v>176</v>
      </c>
      <c r="S185" s="222">
        <v>44413</v>
      </c>
      <c r="T185" s="222">
        <v>44413</v>
      </c>
      <c r="U185" s="222">
        <v>44431</v>
      </c>
      <c r="V185" s="224"/>
      <c r="W185" s="222"/>
      <c r="X185" s="225"/>
      <c r="Y185" s="225"/>
      <c r="Z185" s="225"/>
      <c r="AA185" s="225">
        <v>4</v>
      </c>
      <c r="AB185" s="225">
        <v>41068</v>
      </c>
      <c r="AC185" s="225">
        <v>115</v>
      </c>
      <c r="AD185" s="225" t="s">
        <v>2617</v>
      </c>
      <c r="AE185" s="225">
        <v>38340</v>
      </c>
      <c r="AF185" s="225" t="s">
        <v>232</v>
      </c>
      <c r="AG185" s="226">
        <v>689890608</v>
      </c>
      <c r="AH185" s="246" t="s">
        <v>2618</v>
      </c>
      <c r="AI185" s="225" t="s">
        <v>1168</v>
      </c>
      <c r="AJ185" s="225"/>
      <c r="AK185" s="225"/>
      <c r="AL185" s="225" t="s">
        <v>176</v>
      </c>
      <c r="AM185" s="225" t="s">
        <v>176</v>
      </c>
      <c r="AN185" s="225" t="s">
        <v>176</v>
      </c>
      <c r="AO185" s="225" t="s">
        <v>176</v>
      </c>
      <c r="AP185" s="225" t="s">
        <v>268</v>
      </c>
      <c r="AQ185" s="225" t="s">
        <v>1893</v>
      </c>
      <c r="AR185" s="225" t="s">
        <v>1933</v>
      </c>
      <c r="AS185" s="246" t="s">
        <v>1934</v>
      </c>
      <c r="AT185" s="226">
        <v>476355605</v>
      </c>
      <c r="AU185" s="225" t="s">
        <v>176</v>
      </c>
      <c r="AV185" s="241" t="s">
        <v>188</v>
      </c>
      <c r="AW185" s="223">
        <v>44495</v>
      </c>
      <c r="AX185" s="225" t="s">
        <v>4113</v>
      </c>
      <c r="AY185" s="225">
        <v>2000</v>
      </c>
      <c r="AZ185" s="225" t="s">
        <v>1880</v>
      </c>
      <c r="BA185" s="225" t="s">
        <v>380</v>
      </c>
      <c r="BB185" s="225" t="s">
        <v>1936</v>
      </c>
      <c r="BC185" s="225" t="s">
        <v>612</v>
      </c>
      <c r="BD185" s="225">
        <v>14</v>
      </c>
      <c r="BE185" s="225">
        <v>7.8</v>
      </c>
      <c r="BF185" s="225">
        <v>81</v>
      </c>
      <c r="BG185" s="225">
        <v>0.08</v>
      </c>
      <c r="BH185" s="225" t="s">
        <v>1882</v>
      </c>
      <c r="BI185" s="225"/>
      <c r="BJ185" s="225">
        <f>44.89+72.35+2257+218+89.6+33.54+65.6</f>
        <v>2780.9799999999996</v>
      </c>
      <c r="BK185" s="225"/>
      <c r="BL185" s="225"/>
      <c r="BM185" s="225"/>
      <c r="BN185" s="225">
        <v>725</v>
      </c>
      <c r="BO185" s="225">
        <f t="shared" si="12"/>
        <v>3505.9799999999996</v>
      </c>
      <c r="BP185" s="230">
        <f t="shared" si="13"/>
        <v>192.82889999999998</v>
      </c>
      <c r="BQ185" s="230">
        <f t="shared" si="14"/>
        <v>3698.8088999999995</v>
      </c>
      <c r="BR185" s="230">
        <v>3698.81</v>
      </c>
      <c r="BS185" s="225" t="s">
        <v>188</v>
      </c>
      <c r="BT185" s="225"/>
      <c r="BU185" s="225"/>
      <c r="BV185" s="301" t="s">
        <v>2325</v>
      </c>
      <c r="BW185" s="301" t="s">
        <v>214</v>
      </c>
      <c r="BX185" s="301" t="s">
        <v>620</v>
      </c>
      <c r="BY185" s="301">
        <v>2021</v>
      </c>
    </row>
    <row r="186" spans="1:77" ht="13.5" customHeight="1">
      <c r="A186" s="64">
        <f t="shared" si="15"/>
        <v>2021</v>
      </c>
      <c r="B186" s="64">
        <f t="shared" si="16"/>
        <v>6</v>
      </c>
      <c r="C186" s="125" t="s">
        <v>191</v>
      </c>
      <c r="D186" s="168" t="str">
        <f t="shared" si="17"/>
        <v>maj</v>
      </c>
      <c r="E186" s="292" t="s">
        <v>670</v>
      </c>
      <c r="F186" s="292" t="s">
        <v>1426</v>
      </c>
      <c r="G186" s="221">
        <v>1000</v>
      </c>
      <c r="H186" s="222">
        <v>44348</v>
      </c>
      <c r="I186" s="222">
        <v>44348</v>
      </c>
      <c r="J186" s="223" t="s">
        <v>176</v>
      </c>
      <c r="K186" s="222" t="s">
        <v>176</v>
      </c>
      <c r="L186" s="223">
        <v>44348</v>
      </c>
      <c r="M186" s="223">
        <v>44348</v>
      </c>
      <c r="N186" s="223">
        <v>44354</v>
      </c>
      <c r="O186" s="222"/>
      <c r="P186" s="222">
        <v>44406</v>
      </c>
      <c r="Q186" s="222">
        <v>44400</v>
      </c>
      <c r="R186" s="222" t="s">
        <v>176</v>
      </c>
      <c r="S186" s="222">
        <v>44413</v>
      </c>
      <c r="T186" s="222">
        <v>44413</v>
      </c>
      <c r="U186" s="222">
        <v>44431</v>
      </c>
      <c r="V186" s="224"/>
      <c r="W186" s="222"/>
      <c r="X186" s="225"/>
      <c r="Y186" s="225"/>
      <c r="Z186" s="225"/>
      <c r="AA186" s="225">
        <v>2</v>
      </c>
      <c r="AB186" s="225">
        <v>22450</v>
      </c>
      <c r="AC186" s="225">
        <v>470</v>
      </c>
      <c r="AD186" s="225" t="s">
        <v>2619</v>
      </c>
      <c r="AE186" s="225">
        <v>38140</v>
      </c>
      <c r="AF186" s="225" t="s">
        <v>1957</v>
      </c>
      <c r="AG186" s="226">
        <v>652956930</v>
      </c>
      <c r="AH186" s="246" t="s">
        <v>2620</v>
      </c>
      <c r="AI186" s="225" t="s">
        <v>1168</v>
      </c>
      <c r="AJ186" s="225"/>
      <c r="AK186" s="225"/>
      <c r="AL186" s="225" t="s">
        <v>176</v>
      </c>
      <c r="AM186" s="225" t="s">
        <v>176</v>
      </c>
      <c r="AN186" s="225" t="s">
        <v>176</v>
      </c>
      <c r="AO186" s="225" t="s">
        <v>176</v>
      </c>
      <c r="AP186" s="222" t="s">
        <v>587</v>
      </c>
      <c r="AQ186" s="225" t="s">
        <v>225</v>
      </c>
      <c r="AR186" s="225" t="s">
        <v>2026</v>
      </c>
      <c r="AS186" s="241" t="s">
        <v>266</v>
      </c>
      <c r="AT186" s="226">
        <v>476069938</v>
      </c>
      <c r="AU186" s="225" t="s">
        <v>176</v>
      </c>
      <c r="AV186" s="241" t="s">
        <v>188</v>
      </c>
      <c r="AW186" s="223">
        <v>44457</v>
      </c>
      <c r="AX186" s="225" t="s">
        <v>4113</v>
      </c>
      <c r="AY186" s="242">
        <v>1997</v>
      </c>
      <c r="AZ186" s="225" t="s">
        <v>1880</v>
      </c>
      <c r="BA186" s="225" t="s">
        <v>267</v>
      </c>
      <c r="BB186" s="225" t="s">
        <v>433</v>
      </c>
      <c r="BC186" s="225" t="s">
        <v>704</v>
      </c>
      <c r="BD186" s="242">
        <v>14.8</v>
      </c>
      <c r="BE186" s="242">
        <v>7.4</v>
      </c>
      <c r="BF186" s="242">
        <v>92.5</v>
      </c>
      <c r="BG186" s="242">
        <v>1.2E-2</v>
      </c>
      <c r="BH186" s="225" t="s">
        <v>1899</v>
      </c>
      <c r="BI186" s="225"/>
      <c r="BJ186" s="242">
        <f>390+250+3195+89</f>
        <v>3924</v>
      </c>
      <c r="BK186" s="225"/>
      <c r="BL186" s="225"/>
      <c r="BM186" s="225"/>
      <c r="BN186" s="242">
        <f>450+390</f>
        <v>840</v>
      </c>
      <c r="BO186" s="242">
        <f t="shared" si="12"/>
        <v>4764</v>
      </c>
      <c r="BP186" s="242">
        <f t="shared" si="13"/>
        <v>262.02</v>
      </c>
      <c r="BQ186" s="242">
        <f t="shared" si="14"/>
        <v>5026.0200000000004</v>
      </c>
      <c r="BR186" s="230">
        <v>5026.0200000000004</v>
      </c>
      <c r="BS186" s="225" t="s">
        <v>188</v>
      </c>
      <c r="BT186" s="225"/>
      <c r="BU186" s="225"/>
      <c r="BV186" s="301" t="s">
        <v>2325</v>
      </c>
      <c r="BW186" s="301" t="s">
        <v>214</v>
      </c>
      <c r="BX186" s="222" t="s">
        <v>618</v>
      </c>
      <c r="BY186" s="301" t="s">
        <v>176</v>
      </c>
    </row>
    <row r="187" spans="1:77" s="13" customFormat="1" ht="13.5" customHeight="1">
      <c r="A187" s="64">
        <f t="shared" si="15"/>
        <v>2021</v>
      </c>
      <c r="B187" s="64">
        <f t="shared" si="16"/>
        <v>6</v>
      </c>
      <c r="C187" s="125" t="s">
        <v>191</v>
      </c>
      <c r="D187" s="168" t="str">
        <f t="shared" si="17"/>
        <v>non maj</v>
      </c>
      <c r="E187" s="292" t="s">
        <v>670</v>
      </c>
      <c r="F187" s="292" t="s">
        <v>1427</v>
      </c>
      <c r="G187" s="221">
        <v>600</v>
      </c>
      <c r="H187" s="222">
        <v>44349</v>
      </c>
      <c r="I187" s="222">
        <v>44350</v>
      </c>
      <c r="J187" s="223" t="s">
        <v>176</v>
      </c>
      <c r="K187" s="222" t="s">
        <v>176</v>
      </c>
      <c r="L187" s="223">
        <v>44351</v>
      </c>
      <c r="M187" s="223">
        <v>44351</v>
      </c>
      <c r="N187" s="223">
        <v>44361</v>
      </c>
      <c r="O187" s="222"/>
      <c r="P187" s="222">
        <v>44537</v>
      </c>
      <c r="Q187" s="222">
        <v>44524</v>
      </c>
      <c r="R187" s="222" t="s">
        <v>176</v>
      </c>
      <c r="S187" s="222">
        <v>44546</v>
      </c>
      <c r="T187" s="222">
        <v>44546</v>
      </c>
      <c r="U187" s="222">
        <v>44547</v>
      </c>
      <c r="V187" s="224"/>
      <c r="W187" s="222"/>
      <c r="X187" s="225"/>
      <c r="Y187" s="225"/>
      <c r="Z187" s="225"/>
      <c r="AA187" s="225">
        <v>2</v>
      </c>
      <c r="AB187" s="225">
        <v>30284</v>
      </c>
      <c r="AC187" s="225">
        <v>111</v>
      </c>
      <c r="AD187" s="225" t="s">
        <v>2621</v>
      </c>
      <c r="AE187" s="225">
        <v>38500</v>
      </c>
      <c r="AF187" s="225" t="s">
        <v>271</v>
      </c>
      <c r="AG187" s="226">
        <v>679556869</v>
      </c>
      <c r="AH187" s="295" t="s">
        <v>2622</v>
      </c>
      <c r="AI187" s="225" t="s">
        <v>1168</v>
      </c>
      <c r="AJ187" s="225"/>
      <c r="AK187" s="225"/>
      <c r="AL187" s="225" t="s">
        <v>176</v>
      </c>
      <c r="AM187" s="225" t="s">
        <v>176</v>
      </c>
      <c r="AN187" s="225" t="s">
        <v>176</v>
      </c>
      <c r="AO187" s="225" t="s">
        <v>176</v>
      </c>
      <c r="AP187" s="225" t="s">
        <v>1888</v>
      </c>
      <c r="AQ187" s="225" t="s">
        <v>225</v>
      </c>
      <c r="AR187" s="225" t="s">
        <v>1889</v>
      </c>
      <c r="AS187" s="295" t="s">
        <v>269</v>
      </c>
      <c r="AT187" s="226" t="s">
        <v>600</v>
      </c>
      <c r="AU187" s="225" t="s">
        <v>176</v>
      </c>
      <c r="AV187" s="251" t="s">
        <v>188</v>
      </c>
      <c r="AW187" s="223">
        <v>44138</v>
      </c>
      <c r="AX187" s="225" t="s">
        <v>1880</v>
      </c>
      <c r="AY187" s="225">
        <v>1990</v>
      </c>
      <c r="AZ187" s="225" t="s">
        <v>1880</v>
      </c>
      <c r="BA187" s="225" t="s">
        <v>267</v>
      </c>
      <c r="BB187" s="225" t="s">
        <v>221</v>
      </c>
      <c r="BC187" s="225" t="s">
        <v>2623</v>
      </c>
      <c r="BD187" s="225">
        <v>18</v>
      </c>
      <c r="BE187" s="225">
        <v>10</v>
      </c>
      <c r="BF187" s="225">
        <v>90.4</v>
      </c>
      <c r="BG187" s="225">
        <v>3.0000000000000001E-3</v>
      </c>
      <c r="BH187" s="225" t="s">
        <v>1882</v>
      </c>
      <c r="BI187" s="225"/>
      <c r="BJ187" s="225">
        <f>3485+210+85+101+91+90+55+32+22+58+15</f>
        <v>4244</v>
      </c>
      <c r="BK187" s="225"/>
      <c r="BL187" s="225"/>
      <c r="BM187" s="225"/>
      <c r="BN187" s="225">
        <f>30+480</f>
        <v>510</v>
      </c>
      <c r="BO187" s="225">
        <f t="shared" si="12"/>
        <v>4754</v>
      </c>
      <c r="BP187" s="230">
        <f t="shared" si="13"/>
        <v>261.47000000000003</v>
      </c>
      <c r="BQ187" s="230">
        <f t="shared" si="14"/>
        <v>5015.47</v>
      </c>
      <c r="BR187" s="230">
        <v>5015.47</v>
      </c>
      <c r="BS187" s="225" t="s">
        <v>188</v>
      </c>
      <c r="BT187" s="225"/>
      <c r="BU187" s="225"/>
      <c r="BV187" s="225" t="s">
        <v>2325</v>
      </c>
      <c r="BW187" s="301" t="s">
        <v>214</v>
      </c>
      <c r="BX187" s="301" t="s">
        <v>620</v>
      </c>
      <c r="BY187" s="301" t="s">
        <v>176</v>
      </c>
    </row>
    <row r="188" spans="1:77" s="12" customFormat="1" ht="13.5" customHeight="1">
      <c r="A188" s="64">
        <f t="shared" si="15"/>
        <v>2021</v>
      </c>
      <c r="B188" s="64">
        <f t="shared" si="16"/>
        <v>6</v>
      </c>
      <c r="C188" s="125" t="s">
        <v>191</v>
      </c>
      <c r="D188" s="168" t="str">
        <f t="shared" si="17"/>
        <v>maj</v>
      </c>
      <c r="E188" s="292" t="s">
        <v>670</v>
      </c>
      <c r="F188" s="292" t="s">
        <v>1428</v>
      </c>
      <c r="G188" s="221">
        <v>1000</v>
      </c>
      <c r="H188" s="222">
        <v>44349</v>
      </c>
      <c r="I188" s="222">
        <v>44350</v>
      </c>
      <c r="J188" s="223" t="s">
        <v>176</v>
      </c>
      <c r="K188" s="222" t="s">
        <v>176</v>
      </c>
      <c r="L188" s="223">
        <v>44351</v>
      </c>
      <c r="M188" s="223">
        <v>44351</v>
      </c>
      <c r="N188" s="223">
        <v>44361</v>
      </c>
      <c r="O188" s="222"/>
      <c r="P188" s="222">
        <v>44545</v>
      </c>
      <c r="Q188" s="222">
        <v>44499</v>
      </c>
      <c r="R188" s="222" t="s">
        <v>176</v>
      </c>
      <c r="S188" s="222">
        <v>44546</v>
      </c>
      <c r="T188" s="222">
        <v>44546</v>
      </c>
      <c r="U188" s="222">
        <v>44547</v>
      </c>
      <c r="V188" s="224"/>
      <c r="W188" s="222"/>
      <c r="X188" s="225"/>
      <c r="Y188" s="225"/>
      <c r="Z188" s="225"/>
      <c r="AA188" s="225">
        <v>3</v>
      </c>
      <c r="AB188" s="225">
        <v>26760</v>
      </c>
      <c r="AC188" s="225">
        <v>23</v>
      </c>
      <c r="AD188" s="225" t="s">
        <v>2624</v>
      </c>
      <c r="AE188" s="225">
        <v>38210</v>
      </c>
      <c r="AF188" s="225" t="s">
        <v>265</v>
      </c>
      <c r="AG188" s="226">
        <v>750212511</v>
      </c>
      <c r="AH188" s="246" t="s">
        <v>2625</v>
      </c>
      <c r="AI188" s="225" t="s">
        <v>1168</v>
      </c>
      <c r="AJ188" s="225"/>
      <c r="AK188" s="225"/>
      <c r="AL188" s="225" t="s">
        <v>176</v>
      </c>
      <c r="AM188" s="225" t="s">
        <v>176</v>
      </c>
      <c r="AN188" s="225" t="s">
        <v>176</v>
      </c>
      <c r="AO188" s="225" t="s">
        <v>176</v>
      </c>
      <c r="AP188" s="222" t="s">
        <v>818</v>
      </c>
      <c r="AQ188" s="225" t="s">
        <v>225</v>
      </c>
      <c r="AR188" s="225" t="s">
        <v>1973</v>
      </c>
      <c r="AS188" s="241" t="s">
        <v>1974</v>
      </c>
      <c r="AT188" s="226">
        <v>476323235</v>
      </c>
      <c r="AU188" s="225" t="s">
        <v>176</v>
      </c>
      <c r="AV188" s="241" t="s">
        <v>188</v>
      </c>
      <c r="AW188" s="223">
        <v>44794</v>
      </c>
      <c r="AX188" s="225" t="s">
        <v>1179</v>
      </c>
      <c r="AY188" s="225">
        <v>1986</v>
      </c>
      <c r="AZ188" s="225" t="s">
        <v>1179</v>
      </c>
      <c r="BA188" s="225" t="s">
        <v>380</v>
      </c>
      <c r="BB188" s="225" t="s">
        <v>2109</v>
      </c>
      <c r="BC188" s="225" t="s">
        <v>2110</v>
      </c>
      <c r="BD188" s="225">
        <v>36</v>
      </c>
      <c r="BE188" s="225">
        <v>9</v>
      </c>
      <c r="BF188" s="225">
        <v>75</v>
      </c>
      <c r="BG188" s="225">
        <v>0.1</v>
      </c>
      <c r="BH188" s="225" t="s">
        <v>1882</v>
      </c>
      <c r="BI188" s="225"/>
      <c r="BJ188" s="225">
        <f>530+160+3035+86+82+31+29+62</f>
        <v>4015</v>
      </c>
      <c r="BK188" s="225"/>
      <c r="BL188" s="225"/>
      <c r="BM188" s="225"/>
      <c r="BN188" s="225">
        <f>340+75+330+25</f>
        <v>770</v>
      </c>
      <c r="BO188" s="225">
        <f t="shared" si="12"/>
        <v>4785</v>
      </c>
      <c r="BP188" s="230">
        <f t="shared" si="13"/>
        <v>263.17500000000001</v>
      </c>
      <c r="BQ188" s="230">
        <f t="shared" si="14"/>
        <v>5048.1750000000002</v>
      </c>
      <c r="BR188" s="230">
        <f>3731.54+1160.5</f>
        <v>4892.04</v>
      </c>
      <c r="BS188" s="225" t="s">
        <v>191</v>
      </c>
      <c r="BT188" s="225"/>
      <c r="BU188" s="225"/>
      <c r="BV188" s="301" t="s">
        <v>2325</v>
      </c>
      <c r="BW188" s="301" t="s">
        <v>214</v>
      </c>
      <c r="BX188" s="222" t="s">
        <v>618</v>
      </c>
      <c r="BY188" s="301">
        <v>2021</v>
      </c>
    </row>
    <row r="189" spans="1:77" s="12" customFormat="1" ht="13.5" customHeight="1">
      <c r="A189" s="64">
        <f t="shared" si="15"/>
        <v>2021</v>
      </c>
      <c r="B189" s="64">
        <f t="shared" si="16"/>
        <v>6</v>
      </c>
      <c r="C189" s="125" t="s">
        <v>191</v>
      </c>
      <c r="D189" s="168" t="str">
        <f t="shared" si="17"/>
        <v>non maj</v>
      </c>
      <c r="E189" s="292" t="s">
        <v>670</v>
      </c>
      <c r="F189" s="292" t="s">
        <v>1429</v>
      </c>
      <c r="G189" s="221">
        <v>600</v>
      </c>
      <c r="H189" s="222">
        <v>44350</v>
      </c>
      <c r="I189" s="222">
        <v>44351</v>
      </c>
      <c r="J189" s="223">
        <v>44351</v>
      </c>
      <c r="K189" s="222" t="s">
        <v>2626</v>
      </c>
      <c r="L189" s="223">
        <v>44355</v>
      </c>
      <c r="M189" s="223">
        <v>44355</v>
      </c>
      <c r="N189" s="223">
        <v>44362</v>
      </c>
      <c r="O189" s="222"/>
      <c r="P189" s="222">
        <v>44451</v>
      </c>
      <c r="Q189" s="222">
        <v>44407</v>
      </c>
      <c r="R189" s="222" t="s">
        <v>176</v>
      </c>
      <c r="S189" s="222">
        <v>44455</v>
      </c>
      <c r="T189" s="222">
        <v>44455</v>
      </c>
      <c r="U189" s="222">
        <v>44469</v>
      </c>
      <c r="V189" s="224"/>
      <c r="W189" s="222"/>
      <c r="X189" s="225"/>
      <c r="Y189" s="225"/>
      <c r="Z189" s="225"/>
      <c r="AA189" s="225">
        <v>2</v>
      </c>
      <c r="AB189" s="225">
        <v>36731</v>
      </c>
      <c r="AC189" s="225">
        <v>180</v>
      </c>
      <c r="AD189" s="225" t="s">
        <v>2627</v>
      </c>
      <c r="AE189" s="225">
        <v>38850</v>
      </c>
      <c r="AF189" s="225" t="s">
        <v>2151</v>
      </c>
      <c r="AG189" s="226">
        <v>641185822</v>
      </c>
      <c r="AH189" s="246" t="s">
        <v>2628</v>
      </c>
      <c r="AI189" s="225" t="s">
        <v>1168</v>
      </c>
      <c r="AJ189" s="225"/>
      <c r="AK189" s="225"/>
      <c r="AL189" s="225" t="s">
        <v>176</v>
      </c>
      <c r="AM189" s="225" t="s">
        <v>176</v>
      </c>
      <c r="AN189" s="225" t="s">
        <v>176</v>
      </c>
      <c r="AO189" s="225" t="s">
        <v>176</v>
      </c>
      <c r="AP189" s="222" t="s">
        <v>587</v>
      </c>
      <c r="AQ189" s="225" t="s">
        <v>225</v>
      </c>
      <c r="AR189" s="225" t="s">
        <v>2026</v>
      </c>
      <c r="AS189" s="241" t="s">
        <v>266</v>
      </c>
      <c r="AT189" s="226">
        <v>476069938</v>
      </c>
      <c r="AU189" s="225" t="s">
        <v>176</v>
      </c>
      <c r="AV189" s="241" t="s">
        <v>188</v>
      </c>
      <c r="AW189" s="223">
        <v>44457</v>
      </c>
      <c r="AX189" s="225" t="s">
        <v>4113</v>
      </c>
      <c r="AY189" s="242">
        <v>1985</v>
      </c>
      <c r="AZ189" s="225" t="s">
        <v>1880</v>
      </c>
      <c r="BA189" s="225" t="s">
        <v>380</v>
      </c>
      <c r="BB189" s="225" t="s">
        <v>2105</v>
      </c>
      <c r="BC189" s="225" t="s">
        <v>2629</v>
      </c>
      <c r="BD189" s="242">
        <v>28</v>
      </c>
      <c r="BE189" s="242">
        <v>8</v>
      </c>
      <c r="BF189" s="242">
        <v>81.099999999999994</v>
      </c>
      <c r="BG189" s="242">
        <v>0.08</v>
      </c>
      <c r="BH189" s="225" t="s">
        <v>1882</v>
      </c>
      <c r="BI189" s="225"/>
      <c r="BJ189" s="242">
        <f>1972+89+250+250+3383+468</f>
        <v>6412</v>
      </c>
      <c r="BK189" s="225"/>
      <c r="BL189" s="225"/>
      <c r="BM189" s="225"/>
      <c r="BN189" s="242">
        <f>300</f>
        <v>300</v>
      </c>
      <c r="BO189" s="242">
        <f t="shared" si="12"/>
        <v>6712</v>
      </c>
      <c r="BP189" s="242">
        <f t="shared" si="13"/>
        <v>369.16</v>
      </c>
      <c r="BQ189" s="242">
        <f t="shared" si="14"/>
        <v>7081.16</v>
      </c>
      <c r="BR189" s="230">
        <v>7081.16</v>
      </c>
      <c r="BS189" s="225" t="s">
        <v>188</v>
      </c>
      <c r="BT189" s="225"/>
      <c r="BU189" s="225"/>
      <c r="BV189" s="301" t="s">
        <v>2325</v>
      </c>
      <c r="BW189" s="301" t="s">
        <v>214</v>
      </c>
      <c r="BX189" s="301" t="s">
        <v>620</v>
      </c>
      <c r="BY189" s="301">
        <v>2021</v>
      </c>
    </row>
    <row r="190" spans="1:77" ht="13.5" customHeight="1">
      <c r="A190" s="64">
        <f t="shared" si="15"/>
        <v>2021</v>
      </c>
      <c r="B190" s="64">
        <f t="shared" si="16"/>
        <v>6</v>
      </c>
      <c r="C190" s="125" t="s">
        <v>191</v>
      </c>
      <c r="D190" s="168" t="str">
        <f t="shared" si="17"/>
        <v>maj</v>
      </c>
      <c r="E190" s="292" t="s">
        <v>670</v>
      </c>
      <c r="F190" s="292" t="s">
        <v>1430</v>
      </c>
      <c r="G190" s="221">
        <v>1000</v>
      </c>
      <c r="H190" s="222">
        <v>44354</v>
      </c>
      <c r="I190" s="222">
        <v>44354</v>
      </c>
      <c r="J190" s="223" t="s">
        <v>176</v>
      </c>
      <c r="K190" s="222" t="s">
        <v>176</v>
      </c>
      <c r="L190" s="223">
        <v>44355</v>
      </c>
      <c r="M190" s="223">
        <v>44355</v>
      </c>
      <c r="N190" s="223">
        <v>44362</v>
      </c>
      <c r="O190" s="222"/>
      <c r="P190" s="222">
        <v>44420</v>
      </c>
      <c r="Q190" s="222">
        <v>44399</v>
      </c>
      <c r="R190" s="222" t="s">
        <v>176</v>
      </c>
      <c r="S190" s="222">
        <v>44424</v>
      </c>
      <c r="T190" s="222">
        <v>44424</v>
      </c>
      <c r="U190" s="222">
        <v>44461</v>
      </c>
      <c r="V190" s="224"/>
      <c r="W190" s="222"/>
      <c r="X190" s="225"/>
      <c r="Y190" s="225"/>
      <c r="Z190" s="225"/>
      <c r="AA190" s="225">
        <v>2</v>
      </c>
      <c r="AB190" s="225">
        <v>27182</v>
      </c>
      <c r="AC190" s="225">
        <v>374</v>
      </c>
      <c r="AD190" s="225" t="s">
        <v>2630</v>
      </c>
      <c r="AE190" s="225">
        <v>38730</v>
      </c>
      <c r="AF190" s="225" t="s">
        <v>1916</v>
      </c>
      <c r="AG190" s="226" t="s">
        <v>176</v>
      </c>
      <c r="AH190" s="246" t="s">
        <v>176</v>
      </c>
      <c r="AI190" s="225" t="s">
        <v>1168</v>
      </c>
      <c r="AJ190" s="225"/>
      <c r="AK190" s="225"/>
      <c r="AL190" s="225" t="s">
        <v>176</v>
      </c>
      <c r="AM190" s="225" t="s">
        <v>176</v>
      </c>
      <c r="AN190" s="225" t="s">
        <v>176</v>
      </c>
      <c r="AO190" s="225" t="s">
        <v>176</v>
      </c>
      <c r="AP190" s="225" t="s">
        <v>1874</v>
      </c>
      <c r="AQ190" s="225" t="s">
        <v>1875</v>
      </c>
      <c r="AR190" s="225" t="s">
        <v>1876</v>
      </c>
      <c r="AS190" s="246" t="s">
        <v>1877</v>
      </c>
      <c r="AT190" s="226" t="s">
        <v>434</v>
      </c>
      <c r="AU190" s="225" t="s">
        <v>176</v>
      </c>
      <c r="AV190" s="241" t="s">
        <v>1878</v>
      </c>
      <c r="AW190" s="223">
        <v>44517</v>
      </c>
      <c r="AX190" s="225" t="s">
        <v>4113</v>
      </c>
      <c r="AY190" s="225" t="s">
        <v>1935</v>
      </c>
      <c r="AZ190" s="225" t="s">
        <v>1880</v>
      </c>
      <c r="BA190" s="225" t="s">
        <v>267</v>
      </c>
      <c r="BB190" s="225" t="s">
        <v>190</v>
      </c>
      <c r="BC190" s="225" t="s">
        <v>2631</v>
      </c>
      <c r="BD190" s="225">
        <v>15</v>
      </c>
      <c r="BE190" s="225">
        <v>11.1</v>
      </c>
      <c r="BF190" s="225">
        <v>90</v>
      </c>
      <c r="BG190" s="225">
        <v>0.01</v>
      </c>
      <c r="BH190" s="225" t="s">
        <v>1882</v>
      </c>
      <c r="BI190" s="225"/>
      <c r="BJ190" s="225">
        <f>2890+175+263</f>
        <v>3328</v>
      </c>
      <c r="BK190" s="225"/>
      <c r="BL190" s="225"/>
      <c r="BM190" s="225"/>
      <c r="BN190" s="225">
        <f>690+495</f>
        <v>1185</v>
      </c>
      <c r="BO190" s="225">
        <f t="shared" si="12"/>
        <v>4513</v>
      </c>
      <c r="BP190" s="230">
        <f t="shared" si="13"/>
        <v>248.215</v>
      </c>
      <c r="BQ190" s="230">
        <f t="shared" si="14"/>
        <v>4761.2150000000001</v>
      </c>
      <c r="BR190" s="230">
        <v>4761.22</v>
      </c>
      <c r="BS190" s="225" t="s">
        <v>188</v>
      </c>
      <c r="BT190" s="225"/>
      <c r="BU190" s="225"/>
      <c r="BV190" s="301" t="s">
        <v>2325</v>
      </c>
      <c r="BW190" s="301" t="s">
        <v>214</v>
      </c>
      <c r="BX190" s="222" t="s">
        <v>618</v>
      </c>
      <c r="BY190" s="301" t="s">
        <v>176</v>
      </c>
    </row>
    <row r="191" spans="1:77" s="12" customFormat="1" ht="13.5" customHeight="1">
      <c r="A191" s="64">
        <f t="shared" si="15"/>
        <v>2021</v>
      </c>
      <c r="B191" s="64">
        <f t="shared" si="16"/>
        <v>6</v>
      </c>
      <c r="C191" s="125" t="s">
        <v>191</v>
      </c>
      <c r="D191" s="168" t="str">
        <f t="shared" si="17"/>
        <v>maj</v>
      </c>
      <c r="E191" s="292" t="s">
        <v>670</v>
      </c>
      <c r="F191" s="292" t="s">
        <v>1431</v>
      </c>
      <c r="G191" s="221">
        <v>1000</v>
      </c>
      <c r="H191" s="222">
        <v>44355</v>
      </c>
      <c r="I191" s="222">
        <v>44357</v>
      </c>
      <c r="J191" s="223" t="s">
        <v>176</v>
      </c>
      <c r="K191" s="222" t="s">
        <v>176</v>
      </c>
      <c r="L191" s="223">
        <v>44358</v>
      </c>
      <c r="M191" s="223">
        <v>44358</v>
      </c>
      <c r="N191" s="223">
        <v>44365</v>
      </c>
      <c r="O191" s="222"/>
      <c r="P191" s="222">
        <v>44446</v>
      </c>
      <c r="Q191" s="222">
        <v>44433</v>
      </c>
      <c r="R191" s="222" t="s">
        <v>2632</v>
      </c>
      <c r="S191" s="222">
        <v>44469</v>
      </c>
      <c r="T191" s="222">
        <v>44469</v>
      </c>
      <c r="U191" s="222">
        <v>44469</v>
      </c>
      <c r="V191" s="224"/>
      <c r="W191" s="222"/>
      <c r="X191" s="225"/>
      <c r="Y191" s="225"/>
      <c r="Z191" s="225"/>
      <c r="AA191" s="225">
        <v>1</v>
      </c>
      <c r="AB191" s="225">
        <v>18045</v>
      </c>
      <c r="AC191" s="225">
        <v>169</v>
      </c>
      <c r="AD191" s="225" t="s">
        <v>680</v>
      </c>
      <c r="AE191" s="225">
        <v>38340</v>
      </c>
      <c r="AF191" s="225" t="s">
        <v>232</v>
      </c>
      <c r="AG191" s="226">
        <v>476502293</v>
      </c>
      <c r="AH191" s="246" t="s">
        <v>2633</v>
      </c>
      <c r="AI191" s="225" t="s">
        <v>1168</v>
      </c>
      <c r="AJ191" s="225"/>
      <c r="AK191" s="225"/>
      <c r="AL191" s="225" t="s">
        <v>176</v>
      </c>
      <c r="AM191" s="225" t="s">
        <v>176</v>
      </c>
      <c r="AN191" s="225" t="s">
        <v>176</v>
      </c>
      <c r="AO191" s="225" t="s">
        <v>176</v>
      </c>
      <c r="AP191" s="225" t="s">
        <v>778</v>
      </c>
      <c r="AQ191" s="225" t="s">
        <v>1926</v>
      </c>
      <c r="AR191" s="225" t="s">
        <v>1927</v>
      </c>
      <c r="AS191" s="241" t="s">
        <v>593</v>
      </c>
      <c r="AT191" s="226">
        <v>474934316</v>
      </c>
      <c r="AU191" s="225" t="s">
        <v>176</v>
      </c>
      <c r="AV191" s="241" t="s">
        <v>188</v>
      </c>
      <c r="AW191" s="223">
        <v>44641</v>
      </c>
      <c r="AX191" s="225" t="s">
        <v>4113</v>
      </c>
      <c r="AY191" s="225">
        <v>1994</v>
      </c>
      <c r="AZ191" s="225" t="s">
        <v>4113</v>
      </c>
      <c r="BA191" s="225" t="s">
        <v>380</v>
      </c>
      <c r="BB191" s="225" t="s">
        <v>2536</v>
      </c>
      <c r="BC191" s="225" t="s">
        <v>2634</v>
      </c>
      <c r="BD191" s="225">
        <v>24</v>
      </c>
      <c r="BE191" s="225">
        <v>13.2</v>
      </c>
      <c r="BF191" s="225">
        <v>76</v>
      </c>
      <c r="BG191" s="225">
        <v>0.09</v>
      </c>
      <c r="BH191" s="225" t="s">
        <v>1882</v>
      </c>
      <c r="BI191" s="225"/>
      <c r="BJ191" s="225">
        <f>2213+1168+890</f>
        <v>4271</v>
      </c>
      <c r="BK191" s="225"/>
      <c r="BL191" s="225"/>
      <c r="BM191" s="225"/>
      <c r="BN191" s="225">
        <f>133+892</f>
        <v>1025</v>
      </c>
      <c r="BO191" s="225">
        <f t="shared" si="12"/>
        <v>5296</v>
      </c>
      <c r="BP191" s="230">
        <f t="shared" si="13"/>
        <v>291.28000000000003</v>
      </c>
      <c r="BQ191" s="230">
        <f t="shared" si="14"/>
        <v>5587.28</v>
      </c>
      <c r="BR191" s="230">
        <v>5633</v>
      </c>
      <c r="BS191" s="225" t="s">
        <v>191</v>
      </c>
      <c r="BT191" s="225"/>
      <c r="BU191" s="225"/>
      <c r="BV191" s="301" t="s">
        <v>2325</v>
      </c>
      <c r="BW191" s="301" t="s">
        <v>214</v>
      </c>
      <c r="BX191" s="222" t="s">
        <v>618</v>
      </c>
      <c r="BY191" s="301">
        <v>2021</v>
      </c>
    </row>
    <row r="192" spans="1:77" ht="13.5" customHeight="1">
      <c r="A192" s="64">
        <f t="shared" si="15"/>
        <v>2021</v>
      </c>
      <c r="B192" s="64">
        <f t="shared" si="16"/>
        <v>7</v>
      </c>
      <c r="C192" s="125" t="s">
        <v>191</v>
      </c>
      <c r="D192" s="168" t="str">
        <f t="shared" si="17"/>
        <v>maj</v>
      </c>
      <c r="E192" s="292" t="s">
        <v>670</v>
      </c>
      <c r="F192" s="292" t="s">
        <v>1432</v>
      </c>
      <c r="G192" s="221">
        <v>1000</v>
      </c>
      <c r="H192" s="222">
        <v>44356</v>
      </c>
      <c r="I192" s="222">
        <v>44357</v>
      </c>
      <c r="J192" s="223" t="s">
        <v>2635</v>
      </c>
      <c r="K192" s="222" t="s">
        <v>2636</v>
      </c>
      <c r="L192" s="223">
        <v>44393</v>
      </c>
      <c r="M192" s="223">
        <v>44393</v>
      </c>
      <c r="N192" s="223">
        <v>44396</v>
      </c>
      <c r="O192" s="222"/>
      <c r="P192" s="222">
        <v>44518</v>
      </c>
      <c r="Q192" s="222">
        <v>44469</v>
      </c>
      <c r="R192" s="222" t="s">
        <v>176</v>
      </c>
      <c r="S192" s="222">
        <v>44525</v>
      </c>
      <c r="T192" s="222">
        <v>44525</v>
      </c>
      <c r="U192" s="222">
        <v>44539</v>
      </c>
      <c r="V192" s="224"/>
      <c r="W192" s="222"/>
      <c r="X192" s="225"/>
      <c r="Y192" s="225"/>
      <c r="Z192" s="225"/>
      <c r="AA192" s="225">
        <v>2</v>
      </c>
      <c r="AB192" s="225">
        <v>27520</v>
      </c>
      <c r="AC192" s="225">
        <v>261</v>
      </c>
      <c r="AD192" s="225" t="s">
        <v>2637</v>
      </c>
      <c r="AE192" s="225">
        <v>38500</v>
      </c>
      <c r="AF192" s="225" t="s">
        <v>1907</v>
      </c>
      <c r="AG192" s="226" t="s">
        <v>176</v>
      </c>
      <c r="AH192" s="246" t="s">
        <v>176</v>
      </c>
      <c r="AI192" s="225" t="s">
        <v>1168</v>
      </c>
      <c r="AJ192" s="225"/>
      <c r="AK192" s="225"/>
      <c r="AL192" s="225" t="s">
        <v>176</v>
      </c>
      <c r="AM192" s="225" t="s">
        <v>176</v>
      </c>
      <c r="AN192" s="225" t="s">
        <v>176</v>
      </c>
      <c r="AO192" s="225" t="s">
        <v>176</v>
      </c>
      <c r="AP192" s="225" t="s">
        <v>1874</v>
      </c>
      <c r="AQ192" s="225" t="s">
        <v>1875</v>
      </c>
      <c r="AR192" s="225" t="s">
        <v>1876</v>
      </c>
      <c r="AS192" s="246" t="s">
        <v>1877</v>
      </c>
      <c r="AT192" s="226" t="s">
        <v>434</v>
      </c>
      <c r="AU192" s="225" t="s">
        <v>176</v>
      </c>
      <c r="AV192" s="241" t="s">
        <v>1878</v>
      </c>
      <c r="AW192" s="223">
        <v>44517</v>
      </c>
      <c r="AX192" s="225" t="s">
        <v>1880</v>
      </c>
      <c r="AY192" s="225">
        <v>1990</v>
      </c>
      <c r="AZ192" s="225" t="s">
        <v>1880</v>
      </c>
      <c r="BA192" s="225" t="s">
        <v>380</v>
      </c>
      <c r="BB192" s="225" t="s">
        <v>190</v>
      </c>
      <c r="BC192" s="225" t="s">
        <v>2638</v>
      </c>
      <c r="BD192" s="225">
        <v>8</v>
      </c>
      <c r="BE192" s="225">
        <v>9</v>
      </c>
      <c r="BF192" s="225">
        <v>90.5</v>
      </c>
      <c r="BG192" s="225">
        <v>3.0000000000000001E-3</v>
      </c>
      <c r="BH192" s="225" t="s">
        <v>1882</v>
      </c>
      <c r="BI192" s="225"/>
      <c r="BJ192" s="225">
        <f>3050+193</f>
        <v>3243</v>
      </c>
      <c r="BK192" s="225"/>
      <c r="BL192" s="225"/>
      <c r="BM192" s="225"/>
      <c r="BN192" s="225">
        <f>690+796</f>
        <v>1486</v>
      </c>
      <c r="BO192" s="225">
        <f t="shared" si="12"/>
        <v>4729</v>
      </c>
      <c r="BP192" s="230">
        <f t="shared" si="13"/>
        <v>260.09500000000003</v>
      </c>
      <c r="BQ192" s="230">
        <f t="shared" si="14"/>
        <v>4989.0950000000003</v>
      </c>
      <c r="BR192" s="230">
        <v>4989.1000000000004</v>
      </c>
      <c r="BS192" s="225" t="s">
        <v>188</v>
      </c>
      <c r="BT192" s="225"/>
      <c r="BU192" s="225"/>
      <c r="BV192" s="301" t="s">
        <v>2325</v>
      </c>
      <c r="BW192" s="301" t="s">
        <v>214</v>
      </c>
      <c r="BX192" s="222" t="s">
        <v>618</v>
      </c>
      <c r="BY192" s="301">
        <v>2021</v>
      </c>
    </row>
    <row r="193" spans="1:77" s="12" customFormat="1" ht="13.5" customHeight="1">
      <c r="A193" s="64">
        <f t="shared" si="15"/>
        <v>2021</v>
      </c>
      <c r="B193" s="64">
        <f t="shared" si="16"/>
        <v>6</v>
      </c>
      <c r="C193" s="125" t="s">
        <v>191</v>
      </c>
      <c r="D193" s="168" t="str">
        <f t="shared" si="17"/>
        <v>non maj</v>
      </c>
      <c r="E193" s="292" t="s">
        <v>670</v>
      </c>
      <c r="F193" s="292" t="s">
        <v>1433</v>
      </c>
      <c r="G193" s="221">
        <v>600</v>
      </c>
      <c r="H193" s="222">
        <v>44357</v>
      </c>
      <c r="I193" s="222">
        <v>44357</v>
      </c>
      <c r="J193" s="223">
        <v>44358</v>
      </c>
      <c r="K193" s="222" t="s">
        <v>2636</v>
      </c>
      <c r="L193" s="223">
        <v>44362</v>
      </c>
      <c r="M193" s="223">
        <v>44362</v>
      </c>
      <c r="N193" s="223">
        <v>44368</v>
      </c>
      <c r="O193" s="222"/>
      <c r="P193" s="222">
        <v>44489</v>
      </c>
      <c r="Q193" s="222">
        <v>44446</v>
      </c>
      <c r="R193" s="222" t="s">
        <v>176</v>
      </c>
      <c r="S193" s="222">
        <v>44491</v>
      </c>
      <c r="T193" s="222">
        <v>44491</v>
      </c>
      <c r="U193" s="222">
        <v>44495</v>
      </c>
      <c r="V193" s="224"/>
      <c r="W193" s="222"/>
      <c r="X193" s="225"/>
      <c r="Y193" s="225"/>
      <c r="Z193" s="225"/>
      <c r="AA193" s="225">
        <v>1</v>
      </c>
      <c r="AB193" s="225">
        <v>49015</v>
      </c>
      <c r="AC193" s="225">
        <v>100</v>
      </c>
      <c r="AD193" s="225" t="s">
        <v>2639</v>
      </c>
      <c r="AE193" s="225">
        <v>38140</v>
      </c>
      <c r="AF193" s="225" t="s">
        <v>1946</v>
      </c>
      <c r="AG193" s="226">
        <v>630998340</v>
      </c>
      <c r="AH193" s="246" t="s">
        <v>2640</v>
      </c>
      <c r="AI193" s="225" t="s">
        <v>1168</v>
      </c>
      <c r="AJ193" s="225"/>
      <c r="AK193" s="225"/>
      <c r="AL193" s="225" t="s">
        <v>176</v>
      </c>
      <c r="AM193" s="225" t="s">
        <v>176</v>
      </c>
      <c r="AN193" s="225" t="s">
        <v>176</v>
      </c>
      <c r="AO193" s="225" t="s">
        <v>176</v>
      </c>
      <c r="AP193" s="222" t="s">
        <v>818</v>
      </c>
      <c r="AQ193" s="225" t="s">
        <v>225</v>
      </c>
      <c r="AR193" s="225" t="s">
        <v>1973</v>
      </c>
      <c r="AS193" s="241" t="s">
        <v>1974</v>
      </c>
      <c r="AT193" s="226">
        <v>476323235</v>
      </c>
      <c r="AU193" s="225" t="s">
        <v>176</v>
      </c>
      <c r="AV193" s="241" t="s">
        <v>188</v>
      </c>
      <c r="AW193" s="223">
        <v>44429</v>
      </c>
      <c r="AX193" s="225" t="s">
        <v>4113</v>
      </c>
      <c r="AY193" s="225">
        <v>1992</v>
      </c>
      <c r="AZ193" s="225" t="s">
        <v>4113</v>
      </c>
      <c r="BA193" s="225" t="s">
        <v>380</v>
      </c>
      <c r="BB193" s="225" t="s">
        <v>264</v>
      </c>
      <c r="BC193" s="225" t="s">
        <v>2641</v>
      </c>
      <c r="BD193" s="225">
        <v>14</v>
      </c>
      <c r="BE193" s="225">
        <v>10</v>
      </c>
      <c r="BF193" s="225">
        <v>79</v>
      </c>
      <c r="BG193" s="225">
        <v>0.1</v>
      </c>
      <c r="BH193" s="225" t="s">
        <v>1882</v>
      </c>
      <c r="BI193" s="225"/>
      <c r="BJ193" s="225">
        <f>880+4230+590+135+380</f>
        <v>6215</v>
      </c>
      <c r="BK193" s="225"/>
      <c r="BL193" s="225"/>
      <c r="BM193" s="225"/>
      <c r="BN193" s="225">
        <f>743+930+635+230+95</f>
        <v>2633</v>
      </c>
      <c r="BO193" s="225">
        <f t="shared" si="12"/>
        <v>8848</v>
      </c>
      <c r="BP193" s="230">
        <f t="shared" si="13"/>
        <v>486.64</v>
      </c>
      <c r="BQ193" s="230">
        <f t="shared" si="14"/>
        <v>9334.64</v>
      </c>
      <c r="BR193" s="230">
        <v>8969.15</v>
      </c>
      <c r="BS193" s="225" t="s">
        <v>188</v>
      </c>
      <c r="BT193" s="225"/>
      <c r="BU193" s="225"/>
      <c r="BV193" s="301" t="s">
        <v>2325</v>
      </c>
      <c r="BW193" s="301" t="s">
        <v>214</v>
      </c>
      <c r="BX193" s="301" t="s">
        <v>620</v>
      </c>
      <c r="BY193" s="301">
        <v>2021</v>
      </c>
    </row>
    <row r="194" spans="1:77" ht="13.5" customHeight="1">
      <c r="A194" s="64">
        <f t="shared" si="15"/>
        <v>2021</v>
      </c>
      <c r="B194" s="64">
        <f t="shared" si="16"/>
        <v>6</v>
      </c>
      <c r="C194" s="125" t="s">
        <v>191</v>
      </c>
      <c r="D194" s="168" t="str">
        <f t="shared" si="17"/>
        <v>maj</v>
      </c>
      <c r="E194" s="292" t="s">
        <v>670</v>
      </c>
      <c r="F194" s="292" t="s">
        <v>1434</v>
      </c>
      <c r="G194" s="221">
        <v>1000</v>
      </c>
      <c r="H194" s="222">
        <v>44358</v>
      </c>
      <c r="I194" s="222">
        <v>44358</v>
      </c>
      <c r="J194" s="223">
        <v>44358</v>
      </c>
      <c r="K194" s="222" t="s">
        <v>2642</v>
      </c>
      <c r="L194" s="223">
        <v>44362</v>
      </c>
      <c r="M194" s="223">
        <v>44362</v>
      </c>
      <c r="N194" s="223">
        <v>44368</v>
      </c>
      <c r="O194" s="222"/>
      <c r="P194" s="222">
        <v>44476</v>
      </c>
      <c r="Q194" s="222">
        <v>44469</v>
      </c>
      <c r="R194" s="222" t="s">
        <v>176</v>
      </c>
      <c r="S194" s="222">
        <v>44481</v>
      </c>
      <c r="T194" s="222">
        <v>44481</v>
      </c>
      <c r="U194" s="222">
        <v>44481</v>
      </c>
      <c r="V194" s="224"/>
      <c r="W194" s="222"/>
      <c r="X194" s="225"/>
      <c r="Y194" s="225"/>
      <c r="Z194" s="225"/>
      <c r="AA194" s="225">
        <v>1</v>
      </c>
      <c r="AB194" s="225">
        <v>15181</v>
      </c>
      <c r="AC194" s="225">
        <v>180</v>
      </c>
      <c r="AD194" s="225" t="s">
        <v>2643</v>
      </c>
      <c r="AE194" s="225">
        <v>38960</v>
      </c>
      <c r="AF194" s="225" t="s">
        <v>1964</v>
      </c>
      <c r="AG194" s="226">
        <v>681910102</v>
      </c>
      <c r="AH194" s="246" t="s">
        <v>2644</v>
      </c>
      <c r="AI194" s="225" t="s">
        <v>1168</v>
      </c>
      <c r="AJ194" s="225"/>
      <c r="AK194" s="225"/>
      <c r="AL194" s="225" t="s">
        <v>176</v>
      </c>
      <c r="AM194" s="225" t="s">
        <v>176</v>
      </c>
      <c r="AN194" s="225" t="s">
        <v>176</v>
      </c>
      <c r="AO194" s="225" t="s">
        <v>176</v>
      </c>
      <c r="AP194" s="222" t="s">
        <v>818</v>
      </c>
      <c r="AQ194" s="225" t="s">
        <v>225</v>
      </c>
      <c r="AR194" s="225" t="s">
        <v>1973</v>
      </c>
      <c r="AS194" s="241" t="s">
        <v>1974</v>
      </c>
      <c r="AT194" s="226">
        <v>476323235</v>
      </c>
      <c r="AU194" s="225" t="s">
        <v>176</v>
      </c>
      <c r="AV194" s="241" t="s">
        <v>188</v>
      </c>
      <c r="AW194" s="223">
        <v>44429</v>
      </c>
      <c r="AX194" s="225" t="s">
        <v>1880</v>
      </c>
      <c r="AY194" s="225">
        <v>2000</v>
      </c>
      <c r="AZ194" s="225" t="s">
        <v>4113</v>
      </c>
      <c r="BA194" s="225" t="s">
        <v>380</v>
      </c>
      <c r="BB194" s="225" t="s">
        <v>219</v>
      </c>
      <c r="BC194" s="225" t="s">
        <v>275</v>
      </c>
      <c r="BD194" s="225">
        <v>4</v>
      </c>
      <c r="BE194" s="225">
        <v>7</v>
      </c>
      <c r="BF194" s="225">
        <v>78</v>
      </c>
      <c r="BG194" s="225">
        <v>0.06</v>
      </c>
      <c r="BH194" s="225" t="s">
        <v>1882</v>
      </c>
      <c r="BI194" s="225"/>
      <c r="BJ194" s="225">
        <f>115+2290+90+235+280</f>
        <v>3010</v>
      </c>
      <c r="BK194" s="225"/>
      <c r="BL194" s="225"/>
      <c r="BM194" s="225"/>
      <c r="BN194" s="225">
        <f>1050+60+655+135</f>
        <v>1900</v>
      </c>
      <c r="BO194" s="225">
        <f t="shared" ref="BO194:BO257" si="18">BJ194+BN194</f>
        <v>4910</v>
      </c>
      <c r="BP194" s="230">
        <f t="shared" ref="BP194:BP257" si="19">BO194*0.055</f>
        <v>270.05</v>
      </c>
      <c r="BQ194" s="230">
        <f t="shared" ref="BQ194:BQ257" si="20">BO194+BP194</f>
        <v>5180.05</v>
      </c>
      <c r="BR194" s="230">
        <v>5180.05</v>
      </c>
      <c r="BS194" s="225" t="s">
        <v>188</v>
      </c>
      <c r="BT194" s="225"/>
      <c r="BU194" s="225"/>
      <c r="BV194" s="301" t="s">
        <v>2325</v>
      </c>
      <c r="BW194" s="301" t="s">
        <v>214</v>
      </c>
      <c r="BX194" s="222" t="s">
        <v>618</v>
      </c>
      <c r="BY194" s="301">
        <v>2021</v>
      </c>
    </row>
    <row r="195" spans="1:77" s="12" customFormat="1" ht="13.5" customHeight="1">
      <c r="A195" s="64">
        <f t="shared" ref="A195:A258" si="21">YEAR(L195)</f>
        <v>2021</v>
      </c>
      <c r="B195" s="64">
        <f t="shared" ref="B195:B258" si="22">MONTH(L195)</f>
        <v>6</v>
      </c>
      <c r="C195" s="125" t="s">
        <v>191</v>
      </c>
      <c r="D195" s="168" t="str">
        <f t="shared" ref="D195:D258" si="23">BX195</f>
        <v>maj</v>
      </c>
      <c r="E195" s="292" t="s">
        <v>670</v>
      </c>
      <c r="F195" s="292" t="s">
        <v>1435</v>
      </c>
      <c r="G195" s="221">
        <v>1000</v>
      </c>
      <c r="H195" s="222">
        <v>44361</v>
      </c>
      <c r="I195" s="222">
        <v>44361</v>
      </c>
      <c r="J195" s="223" t="s">
        <v>176</v>
      </c>
      <c r="K195" s="222" t="s">
        <v>176</v>
      </c>
      <c r="L195" s="223">
        <v>44362</v>
      </c>
      <c r="M195" s="223">
        <v>44362</v>
      </c>
      <c r="N195" s="223">
        <v>44368</v>
      </c>
      <c r="O195" s="222"/>
      <c r="P195" s="222">
        <v>44448</v>
      </c>
      <c r="Q195" s="222">
        <v>44440</v>
      </c>
      <c r="R195" s="222" t="s">
        <v>176</v>
      </c>
      <c r="S195" s="222">
        <v>44455</v>
      </c>
      <c r="T195" s="222">
        <v>44455</v>
      </c>
      <c r="U195" s="222">
        <v>44469</v>
      </c>
      <c r="V195" s="224"/>
      <c r="W195" s="222"/>
      <c r="X195" s="225"/>
      <c r="Y195" s="225"/>
      <c r="Z195" s="225"/>
      <c r="AA195" s="225">
        <v>1</v>
      </c>
      <c r="AB195" s="225">
        <v>16393</v>
      </c>
      <c r="AC195" s="225">
        <v>505</v>
      </c>
      <c r="AD195" s="225" t="s">
        <v>2645</v>
      </c>
      <c r="AE195" s="225">
        <v>38210</v>
      </c>
      <c r="AF195" s="225" t="s">
        <v>1903</v>
      </c>
      <c r="AG195" s="226">
        <v>652673182</v>
      </c>
      <c r="AH195" s="246" t="s">
        <v>2646</v>
      </c>
      <c r="AI195" s="225" t="s">
        <v>1168</v>
      </c>
      <c r="AJ195" s="225"/>
      <c r="AK195" s="225"/>
      <c r="AL195" s="225" t="s">
        <v>176</v>
      </c>
      <c r="AM195" s="225" t="s">
        <v>176</v>
      </c>
      <c r="AN195" s="225" t="s">
        <v>176</v>
      </c>
      <c r="AO195" s="225" t="s">
        <v>176</v>
      </c>
      <c r="AP195" s="225" t="s">
        <v>947</v>
      </c>
      <c r="AQ195" s="225" t="s">
        <v>2545</v>
      </c>
      <c r="AR195" s="225" t="s">
        <v>903</v>
      </c>
      <c r="AS195" s="241" t="s">
        <v>2546</v>
      </c>
      <c r="AT195" s="226">
        <v>676354364</v>
      </c>
      <c r="AU195" s="225" t="s">
        <v>176</v>
      </c>
      <c r="AV195" s="241" t="s">
        <v>188</v>
      </c>
      <c r="AW195" s="223">
        <v>44495</v>
      </c>
      <c r="AX195" s="225" t="s">
        <v>4113</v>
      </c>
      <c r="AY195" s="225">
        <v>1998</v>
      </c>
      <c r="AZ195" s="225" t="s">
        <v>1880</v>
      </c>
      <c r="BA195" s="225" t="s">
        <v>267</v>
      </c>
      <c r="BB195" s="225" t="s">
        <v>2547</v>
      </c>
      <c r="BC195" s="225" t="s">
        <v>2548</v>
      </c>
      <c r="BD195" s="225">
        <v>13</v>
      </c>
      <c r="BE195" s="225">
        <v>7.8</v>
      </c>
      <c r="BF195" s="225">
        <v>90.4</v>
      </c>
      <c r="BG195" s="225">
        <v>1.2999999999999999E-2</v>
      </c>
      <c r="BH195" s="225" t="s">
        <v>1882</v>
      </c>
      <c r="BI195" s="225"/>
      <c r="BJ195" s="225">
        <f>2170+189.27+218.22+227.8+80.26+298.1</f>
        <v>3183.65</v>
      </c>
      <c r="BK195" s="225"/>
      <c r="BL195" s="225"/>
      <c r="BM195" s="225"/>
      <c r="BN195" s="225">
        <v>500</v>
      </c>
      <c r="BO195" s="225">
        <f t="shared" si="18"/>
        <v>3683.65</v>
      </c>
      <c r="BP195" s="230">
        <f t="shared" si="19"/>
        <v>202.60075000000001</v>
      </c>
      <c r="BQ195" s="230">
        <f t="shared" si="20"/>
        <v>3886.2507500000002</v>
      </c>
      <c r="BR195" s="230">
        <v>3929.48</v>
      </c>
      <c r="BS195" s="225" t="s">
        <v>188</v>
      </c>
      <c r="BT195" s="225"/>
      <c r="BU195" s="225"/>
      <c r="BV195" s="301" t="s">
        <v>2325</v>
      </c>
      <c r="BW195" s="301" t="s">
        <v>214</v>
      </c>
      <c r="BX195" s="222" t="s">
        <v>618</v>
      </c>
      <c r="BY195" s="301" t="s">
        <v>176</v>
      </c>
    </row>
    <row r="196" spans="1:77" ht="13.5" customHeight="1">
      <c r="A196" s="64">
        <f t="shared" si="21"/>
        <v>2021</v>
      </c>
      <c r="B196" s="64">
        <f t="shared" si="22"/>
        <v>6</v>
      </c>
      <c r="C196" s="125" t="s">
        <v>191</v>
      </c>
      <c r="D196" s="168" t="str">
        <f t="shared" si="23"/>
        <v>non maj</v>
      </c>
      <c r="E196" s="292" t="s">
        <v>670</v>
      </c>
      <c r="F196" s="292" t="s">
        <v>1436</v>
      </c>
      <c r="G196" s="221">
        <v>600</v>
      </c>
      <c r="H196" s="222">
        <v>44361</v>
      </c>
      <c r="I196" s="222">
        <v>44362</v>
      </c>
      <c r="J196" s="223">
        <v>44362</v>
      </c>
      <c r="K196" s="222" t="s">
        <v>2281</v>
      </c>
      <c r="L196" s="223">
        <v>44368</v>
      </c>
      <c r="M196" s="223">
        <v>44368</v>
      </c>
      <c r="N196" s="223">
        <v>44371</v>
      </c>
      <c r="O196" s="222"/>
      <c r="P196" s="222">
        <v>44526</v>
      </c>
      <c r="Q196" s="222">
        <v>44417</v>
      </c>
      <c r="R196" s="222" t="s">
        <v>176</v>
      </c>
      <c r="S196" s="222">
        <v>44539</v>
      </c>
      <c r="T196" s="222">
        <v>44539</v>
      </c>
      <c r="U196" s="222">
        <v>44540</v>
      </c>
      <c r="V196" s="224"/>
      <c r="W196" s="222"/>
      <c r="X196" s="225"/>
      <c r="Y196" s="225"/>
      <c r="Z196" s="225"/>
      <c r="AA196" s="225">
        <v>3</v>
      </c>
      <c r="AB196" s="225">
        <v>65542</v>
      </c>
      <c r="AC196" s="225">
        <v>232</v>
      </c>
      <c r="AD196" s="225" t="s">
        <v>2647</v>
      </c>
      <c r="AE196" s="225">
        <v>38500</v>
      </c>
      <c r="AF196" s="225" t="s">
        <v>271</v>
      </c>
      <c r="AG196" s="226">
        <v>637554314</v>
      </c>
      <c r="AH196" s="246" t="s">
        <v>2648</v>
      </c>
      <c r="AI196" s="225" t="s">
        <v>1168</v>
      </c>
      <c r="AJ196" s="225"/>
      <c r="AK196" s="225"/>
      <c r="AL196" s="225" t="s">
        <v>176</v>
      </c>
      <c r="AM196" s="225" t="s">
        <v>176</v>
      </c>
      <c r="AN196" s="225" t="s">
        <v>176</v>
      </c>
      <c r="AO196" s="225" t="s">
        <v>176</v>
      </c>
      <c r="AP196" s="222" t="s">
        <v>818</v>
      </c>
      <c r="AQ196" s="225" t="s">
        <v>225</v>
      </c>
      <c r="AR196" s="225" t="s">
        <v>1973</v>
      </c>
      <c r="AS196" s="241" t="s">
        <v>1974</v>
      </c>
      <c r="AT196" s="226">
        <v>476323235</v>
      </c>
      <c r="AU196" s="225" t="s">
        <v>176</v>
      </c>
      <c r="AV196" s="241" t="s">
        <v>188</v>
      </c>
      <c r="AW196" s="223">
        <v>44429</v>
      </c>
      <c r="AX196" s="225" t="s">
        <v>4113</v>
      </c>
      <c r="AY196" s="225">
        <v>1999</v>
      </c>
      <c r="AZ196" s="225" t="s">
        <v>1880</v>
      </c>
      <c r="BA196" s="225" t="s">
        <v>380</v>
      </c>
      <c r="BB196" s="225" t="s">
        <v>219</v>
      </c>
      <c r="BC196" s="225" t="s">
        <v>2514</v>
      </c>
      <c r="BD196" s="225">
        <v>4</v>
      </c>
      <c r="BE196" s="225">
        <v>6.8</v>
      </c>
      <c r="BF196" s="225">
        <v>78</v>
      </c>
      <c r="BG196" s="225">
        <v>0.06</v>
      </c>
      <c r="BH196" s="225" t="s">
        <v>1882</v>
      </c>
      <c r="BI196" s="225"/>
      <c r="BJ196" s="225">
        <f>650+338+2650+43+41+31+29+95</f>
        <v>3877</v>
      </c>
      <c r="BK196" s="225"/>
      <c r="BL196" s="225"/>
      <c r="BM196" s="225"/>
      <c r="BN196" s="225">
        <f>60+35+315+220</f>
        <v>630</v>
      </c>
      <c r="BO196" s="225">
        <f t="shared" si="18"/>
        <v>4507</v>
      </c>
      <c r="BP196" s="230">
        <f t="shared" si="19"/>
        <v>247.88499999999999</v>
      </c>
      <c r="BQ196" s="230">
        <f t="shared" si="20"/>
        <v>4754.8850000000002</v>
      </c>
      <c r="BR196" s="230">
        <f>3192.96+1510.3+590.7</f>
        <v>5293.96</v>
      </c>
      <c r="BS196" s="225" t="s">
        <v>191</v>
      </c>
      <c r="BT196" s="225"/>
      <c r="BU196" s="225"/>
      <c r="BV196" s="301" t="s">
        <v>2325</v>
      </c>
      <c r="BW196" s="301" t="s">
        <v>214</v>
      </c>
      <c r="BX196" s="301" t="s">
        <v>620</v>
      </c>
      <c r="BY196" s="301">
        <v>2021</v>
      </c>
    </row>
    <row r="197" spans="1:77" ht="13.5" customHeight="1">
      <c r="A197" s="64">
        <f t="shared" si="21"/>
        <v>2021</v>
      </c>
      <c r="B197" s="64">
        <f t="shared" si="22"/>
        <v>6</v>
      </c>
      <c r="C197" s="125" t="s">
        <v>191</v>
      </c>
      <c r="D197" s="168" t="str">
        <f t="shared" si="23"/>
        <v>maj</v>
      </c>
      <c r="E197" s="292" t="s">
        <v>670</v>
      </c>
      <c r="F197" s="292" t="s">
        <v>1437</v>
      </c>
      <c r="G197" s="221">
        <v>1000</v>
      </c>
      <c r="H197" s="222">
        <v>44362</v>
      </c>
      <c r="I197" s="222">
        <v>44362</v>
      </c>
      <c r="J197" s="223" t="s">
        <v>176</v>
      </c>
      <c r="K197" s="222" t="s">
        <v>176</v>
      </c>
      <c r="L197" s="223">
        <v>44362</v>
      </c>
      <c r="M197" s="223">
        <v>44362</v>
      </c>
      <c r="N197" s="223">
        <v>44368</v>
      </c>
      <c r="O197" s="222"/>
      <c r="P197" s="222">
        <v>44526</v>
      </c>
      <c r="Q197" s="222">
        <v>44507</v>
      </c>
      <c r="R197" s="222" t="s">
        <v>176</v>
      </c>
      <c r="S197" s="222">
        <v>44539</v>
      </c>
      <c r="T197" s="222">
        <v>44539</v>
      </c>
      <c r="U197" s="222">
        <v>44540</v>
      </c>
      <c r="V197" s="224"/>
      <c r="W197" s="222"/>
      <c r="X197" s="225"/>
      <c r="Y197" s="225"/>
      <c r="Z197" s="225"/>
      <c r="AA197" s="225">
        <v>1</v>
      </c>
      <c r="AB197" s="225">
        <v>2183</v>
      </c>
      <c r="AC197" s="225">
        <v>536</v>
      </c>
      <c r="AD197" s="225" t="s">
        <v>2649</v>
      </c>
      <c r="AE197" s="225">
        <v>38960</v>
      </c>
      <c r="AF197" s="225" t="s">
        <v>1964</v>
      </c>
      <c r="AG197" s="226">
        <v>678622049</v>
      </c>
      <c r="AH197" s="246" t="s">
        <v>2650</v>
      </c>
      <c r="AI197" s="225" t="s">
        <v>1168</v>
      </c>
      <c r="AJ197" s="225"/>
      <c r="AK197" s="225"/>
      <c r="AL197" s="225" t="s">
        <v>176</v>
      </c>
      <c r="AM197" s="225" t="s">
        <v>176</v>
      </c>
      <c r="AN197" s="225" t="s">
        <v>176</v>
      </c>
      <c r="AO197" s="225" t="s">
        <v>176</v>
      </c>
      <c r="AP197" s="225" t="s">
        <v>1874</v>
      </c>
      <c r="AQ197" s="225" t="s">
        <v>1875</v>
      </c>
      <c r="AR197" s="225" t="s">
        <v>1876</v>
      </c>
      <c r="AS197" s="246" t="s">
        <v>1877</v>
      </c>
      <c r="AT197" s="226" t="s">
        <v>434</v>
      </c>
      <c r="AU197" s="225" t="s">
        <v>176</v>
      </c>
      <c r="AV197" s="241" t="s">
        <v>1878</v>
      </c>
      <c r="AW197" s="223">
        <v>44517</v>
      </c>
      <c r="AX197" s="225" t="s">
        <v>1179</v>
      </c>
      <c r="AY197" s="225">
        <v>2000</v>
      </c>
      <c r="AZ197" s="225" t="s">
        <v>1880</v>
      </c>
      <c r="BA197" s="225" t="s">
        <v>380</v>
      </c>
      <c r="BB197" s="225" t="s">
        <v>190</v>
      </c>
      <c r="BC197" s="225" t="s">
        <v>2651</v>
      </c>
      <c r="BD197" s="225">
        <v>30</v>
      </c>
      <c r="BE197" s="225">
        <v>7.9</v>
      </c>
      <c r="BF197" s="225">
        <v>80</v>
      </c>
      <c r="BG197" s="225">
        <v>7.0000000000000007E-2</v>
      </c>
      <c r="BH197" s="225" t="s">
        <v>1882</v>
      </c>
      <c r="BI197" s="225"/>
      <c r="BJ197" s="225">
        <f>2036+4266+187.5+45+188+136</f>
        <v>6858.5</v>
      </c>
      <c r="BK197" s="225"/>
      <c r="BL197" s="225"/>
      <c r="BM197" s="225"/>
      <c r="BN197" s="225">
        <v>590</v>
      </c>
      <c r="BO197" s="225">
        <f t="shared" si="18"/>
        <v>7448.5</v>
      </c>
      <c r="BP197" s="230">
        <f t="shared" si="19"/>
        <v>409.66750000000002</v>
      </c>
      <c r="BQ197" s="230">
        <f t="shared" si="20"/>
        <v>7858.1674999999996</v>
      </c>
      <c r="BR197" s="230">
        <v>7858.17</v>
      </c>
      <c r="BS197" s="225" t="s">
        <v>188</v>
      </c>
      <c r="BT197" s="225"/>
      <c r="BU197" s="225"/>
      <c r="BV197" s="301" t="s">
        <v>2325</v>
      </c>
      <c r="BW197" s="301" t="s">
        <v>214</v>
      </c>
      <c r="BX197" s="222" t="s">
        <v>618</v>
      </c>
      <c r="BY197" s="301">
        <v>2021</v>
      </c>
    </row>
    <row r="198" spans="1:77" s="12" customFormat="1" ht="13.5" customHeight="1">
      <c r="A198" s="64">
        <f t="shared" si="21"/>
        <v>2021</v>
      </c>
      <c r="B198" s="64">
        <f t="shared" si="22"/>
        <v>6</v>
      </c>
      <c r="C198" s="125" t="s">
        <v>191</v>
      </c>
      <c r="D198" s="168" t="str">
        <f t="shared" si="23"/>
        <v>non maj</v>
      </c>
      <c r="E198" s="292" t="s">
        <v>670</v>
      </c>
      <c r="F198" s="292" t="s">
        <v>1438</v>
      </c>
      <c r="G198" s="221">
        <v>600</v>
      </c>
      <c r="H198" s="222">
        <v>44365</v>
      </c>
      <c r="I198" s="222">
        <v>44365</v>
      </c>
      <c r="J198" s="223" t="s">
        <v>176</v>
      </c>
      <c r="K198" s="222" t="s">
        <v>176</v>
      </c>
      <c r="L198" s="223">
        <v>44368</v>
      </c>
      <c r="M198" s="223">
        <v>44368</v>
      </c>
      <c r="N198" s="223">
        <v>44371</v>
      </c>
      <c r="O198" s="222"/>
      <c r="P198" s="222">
        <v>44482</v>
      </c>
      <c r="Q198" s="222">
        <v>44439</v>
      </c>
      <c r="R198" s="222" t="s">
        <v>176</v>
      </c>
      <c r="S198" s="222">
        <v>44491</v>
      </c>
      <c r="T198" s="222">
        <v>44491</v>
      </c>
      <c r="U198" s="222">
        <v>44495</v>
      </c>
      <c r="V198" s="224"/>
      <c r="W198" s="222"/>
      <c r="X198" s="225"/>
      <c r="Y198" s="225"/>
      <c r="Z198" s="225"/>
      <c r="AA198" s="225">
        <v>1</v>
      </c>
      <c r="AB198" s="225">
        <v>19093</v>
      </c>
      <c r="AC198" s="225">
        <v>892</v>
      </c>
      <c r="AD198" s="225" t="s">
        <v>1906</v>
      </c>
      <c r="AE198" s="225">
        <v>38500</v>
      </c>
      <c r="AF198" s="225" t="s">
        <v>1907</v>
      </c>
      <c r="AG198" s="226">
        <v>476658024</v>
      </c>
      <c r="AH198" s="246" t="s">
        <v>176</v>
      </c>
      <c r="AI198" s="225" t="s">
        <v>1168</v>
      </c>
      <c r="AJ198" s="225"/>
      <c r="AK198" s="225"/>
      <c r="AL198" s="225" t="s">
        <v>176</v>
      </c>
      <c r="AM198" s="225" t="s">
        <v>176</v>
      </c>
      <c r="AN198" s="225" t="s">
        <v>176</v>
      </c>
      <c r="AO198" s="225" t="s">
        <v>176</v>
      </c>
      <c r="AP198" s="225" t="s">
        <v>805</v>
      </c>
      <c r="AQ198" s="225" t="s">
        <v>2432</v>
      </c>
      <c r="AR198" s="225" t="s">
        <v>1035</v>
      </c>
      <c r="AS198" s="241" t="s">
        <v>686</v>
      </c>
      <c r="AT198" s="226">
        <v>476441060</v>
      </c>
      <c r="AU198" s="225" t="s">
        <v>176</v>
      </c>
      <c r="AV198" s="241" t="s">
        <v>188</v>
      </c>
      <c r="AW198" s="223">
        <v>44398</v>
      </c>
      <c r="AX198" s="225" t="s">
        <v>1179</v>
      </c>
      <c r="AY198" s="225">
        <v>1996</v>
      </c>
      <c r="AZ198" s="225" t="s">
        <v>1880</v>
      </c>
      <c r="BA198" s="225" t="s">
        <v>380</v>
      </c>
      <c r="BB198" s="225" t="s">
        <v>219</v>
      </c>
      <c r="BC198" s="225" t="s">
        <v>409</v>
      </c>
      <c r="BD198" s="225">
        <v>20</v>
      </c>
      <c r="BE198" s="225">
        <v>5</v>
      </c>
      <c r="BF198" s="225">
        <v>83</v>
      </c>
      <c r="BG198" s="225">
        <v>0.06</v>
      </c>
      <c r="BH198" s="225" t="s">
        <v>1882</v>
      </c>
      <c r="BI198" s="225"/>
      <c r="BJ198" s="225">
        <f>204+77+165+50+2090+105+125+47+147</f>
        <v>3010</v>
      </c>
      <c r="BK198" s="225"/>
      <c r="BL198" s="225"/>
      <c r="BM198" s="225"/>
      <c r="BN198" s="225">
        <f>80+900</f>
        <v>980</v>
      </c>
      <c r="BO198" s="225">
        <f t="shared" si="18"/>
        <v>3990</v>
      </c>
      <c r="BP198" s="230">
        <f t="shared" si="19"/>
        <v>219.45</v>
      </c>
      <c r="BQ198" s="230">
        <f t="shared" si="20"/>
        <v>4209.45</v>
      </c>
      <c r="BR198" s="230">
        <v>3540</v>
      </c>
      <c r="BS198" s="225" t="s">
        <v>191</v>
      </c>
      <c r="BT198" s="225"/>
      <c r="BU198" s="225"/>
      <c r="BV198" s="301" t="s">
        <v>2325</v>
      </c>
      <c r="BW198" s="301" t="s">
        <v>214</v>
      </c>
      <c r="BX198" s="301" t="s">
        <v>620</v>
      </c>
      <c r="BY198" s="301">
        <v>2021</v>
      </c>
    </row>
    <row r="199" spans="1:77" ht="13.5" customHeight="1">
      <c r="A199" s="64">
        <f t="shared" si="21"/>
        <v>2021</v>
      </c>
      <c r="B199" s="64">
        <f t="shared" si="22"/>
        <v>6</v>
      </c>
      <c r="C199" s="125" t="s">
        <v>191</v>
      </c>
      <c r="D199" s="168" t="str">
        <f t="shared" si="23"/>
        <v>non maj</v>
      </c>
      <c r="E199" s="292" t="s">
        <v>670</v>
      </c>
      <c r="F199" s="292" t="s">
        <v>1439</v>
      </c>
      <c r="G199" s="221">
        <v>600</v>
      </c>
      <c r="H199" s="222">
        <v>44369</v>
      </c>
      <c r="I199" s="222">
        <v>44371</v>
      </c>
      <c r="J199" s="223">
        <v>44372</v>
      </c>
      <c r="K199" s="222" t="s">
        <v>2652</v>
      </c>
      <c r="L199" s="223">
        <v>44376</v>
      </c>
      <c r="M199" s="223">
        <v>44376</v>
      </c>
      <c r="N199" s="223">
        <v>44382</v>
      </c>
      <c r="O199" s="222"/>
      <c r="P199" s="222">
        <v>44208</v>
      </c>
      <c r="Q199" s="222">
        <v>44551</v>
      </c>
      <c r="R199" s="222" t="s">
        <v>176</v>
      </c>
      <c r="S199" s="222">
        <v>44580</v>
      </c>
      <c r="T199" s="222">
        <v>44580</v>
      </c>
      <c r="U199" s="222">
        <v>44581</v>
      </c>
      <c r="V199" s="224"/>
      <c r="W199" s="222"/>
      <c r="X199" s="225"/>
      <c r="Y199" s="225"/>
      <c r="Z199" s="225"/>
      <c r="AA199" s="225">
        <v>1</v>
      </c>
      <c r="AB199" s="225">
        <v>45754</v>
      </c>
      <c r="AC199" s="225">
        <v>865</v>
      </c>
      <c r="AD199" s="225" t="s">
        <v>2653</v>
      </c>
      <c r="AE199" s="225">
        <v>38850</v>
      </c>
      <c r="AF199" s="225" t="s">
        <v>2151</v>
      </c>
      <c r="AG199" s="226">
        <v>687224600</v>
      </c>
      <c r="AH199" s="246" t="s">
        <v>2654</v>
      </c>
      <c r="AI199" s="225" t="s">
        <v>1168</v>
      </c>
      <c r="AJ199" s="225"/>
      <c r="AK199" s="225"/>
      <c r="AL199" s="225" t="s">
        <v>176</v>
      </c>
      <c r="AM199" s="225" t="s">
        <v>176</v>
      </c>
      <c r="AN199" s="225" t="s">
        <v>176</v>
      </c>
      <c r="AO199" s="225" t="s">
        <v>176</v>
      </c>
      <c r="AP199" s="225" t="s">
        <v>1874</v>
      </c>
      <c r="AQ199" s="225" t="s">
        <v>1875</v>
      </c>
      <c r="AR199" s="225" t="s">
        <v>1876</v>
      </c>
      <c r="AS199" s="246" t="s">
        <v>1877</v>
      </c>
      <c r="AT199" s="226" t="s">
        <v>434</v>
      </c>
      <c r="AU199" s="225" t="s">
        <v>176</v>
      </c>
      <c r="AV199" s="241" t="s">
        <v>1878</v>
      </c>
      <c r="AW199" s="223">
        <v>44517</v>
      </c>
      <c r="AX199" s="225" t="s">
        <v>4113</v>
      </c>
      <c r="AY199" s="225">
        <v>1982</v>
      </c>
      <c r="AZ199" s="225" t="s">
        <v>4113</v>
      </c>
      <c r="BA199" s="225" t="s">
        <v>380</v>
      </c>
      <c r="BB199" s="225" t="s">
        <v>2109</v>
      </c>
      <c r="BC199" s="225" t="s">
        <v>2655</v>
      </c>
      <c r="BD199" s="225">
        <v>30</v>
      </c>
      <c r="BE199" s="225">
        <v>9.5</v>
      </c>
      <c r="BF199" s="225">
        <v>76</v>
      </c>
      <c r="BG199" s="225">
        <v>0.1</v>
      </c>
      <c r="BH199" s="225" t="s">
        <v>1882</v>
      </c>
      <c r="BI199" s="225"/>
      <c r="BJ199" s="225">
        <f>1716+221+1295</f>
        <v>3232</v>
      </c>
      <c r="BK199" s="225"/>
      <c r="BL199" s="225"/>
      <c r="BM199" s="225"/>
      <c r="BN199" s="225">
        <f>125+796</f>
        <v>921</v>
      </c>
      <c r="BO199" s="225">
        <f t="shared" si="18"/>
        <v>4153</v>
      </c>
      <c r="BP199" s="230">
        <f t="shared" si="19"/>
        <v>228.41499999999999</v>
      </c>
      <c r="BQ199" s="230">
        <f t="shared" si="20"/>
        <v>4381.415</v>
      </c>
      <c r="BR199" s="230">
        <v>4381.42</v>
      </c>
      <c r="BS199" s="225" t="s">
        <v>191</v>
      </c>
      <c r="BT199" s="225"/>
      <c r="BU199" s="225"/>
      <c r="BV199" s="301" t="s">
        <v>2325</v>
      </c>
      <c r="BW199" s="301" t="s">
        <v>214</v>
      </c>
      <c r="BX199" s="301" t="s">
        <v>620</v>
      </c>
      <c r="BY199" s="301">
        <v>2021</v>
      </c>
    </row>
    <row r="200" spans="1:77" ht="13.5" customHeight="1">
      <c r="A200" s="64">
        <f t="shared" si="21"/>
        <v>2021</v>
      </c>
      <c r="B200" s="64">
        <f t="shared" si="22"/>
        <v>6</v>
      </c>
      <c r="C200" s="125" t="s">
        <v>191</v>
      </c>
      <c r="D200" s="168" t="str">
        <f t="shared" si="23"/>
        <v>non maj</v>
      </c>
      <c r="E200" s="292" t="s">
        <v>670</v>
      </c>
      <c r="F200" s="292" t="s">
        <v>1440</v>
      </c>
      <c r="G200" s="221">
        <v>600</v>
      </c>
      <c r="H200" s="222">
        <v>44370</v>
      </c>
      <c r="I200" s="222">
        <v>44371</v>
      </c>
      <c r="J200" s="223" t="s">
        <v>176</v>
      </c>
      <c r="K200" s="222" t="s">
        <v>176</v>
      </c>
      <c r="L200" s="223">
        <v>44372</v>
      </c>
      <c r="M200" s="223">
        <v>44372</v>
      </c>
      <c r="N200" s="223">
        <v>44379</v>
      </c>
      <c r="O200" s="222"/>
      <c r="P200" s="222">
        <v>44530</v>
      </c>
      <c r="Q200" s="222">
        <v>44526</v>
      </c>
      <c r="R200" s="222" t="s">
        <v>176</v>
      </c>
      <c r="S200" s="222">
        <v>44539</v>
      </c>
      <c r="T200" s="222">
        <v>44539</v>
      </c>
      <c r="U200" s="222">
        <v>44540</v>
      </c>
      <c r="V200" s="224"/>
      <c r="W200" s="222"/>
      <c r="X200" s="225"/>
      <c r="Y200" s="225"/>
      <c r="Z200" s="225"/>
      <c r="AA200" s="225">
        <v>1</v>
      </c>
      <c r="AB200" s="225">
        <v>23359</v>
      </c>
      <c r="AC200" s="225">
        <v>15</v>
      </c>
      <c r="AD200" s="225" t="s">
        <v>2656</v>
      </c>
      <c r="AE200" s="225">
        <v>38850</v>
      </c>
      <c r="AF200" s="225" t="s">
        <v>1951</v>
      </c>
      <c r="AG200" s="226">
        <v>750813489</v>
      </c>
      <c r="AH200" s="246" t="s">
        <v>2657</v>
      </c>
      <c r="AI200" s="225" t="s">
        <v>1168</v>
      </c>
      <c r="AJ200" s="225"/>
      <c r="AK200" s="225"/>
      <c r="AL200" s="225" t="s">
        <v>176</v>
      </c>
      <c r="AM200" s="225" t="s">
        <v>176</v>
      </c>
      <c r="AN200" s="225" t="s">
        <v>176</v>
      </c>
      <c r="AO200" s="225" t="s">
        <v>176</v>
      </c>
      <c r="AP200" s="225" t="s">
        <v>675</v>
      </c>
      <c r="AQ200" s="225" t="s">
        <v>225</v>
      </c>
      <c r="AR200" s="225" t="s">
        <v>1948</v>
      </c>
      <c r="AS200" s="241" t="s">
        <v>673</v>
      </c>
      <c r="AT200" s="226">
        <v>951096343</v>
      </c>
      <c r="AU200" s="225" t="s">
        <v>176</v>
      </c>
      <c r="AV200" s="241" t="s">
        <v>188</v>
      </c>
      <c r="AW200" s="223">
        <v>44433</v>
      </c>
      <c r="AX200" s="225" t="s">
        <v>4113</v>
      </c>
      <c r="AY200" s="225">
        <v>1992</v>
      </c>
      <c r="AZ200" s="225" t="s">
        <v>1880</v>
      </c>
      <c r="BA200" s="225" t="s">
        <v>267</v>
      </c>
      <c r="BB200" s="225" t="s">
        <v>229</v>
      </c>
      <c r="BC200" s="225" t="s">
        <v>783</v>
      </c>
      <c r="BD200" s="225">
        <v>20</v>
      </c>
      <c r="BE200" s="225">
        <v>8.3000000000000007</v>
      </c>
      <c r="BF200" s="225">
        <v>87</v>
      </c>
      <c r="BG200" s="225">
        <v>1.7999999999999999E-2</v>
      </c>
      <c r="BH200" s="225" t="s">
        <v>1899</v>
      </c>
      <c r="BI200" s="225"/>
      <c r="BJ200" s="225">
        <f>4577+340.27+271.27+235.84+269.9</f>
        <v>5694.2800000000007</v>
      </c>
      <c r="BK200" s="225"/>
      <c r="BL200" s="225"/>
      <c r="BM200" s="225"/>
      <c r="BN200" s="225">
        <v>630</v>
      </c>
      <c r="BO200" s="225">
        <f t="shared" si="18"/>
        <v>6324.2800000000007</v>
      </c>
      <c r="BP200" s="230">
        <f t="shared" si="19"/>
        <v>347.83540000000005</v>
      </c>
      <c r="BQ200" s="230">
        <f t="shared" si="20"/>
        <v>6672.1154000000006</v>
      </c>
      <c r="BR200" s="230">
        <v>6400.01</v>
      </c>
      <c r="BS200" s="225" t="s">
        <v>188</v>
      </c>
      <c r="BT200" s="225"/>
      <c r="BU200" s="225"/>
      <c r="BV200" s="301" t="s">
        <v>2325</v>
      </c>
      <c r="BW200" s="301" t="s">
        <v>214</v>
      </c>
      <c r="BX200" s="301" t="s">
        <v>620</v>
      </c>
      <c r="BY200" s="301" t="s">
        <v>176</v>
      </c>
    </row>
    <row r="201" spans="1:77" s="12" customFormat="1" ht="13.5" customHeight="1">
      <c r="A201" s="64">
        <f t="shared" si="21"/>
        <v>2021</v>
      </c>
      <c r="B201" s="64">
        <f t="shared" si="22"/>
        <v>6</v>
      </c>
      <c r="C201" s="125" t="s">
        <v>191</v>
      </c>
      <c r="D201" s="168" t="str">
        <f t="shared" si="23"/>
        <v>maj</v>
      </c>
      <c r="E201" s="292" t="s">
        <v>670</v>
      </c>
      <c r="F201" s="292" t="s">
        <v>1441</v>
      </c>
      <c r="G201" s="221">
        <v>1000</v>
      </c>
      <c r="H201" s="222">
        <v>44372</v>
      </c>
      <c r="I201" s="222">
        <v>44375</v>
      </c>
      <c r="J201" s="223">
        <v>44376</v>
      </c>
      <c r="K201" s="222" t="s">
        <v>2658</v>
      </c>
      <c r="L201" s="223">
        <v>44376</v>
      </c>
      <c r="M201" s="223">
        <v>44376</v>
      </c>
      <c r="N201" s="223">
        <v>44382</v>
      </c>
      <c r="O201" s="222"/>
      <c r="P201" s="222">
        <v>44462</v>
      </c>
      <c r="Q201" s="222">
        <v>44453</v>
      </c>
      <c r="R201" s="222" t="s">
        <v>2659</v>
      </c>
      <c r="S201" s="222">
        <v>44476</v>
      </c>
      <c r="T201" s="222">
        <v>44476</v>
      </c>
      <c r="U201" s="222">
        <v>44539</v>
      </c>
      <c r="V201" s="224"/>
      <c r="W201" s="222"/>
      <c r="X201" s="225"/>
      <c r="Y201" s="225"/>
      <c r="Z201" s="225"/>
      <c r="AA201" s="225">
        <v>3</v>
      </c>
      <c r="AB201" s="225">
        <v>20677</v>
      </c>
      <c r="AC201" s="225">
        <v>68</v>
      </c>
      <c r="AD201" s="225" t="s">
        <v>2660</v>
      </c>
      <c r="AE201" s="225">
        <v>38850</v>
      </c>
      <c r="AF201" s="225" t="s">
        <v>1916</v>
      </c>
      <c r="AG201" s="226">
        <v>647190156</v>
      </c>
      <c r="AH201" s="246" t="s">
        <v>2661</v>
      </c>
      <c r="AI201" s="225" t="s">
        <v>1168</v>
      </c>
      <c r="AJ201" s="225"/>
      <c r="AK201" s="225"/>
      <c r="AL201" s="225" t="s">
        <v>176</v>
      </c>
      <c r="AM201" s="225" t="s">
        <v>176</v>
      </c>
      <c r="AN201" s="225" t="s">
        <v>176</v>
      </c>
      <c r="AO201" s="225" t="s">
        <v>176</v>
      </c>
      <c r="AP201" s="222" t="s">
        <v>587</v>
      </c>
      <c r="AQ201" s="225" t="s">
        <v>225</v>
      </c>
      <c r="AR201" s="225" t="s">
        <v>2026</v>
      </c>
      <c r="AS201" s="241" t="s">
        <v>266</v>
      </c>
      <c r="AT201" s="226">
        <v>476069938</v>
      </c>
      <c r="AU201" s="225" t="s">
        <v>176</v>
      </c>
      <c r="AV201" s="241" t="s">
        <v>188</v>
      </c>
      <c r="AW201" s="223">
        <v>44457</v>
      </c>
      <c r="AX201" s="225" t="s">
        <v>1880</v>
      </c>
      <c r="AY201" s="242">
        <v>2000</v>
      </c>
      <c r="AZ201" s="225" t="s">
        <v>1880</v>
      </c>
      <c r="BA201" s="225" t="s">
        <v>267</v>
      </c>
      <c r="BB201" s="225" t="s">
        <v>190</v>
      </c>
      <c r="BC201" s="225" t="s">
        <v>2662</v>
      </c>
      <c r="BD201" s="242">
        <v>133</v>
      </c>
      <c r="BE201" s="242">
        <v>8.1999999999999993</v>
      </c>
      <c r="BF201" s="242">
        <v>87.7</v>
      </c>
      <c r="BG201" s="242">
        <v>2E-3</v>
      </c>
      <c r="BH201" s="225" t="s">
        <v>1882</v>
      </c>
      <c r="BI201" s="225"/>
      <c r="BJ201" s="242">
        <f>2080+150+390</f>
        <v>2620</v>
      </c>
      <c r="BK201" s="225"/>
      <c r="BL201" s="225"/>
      <c r="BM201" s="225"/>
      <c r="BN201" s="242">
        <f>300+350</f>
        <v>650</v>
      </c>
      <c r="BO201" s="242">
        <f t="shared" si="18"/>
        <v>3270</v>
      </c>
      <c r="BP201" s="242">
        <f t="shared" si="19"/>
        <v>179.85</v>
      </c>
      <c r="BQ201" s="242">
        <f t="shared" si="20"/>
        <v>3449.85</v>
      </c>
      <c r="BR201" s="230">
        <v>3449.85</v>
      </c>
      <c r="BS201" s="225" t="s">
        <v>188</v>
      </c>
      <c r="BT201" s="225"/>
      <c r="BU201" s="225"/>
      <c r="BV201" s="301" t="s">
        <v>2325</v>
      </c>
      <c r="BW201" s="301" t="s">
        <v>214</v>
      </c>
      <c r="BX201" s="222" t="s">
        <v>618</v>
      </c>
      <c r="BY201" s="301" t="s">
        <v>176</v>
      </c>
    </row>
    <row r="202" spans="1:77" s="12" customFormat="1" ht="13.5" customHeight="1">
      <c r="A202" s="64">
        <f t="shared" si="21"/>
        <v>2021</v>
      </c>
      <c r="B202" s="64">
        <f t="shared" si="22"/>
        <v>7</v>
      </c>
      <c r="C202" s="125" t="s">
        <v>191</v>
      </c>
      <c r="D202" s="168" t="str">
        <f t="shared" si="23"/>
        <v>non maj</v>
      </c>
      <c r="E202" s="292" t="s">
        <v>670</v>
      </c>
      <c r="F202" s="292" t="s">
        <v>1442</v>
      </c>
      <c r="G202" s="221">
        <v>600</v>
      </c>
      <c r="H202" s="222">
        <v>44375</v>
      </c>
      <c r="I202" s="222">
        <v>44376</v>
      </c>
      <c r="J202" s="223">
        <v>44376</v>
      </c>
      <c r="K202" s="222" t="s">
        <v>2663</v>
      </c>
      <c r="L202" s="223">
        <v>44383</v>
      </c>
      <c r="M202" s="223">
        <v>44383</v>
      </c>
      <c r="N202" s="223">
        <v>44389</v>
      </c>
      <c r="O202" s="222"/>
      <c r="P202" s="222">
        <v>44469</v>
      </c>
      <c r="Q202" s="222">
        <v>44460</v>
      </c>
      <c r="R202" s="222" t="s">
        <v>176</v>
      </c>
      <c r="S202" s="222">
        <v>44476</v>
      </c>
      <c r="T202" s="222">
        <v>44476</v>
      </c>
      <c r="U202" s="222">
        <v>44481</v>
      </c>
      <c r="V202" s="224"/>
      <c r="W202" s="222"/>
      <c r="X202" s="225"/>
      <c r="Y202" s="225"/>
      <c r="Z202" s="225"/>
      <c r="AA202" s="225">
        <v>2</v>
      </c>
      <c r="AB202" s="225">
        <v>52008</v>
      </c>
      <c r="AC202" s="225">
        <v>1285</v>
      </c>
      <c r="AD202" s="225" t="s">
        <v>2664</v>
      </c>
      <c r="AE202" s="225">
        <v>38850</v>
      </c>
      <c r="AF202" s="225" t="s">
        <v>1951</v>
      </c>
      <c r="AG202" s="226">
        <v>682558368</v>
      </c>
      <c r="AH202" s="246" t="s">
        <v>2665</v>
      </c>
      <c r="AI202" s="225" t="s">
        <v>1168</v>
      </c>
      <c r="AJ202" s="225"/>
      <c r="AK202" s="225"/>
      <c r="AL202" s="225" t="s">
        <v>176</v>
      </c>
      <c r="AM202" s="225" t="s">
        <v>176</v>
      </c>
      <c r="AN202" s="225" t="s">
        <v>176</v>
      </c>
      <c r="AO202" s="225" t="s">
        <v>176</v>
      </c>
      <c r="AP202" s="225" t="s">
        <v>2052</v>
      </c>
      <c r="AQ202" s="225" t="s">
        <v>232</v>
      </c>
      <c r="AR202" s="225" t="s">
        <v>233</v>
      </c>
      <c r="AS202" s="241" t="s">
        <v>234</v>
      </c>
      <c r="AT202" s="226">
        <v>476500550</v>
      </c>
      <c r="AU202" s="225" t="s">
        <v>176</v>
      </c>
      <c r="AV202" s="241" t="s">
        <v>188</v>
      </c>
      <c r="AW202" s="223">
        <v>44740</v>
      </c>
      <c r="AX202" s="225" t="s">
        <v>1880</v>
      </c>
      <c r="AY202" s="225">
        <v>1985</v>
      </c>
      <c r="AZ202" s="225" t="s">
        <v>1880</v>
      </c>
      <c r="BA202" s="225" t="s">
        <v>380</v>
      </c>
      <c r="BB202" s="225" t="s">
        <v>270</v>
      </c>
      <c r="BC202" s="225" t="s">
        <v>2136</v>
      </c>
      <c r="BD202" s="225">
        <v>32</v>
      </c>
      <c r="BE202" s="225">
        <v>7</v>
      </c>
      <c r="BF202" s="225">
        <v>77.8</v>
      </c>
      <c r="BG202" s="225">
        <v>0.08</v>
      </c>
      <c r="BH202" s="225" t="s">
        <v>1882</v>
      </c>
      <c r="BI202" s="225"/>
      <c r="BJ202" s="225">
        <f>1991.67+85.75</f>
        <v>2077.42</v>
      </c>
      <c r="BK202" s="225"/>
      <c r="BL202" s="225"/>
      <c r="BM202" s="225"/>
      <c r="BN202" s="225">
        <v>550</v>
      </c>
      <c r="BO202" s="225">
        <f t="shared" si="18"/>
        <v>2627.42</v>
      </c>
      <c r="BP202" s="230">
        <f t="shared" si="19"/>
        <v>144.50810000000001</v>
      </c>
      <c r="BQ202" s="230">
        <f t="shared" si="20"/>
        <v>2771.9281000000001</v>
      </c>
      <c r="BR202" s="230">
        <v>2771.93</v>
      </c>
      <c r="BS202" s="225" t="s">
        <v>188</v>
      </c>
      <c r="BT202" s="225"/>
      <c r="BU202" s="225"/>
      <c r="BV202" s="301" t="s">
        <v>2325</v>
      </c>
      <c r="BW202" s="301" t="s">
        <v>214</v>
      </c>
      <c r="BX202" s="301" t="s">
        <v>620</v>
      </c>
      <c r="BY202" s="301">
        <v>2021</v>
      </c>
    </row>
    <row r="203" spans="1:77" s="12" customFormat="1" ht="13.5" customHeight="1">
      <c r="A203" s="64">
        <f t="shared" si="21"/>
        <v>2021</v>
      </c>
      <c r="B203" s="64">
        <f t="shared" si="22"/>
        <v>7</v>
      </c>
      <c r="C203" s="125" t="s">
        <v>188</v>
      </c>
      <c r="D203" s="168" t="str">
        <f t="shared" si="23"/>
        <v>NC</v>
      </c>
      <c r="E203" s="291" t="s">
        <v>670</v>
      </c>
      <c r="F203" s="291" t="s">
        <v>1443</v>
      </c>
      <c r="G203" s="221">
        <v>600</v>
      </c>
      <c r="H203" s="222">
        <v>44375</v>
      </c>
      <c r="I203" s="222">
        <v>44376</v>
      </c>
      <c r="J203" s="223">
        <v>44376</v>
      </c>
      <c r="K203" s="222" t="s">
        <v>2666</v>
      </c>
      <c r="L203" s="223">
        <v>44393</v>
      </c>
      <c r="M203" s="223">
        <v>44393</v>
      </c>
      <c r="N203" s="223">
        <v>44396</v>
      </c>
      <c r="O203" s="222"/>
      <c r="P203" s="222">
        <v>44467</v>
      </c>
      <c r="Q203" s="222">
        <v>44319</v>
      </c>
      <c r="R203" s="222" t="s">
        <v>176</v>
      </c>
      <c r="S203" s="222" t="s">
        <v>176</v>
      </c>
      <c r="T203" s="222" t="s">
        <v>176</v>
      </c>
      <c r="U203" s="222" t="s">
        <v>176</v>
      </c>
      <c r="V203" s="224"/>
      <c r="W203" s="222">
        <v>44469</v>
      </c>
      <c r="X203" s="225" t="s">
        <v>2667</v>
      </c>
      <c r="Y203" s="225"/>
      <c r="Z203" s="225"/>
      <c r="AA203" s="225">
        <v>2</v>
      </c>
      <c r="AB203" s="225">
        <v>28327</v>
      </c>
      <c r="AC203" s="225">
        <v>19</v>
      </c>
      <c r="AD203" s="225" t="s">
        <v>2668</v>
      </c>
      <c r="AE203" s="225">
        <v>38620</v>
      </c>
      <c r="AF203" s="225" t="s">
        <v>2010</v>
      </c>
      <c r="AG203" s="226">
        <v>476323674</v>
      </c>
      <c r="AH203" s="246" t="s">
        <v>176</v>
      </c>
      <c r="AI203" s="225" t="s">
        <v>1168</v>
      </c>
      <c r="AJ203" s="225"/>
      <c r="AK203" s="225"/>
      <c r="AL203" s="225" t="s">
        <v>176</v>
      </c>
      <c r="AM203" s="225" t="s">
        <v>176</v>
      </c>
      <c r="AN203" s="225" t="s">
        <v>176</v>
      </c>
      <c r="AO203" s="225" t="s">
        <v>176</v>
      </c>
      <c r="AP203" s="225" t="s">
        <v>2018</v>
      </c>
      <c r="AQ203" s="225" t="s">
        <v>225</v>
      </c>
      <c r="AR203" s="225" t="s">
        <v>2019</v>
      </c>
      <c r="AS203" s="241" t="s">
        <v>273</v>
      </c>
      <c r="AT203" s="226">
        <v>476059444</v>
      </c>
      <c r="AU203" s="225" t="s">
        <v>176</v>
      </c>
      <c r="AV203" s="241" t="s">
        <v>188</v>
      </c>
      <c r="AW203" s="223">
        <v>44424</v>
      </c>
      <c r="AX203" s="225" t="s">
        <v>1880</v>
      </c>
      <c r="AY203" s="225">
        <v>2000</v>
      </c>
      <c r="AZ203" s="225" t="s">
        <v>1880</v>
      </c>
      <c r="BA203" s="225" t="s">
        <v>267</v>
      </c>
      <c r="BB203" s="225" t="s">
        <v>208</v>
      </c>
      <c r="BC203" s="225" t="s">
        <v>2669</v>
      </c>
      <c r="BD203" s="225">
        <v>8.5</v>
      </c>
      <c r="BE203" s="225">
        <v>9</v>
      </c>
      <c r="BF203" s="225">
        <v>91.1</v>
      </c>
      <c r="BG203" s="225">
        <v>0.02</v>
      </c>
      <c r="BH203" s="225" t="s">
        <v>1899</v>
      </c>
      <c r="BI203" s="225"/>
      <c r="BJ203" s="225">
        <f>4970</f>
        <v>4970</v>
      </c>
      <c r="BK203" s="225"/>
      <c r="BL203" s="225"/>
      <c r="BM203" s="225"/>
      <c r="BN203" s="225">
        <v>300</v>
      </c>
      <c r="BO203" s="225">
        <f t="shared" si="18"/>
        <v>5270</v>
      </c>
      <c r="BP203" s="230">
        <f t="shared" si="19"/>
        <v>289.85000000000002</v>
      </c>
      <c r="BQ203" s="230">
        <f t="shared" si="20"/>
        <v>5559.85</v>
      </c>
      <c r="BR203" s="230">
        <v>4225.95</v>
      </c>
      <c r="BS203" s="225" t="s">
        <v>191</v>
      </c>
      <c r="BT203" s="225"/>
      <c r="BU203" s="225"/>
      <c r="BV203" s="301">
        <v>0</v>
      </c>
      <c r="BW203" s="301" t="s">
        <v>214</v>
      </c>
      <c r="BX203" s="301" t="s">
        <v>214</v>
      </c>
      <c r="BY203" s="301"/>
    </row>
    <row r="204" spans="1:77" s="12" customFormat="1" ht="13.5" customHeight="1">
      <c r="A204" s="64">
        <f t="shared" si="21"/>
        <v>2021</v>
      </c>
      <c r="B204" s="64">
        <f t="shared" si="22"/>
        <v>6</v>
      </c>
      <c r="C204" s="125" t="s">
        <v>191</v>
      </c>
      <c r="D204" s="168" t="str">
        <f t="shared" si="23"/>
        <v>non maj</v>
      </c>
      <c r="E204" s="232" t="s">
        <v>670</v>
      </c>
      <c r="F204" s="232" t="s">
        <v>1444</v>
      </c>
      <c r="G204" s="221">
        <v>600</v>
      </c>
      <c r="H204" s="222">
        <v>44375</v>
      </c>
      <c r="I204" s="222">
        <v>44376</v>
      </c>
      <c r="J204" s="223" t="s">
        <v>176</v>
      </c>
      <c r="K204" s="222" t="s">
        <v>176</v>
      </c>
      <c r="L204" s="223">
        <v>44376</v>
      </c>
      <c r="M204" s="223">
        <v>44376</v>
      </c>
      <c r="N204" s="223">
        <v>44382</v>
      </c>
      <c r="O204" s="222"/>
      <c r="P204" s="222">
        <v>44559</v>
      </c>
      <c r="Q204" s="222">
        <v>44540</v>
      </c>
      <c r="R204" s="222" t="s">
        <v>176</v>
      </c>
      <c r="S204" s="222">
        <v>44615</v>
      </c>
      <c r="T204" s="222">
        <v>44615</v>
      </c>
      <c r="U204" s="222">
        <v>44616</v>
      </c>
      <c r="V204" s="224"/>
      <c r="W204" s="222"/>
      <c r="X204" s="225"/>
      <c r="Y204" s="225"/>
      <c r="Z204" s="225"/>
      <c r="AA204" s="225">
        <v>2</v>
      </c>
      <c r="AB204" s="225">
        <v>32696</v>
      </c>
      <c r="AC204" s="225">
        <v>243</v>
      </c>
      <c r="AD204" s="225" t="s">
        <v>2670</v>
      </c>
      <c r="AE204" s="225">
        <v>38140</v>
      </c>
      <c r="AF204" s="225" t="s">
        <v>1924</v>
      </c>
      <c r="AG204" s="226">
        <v>684282070</v>
      </c>
      <c r="AH204" s="246" t="s">
        <v>2671</v>
      </c>
      <c r="AI204" s="225" t="s">
        <v>1168</v>
      </c>
      <c r="AJ204" s="225"/>
      <c r="AK204" s="225"/>
      <c r="AL204" s="225" t="s">
        <v>176</v>
      </c>
      <c r="AM204" s="225" t="s">
        <v>176</v>
      </c>
      <c r="AN204" s="225" t="s">
        <v>176</v>
      </c>
      <c r="AO204" s="225" t="s">
        <v>176</v>
      </c>
      <c r="AP204" s="225" t="s">
        <v>385</v>
      </c>
      <c r="AQ204" s="225" t="s">
        <v>265</v>
      </c>
      <c r="AR204" s="225" t="s">
        <v>1959</v>
      </c>
      <c r="AS204" s="241" t="s">
        <v>1960</v>
      </c>
      <c r="AT204" s="226">
        <v>476065876</v>
      </c>
      <c r="AU204" s="225" t="s">
        <v>176</v>
      </c>
      <c r="AV204" s="241" t="s">
        <v>188</v>
      </c>
      <c r="AW204" s="223">
        <v>44398</v>
      </c>
      <c r="AX204" s="225" t="s">
        <v>4113</v>
      </c>
      <c r="AY204" s="225">
        <v>2002</v>
      </c>
      <c r="AZ204" s="225" t="s">
        <v>1880</v>
      </c>
      <c r="BA204" s="225" t="s">
        <v>267</v>
      </c>
      <c r="BB204" s="225" t="s">
        <v>190</v>
      </c>
      <c r="BC204" s="225" t="s">
        <v>2672</v>
      </c>
      <c r="BD204" s="225">
        <v>15</v>
      </c>
      <c r="BE204" s="225">
        <v>9</v>
      </c>
      <c r="BF204" s="225">
        <v>92.4</v>
      </c>
      <c r="BG204" s="225">
        <v>2.2399999999999998E-3</v>
      </c>
      <c r="BH204" s="225" t="s">
        <v>1882</v>
      </c>
      <c r="BI204" s="225"/>
      <c r="BJ204" s="225">
        <f>2665+585+515</f>
        <v>3765</v>
      </c>
      <c r="BK204" s="225"/>
      <c r="BL204" s="225"/>
      <c r="BM204" s="225"/>
      <c r="BN204" s="225">
        <v>400</v>
      </c>
      <c r="BO204" s="225">
        <f t="shared" si="18"/>
        <v>4165</v>
      </c>
      <c r="BP204" s="230">
        <f t="shared" si="19"/>
        <v>229.07499999999999</v>
      </c>
      <c r="BQ204" s="230">
        <f t="shared" si="20"/>
        <v>4394.0749999999998</v>
      </c>
      <c r="BR204" s="230">
        <v>4394.08</v>
      </c>
      <c r="BS204" s="225" t="s">
        <v>188</v>
      </c>
      <c r="BT204" s="225"/>
      <c r="BU204" s="225"/>
      <c r="BV204" s="301" t="s">
        <v>2325</v>
      </c>
      <c r="BW204" s="301" t="s">
        <v>214</v>
      </c>
      <c r="BX204" s="301" t="s">
        <v>620</v>
      </c>
      <c r="BY204" s="301" t="s">
        <v>176</v>
      </c>
    </row>
    <row r="205" spans="1:77" s="13" customFormat="1" ht="13.5" customHeight="1">
      <c r="A205" s="64">
        <f t="shared" si="21"/>
        <v>2021</v>
      </c>
      <c r="B205" s="64">
        <f t="shared" si="22"/>
        <v>7</v>
      </c>
      <c r="C205" s="125" t="s">
        <v>191</v>
      </c>
      <c r="D205" s="168" t="str">
        <f t="shared" si="23"/>
        <v>non maj</v>
      </c>
      <c r="E205" s="292" t="s">
        <v>670</v>
      </c>
      <c r="F205" s="292" t="s">
        <v>1445</v>
      </c>
      <c r="G205" s="221">
        <v>600</v>
      </c>
      <c r="H205" s="222">
        <v>44377</v>
      </c>
      <c r="I205" s="222">
        <v>44378</v>
      </c>
      <c r="J205" s="223" t="s">
        <v>176</v>
      </c>
      <c r="K205" s="222" t="s">
        <v>176</v>
      </c>
      <c r="L205" s="223">
        <v>44383</v>
      </c>
      <c r="M205" s="223">
        <v>44383</v>
      </c>
      <c r="N205" s="223">
        <v>44389</v>
      </c>
      <c r="O205" s="222"/>
      <c r="P205" s="222">
        <v>44432</v>
      </c>
      <c r="Q205" s="222">
        <v>44399</v>
      </c>
      <c r="R205" s="222" t="s">
        <v>176</v>
      </c>
      <c r="S205" s="222">
        <v>44438</v>
      </c>
      <c r="T205" s="222">
        <v>44438</v>
      </c>
      <c r="U205" s="222">
        <v>44455</v>
      </c>
      <c r="V205" s="224"/>
      <c r="W205" s="222"/>
      <c r="X205" s="225"/>
      <c r="Y205" s="225"/>
      <c r="Z205" s="225"/>
      <c r="AA205" s="225">
        <v>3</v>
      </c>
      <c r="AB205" s="225">
        <v>49976</v>
      </c>
      <c r="AC205" s="225">
        <v>910</v>
      </c>
      <c r="AD205" s="225" t="s">
        <v>2673</v>
      </c>
      <c r="AE205" s="225">
        <v>38620</v>
      </c>
      <c r="AF205" s="225" t="s">
        <v>2382</v>
      </c>
      <c r="AG205" s="226">
        <v>781242782</v>
      </c>
      <c r="AH205" s="246" t="s">
        <v>2674</v>
      </c>
      <c r="AI205" s="225" t="s">
        <v>1168</v>
      </c>
      <c r="AJ205" s="225"/>
      <c r="AK205" s="225"/>
      <c r="AL205" s="225" t="s">
        <v>176</v>
      </c>
      <c r="AM205" s="225" t="s">
        <v>176</v>
      </c>
      <c r="AN205" s="225" t="s">
        <v>176</v>
      </c>
      <c r="AO205" s="225" t="s">
        <v>176</v>
      </c>
      <c r="AP205" s="225" t="s">
        <v>1874</v>
      </c>
      <c r="AQ205" s="225" t="s">
        <v>1875</v>
      </c>
      <c r="AR205" s="225" t="s">
        <v>1876</v>
      </c>
      <c r="AS205" s="246" t="s">
        <v>1877</v>
      </c>
      <c r="AT205" s="226" t="s">
        <v>434</v>
      </c>
      <c r="AU205" s="225" t="s">
        <v>176</v>
      </c>
      <c r="AV205" s="241" t="s">
        <v>1878</v>
      </c>
      <c r="AW205" s="223">
        <v>44517</v>
      </c>
      <c r="AX205" s="225" t="s">
        <v>4113</v>
      </c>
      <c r="AY205" s="225">
        <v>2001</v>
      </c>
      <c r="AZ205" s="225" t="s">
        <v>1880</v>
      </c>
      <c r="BA205" s="225" t="s">
        <v>267</v>
      </c>
      <c r="BB205" s="225" t="s">
        <v>190</v>
      </c>
      <c r="BC205" s="225" t="s">
        <v>2344</v>
      </c>
      <c r="BD205" s="225">
        <v>11</v>
      </c>
      <c r="BE205" s="225">
        <v>12</v>
      </c>
      <c r="BF205" s="225">
        <v>88.5</v>
      </c>
      <c r="BG205" s="225">
        <v>7.0000000000000001E-3</v>
      </c>
      <c r="BH205" s="225" t="s">
        <v>1882</v>
      </c>
      <c r="BI205" s="225"/>
      <c r="BJ205" s="225">
        <f>3600+1395+175+263+275</f>
        <v>5708</v>
      </c>
      <c r="BK205" s="225"/>
      <c r="BL205" s="225"/>
      <c r="BM205" s="225"/>
      <c r="BN205" s="225">
        <f>690+795</f>
        <v>1485</v>
      </c>
      <c r="BO205" s="225">
        <f t="shared" si="18"/>
        <v>7193</v>
      </c>
      <c r="BP205" s="230">
        <f t="shared" si="19"/>
        <v>395.61500000000001</v>
      </c>
      <c r="BQ205" s="230">
        <f t="shared" si="20"/>
        <v>7588.6149999999998</v>
      </c>
      <c r="BR205" s="230">
        <v>7588.62</v>
      </c>
      <c r="BS205" s="225" t="s">
        <v>188</v>
      </c>
      <c r="BT205" s="225"/>
      <c r="BU205" s="225"/>
      <c r="BV205" s="301" t="s">
        <v>2325</v>
      </c>
      <c r="BW205" s="301" t="s">
        <v>214</v>
      </c>
      <c r="BX205" s="301" t="s">
        <v>620</v>
      </c>
      <c r="BY205" s="301" t="s">
        <v>176</v>
      </c>
    </row>
    <row r="206" spans="1:77" s="12" customFormat="1" ht="13.5" customHeight="1">
      <c r="A206" s="64">
        <f t="shared" si="21"/>
        <v>2021</v>
      </c>
      <c r="B206" s="64">
        <f t="shared" si="22"/>
        <v>7</v>
      </c>
      <c r="C206" s="125" t="s">
        <v>191</v>
      </c>
      <c r="D206" s="168" t="str">
        <f t="shared" si="23"/>
        <v>maj</v>
      </c>
      <c r="E206" s="292" t="s">
        <v>670</v>
      </c>
      <c r="F206" s="292" t="s">
        <v>1446</v>
      </c>
      <c r="G206" s="221">
        <v>1000</v>
      </c>
      <c r="H206" s="222">
        <v>44377</v>
      </c>
      <c r="I206" s="222">
        <v>44378</v>
      </c>
      <c r="J206" s="223" t="s">
        <v>176</v>
      </c>
      <c r="K206" s="222" t="s">
        <v>176</v>
      </c>
      <c r="L206" s="223">
        <v>44383</v>
      </c>
      <c r="M206" s="223">
        <v>44383</v>
      </c>
      <c r="N206" s="223">
        <v>44389</v>
      </c>
      <c r="O206" s="222"/>
      <c r="P206" s="222">
        <v>44524</v>
      </c>
      <c r="Q206" s="222">
        <v>44499</v>
      </c>
      <c r="R206" s="222" t="s">
        <v>176</v>
      </c>
      <c r="S206" s="222">
        <v>44525</v>
      </c>
      <c r="T206" s="222">
        <v>44525</v>
      </c>
      <c r="U206" s="222">
        <v>44539</v>
      </c>
      <c r="V206" s="224"/>
      <c r="W206" s="222"/>
      <c r="X206" s="225"/>
      <c r="Y206" s="225"/>
      <c r="Z206" s="225"/>
      <c r="AA206" s="225">
        <v>4</v>
      </c>
      <c r="AB206" s="225">
        <v>28822</v>
      </c>
      <c r="AC206" s="225">
        <v>1179</v>
      </c>
      <c r="AD206" s="225" t="s">
        <v>2675</v>
      </c>
      <c r="AE206" s="225">
        <v>38620</v>
      </c>
      <c r="AF206" s="225" t="s">
        <v>2010</v>
      </c>
      <c r="AG206" s="226">
        <v>476910050</v>
      </c>
      <c r="AH206" s="246" t="s">
        <v>2676</v>
      </c>
      <c r="AI206" s="225" t="s">
        <v>1168</v>
      </c>
      <c r="AJ206" s="225"/>
      <c r="AK206" s="225"/>
      <c r="AL206" s="225" t="s">
        <v>176</v>
      </c>
      <c r="AM206" s="225" t="s">
        <v>176</v>
      </c>
      <c r="AN206" s="225" t="s">
        <v>176</v>
      </c>
      <c r="AO206" s="225" t="s">
        <v>176</v>
      </c>
      <c r="AP206" s="225" t="s">
        <v>1874</v>
      </c>
      <c r="AQ206" s="225" t="s">
        <v>1875</v>
      </c>
      <c r="AR206" s="225" t="s">
        <v>1876</v>
      </c>
      <c r="AS206" s="246" t="s">
        <v>1877</v>
      </c>
      <c r="AT206" s="226" t="s">
        <v>434</v>
      </c>
      <c r="AU206" s="225" t="s">
        <v>176</v>
      </c>
      <c r="AV206" s="241" t="s">
        <v>1878</v>
      </c>
      <c r="AW206" s="223">
        <v>44517</v>
      </c>
      <c r="AX206" s="225" t="s">
        <v>1880</v>
      </c>
      <c r="AY206" s="225">
        <v>1980</v>
      </c>
      <c r="AZ206" s="225" t="s">
        <v>1880</v>
      </c>
      <c r="BA206" s="225" t="s">
        <v>380</v>
      </c>
      <c r="BB206" s="225" t="s">
        <v>2109</v>
      </c>
      <c r="BC206" s="225" t="s">
        <v>2677</v>
      </c>
      <c r="BD206" s="225">
        <v>31</v>
      </c>
      <c r="BE206" s="225">
        <v>9</v>
      </c>
      <c r="BF206" s="225">
        <v>75</v>
      </c>
      <c r="BG206" s="225">
        <v>0.1</v>
      </c>
      <c r="BH206" s="225" t="s">
        <v>1882</v>
      </c>
      <c r="BI206" s="225"/>
      <c r="BJ206" s="225">
        <f>4728+247+45+138+860</f>
        <v>6018</v>
      </c>
      <c r="BK206" s="225"/>
      <c r="BL206" s="225"/>
      <c r="BM206" s="225"/>
      <c r="BN206" s="225">
        <v>790</v>
      </c>
      <c r="BO206" s="225">
        <f t="shared" si="18"/>
        <v>6808</v>
      </c>
      <c r="BP206" s="230">
        <f t="shared" si="19"/>
        <v>374.44</v>
      </c>
      <c r="BQ206" s="230">
        <f t="shared" si="20"/>
        <v>7182.44</v>
      </c>
      <c r="BR206" s="230">
        <v>7182.44</v>
      </c>
      <c r="BS206" s="225" t="s">
        <v>188</v>
      </c>
      <c r="BT206" s="225"/>
      <c r="BU206" s="225"/>
      <c r="BV206" s="301" t="s">
        <v>2325</v>
      </c>
      <c r="BW206" s="301" t="s">
        <v>214</v>
      </c>
      <c r="BX206" s="222" t="s">
        <v>618</v>
      </c>
      <c r="BY206" s="301">
        <v>2021</v>
      </c>
    </row>
    <row r="207" spans="1:77" ht="13.5" customHeight="1">
      <c r="A207" s="64">
        <f t="shared" si="21"/>
        <v>2021</v>
      </c>
      <c r="B207" s="64">
        <f t="shared" si="22"/>
        <v>7</v>
      </c>
      <c r="C207" s="125" t="s">
        <v>191</v>
      </c>
      <c r="D207" s="168" t="str">
        <f t="shared" si="23"/>
        <v>non maj</v>
      </c>
      <c r="E207" s="292" t="s">
        <v>670</v>
      </c>
      <c r="F207" s="292" t="s">
        <v>1447</v>
      </c>
      <c r="G207" s="221">
        <v>600</v>
      </c>
      <c r="H207" s="222">
        <v>44378</v>
      </c>
      <c r="I207" s="222">
        <v>44378</v>
      </c>
      <c r="J207" s="223" t="s">
        <v>176</v>
      </c>
      <c r="K207" s="222" t="s">
        <v>176</v>
      </c>
      <c r="L207" s="223">
        <v>44383</v>
      </c>
      <c r="M207" s="223">
        <v>44383</v>
      </c>
      <c r="N207" s="223">
        <v>44389</v>
      </c>
      <c r="O207" s="222"/>
      <c r="P207" s="222">
        <v>44412</v>
      </c>
      <c r="Q207" s="222">
        <v>44405</v>
      </c>
      <c r="R207" s="222" t="s">
        <v>2678</v>
      </c>
      <c r="S207" s="222">
        <v>44438</v>
      </c>
      <c r="T207" s="222">
        <v>44438</v>
      </c>
      <c r="U207" s="222">
        <v>44455</v>
      </c>
      <c r="V207" s="224"/>
      <c r="W207" s="222"/>
      <c r="X207" s="225"/>
      <c r="Y207" s="225"/>
      <c r="Z207" s="225"/>
      <c r="AA207" s="225">
        <v>2</v>
      </c>
      <c r="AB207" s="225">
        <f>15362+29656</f>
        <v>45018</v>
      </c>
      <c r="AC207" s="225">
        <v>46</v>
      </c>
      <c r="AD207" s="225" t="s">
        <v>2679</v>
      </c>
      <c r="AE207" s="225">
        <v>38340</v>
      </c>
      <c r="AF207" s="225" t="s">
        <v>2134</v>
      </c>
      <c r="AG207" s="226">
        <v>664927741</v>
      </c>
      <c r="AH207" s="246" t="s">
        <v>2680</v>
      </c>
      <c r="AI207" s="225" t="s">
        <v>1168</v>
      </c>
      <c r="AJ207" s="225"/>
      <c r="AK207" s="225"/>
      <c r="AL207" s="225" t="s">
        <v>176</v>
      </c>
      <c r="AM207" s="225" t="s">
        <v>176</v>
      </c>
      <c r="AN207" s="225" t="s">
        <v>176</v>
      </c>
      <c r="AO207" s="225" t="s">
        <v>176</v>
      </c>
      <c r="AP207" s="225" t="s">
        <v>2002</v>
      </c>
      <c r="AQ207" s="225" t="s">
        <v>1895</v>
      </c>
      <c r="AR207" s="225" t="s">
        <v>2003</v>
      </c>
      <c r="AS207" s="241" t="s">
        <v>245</v>
      </c>
      <c r="AT207" s="226">
        <v>476452433</v>
      </c>
      <c r="AU207" s="225" t="s">
        <v>176</v>
      </c>
      <c r="AV207" s="241" t="s">
        <v>188</v>
      </c>
      <c r="AW207" s="223">
        <v>44589</v>
      </c>
      <c r="AX207" s="225" t="s">
        <v>1879</v>
      </c>
      <c r="AY207" s="225">
        <v>1990</v>
      </c>
      <c r="AZ207" s="225" t="s">
        <v>1880</v>
      </c>
      <c r="BA207" s="225" t="s">
        <v>380</v>
      </c>
      <c r="BB207" s="225" t="s">
        <v>246</v>
      </c>
      <c r="BC207" s="225" t="s">
        <v>2681</v>
      </c>
      <c r="BD207" s="225">
        <v>16</v>
      </c>
      <c r="BE207" s="225">
        <v>6.4</v>
      </c>
      <c r="BF207" s="225">
        <v>81</v>
      </c>
      <c r="BG207" s="225">
        <v>0.08</v>
      </c>
      <c r="BH207" s="225" t="s">
        <v>1882</v>
      </c>
      <c r="BI207" s="225"/>
      <c r="BJ207" s="225">
        <f>4520.28+248.33+255</f>
        <v>5023.6099999999997</v>
      </c>
      <c r="BK207" s="225"/>
      <c r="BL207" s="225"/>
      <c r="BM207" s="225"/>
      <c r="BN207" s="225">
        <f>85+400</f>
        <v>485</v>
      </c>
      <c r="BO207" s="225">
        <f t="shared" si="18"/>
        <v>5508.61</v>
      </c>
      <c r="BP207" s="230">
        <f t="shared" si="19"/>
        <v>302.97354999999999</v>
      </c>
      <c r="BQ207" s="230">
        <f t="shared" si="20"/>
        <v>5811.5835499999994</v>
      </c>
      <c r="BR207" s="230">
        <v>5411.74</v>
      </c>
      <c r="BS207" s="225" t="s">
        <v>191</v>
      </c>
      <c r="BT207" s="225"/>
      <c r="BU207" s="225"/>
      <c r="BV207" s="301" t="s">
        <v>2325</v>
      </c>
      <c r="BW207" s="301" t="s">
        <v>214</v>
      </c>
      <c r="BX207" s="301" t="s">
        <v>620</v>
      </c>
      <c r="BY207" s="301">
        <v>2021</v>
      </c>
    </row>
    <row r="208" spans="1:77" ht="13.5" customHeight="1">
      <c r="A208" s="64">
        <f t="shared" si="21"/>
        <v>2021</v>
      </c>
      <c r="B208" s="64">
        <f t="shared" si="22"/>
        <v>7</v>
      </c>
      <c r="C208" s="125" t="s">
        <v>191</v>
      </c>
      <c r="D208" s="168" t="str">
        <f t="shared" si="23"/>
        <v>non maj</v>
      </c>
      <c r="E208" s="232" t="s">
        <v>670</v>
      </c>
      <c r="F208" s="232" t="s">
        <v>1448</v>
      </c>
      <c r="G208" s="221">
        <v>600</v>
      </c>
      <c r="H208" s="222">
        <v>44379</v>
      </c>
      <c r="I208" s="222">
        <v>44383</v>
      </c>
      <c r="J208" s="223" t="s">
        <v>176</v>
      </c>
      <c r="K208" s="222" t="s">
        <v>176</v>
      </c>
      <c r="L208" s="223">
        <v>44383</v>
      </c>
      <c r="M208" s="223">
        <v>44383</v>
      </c>
      <c r="N208" s="223">
        <v>44389</v>
      </c>
      <c r="O208" s="222"/>
      <c r="P208" s="222">
        <v>44623</v>
      </c>
      <c r="Q208" s="222">
        <v>44547</v>
      </c>
      <c r="R208" s="222" t="s">
        <v>176</v>
      </c>
      <c r="S208" s="222">
        <v>44630</v>
      </c>
      <c r="T208" s="222">
        <v>44630</v>
      </c>
      <c r="U208" s="222">
        <v>44630</v>
      </c>
      <c r="V208" s="224"/>
      <c r="W208" s="222"/>
      <c r="X208" s="225"/>
      <c r="Y208" s="225"/>
      <c r="Z208" s="225"/>
      <c r="AA208" s="225">
        <v>2</v>
      </c>
      <c r="AB208" s="225">
        <v>46202</v>
      </c>
      <c r="AC208" s="225">
        <v>233</v>
      </c>
      <c r="AD208" s="225" t="s">
        <v>2496</v>
      </c>
      <c r="AE208" s="225">
        <v>38500</v>
      </c>
      <c r="AF208" s="225" t="s">
        <v>1907</v>
      </c>
      <c r="AG208" s="226">
        <v>476550038</v>
      </c>
      <c r="AH208" s="295" t="s">
        <v>2682</v>
      </c>
      <c r="AI208" s="225" t="s">
        <v>1168</v>
      </c>
      <c r="AJ208" s="225"/>
      <c r="AK208" s="225"/>
      <c r="AL208" s="225" t="s">
        <v>176</v>
      </c>
      <c r="AM208" s="225" t="s">
        <v>176</v>
      </c>
      <c r="AN208" s="225" t="s">
        <v>176</v>
      </c>
      <c r="AO208" s="225" t="s">
        <v>176</v>
      </c>
      <c r="AP208" s="225" t="s">
        <v>1888</v>
      </c>
      <c r="AQ208" s="225" t="s">
        <v>225</v>
      </c>
      <c r="AR208" s="225" t="s">
        <v>1889</v>
      </c>
      <c r="AS208" s="295" t="s">
        <v>269</v>
      </c>
      <c r="AT208" s="226" t="s">
        <v>600</v>
      </c>
      <c r="AU208" s="225" t="s">
        <v>176</v>
      </c>
      <c r="AV208" s="251" t="s">
        <v>188</v>
      </c>
      <c r="AW208" s="223">
        <v>44503</v>
      </c>
      <c r="AX208" s="225" t="s">
        <v>1879</v>
      </c>
      <c r="AY208" s="225">
        <v>1990</v>
      </c>
      <c r="AZ208" s="225" t="s">
        <v>1880</v>
      </c>
      <c r="BA208" s="225" t="s">
        <v>380</v>
      </c>
      <c r="BB208" s="225" t="s">
        <v>198</v>
      </c>
      <c r="BC208" s="225" t="s">
        <v>2683</v>
      </c>
      <c r="BD208" s="225">
        <v>30</v>
      </c>
      <c r="BE208" s="225">
        <v>5</v>
      </c>
      <c r="BF208" s="225">
        <v>80.2</v>
      </c>
      <c r="BG208" s="225">
        <v>7.0000000000000007E-2</v>
      </c>
      <c r="BH208" s="225" t="s">
        <v>1882</v>
      </c>
      <c r="BI208" s="225"/>
      <c r="BJ208" s="225">
        <f>1953.21+450+101+85+81+90+62+43+22+15+120</f>
        <v>3022.21</v>
      </c>
      <c r="BK208" s="225"/>
      <c r="BL208" s="225"/>
      <c r="BM208" s="225"/>
      <c r="BN208" s="225">
        <f>60+440+500</f>
        <v>1000</v>
      </c>
      <c r="BO208" s="225">
        <f t="shared" si="18"/>
        <v>4022.21</v>
      </c>
      <c r="BP208" s="230">
        <f t="shared" si="19"/>
        <v>221.22155000000001</v>
      </c>
      <c r="BQ208" s="230">
        <f t="shared" si="20"/>
        <v>4243.4315500000002</v>
      </c>
      <c r="BR208" s="230">
        <v>4243.43</v>
      </c>
      <c r="BS208" s="225" t="s">
        <v>188</v>
      </c>
      <c r="BT208" s="225"/>
      <c r="BU208" s="225"/>
      <c r="BV208" s="225" t="s">
        <v>2325</v>
      </c>
      <c r="BW208" s="301" t="s">
        <v>214</v>
      </c>
      <c r="BX208" s="301" t="s">
        <v>620</v>
      </c>
      <c r="BY208" s="225">
        <v>2021</v>
      </c>
    </row>
    <row r="209" spans="1:77" ht="13.5" customHeight="1">
      <c r="A209" s="64">
        <f t="shared" si="21"/>
        <v>2021</v>
      </c>
      <c r="B209" s="64">
        <f t="shared" si="22"/>
        <v>7</v>
      </c>
      <c r="C209" s="125" t="s">
        <v>191</v>
      </c>
      <c r="D209" s="168" t="str">
        <f t="shared" si="23"/>
        <v>maj</v>
      </c>
      <c r="E209" s="292" t="s">
        <v>670</v>
      </c>
      <c r="F209" s="292" t="s">
        <v>1449</v>
      </c>
      <c r="G209" s="221">
        <v>1000</v>
      </c>
      <c r="H209" s="222">
        <v>44379</v>
      </c>
      <c r="I209" s="222">
        <v>44383</v>
      </c>
      <c r="J209" s="223" t="s">
        <v>176</v>
      </c>
      <c r="K209" s="222" t="s">
        <v>176</v>
      </c>
      <c r="L209" s="223">
        <v>44383</v>
      </c>
      <c r="M209" s="223">
        <v>44383</v>
      </c>
      <c r="N209" s="223">
        <v>44389</v>
      </c>
      <c r="O209" s="222"/>
      <c r="P209" s="222">
        <v>44537</v>
      </c>
      <c r="Q209" s="222">
        <v>44530</v>
      </c>
      <c r="R209" s="222" t="s">
        <v>176</v>
      </c>
      <c r="S209" s="222">
        <v>44539</v>
      </c>
      <c r="T209" s="222">
        <v>44539</v>
      </c>
      <c r="U209" s="222">
        <v>44540</v>
      </c>
      <c r="V209" s="224"/>
      <c r="W209" s="222"/>
      <c r="X209" s="225"/>
      <c r="Y209" s="225"/>
      <c r="Z209" s="225"/>
      <c r="AA209" s="225">
        <v>2</v>
      </c>
      <c r="AB209" s="225">
        <v>22974</v>
      </c>
      <c r="AC209" s="225">
        <v>107</v>
      </c>
      <c r="AD209" s="225" t="s">
        <v>2684</v>
      </c>
      <c r="AE209" s="225">
        <v>38500</v>
      </c>
      <c r="AF209" s="225" t="s">
        <v>1907</v>
      </c>
      <c r="AG209" s="226">
        <v>660402119</v>
      </c>
      <c r="AH209" s="295" t="s">
        <v>2685</v>
      </c>
      <c r="AI209" s="225" t="s">
        <v>1168</v>
      </c>
      <c r="AJ209" s="225"/>
      <c r="AK209" s="225"/>
      <c r="AL209" s="225" t="s">
        <v>176</v>
      </c>
      <c r="AM209" s="225" t="s">
        <v>176</v>
      </c>
      <c r="AN209" s="225" t="s">
        <v>176</v>
      </c>
      <c r="AO209" s="225" t="s">
        <v>176</v>
      </c>
      <c r="AP209" s="225" t="s">
        <v>1888</v>
      </c>
      <c r="AQ209" s="225" t="s">
        <v>225</v>
      </c>
      <c r="AR209" s="225" t="s">
        <v>1889</v>
      </c>
      <c r="AS209" s="295" t="s">
        <v>269</v>
      </c>
      <c r="AT209" s="226" t="s">
        <v>600</v>
      </c>
      <c r="AU209" s="225" t="s">
        <v>176</v>
      </c>
      <c r="AV209" s="251" t="s">
        <v>188</v>
      </c>
      <c r="AW209" s="223">
        <v>44503</v>
      </c>
      <c r="AX209" s="225" t="s">
        <v>1880</v>
      </c>
      <c r="AY209" s="225">
        <v>1995</v>
      </c>
      <c r="AZ209" s="225" t="s">
        <v>1880</v>
      </c>
      <c r="BA209" s="225" t="s">
        <v>267</v>
      </c>
      <c r="BB209" s="225" t="s">
        <v>221</v>
      </c>
      <c r="BC209" s="225" t="s">
        <v>2686</v>
      </c>
      <c r="BD209" s="225">
        <v>12</v>
      </c>
      <c r="BE209" s="225">
        <v>12</v>
      </c>
      <c r="BF209" s="225">
        <v>91</v>
      </c>
      <c r="BG209" s="225">
        <v>0.02</v>
      </c>
      <c r="BH209" s="225" t="s">
        <v>1882</v>
      </c>
      <c r="BI209" s="225"/>
      <c r="BJ209" s="225">
        <f>3895+133+125+62.9+60+22+88+15</f>
        <v>4400.8999999999996</v>
      </c>
      <c r="BK209" s="225"/>
      <c r="BL209" s="225"/>
      <c r="BM209" s="225"/>
      <c r="BN209" s="225">
        <f>30+450</f>
        <v>480</v>
      </c>
      <c r="BO209" s="225">
        <f t="shared" si="18"/>
        <v>4880.8999999999996</v>
      </c>
      <c r="BP209" s="230">
        <f t="shared" si="19"/>
        <v>268.4495</v>
      </c>
      <c r="BQ209" s="230">
        <f t="shared" si="20"/>
        <v>5149.3494999999994</v>
      </c>
      <c r="BR209" s="230">
        <v>5243.35</v>
      </c>
      <c r="BS209" s="225" t="s">
        <v>191</v>
      </c>
      <c r="BT209" s="225"/>
      <c r="BU209" s="225"/>
      <c r="BV209" s="225" t="s">
        <v>2325</v>
      </c>
      <c r="BW209" s="301" t="s">
        <v>214</v>
      </c>
      <c r="BX209" s="222" t="s">
        <v>618</v>
      </c>
      <c r="BY209" s="301" t="s">
        <v>176</v>
      </c>
    </row>
    <row r="210" spans="1:77" ht="13.5" customHeight="1">
      <c r="A210" s="64">
        <f t="shared" si="21"/>
        <v>2021</v>
      </c>
      <c r="B210" s="64">
        <f t="shared" si="22"/>
        <v>7</v>
      </c>
      <c r="C210" s="125" t="s">
        <v>191</v>
      </c>
      <c r="D210" s="168" t="str">
        <f t="shared" si="23"/>
        <v>maj</v>
      </c>
      <c r="E210" s="292" t="s">
        <v>670</v>
      </c>
      <c r="F210" s="292" t="s">
        <v>1451</v>
      </c>
      <c r="G210" s="221">
        <v>1000</v>
      </c>
      <c r="H210" s="222">
        <v>44379</v>
      </c>
      <c r="I210" s="222">
        <v>44383</v>
      </c>
      <c r="J210" s="223">
        <v>44383</v>
      </c>
      <c r="K210" s="222" t="s">
        <v>2687</v>
      </c>
      <c r="L210" s="223">
        <v>44393</v>
      </c>
      <c r="M210" s="223">
        <v>44393</v>
      </c>
      <c r="N210" s="223">
        <v>44396</v>
      </c>
      <c r="O210" s="222"/>
      <c r="P210" s="222">
        <v>44512</v>
      </c>
      <c r="Q210" s="222">
        <v>44489</v>
      </c>
      <c r="R210" s="222" t="s">
        <v>176</v>
      </c>
      <c r="S210" s="222">
        <v>44525</v>
      </c>
      <c r="T210" s="222">
        <v>44525</v>
      </c>
      <c r="U210" s="222">
        <v>44539</v>
      </c>
      <c r="V210" s="224"/>
      <c r="W210" s="222"/>
      <c r="X210" s="225"/>
      <c r="Y210" s="225"/>
      <c r="Z210" s="225"/>
      <c r="AA210" s="225">
        <v>2</v>
      </c>
      <c r="AB210" s="225">
        <v>23999</v>
      </c>
      <c r="AC210" s="225">
        <v>21</v>
      </c>
      <c r="AD210" s="225" t="s">
        <v>2688</v>
      </c>
      <c r="AE210" s="225">
        <v>38340</v>
      </c>
      <c r="AF210" s="225" t="s">
        <v>232</v>
      </c>
      <c r="AG210" s="226">
        <v>626421219</v>
      </c>
      <c r="AH210" s="246" t="s">
        <v>2689</v>
      </c>
      <c r="AI210" s="225" t="s">
        <v>1168</v>
      </c>
      <c r="AJ210" s="225"/>
      <c r="AK210" s="225"/>
      <c r="AL210" s="225" t="s">
        <v>176</v>
      </c>
      <c r="AM210" s="225" t="s">
        <v>176</v>
      </c>
      <c r="AN210" s="225" t="s">
        <v>176</v>
      </c>
      <c r="AO210" s="225" t="s">
        <v>176</v>
      </c>
      <c r="AP210" s="225" t="s">
        <v>2690</v>
      </c>
      <c r="AQ210" s="225" t="s">
        <v>2691</v>
      </c>
      <c r="AR210" s="225" t="s">
        <v>2692</v>
      </c>
      <c r="AS210" s="241" t="s">
        <v>2693</v>
      </c>
      <c r="AT210" s="226">
        <v>652624373</v>
      </c>
      <c r="AU210" s="225" t="s">
        <v>176</v>
      </c>
      <c r="AV210" s="241" t="s">
        <v>188</v>
      </c>
      <c r="AW210" s="223">
        <v>44446</v>
      </c>
      <c r="AX210" s="225" t="s">
        <v>1879</v>
      </c>
      <c r="AY210" s="225">
        <v>1986</v>
      </c>
      <c r="AZ210" s="225" t="s">
        <v>1880</v>
      </c>
      <c r="BA210" s="225" t="s">
        <v>267</v>
      </c>
      <c r="BB210" s="225" t="s">
        <v>433</v>
      </c>
      <c r="BC210" s="225" t="s">
        <v>704</v>
      </c>
      <c r="BD210" s="225">
        <v>14.8</v>
      </c>
      <c r="BE210" s="225">
        <v>7.4</v>
      </c>
      <c r="BF210" s="225">
        <v>92.5</v>
      </c>
      <c r="BG210" s="225">
        <v>1.2E-2</v>
      </c>
      <c r="BH210" s="225" t="s">
        <v>1899</v>
      </c>
      <c r="BI210" s="225"/>
      <c r="BJ210" s="225">
        <f>3110+962.3</f>
        <v>4072.3</v>
      </c>
      <c r="BK210" s="225"/>
      <c r="BL210" s="225"/>
      <c r="BM210" s="225"/>
      <c r="BN210" s="225">
        <f>500+90</f>
        <v>590</v>
      </c>
      <c r="BO210" s="225">
        <f t="shared" si="18"/>
        <v>4662.3</v>
      </c>
      <c r="BP210" s="230">
        <f t="shared" si="19"/>
        <v>256.42650000000003</v>
      </c>
      <c r="BQ210" s="230">
        <f t="shared" si="20"/>
        <v>4918.7265000000007</v>
      </c>
      <c r="BR210" s="230">
        <v>4876.53</v>
      </c>
      <c r="BS210" s="225" t="s">
        <v>188</v>
      </c>
      <c r="BT210" s="225"/>
      <c r="BU210" s="225"/>
      <c r="BV210" s="301" t="s">
        <v>2325</v>
      </c>
      <c r="BW210" s="301" t="s">
        <v>214</v>
      </c>
      <c r="BX210" s="222" t="s">
        <v>618</v>
      </c>
      <c r="BY210" s="301" t="s">
        <v>176</v>
      </c>
    </row>
    <row r="211" spans="1:77" ht="13.5" customHeight="1">
      <c r="A211" s="64">
        <f t="shared" si="21"/>
        <v>2021</v>
      </c>
      <c r="B211" s="64">
        <f t="shared" si="22"/>
        <v>7</v>
      </c>
      <c r="C211" s="125" t="s">
        <v>191</v>
      </c>
      <c r="D211" s="168" t="str">
        <f t="shared" si="23"/>
        <v>non maj</v>
      </c>
      <c r="E211" s="292" t="s">
        <v>670</v>
      </c>
      <c r="F211" s="292" t="s">
        <v>1452</v>
      </c>
      <c r="G211" s="221">
        <v>600</v>
      </c>
      <c r="H211" s="222">
        <v>44380</v>
      </c>
      <c r="I211" s="222">
        <v>44383</v>
      </c>
      <c r="J211" s="223" t="s">
        <v>176</v>
      </c>
      <c r="K211" s="222" t="s">
        <v>176</v>
      </c>
      <c r="L211" s="223">
        <v>44383</v>
      </c>
      <c r="M211" s="223">
        <v>44383</v>
      </c>
      <c r="N211" s="223">
        <v>44389</v>
      </c>
      <c r="O211" s="222"/>
      <c r="P211" s="222">
        <v>44494</v>
      </c>
      <c r="Q211" s="222">
        <v>44489</v>
      </c>
      <c r="R211" s="222" t="s">
        <v>176</v>
      </c>
      <c r="S211" s="222">
        <v>44497</v>
      </c>
      <c r="T211" s="222">
        <v>44497</v>
      </c>
      <c r="U211" s="222">
        <v>44498</v>
      </c>
      <c r="V211" s="224"/>
      <c r="W211" s="222"/>
      <c r="X211" s="225"/>
      <c r="Y211" s="225"/>
      <c r="Z211" s="225"/>
      <c r="AA211" s="225">
        <v>4</v>
      </c>
      <c r="AB211" s="225">
        <v>49436</v>
      </c>
      <c r="AC211" s="225">
        <v>1746</v>
      </c>
      <c r="AD211" s="225" t="s">
        <v>890</v>
      </c>
      <c r="AE211" s="225">
        <v>38960</v>
      </c>
      <c r="AF211" s="225" t="s">
        <v>1964</v>
      </c>
      <c r="AG211" s="226">
        <v>612913298</v>
      </c>
      <c r="AH211" s="246" t="s">
        <v>2694</v>
      </c>
      <c r="AI211" s="225" t="s">
        <v>1168</v>
      </c>
      <c r="AJ211" s="225"/>
      <c r="AK211" s="225"/>
      <c r="AL211" s="225" t="s">
        <v>176</v>
      </c>
      <c r="AM211" s="225" t="s">
        <v>176</v>
      </c>
      <c r="AN211" s="225" t="s">
        <v>176</v>
      </c>
      <c r="AO211" s="225" t="s">
        <v>176</v>
      </c>
      <c r="AP211" s="222" t="s">
        <v>587</v>
      </c>
      <c r="AQ211" s="225" t="s">
        <v>225</v>
      </c>
      <c r="AR211" s="225" t="s">
        <v>2026</v>
      </c>
      <c r="AS211" s="241" t="s">
        <v>266</v>
      </c>
      <c r="AT211" s="226">
        <v>476069938</v>
      </c>
      <c r="AU211" s="225" t="s">
        <v>176</v>
      </c>
      <c r="AV211" s="241" t="s">
        <v>188</v>
      </c>
      <c r="AW211" s="223">
        <v>44457</v>
      </c>
      <c r="AX211" s="225" t="s">
        <v>1880</v>
      </c>
      <c r="AY211" s="242">
        <v>1998</v>
      </c>
      <c r="AZ211" s="225" t="s">
        <v>1880</v>
      </c>
      <c r="BA211" s="225" t="s">
        <v>380</v>
      </c>
      <c r="BB211" s="225" t="s">
        <v>280</v>
      </c>
      <c r="BC211" s="225" t="s">
        <v>2695</v>
      </c>
      <c r="BD211" s="242">
        <v>40</v>
      </c>
      <c r="BE211" s="242">
        <v>5.9</v>
      </c>
      <c r="BF211" s="242">
        <v>83.6</v>
      </c>
      <c r="BG211" s="242">
        <v>7.0000000000000007E-2</v>
      </c>
      <c r="BH211" s="225" t="s">
        <v>1882</v>
      </c>
      <c r="BI211" s="225"/>
      <c r="BJ211" s="242">
        <f>910+98.96+55+250+74.8+2840+89</f>
        <v>4317.76</v>
      </c>
      <c r="BK211" s="225"/>
      <c r="BL211" s="225"/>
      <c r="BM211" s="225"/>
      <c r="BN211" s="242">
        <f>490+300+430</f>
        <v>1220</v>
      </c>
      <c r="BO211" s="242">
        <f t="shared" si="18"/>
        <v>5537.76</v>
      </c>
      <c r="BP211" s="242">
        <f t="shared" si="19"/>
        <v>304.57679999999999</v>
      </c>
      <c r="BQ211" s="242">
        <f t="shared" si="20"/>
        <v>5842.3368</v>
      </c>
      <c r="BR211" s="230">
        <v>5842.34</v>
      </c>
      <c r="BS211" s="225" t="s">
        <v>191</v>
      </c>
      <c r="BT211" s="225"/>
      <c r="BU211" s="225"/>
      <c r="BV211" s="301" t="s">
        <v>2325</v>
      </c>
      <c r="BW211" s="301" t="s">
        <v>214</v>
      </c>
      <c r="BX211" s="301" t="s">
        <v>620</v>
      </c>
      <c r="BY211" s="301">
        <v>2021</v>
      </c>
    </row>
    <row r="212" spans="1:77" s="12" customFormat="1" ht="13.5" customHeight="1">
      <c r="A212" s="64">
        <f t="shared" si="21"/>
        <v>2021</v>
      </c>
      <c r="B212" s="64">
        <f t="shared" si="22"/>
        <v>7</v>
      </c>
      <c r="C212" s="125" t="s">
        <v>191</v>
      </c>
      <c r="D212" s="168" t="str">
        <f t="shared" si="23"/>
        <v>non maj</v>
      </c>
      <c r="E212" s="292" t="s">
        <v>670</v>
      </c>
      <c r="F212" s="292" t="s">
        <v>1453</v>
      </c>
      <c r="G212" s="221">
        <v>600</v>
      </c>
      <c r="H212" s="222">
        <v>44381</v>
      </c>
      <c r="I212" s="222">
        <v>44383</v>
      </c>
      <c r="J212" s="223" t="s">
        <v>176</v>
      </c>
      <c r="K212" s="222" t="s">
        <v>176</v>
      </c>
      <c r="L212" s="223">
        <v>44383</v>
      </c>
      <c r="M212" s="223">
        <v>44383</v>
      </c>
      <c r="N212" s="223">
        <v>44389</v>
      </c>
      <c r="O212" s="222"/>
      <c r="P212" s="222">
        <v>44442</v>
      </c>
      <c r="Q212" s="222">
        <v>44439</v>
      </c>
      <c r="R212" s="222" t="s">
        <v>176</v>
      </c>
      <c r="S212" s="222">
        <v>44455</v>
      </c>
      <c r="T212" s="222">
        <v>44455</v>
      </c>
      <c r="U212" s="222">
        <v>44469</v>
      </c>
      <c r="V212" s="224"/>
      <c r="W212" s="222"/>
      <c r="X212" s="225"/>
      <c r="Y212" s="225"/>
      <c r="Z212" s="225"/>
      <c r="AA212" s="225">
        <v>2</v>
      </c>
      <c r="AB212" s="225">
        <v>37694</v>
      </c>
      <c r="AC212" s="225">
        <v>46</v>
      </c>
      <c r="AD212" s="225" t="s">
        <v>2696</v>
      </c>
      <c r="AE212" s="225">
        <v>38620</v>
      </c>
      <c r="AF212" s="225" t="s">
        <v>2382</v>
      </c>
      <c r="AG212" s="226">
        <v>609367269</v>
      </c>
      <c r="AH212" s="246" t="s">
        <v>2697</v>
      </c>
      <c r="AI212" s="225" t="s">
        <v>1168</v>
      </c>
      <c r="AJ212" s="225"/>
      <c r="AK212" s="225"/>
      <c r="AL212" s="225" t="s">
        <v>176</v>
      </c>
      <c r="AM212" s="225" t="s">
        <v>176</v>
      </c>
      <c r="AN212" s="225" t="s">
        <v>176</v>
      </c>
      <c r="AO212" s="225" t="s">
        <v>176</v>
      </c>
      <c r="AP212" s="225" t="s">
        <v>579</v>
      </c>
      <c r="AQ212" s="225" t="s">
        <v>1895</v>
      </c>
      <c r="AR212" s="225" t="s">
        <v>1896</v>
      </c>
      <c r="AS212" s="241" t="s">
        <v>201</v>
      </c>
      <c r="AT212" s="226">
        <v>608287337</v>
      </c>
      <c r="AU212" s="225" t="s">
        <v>176</v>
      </c>
      <c r="AV212" s="241" t="s">
        <v>188</v>
      </c>
      <c r="AW212" s="223">
        <v>44782</v>
      </c>
      <c r="AX212" s="225" t="s">
        <v>4113</v>
      </c>
      <c r="AY212" s="225">
        <v>1999</v>
      </c>
      <c r="AZ212" s="225" t="s">
        <v>1880</v>
      </c>
      <c r="BA212" s="225" t="s">
        <v>380</v>
      </c>
      <c r="BB212" s="225" t="s">
        <v>2698</v>
      </c>
      <c r="BC212" s="225" t="s">
        <v>2699</v>
      </c>
      <c r="BD212" s="225">
        <v>11</v>
      </c>
      <c r="BE212" s="225">
        <v>6.5</v>
      </c>
      <c r="BF212" s="225">
        <v>87.8</v>
      </c>
      <c r="BG212" s="225">
        <v>8.5000000000000006E-2</v>
      </c>
      <c r="BH212" s="225" t="s">
        <v>1899</v>
      </c>
      <c r="BI212" s="225"/>
      <c r="BJ212" s="225">
        <f>3288+62+325+223+165</f>
        <v>4063</v>
      </c>
      <c r="BK212" s="225"/>
      <c r="BL212" s="225"/>
      <c r="BM212" s="225"/>
      <c r="BN212" s="225">
        <v>500</v>
      </c>
      <c r="BO212" s="225">
        <f t="shared" si="18"/>
        <v>4563</v>
      </c>
      <c r="BP212" s="230">
        <f t="shared" si="19"/>
        <v>250.965</v>
      </c>
      <c r="BQ212" s="230">
        <f t="shared" si="20"/>
        <v>4813.9650000000001</v>
      </c>
      <c r="BR212" s="230">
        <v>4200</v>
      </c>
      <c r="BS212" s="225" t="s">
        <v>188</v>
      </c>
      <c r="BT212" s="225"/>
      <c r="BU212" s="225"/>
      <c r="BV212" s="301" t="s">
        <v>2325</v>
      </c>
      <c r="BW212" s="301" t="s">
        <v>214</v>
      </c>
      <c r="BX212" s="301" t="s">
        <v>620</v>
      </c>
      <c r="BY212" s="301">
        <v>2021</v>
      </c>
    </row>
    <row r="213" spans="1:77" ht="13.5" customHeight="1">
      <c r="A213" s="64">
        <f t="shared" si="21"/>
        <v>2021</v>
      </c>
      <c r="B213" s="64">
        <f t="shared" si="22"/>
        <v>7</v>
      </c>
      <c r="C213" s="125" t="s">
        <v>191</v>
      </c>
      <c r="D213" s="168" t="str">
        <f t="shared" si="23"/>
        <v>non maj</v>
      </c>
      <c r="E213" s="292" t="s">
        <v>670</v>
      </c>
      <c r="F213" s="292" t="s">
        <v>1454</v>
      </c>
      <c r="G213" s="221">
        <v>600</v>
      </c>
      <c r="H213" s="222">
        <v>44382</v>
      </c>
      <c r="I213" s="222">
        <v>44383</v>
      </c>
      <c r="J213" s="223">
        <v>44383</v>
      </c>
      <c r="K213" s="222" t="s">
        <v>2700</v>
      </c>
      <c r="L213" s="223">
        <v>44393</v>
      </c>
      <c r="M213" s="223">
        <v>44393</v>
      </c>
      <c r="N213" s="223">
        <v>44396</v>
      </c>
      <c r="O213" s="222"/>
      <c r="P213" s="222">
        <v>44606</v>
      </c>
      <c r="Q213" s="222">
        <v>44521</v>
      </c>
      <c r="R213" s="222"/>
      <c r="S213" s="222">
        <v>44609</v>
      </c>
      <c r="T213" s="222">
        <v>44609</v>
      </c>
      <c r="U213" s="222">
        <v>44609</v>
      </c>
      <c r="V213" s="224"/>
      <c r="W213" s="222"/>
      <c r="X213" s="225"/>
      <c r="Y213" s="225"/>
      <c r="Z213" s="225"/>
      <c r="AA213" s="225">
        <v>2</v>
      </c>
      <c r="AB213" s="225">
        <v>78340</v>
      </c>
      <c r="AC213" s="225">
        <v>538</v>
      </c>
      <c r="AD213" s="225" t="s">
        <v>2701</v>
      </c>
      <c r="AE213" s="225">
        <v>38730</v>
      </c>
      <c r="AF213" s="225" t="s">
        <v>1916</v>
      </c>
      <c r="AG213" s="226">
        <v>624517363</v>
      </c>
      <c r="AH213" s="246" t="s">
        <v>2702</v>
      </c>
      <c r="AI213" s="225" t="s">
        <v>1168</v>
      </c>
      <c r="AJ213" s="225"/>
      <c r="AK213" s="225"/>
      <c r="AL213" s="225" t="s">
        <v>176</v>
      </c>
      <c r="AM213" s="225" t="s">
        <v>176</v>
      </c>
      <c r="AN213" s="225" t="s">
        <v>176</v>
      </c>
      <c r="AO213" s="225" t="s">
        <v>176</v>
      </c>
      <c r="AP213" s="225" t="s">
        <v>947</v>
      </c>
      <c r="AQ213" s="225" t="s">
        <v>2545</v>
      </c>
      <c r="AR213" s="225" t="s">
        <v>903</v>
      </c>
      <c r="AS213" s="241" t="s">
        <v>2546</v>
      </c>
      <c r="AT213" s="226">
        <v>676354364</v>
      </c>
      <c r="AU213" s="225" t="s">
        <v>176</v>
      </c>
      <c r="AV213" s="241" t="s">
        <v>188</v>
      </c>
      <c r="AW213" s="223">
        <v>44495</v>
      </c>
      <c r="AX213" s="225" t="s">
        <v>4113</v>
      </c>
      <c r="AY213" s="225">
        <v>1985</v>
      </c>
      <c r="AZ213" s="225" t="s">
        <v>1880</v>
      </c>
      <c r="BA213" s="225" t="s">
        <v>267</v>
      </c>
      <c r="BB213" s="225" t="s">
        <v>2547</v>
      </c>
      <c r="BC213" s="225" t="s">
        <v>871</v>
      </c>
      <c r="BD213" s="225">
        <v>15</v>
      </c>
      <c r="BE213" s="225">
        <v>8.3000000000000007</v>
      </c>
      <c r="BF213" s="225">
        <v>90.6</v>
      </c>
      <c r="BG213" s="225">
        <v>4.0000000000000001E-3</v>
      </c>
      <c r="BH213" s="225" t="s">
        <v>1882</v>
      </c>
      <c r="BI213" s="225"/>
      <c r="BJ213" s="225">
        <f>3490+703.78+206.07+138.57+45+400.36+400+197.4+65.3</f>
        <v>5646.4799999999987</v>
      </c>
      <c r="BK213" s="225"/>
      <c r="BL213" s="225"/>
      <c r="BM213" s="225"/>
      <c r="BN213" s="225">
        <v>1160</v>
      </c>
      <c r="BO213" s="225">
        <f t="shared" si="18"/>
        <v>6806.4799999999987</v>
      </c>
      <c r="BP213" s="230">
        <f t="shared" si="19"/>
        <v>374.35639999999995</v>
      </c>
      <c r="BQ213" s="230">
        <f t="shared" si="20"/>
        <v>7180.8363999999983</v>
      </c>
      <c r="BR213" s="230">
        <v>7180.84</v>
      </c>
      <c r="BS213" s="225" t="s">
        <v>188</v>
      </c>
      <c r="BT213" s="225"/>
      <c r="BU213" s="225"/>
      <c r="BV213" s="301" t="s">
        <v>2325</v>
      </c>
      <c r="BW213" s="301" t="s">
        <v>214</v>
      </c>
      <c r="BX213" s="301" t="s">
        <v>620</v>
      </c>
      <c r="BY213" s="301" t="s">
        <v>176</v>
      </c>
    </row>
    <row r="214" spans="1:77" s="12" customFormat="1" ht="13.5" customHeight="1">
      <c r="A214" s="64">
        <f t="shared" si="21"/>
        <v>2021</v>
      </c>
      <c r="B214" s="64">
        <f t="shared" si="22"/>
        <v>7</v>
      </c>
      <c r="C214" s="125" t="s">
        <v>191</v>
      </c>
      <c r="D214" s="168" t="str">
        <f t="shared" si="23"/>
        <v>maj</v>
      </c>
      <c r="E214" s="292" t="s">
        <v>670</v>
      </c>
      <c r="F214" s="292" t="s">
        <v>1455</v>
      </c>
      <c r="G214" s="221">
        <v>1000</v>
      </c>
      <c r="H214" s="222">
        <v>44382</v>
      </c>
      <c r="I214" s="222">
        <v>44383</v>
      </c>
      <c r="J214" s="223" t="s">
        <v>176</v>
      </c>
      <c r="K214" s="222" t="s">
        <v>176</v>
      </c>
      <c r="L214" s="223">
        <v>44383</v>
      </c>
      <c r="M214" s="223">
        <v>44383</v>
      </c>
      <c r="N214" s="223">
        <v>44389</v>
      </c>
      <c r="O214" s="222"/>
      <c r="P214" s="222">
        <v>44449</v>
      </c>
      <c r="Q214" s="222">
        <v>44439</v>
      </c>
      <c r="R214" s="222" t="s">
        <v>176</v>
      </c>
      <c r="S214" s="222">
        <v>44455</v>
      </c>
      <c r="T214" s="222">
        <v>44455</v>
      </c>
      <c r="U214" s="222">
        <v>44469</v>
      </c>
      <c r="V214" s="224"/>
      <c r="W214" s="222"/>
      <c r="X214" s="225"/>
      <c r="Y214" s="225"/>
      <c r="Z214" s="225"/>
      <c r="AA214" s="225">
        <v>5</v>
      </c>
      <c r="AB214" s="225">
        <v>24643</v>
      </c>
      <c r="AC214" s="225">
        <v>51</v>
      </c>
      <c r="AD214" s="225" t="s">
        <v>2703</v>
      </c>
      <c r="AE214" s="225">
        <v>38620</v>
      </c>
      <c r="AF214" s="225" t="s">
        <v>2382</v>
      </c>
      <c r="AG214" s="226">
        <v>769841735</v>
      </c>
      <c r="AH214" s="246" t="s">
        <v>2704</v>
      </c>
      <c r="AI214" s="225" t="s">
        <v>1168</v>
      </c>
      <c r="AJ214" s="225"/>
      <c r="AK214" s="225"/>
      <c r="AL214" s="225" t="s">
        <v>176</v>
      </c>
      <c r="AM214" s="225" t="s">
        <v>176</v>
      </c>
      <c r="AN214" s="225" t="s">
        <v>176</v>
      </c>
      <c r="AO214" s="225" t="s">
        <v>176</v>
      </c>
      <c r="AP214" s="225" t="s">
        <v>1874</v>
      </c>
      <c r="AQ214" s="225" t="s">
        <v>1875</v>
      </c>
      <c r="AR214" s="225" t="s">
        <v>1876</v>
      </c>
      <c r="AS214" s="246" t="s">
        <v>1877</v>
      </c>
      <c r="AT214" s="226" t="s">
        <v>434</v>
      </c>
      <c r="AU214" s="225" t="s">
        <v>176</v>
      </c>
      <c r="AV214" s="241" t="s">
        <v>1878</v>
      </c>
      <c r="AW214" s="223">
        <v>44517</v>
      </c>
      <c r="AX214" s="225" t="s">
        <v>1880</v>
      </c>
      <c r="AY214" s="225">
        <v>2000</v>
      </c>
      <c r="AZ214" s="225" t="s">
        <v>1880</v>
      </c>
      <c r="BA214" s="225" t="s">
        <v>267</v>
      </c>
      <c r="BB214" s="225" t="s">
        <v>190</v>
      </c>
      <c r="BC214" s="225" t="s">
        <v>2705</v>
      </c>
      <c r="BD214" s="225">
        <v>15</v>
      </c>
      <c r="BE214" s="225">
        <v>12</v>
      </c>
      <c r="BF214" s="225">
        <v>89.6</v>
      </c>
      <c r="BG214" s="225">
        <v>1E-3</v>
      </c>
      <c r="BH214" s="225" t="s">
        <v>1882</v>
      </c>
      <c r="BI214" s="225"/>
      <c r="BJ214" s="225">
        <f>4630+996+545+225+150+538+496</f>
        <v>7580</v>
      </c>
      <c r="BK214" s="225"/>
      <c r="BL214" s="225"/>
      <c r="BM214" s="225"/>
      <c r="BN214" s="225">
        <v>690</v>
      </c>
      <c r="BO214" s="225">
        <f t="shared" si="18"/>
        <v>8270</v>
      </c>
      <c r="BP214" s="230">
        <f t="shared" si="19"/>
        <v>454.85</v>
      </c>
      <c r="BQ214" s="230">
        <f t="shared" si="20"/>
        <v>8724.85</v>
      </c>
      <c r="BR214" s="230">
        <v>8724.85</v>
      </c>
      <c r="BS214" s="225" t="s">
        <v>188</v>
      </c>
      <c r="BT214" s="225"/>
      <c r="BU214" s="225"/>
      <c r="BV214" s="301" t="s">
        <v>2325</v>
      </c>
      <c r="BW214" s="301" t="s">
        <v>214</v>
      </c>
      <c r="BX214" s="222" t="s">
        <v>618</v>
      </c>
      <c r="BY214" s="301" t="s">
        <v>176</v>
      </c>
    </row>
    <row r="215" spans="1:77" ht="13.5" customHeight="1">
      <c r="A215" s="64">
        <f t="shared" si="21"/>
        <v>2021</v>
      </c>
      <c r="B215" s="64">
        <f t="shared" si="22"/>
        <v>7</v>
      </c>
      <c r="C215" s="125" t="s">
        <v>191</v>
      </c>
      <c r="D215" s="168" t="str">
        <f t="shared" si="23"/>
        <v>non maj</v>
      </c>
      <c r="E215" s="292" t="s">
        <v>670</v>
      </c>
      <c r="F215" s="292" t="s">
        <v>1456</v>
      </c>
      <c r="G215" s="221">
        <v>600</v>
      </c>
      <c r="H215" s="222">
        <v>44384</v>
      </c>
      <c r="I215" s="222">
        <v>44385</v>
      </c>
      <c r="J215" s="223" t="s">
        <v>176</v>
      </c>
      <c r="K215" s="222" t="s">
        <v>176</v>
      </c>
      <c r="L215" s="223">
        <v>44393</v>
      </c>
      <c r="M215" s="223">
        <v>44393</v>
      </c>
      <c r="N215" s="223">
        <v>44435</v>
      </c>
      <c r="O215" s="222"/>
      <c r="P215" s="222">
        <v>44529</v>
      </c>
      <c r="Q215" s="222">
        <v>44500</v>
      </c>
      <c r="R215" s="222" t="s">
        <v>176</v>
      </c>
      <c r="S215" s="222">
        <v>44539</v>
      </c>
      <c r="T215" s="222">
        <v>44539</v>
      </c>
      <c r="U215" s="222">
        <v>44540</v>
      </c>
      <c r="V215" s="224"/>
      <c r="W215" s="222"/>
      <c r="X215" s="225"/>
      <c r="Y215" s="225"/>
      <c r="Z215" s="225"/>
      <c r="AA215" s="225">
        <v>3</v>
      </c>
      <c r="AB215" s="225">
        <f>56747+19442</f>
        <v>76189</v>
      </c>
      <c r="AC215" s="225">
        <v>483</v>
      </c>
      <c r="AD215" s="225" t="s">
        <v>2096</v>
      </c>
      <c r="AE215" s="225">
        <v>38850</v>
      </c>
      <c r="AF215" s="225" t="s">
        <v>1931</v>
      </c>
      <c r="AG215" s="226">
        <v>676745972</v>
      </c>
      <c r="AH215" s="246" t="s">
        <v>2706</v>
      </c>
      <c r="AI215" s="225" t="s">
        <v>1168</v>
      </c>
      <c r="AJ215" s="225"/>
      <c r="AK215" s="225"/>
      <c r="AL215" s="225" t="s">
        <v>176</v>
      </c>
      <c r="AM215" s="225" t="s">
        <v>176</v>
      </c>
      <c r="AN215" s="225" t="s">
        <v>176</v>
      </c>
      <c r="AO215" s="225" t="s">
        <v>176</v>
      </c>
      <c r="AP215" s="225" t="s">
        <v>385</v>
      </c>
      <c r="AQ215" s="225" t="s">
        <v>265</v>
      </c>
      <c r="AR215" s="225" t="s">
        <v>1959</v>
      </c>
      <c r="AS215" s="241" t="s">
        <v>1960</v>
      </c>
      <c r="AT215" s="226">
        <v>476065876</v>
      </c>
      <c r="AU215" s="225" t="s">
        <v>176</v>
      </c>
      <c r="AV215" s="241" t="s">
        <v>188</v>
      </c>
      <c r="AW215" s="223">
        <v>44770</v>
      </c>
      <c r="AX215" s="225" t="s">
        <v>1880</v>
      </c>
      <c r="AY215" s="225">
        <v>2001</v>
      </c>
      <c r="AZ215" s="225" t="s">
        <v>1880</v>
      </c>
      <c r="BA215" s="225" t="s">
        <v>267</v>
      </c>
      <c r="BB215" s="225" t="s">
        <v>190</v>
      </c>
      <c r="BC215" s="225" t="s">
        <v>2707</v>
      </c>
      <c r="BD215" s="225">
        <v>14</v>
      </c>
      <c r="BE215" s="225">
        <v>6.1</v>
      </c>
      <c r="BF215" s="225">
        <v>94.3</v>
      </c>
      <c r="BG215" s="225">
        <v>3.8E-3</v>
      </c>
      <c r="BH215" s="225" t="s">
        <v>1882</v>
      </c>
      <c r="BI215" s="225"/>
      <c r="BJ215" s="225">
        <f>3326.4+1093.4</f>
        <v>4419.8</v>
      </c>
      <c r="BK215" s="225"/>
      <c r="BL215" s="225"/>
      <c r="BM215" s="225"/>
      <c r="BN215" s="225">
        <f>830.5+99</f>
        <v>929.5</v>
      </c>
      <c r="BO215" s="225">
        <f t="shared" si="18"/>
        <v>5349.3</v>
      </c>
      <c r="BP215" s="230">
        <f t="shared" si="19"/>
        <v>294.2115</v>
      </c>
      <c r="BQ215" s="230">
        <f t="shared" si="20"/>
        <v>5643.5115000000005</v>
      </c>
      <c r="BR215" s="230">
        <v>5130.47</v>
      </c>
      <c r="BS215" s="225" t="s">
        <v>188</v>
      </c>
      <c r="BT215" s="225"/>
      <c r="BU215" s="225"/>
      <c r="BV215" s="301" t="s">
        <v>2325</v>
      </c>
      <c r="BW215" s="301" t="s">
        <v>214</v>
      </c>
      <c r="BX215" s="301" t="s">
        <v>620</v>
      </c>
      <c r="BY215" s="301" t="s">
        <v>176</v>
      </c>
    </row>
    <row r="216" spans="1:77" s="12" customFormat="1" ht="13.5" customHeight="1">
      <c r="A216" s="64">
        <f t="shared" si="21"/>
        <v>2021</v>
      </c>
      <c r="B216" s="64">
        <f t="shared" si="22"/>
        <v>7</v>
      </c>
      <c r="C216" s="125" t="s">
        <v>191</v>
      </c>
      <c r="D216" s="168" t="str">
        <f t="shared" si="23"/>
        <v>non maj</v>
      </c>
      <c r="E216" s="292" t="s">
        <v>670</v>
      </c>
      <c r="F216" s="292" t="s">
        <v>2708</v>
      </c>
      <c r="G216" s="221">
        <v>600</v>
      </c>
      <c r="H216" s="222">
        <v>44386</v>
      </c>
      <c r="I216" s="222">
        <v>44389</v>
      </c>
      <c r="J216" s="223" t="s">
        <v>176</v>
      </c>
      <c r="K216" s="222" t="s">
        <v>176</v>
      </c>
      <c r="L216" s="223">
        <v>44393</v>
      </c>
      <c r="M216" s="223">
        <v>44393</v>
      </c>
      <c r="N216" s="223">
        <v>44396</v>
      </c>
      <c r="O216" s="222"/>
      <c r="P216" s="222">
        <v>44498</v>
      </c>
      <c r="Q216" s="222">
        <v>44469</v>
      </c>
      <c r="R216" s="222" t="s">
        <v>176</v>
      </c>
      <c r="S216" s="222">
        <v>44512</v>
      </c>
      <c r="T216" s="222">
        <v>44512</v>
      </c>
      <c r="U216" s="222">
        <v>44518</v>
      </c>
      <c r="V216" s="224"/>
      <c r="W216" s="222"/>
      <c r="X216" s="225"/>
      <c r="Y216" s="225"/>
      <c r="Z216" s="225"/>
      <c r="AA216" s="225">
        <v>1</v>
      </c>
      <c r="AB216" s="225">
        <v>49348</v>
      </c>
      <c r="AC216" s="225">
        <v>200</v>
      </c>
      <c r="AD216" s="225" t="s">
        <v>787</v>
      </c>
      <c r="AE216" s="225">
        <v>38140</v>
      </c>
      <c r="AF216" s="225" t="s">
        <v>1957</v>
      </c>
      <c r="AG216" s="226">
        <v>476653667</v>
      </c>
      <c r="AH216" s="246" t="s">
        <v>2709</v>
      </c>
      <c r="AI216" s="225" t="s">
        <v>1168</v>
      </c>
      <c r="AJ216" s="225"/>
      <c r="AK216" s="225"/>
      <c r="AL216" s="225" t="s">
        <v>176</v>
      </c>
      <c r="AM216" s="225" t="s">
        <v>176</v>
      </c>
      <c r="AN216" s="225" t="s">
        <v>176</v>
      </c>
      <c r="AO216" s="225" t="s">
        <v>176</v>
      </c>
      <c r="AP216" s="222" t="s">
        <v>818</v>
      </c>
      <c r="AQ216" s="225" t="s">
        <v>225</v>
      </c>
      <c r="AR216" s="225" t="s">
        <v>1973</v>
      </c>
      <c r="AS216" s="241" t="s">
        <v>1974</v>
      </c>
      <c r="AT216" s="226">
        <v>476323235</v>
      </c>
      <c r="AU216" s="225" t="s">
        <v>176</v>
      </c>
      <c r="AV216" s="241" t="s">
        <v>188</v>
      </c>
      <c r="AW216" s="223">
        <v>44794</v>
      </c>
      <c r="AX216" s="225" t="s">
        <v>1880</v>
      </c>
      <c r="AY216" s="225">
        <v>1982</v>
      </c>
      <c r="AZ216" s="225" t="s">
        <v>1880</v>
      </c>
      <c r="BA216" s="225" t="s">
        <v>380</v>
      </c>
      <c r="BB216" s="225" t="s">
        <v>256</v>
      </c>
      <c r="BC216" s="225" t="s">
        <v>2710</v>
      </c>
      <c r="BD216" s="225">
        <v>12</v>
      </c>
      <c r="BE216" s="225">
        <v>9.1999999999999993</v>
      </c>
      <c r="BF216" s="225">
        <v>77</v>
      </c>
      <c r="BG216" s="225">
        <v>0.04</v>
      </c>
      <c r="BH216" s="225" t="s">
        <v>1882</v>
      </c>
      <c r="BI216" s="225"/>
      <c r="BJ216" s="225">
        <f>425+532+1890+90+95+39+48+29+31+110+38</f>
        <v>3327</v>
      </c>
      <c r="BK216" s="225"/>
      <c r="BL216" s="225"/>
      <c r="BM216" s="225"/>
      <c r="BN216" s="225">
        <f>42+330+60+330</f>
        <v>762</v>
      </c>
      <c r="BO216" s="225">
        <f t="shared" si="18"/>
        <v>4089</v>
      </c>
      <c r="BP216" s="230">
        <f t="shared" si="19"/>
        <v>224.89500000000001</v>
      </c>
      <c r="BQ216" s="230">
        <f t="shared" si="20"/>
        <v>4313.8950000000004</v>
      </c>
      <c r="BR216" s="230">
        <v>4174.3100000000004</v>
      </c>
      <c r="BS216" s="225" t="s">
        <v>188</v>
      </c>
      <c r="BT216" s="225"/>
      <c r="BU216" s="225"/>
      <c r="BV216" s="301" t="s">
        <v>2325</v>
      </c>
      <c r="BW216" s="301" t="s">
        <v>214</v>
      </c>
      <c r="BX216" s="301" t="s">
        <v>620</v>
      </c>
      <c r="BY216" s="301">
        <v>2021</v>
      </c>
    </row>
    <row r="217" spans="1:77" ht="13.5" customHeight="1">
      <c r="A217" s="64">
        <f t="shared" si="21"/>
        <v>2021</v>
      </c>
      <c r="B217" s="64">
        <f t="shared" si="22"/>
        <v>7</v>
      </c>
      <c r="C217" s="125" t="s">
        <v>191</v>
      </c>
      <c r="D217" s="168" t="str">
        <f t="shared" si="23"/>
        <v>maj</v>
      </c>
      <c r="E217" s="292" t="s">
        <v>670</v>
      </c>
      <c r="F217" s="292" t="s">
        <v>1457</v>
      </c>
      <c r="G217" s="221">
        <v>1000</v>
      </c>
      <c r="H217" s="222">
        <v>44386</v>
      </c>
      <c r="I217" s="222">
        <v>44389</v>
      </c>
      <c r="J217" s="223" t="s">
        <v>176</v>
      </c>
      <c r="K217" s="222" t="s">
        <v>176</v>
      </c>
      <c r="L217" s="223">
        <v>44393</v>
      </c>
      <c r="M217" s="223">
        <v>44393</v>
      </c>
      <c r="N217" s="223">
        <v>44396</v>
      </c>
      <c r="O217" s="222"/>
      <c r="P217" s="222">
        <v>44498</v>
      </c>
      <c r="Q217" s="222">
        <v>44469</v>
      </c>
      <c r="R217" s="222" t="s">
        <v>176</v>
      </c>
      <c r="S217" s="222">
        <v>44512</v>
      </c>
      <c r="T217" s="222">
        <v>44512</v>
      </c>
      <c r="U217" s="222">
        <v>44518</v>
      </c>
      <c r="V217" s="224"/>
      <c r="W217" s="222"/>
      <c r="X217" s="225"/>
      <c r="Y217" s="225"/>
      <c r="Z217" s="225"/>
      <c r="AA217" s="225">
        <v>1</v>
      </c>
      <c r="AB217" s="225">
        <v>10133</v>
      </c>
      <c r="AC217" s="225">
        <v>28</v>
      </c>
      <c r="AD217" s="225" t="s">
        <v>2430</v>
      </c>
      <c r="AE217" s="225">
        <v>38340</v>
      </c>
      <c r="AF217" s="225" t="s">
        <v>2134</v>
      </c>
      <c r="AG217" s="226">
        <v>675749441</v>
      </c>
      <c r="AH217" s="246" t="s">
        <v>2431</v>
      </c>
      <c r="AI217" s="225" t="s">
        <v>1168</v>
      </c>
      <c r="AJ217" s="225"/>
      <c r="AK217" s="225"/>
      <c r="AL217" s="225" t="s">
        <v>176</v>
      </c>
      <c r="AM217" s="225" t="s">
        <v>176</v>
      </c>
      <c r="AN217" s="225" t="s">
        <v>176</v>
      </c>
      <c r="AO217" s="225" t="s">
        <v>176</v>
      </c>
      <c r="AP217" s="225" t="s">
        <v>1874</v>
      </c>
      <c r="AQ217" s="225" t="s">
        <v>1875</v>
      </c>
      <c r="AR217" s="225" t="s">
        <v>1876</v>
      </c>
      <c r="AS217" s="246" t="s">
        <v>1877</v>
      </c>
      <c r="AT217" s="226" t="s">
        <v>434</v>
      </c>
      <c r="AU217" s="225" t="s">
        <v>176</v>
      </c>
      <c r="AV217" s="241" t="s">
        <v>1878</v>
      </c>
      <c r="AW217" s="223">
        <v>44517</v>
      </c>
      <c r="AX217" s="225" t="s">
        <v>1179</v>
      </c>
      <c r="AY217" s="225">
        <v>1995</v>
      </c>
      <c r="AZ217" s="225" t="s">
        <v>1880</v>
      </c>
      <c r="BA217" s="225" t="s">
        <v>267</v>
      </c>
      <c r="BB217" s="225" t="s">
        <v>190</v>
      </c>
      <c r="BC217" s="225" t="s">
        <v>2711</v>
      </c>
      <c r="BD217" s="225">
        <v>12</v>
      </c>
      <c r="BE217" s="225">
        <v>14.5</v>
      </c>
      <c r="BF217" s="225">
        <v>92</v>
      </c>
      <c r="BG217" s="225">
        <v>0.01</v>
      </c>
      <c r="BH217" s="225" t="s">
        <v>1882</v>
      </c>
      <c r="BI217" s="225"/>
      <c r="BJ217" s="225">
        <f>6100+985+195+180+163+168</f>
        <v>7791</v>
      </c>
      <c r="BK217" s="225"/>
      <c r="BL217" s="225"/>
      <c r="BM217" s="225"/>
      <c r="BN217" s="225">
        <f>890+947+786</f>
        <v>2623</v>
      </c>
      <c r="BO217" s="225">
        <f t="shared" si="18"/>
        <v>10414</v>
      </c>
      <c r="BP217" s="230">
        <f t="shared" si="19"/>
        <v>572.77</v>
      </c>
      <c r="BQ217" s="230">
        <f t="shared" si="20"/>
        <v>10986.77</v>
      </c>
      <c r="BR217" s="230">
        <v>10986.377</v>
      </c>
      <c r="BS217" s="225" t="s">
        <v>188</v>
      </c>
      <c r="BT217" s="225"/>
      <c r="BU217" s="225"/>
      <c r="BV217" s="301" t="s">
        <v>2325</v>
      </c>
      <c r="BW217" s="301" t="s">
        <v>214</v>
      </c>
      <c r="BX217" s="222" t="s">
        <v>618</v>
      </c>
      <c r="BY217" s="301" t="s">
        <v>176</v>
      </c>
    </row>
    <row r="218" spans="1:77" ht="13.5" customHeight="1">
      <c r="A218" s="64">
        <f t="shared" si="21"/>
        <v>2021</v>
      </c>
      <c r="B218" s="64">
        <f t="shared" si="22"/>
        <v>7</v>
      </c>
      <c r="C218" s="125" t="s">
        <v>191</v>
      </c>
      <c r="D218" s="168" t="str">
        <f t="shared" si="23"/>
        <v>non maj</v>
      </c>
      <c r="E218" s="292" t="s">
        <v>670</v>
      </c>
      <c r="F218" s="292" t="s">
        <v>1458</v>
      </c>
      <c r="G218" s="221">
        <v>600</v>
      </c>
      <c r="H218" s="222">
        <v>44390</v>
      </c>
      <c r="I218" s="222">
        <v>44390</v>
      </c>
      <c r="J218" s="223" t="s">
        <v>176</v>
      </c>
      <c r="K218" s="222" t="s">
        <v>176</v>
      </c>
      <c r="L218" s="223">
        <v>44393</v>
      </c>
      <c r="M218" s="223">
        <v>44393</v>
      </c>
      <c r="N218" s="223">
        <v>44396</v>
      </c>
      <c r="O218" s="222"/>
      <c r="P218" s="222">
        <v>44440</v>
      </c>
      <c r="Q218" s="222">
        <v>44424</v>
      </c>
      <c r="R218" s="222" t="s">
        <v>176</v>
      </c>
      <c r="S218" s="222">
        <v>44442</v>
      </c>
      <c r="T218" s="222">
        <v>44442</v>
      </c>
      <c r="U218" s="222">
        <v>44469</v>
      </c>
      <c r="V218" s="224"/>
      <c r="W218" s="222"/>
      <c r="X218" s="225"/>
      <c r="Y218" s="225"/>
      <c r="Z218" s="225"/>
      <c r="AA218" s="225">
        <v>2</v>
      </c>
      <c r="AB218" s="225">
        <v>54698</v>
      </c>
      <c r="AC218" s="225">
        <v>108</v>
      </c>
      <c r="AD218" s="225" t="s">
        <v>2712</v>
      </c>
      <c r="AE218" s="225">
        <v>38340</v>
      </c>
      <c r="AF218" s="225" t="s">
        <v>232</v>
      </c>
      <c r="AG218" s="226">
        <v>476506330</v>
      </c>
      <c r="AH218" s="246" t="s">
        <v>2713</v>
      </c>
      <c r="AI218" s="225" t="s">
        <v>1168</v>
      </c>
      <c r="AJ218" s="225"/>
      <c r="AK218" s="225"/>
      <c r="AL218" s="225" t="s">
        <v>176</v>
      </c>
      <c r="AM218" s="225" t="s">
        <v>176</v>
      </c>
      <c r="AN218" s="225" t="s">
        <v>176</v>
      </c>
      <c r="AO218" s="225" t="s">
        <v>176</v>
      </c>
      <c r="AP218" s="225" t="s">
        <v>579</v>
      </c>
      <c r="AQ218" s="225" t="s">
        <v>1895</v>
      </c>
      <c r="AR218" s="225" t="s">
        <v>1896</v>
      </c>
      <c r="AS218" s="241" t="s">
        <v>201</v>
      </c>
      <c r="AT218" s="226">
        <v>608287337</v>
      </c>
      <c r="AU218" s="225" t="s">
        <v>176</v>
      </c>
      <c r="AV218" s="241" t="s">
        <v>188</v>
      </c>
      <c r="AW218" s="223">
        <v>44417</v>
      </c>
      <c r="AX218" s="225" t="s">
        <v>1880</v>
      </c>
      <c r="AY218" s="225">
        <v>2001</v>
      </c>
      <c r="AZ218" s="225" t="s">
        <v>1880</v>
      </c>
      <c r="BA218" s="225" t="s">
        <v>267</v>
      </c>
      <c r="BB218" s="225" t="s">
        <v>1897</v>
      </c>
      <c r="BC218" s="225" t="s">
        <v>2714</v>
      </c>
      <c r="BD218" s="225">
        <v>22.8</v>
      </c>
      <c r="BE218" s="225">
        <v>6.5</v>
      </c>
      <c r="BF218" s="225">
        <v>93.1</v>
      </c>
      <c r="BG218" s="225">
        <v>8.0000000000000002E-3</v>
      </c>
      <c r="BH218" s="225" t="s">
        <v>1882</v>
      </c>
      <c r="BI218" s="225"/>
      <c r="BJ218" s="225">
        <f>2944+315+581+326</f>
        <v>4166</v>
      </c>
      <c r="BK218" s="225"/>
      <c r="BL218" s="225"/>
      <c r="BM218" s="225"/>
      <c r="BN218" s="225">
        <v>650</v>
      </c>
      <c r="BO218" s="225">
        <f t="shared" si="18"/>
        <v>4816</v>
      </c>
      <c r="BP218" s="230">
        <f t="shared" si="19"/>
        <v>264.88</v>
      </c>
      <c r="BQ218" s="230">
        <f t="shared" si="20"/>
        <v>5080.88</v>
      </c>
      <c r="BR218" s="230">
        <v>4500</v>
      </c>
      <c r="BS218" s="225" t="s">
        <v>191</v>
      </c>
      <c r="BT218" s="225"/>
      <c r="BU218" s="225"/>
      <c r="BV218" s="301" t="s">
        <v>2325</v>
      </c>
      <c r="BW218" s="301" t="s">
        <v>214</v>
      </c>
      <c r="BX218" s="301" t="s">
        <v>620</v>
      </c>
      <c r="BY218" s="301" t="s">
        <v>176</v>
      </c>
    </row>
    <row r="219" spans="1:77" ht="13.5" customHeight="1">
      <c r="A219" s="64">
        <f t="shared" si="21"/>
        <v>2021</v>
      </c>
      <c r="B219" s="64">
        <f t="shared" si="22"/>
        <v>8</v>
      </c>
      <c r="C219" s="125" t="s">
        <v>191</v>
      </c>
      <c r="D219" s="168" t="str">
        <f t="shared" si="23"/>
        <v>maj</v>
      </c>
      <c r="E219" s="292" t="s">
        <v>670</v>
      </c>
      <c r="F219" s="292" t="s">
        <v>1459</v>
      </c>
      <c r="G219" s="221">
        <v>1000</v>
      </c>
      <c r="H219" s="222">
        <v>44393</v>
      </c>
      <c r="I219" s="222">
        <v>44393</v>
      </c>
      <c r="J219" s="223" t="s">
        <v>176</v>
      </c>
      <c r="K219" s="222" t="s">
        <v>176</v>
      </c>
      <c r="L219" s="223">
        <v>44413</v>
      </c>
      <c r="M219" s="223">
        <v>44413</v>
      </c>
      <c r="N219" s="223">
        <v>44417</v>
      </c>
      <c r="O219" s="222"/>
      <c r="P219" s="222">
        <v>44533</v>
      </c>
      <c r="Q219" s="222">
        <v>44497</v>
      </c>
      <c r="R219" s="222" t="s">
        <v>176</v>
      </c>
      <c r="S219" s="222">
        <v>44539</v>
      </c>
      <c r="T219" s="222">
        <v>44539</v>
      </c>
      <c r="U219" s="222">
        <v>44540</v>
      </c>
      <c r="V219" s="224"/>
      <c r="W219" s="222"/>
      <c r="X219" s="225"/>
      <c r="Y219" s="225"/>
      <c r="Z219" s="225"/>
      <c r="AA219" s="225">
        <v>3</v>
      </c>
      <c r="AB219" s="225">
        <v>22964</v>
      </c>
      <c r="AC219" s="225">
        <v>50</v>
      </c>
      <c r="AD219" s="225" t="s">
        <v>2715</v>
      </c>
      <c r="AE219" s="225">
        <v>38210</v>
      </c>
      <c r="AF219" s="225" t="s">
        <v>1903</v>
      </c>
      <c r="AG219" s="226">
        <v>629904651</v>
      </c>
      <c r="AH219" s="246" t="s">
        <v>2716</v>
      </c>
      <c r="AI219" s="225" t="s">
        <v>1168</v>
      </c>
      <c r="AJ219" s="225"/>
      <c r="AK219" s="225"/>
      <c r="AL219" s="225" t="s">
        <v>176</v>
      </c>
      <c r="AM219" s="225" t="s">
        <v>176</v>
      </c>
      <c r="AN219" s="225" t="s">
        <v>176</v>
      </c>
      <c r="AO219" s="225" t="s">
        <v>176</v>
      </c>
      <c r="AP219" s="225" t="s">
        <v>749</v>
      </c>
      <c r="AQ219" s="225" t="s">
        <v>209</v>
      </c>
      <c r="AR219" s="225" t="s">
        <v>1013</v>
      </c>
      <c r="AS219" s="241" t="s">
        <v>2557</v>
      </c>
      <c r="AT219" s="226">
        <v>476042368</v>
      </c>
      <c r="AU219" s="225" t="s">
        <v>176</v>
      </c>
      <c r="AV219" s="241" t="s">
        <v>188</v>
      </c>
      <c r="AW219" s="223">
        <v>44524</v>
      </c>
      <c r="AX219" s="225" t="s">
        <v>4113</v>
      </c>
      <c r="AY219" s="225">
        <v>1982</v>
      </c>
      <c r="AZ219" s="225" t="s">
        <v>1880</v>
      </c>
      <c r="BA219" s="225" t="s">
        <v>267</v>
      </c>
      <c r="BB219" s="225" t="s">
        <v>2717</v>
      </c>
      <c r="BC219" s="225" t="s">
        <v>2718</v>
      </c>
      <c r="BD219" s="225">
        <v>14.9</v>
      </c>
      <c r="BE219" s="225">
        <v>9.1</v>
      </c>
      <c r="BF219" s="225">
        <v>91.4</v>
      </c>
      <c r="BG219" s="225">
        <v>6.0000000000000001E-3</v>
      </c>
      <c r="BH219" s="225" t="s">
        <v>1899</v>
      </c>
      <c r="BI219" s="225"/>
      <c r="BJ219" s="225">
        <f>3067.5+60.1+171+110.6+105.3+98.7+210+85+54.5+39.2+319</f>
        <v>4320.8999999999996</v>
      </c>
      <c r="BK219" s="225"/>
      <c r="BL219" s="225"/>
      <c r="BM219" s="225"/>
      <c r="BN219" s="225">
        <f>600+325.5+740</f>
        <v>1665.5</v>
      </c>
      <c r="BO219" s="225">
        <f t="shared" si="18"/>
        <v>5986.4</v>
      </c>
      <c r="BP219" s="230">
        <f t="shared" si="19"/>
        <v>329.25200000000001</v>
      </c>
      <c r="BQ219" s="230">
        <f t="shared" si="20"/>
        <v>6315.652</v>
      </c>
      <c r="BR219" s="230">
        <v>5999.88</v>
      </c>
      <c r="BS219" s="225" t="s">
        <v>188</v>
      </c>
      <c r="BT219" s="225"/>
      <c r="BU219" s="225"/>
      <c r="BV219" s="301" t="s">
        <v>2325</v>
      </c>
      <c r="BW219" s="301" t="s">
        <v>214</v>
      </c>
      <c r="BX219" s="222" t="s">
        <v>618</v>
      </c>
      <c r="BY219" s="301" t="s">
        <v>176</v>
      </c>
    </row>
    <row r="220" spans="1:77" s="12" customFormat="1" ht="13.5" customHeight="1">
      <c r="A220" s="64">
        <f t="shared" si="21"/>
        <v>2021</v>
      </c>
      <c r="B220" s="64">
        <f t="shared" si="22"/>
        <v>8</v>
      </c>
      <c r="C220" s="125" t="s">
        <v>191</v>
      </c>
      <c r="D220" s="168" t="str">
        <f t="shared" si="23"/>
        <v>non maj</v>
      </c>
      <c r="E220" s="292" t="s">
        <v>670</v>
      </c>
      <c r="F220" s="292" t="s">
        <v>1460</v>
      </c>
      <c r="G220" s="221">
        <v>600</v>
      </c>
      <c r="H220" s="222">
        <v>44399</v>
      </c>
      <c r="I220" s="222">
        <v>44399</v>
      </c>
      <c r="J220" s="223">
        <v>44413</v>
      </c>
      <c r="K220" s="222" t="s">
        <v>2281</v>
      </c>
      <c r="L220" s="223">
        <v>44418</v>
      </c>
      <c r="M220" s="223">
        <v>44418</v>
      </c>
      <c r="N220" s="223">
        <v>44426</v>
      </c>
      <c r="O220" s="222"/>
      <c r="P220" s="222">
        <v>44536</v>
      </c>
      <c r="Q220" s="222">
        <v>44518</v>
      </c>
      <c r="R220" s="222" t="s">
        <v>176</v>
      </c>
      <c r="S220" s="222">
        <v>44539</v>
      </c>
      <c r="T220" s="222">
        <v>44539</v>
      </c>
      <c r="U220" s="222">
        <v>44540</v>
      </c>
      <c r="V220" s="224"/>
      <c r="W220" s="222"/>
      <c r="X220" s="225"/>
      <c r="Y220" s="225"/>
      <c r="Z220" s="225"/>
      <c r="AA220" s="225">
        <v>5</v>
      </c>
      <c r="AB220" s="225">
        <v>48449</v>
      </c>
      <c r="AC220" s="225">
        <v>467</v>
      </c>
      <c r="AD220" s="225" t="s">
        <v>2719</v>
      </c>
      <c r="AE220" s="225">
        <v>38430</v>
      </c>
      <c r="AF220" s="225" t="s">
        <v>1893</v>
      </c>
      <c r="AG220" s="226" t="s">
        <v>2720</v>
      </c>
      <c r="AH220" s="246" t="s">
        <v>2721</v>
      </c>
      <c r="AI220" s="225" t="s">
        <v>1168</v>
      </c>
      <c r="AJ220" s="225"/>
      <c r="AK220" s="225"/>
      <c r="AL220" s="225" t="s">
        <v>176</v>
      </c>
      <c r="AM220" s="225" t="s">
        <v>176</v>
      </c>
      <c r="AN220" s="225" t="s">
        <v>176</v>
      </c>
      <c r="AO220" s="225" t="s">
        <v>176</v>
      </c>
      <c r="AP220" s="225" t="s">
        <v>2052</v>
      </c>
      <c r="AQ220" s="225" t="s">
        <v>232</v>
      </c>
      <c r="AR220" s="225" t="s">
        <v>233</v>
      </c>
      <c r="AS220" s="241" t="s">
        <v>234</v>
      </c>
      <c r="AT220" s="226">
        <v>476500550</v>
      </c>
      <c r="AU220" s="225" t="s">
        <v>176</v>
      </c>
      <c r="AV220" s="241" t="s">
        <v>188</v>
      </c>
      <c r="AW220" s="223">
        <v>44740</v>
      </c>
      <c r="AX220" s="225" t="s">
        <v>4113</v>
      </c>
      <c r="AY220" s="225">
        <v>1996</v>
      </c>
      <c r="AZ220" s="225" t="s">
        <v>4113</v>
      </c>
      <c r="BA220" s="225" t="s">
        <v>380</v>
      </c>
      <c r="BB220" s="225" t="s">
        <v>270</v>
      </c>
      <c r="BC220" s="225" t="s">
        <v>2266</v>
      </c>
      <c r="BD220" s="225">
        <v>30</v>
      </c>
      <c r="BE220" s="225">
        <v>13</v>
      </c>
      <c r="BF220" s="225">
        <v>84</v>
      </c>
      <c r="BG220" s="225">
        <v>0.04</v>
      </c>
      <c r="BH220" s="225" t="s">
        <v>1882</v>
      </c>
      <c r="BI220" s="225"/>
      <c r="BJ220" s="225">
        <f>547.4+61.09+1950+179.08</f>
        <v>2737.5699999999997</v>
      </c>
      <c r="BK220" s="225"/>
      <c r="BL220" s="225"/>
      <c r="BM220" s="225"/>
      <c r="BN220" s="225">
        <v>500</v>
      </c>
      <c r="BO220" s="225">
        <f t="shared" si="18"/>
        <v>3237.5699999999997</v>
      </c>
      <c r="BP220" s="230">
        <f t="shared" si="19"/>
        <v>178.06634999999997</v>
      </c>
      <c r="BQ220" s="230">
        <f t="shared" si="20"/>
        <v>3415.6363499999998</v>
      </c>
      <c r="BR220" s="230">
        <v>3415.64</v>
      </c>
      <c r="BS220" s="225" t="s">
        <v>191</v>
      </c>
      <c r="BT220" s="225"/>
      <c r="BU220" s="225"/>
      <c r="BV220" s="301" t="s">
        <v>2325</v>
      </c>
      <c r="BW220" s="301" t="s">
        <v>214</v>
      </c>
      <c r="BX220" s="301" t="s">
        <v>620</v>
      </c>
      <c r="BY220" s="301">
        <v>2021</v>
      </c>
    </row>
    <row r="221" spans="1:77" s="13" customFormat="1" ht="13.5" customHeight="1">
      <c r="A221" s="64">
        <f t="shared" si="21"/>
        <v>2021</v>
      </c>
      <c r="B221" s="64">
        <f t="shared" si="22"/>
        <v>8</v>
      </c>
      <c r="C221" s="125" t="s">
        <v>191</v>
      </c>
      <c r="D221" s="168" t="str">
        <f t="shared" si="23"/>
        <v>maj</v>
      </c>
      <c r="E221" s="292" t="s">
        <v>670</v>
      </c>
      <c r="F221" s="292" t="s">
        <v>1461</v>
      </c>
      <c r="G221" s="221">
        <v>1000</v>
      </c>
      <c r="H221" s="222">
        <v>44399</v>
      </c>
      <c r="I221" s="222">
        <v>44405</v>
      </c>
      <c r="J221" s="223">
        <v>44413</v>
      </c>
      <c r="K221" s="222" t="s">
        <v>2722</v>
      </c>
      <c r="L221" s="223">
        <v>44418</v>
      </c>
      <c r="M221" s="223">
        <v>44418</v>
      </c>
      <c r="N221" s="223">
        <v>44426</v>
      </c>
      <c r="O221" s="222"/>
      <c r="P221" s="222">
        <v>44572</v>
      </c>
      <c r="Q221" s="222">
        <v>44504</v>
      </c>
      <c r="R221" s="222" t="s">
        <v>176</v>
      </c>
      <c r="S221" s="222">
        <v>44580</v>
      </c>
      <c r="T221" s="222">
        <v>44580</v>
      </c>
      <c r="U221" s="222">
        <v>44581</v>
      </c>
      <c r="V221" s="224"/>
      <c r="W221" s="222"/>
      <c r="X221" s="225"/>
      <c r="Y221" s="225"/>
      <c r="Z221" s="225"/>
      <c r="AA221" s="225">
        <v>2</v>
      </c>
      <c r="AB221" s="225">
        <v>16263</v>
      </c>
      <c r="AC221" s="225">
        <v>168</v>
      </c>
      <c r="AD221" s="225" t="s">
        <v>2723</v>
      </c>
      <c r="AE221" s="225">
        <v>38430</v>
      </c>
      <c r="AF221" s="225" t="s">
        <v>2081</v>
      </c>
      <c r="AG221" s="226" t="s">
        <v>2724</v>
      </c>
      <c r="AH221" s="246" t="s">
        <v>2725</v>
      </c>
      <c r="AI221" s="225" t="s">
        <v>1168</v>
      </c>
      <c r="AJ221" s="225"/>
      <c r="AK221" s="225"/>
      <c r="AL221" s="225" t="s">
        <v>176</v>
      </c>
      <c r="AM221" s="225" t="s">
        <v>176</v>
      </c>
      <c r="AN221" s="225" t="s">
        <v>176</v>
      </c>
      <c r="AO221" s="225" t="s">
        <v>176</v>
      </c>
      <c r="AP221" s="225" t="s">
        <v>675</v>
      </c>
      <c r="AQ221" s="225" t="s">
        <v>225</v>
      </c>
      <c r="AR221" s="225" t="s">
        <v>1948</v>
      </c>
      <c r="AS221" s="241" t="s">
        <v>673</v>
      </c>
      <c r="AT221" s="226">
        <v>951096343</v>
      </c>
      <c r="AU221" s="225" t="s">
        <v>176</v>
      </c>
      <c r="AV221" s="241" t="s">
        <v>188</v>
      </c>
      <c r="AW221" s="223">
        <v>44433</v>
      </c>
      <c r="AX221" s="225" t="s">
        <v>4113</v>
      </c>
      <c r="AY221" s="225">
        <v>1996</v>
      </c>
      <c r="AZ221" s="225" t="s">
        <v>1880</v>
      </c>
      <c r="BA221" s="225" t="s">
        <v>267</v>
      </c>
      <c r="BB221" s="225" t="s">
        <v>413</v>
      </c>
      <c r="BC221" s="225" t="s">
        <v>2726</v>
      </c>
      <c r="BD221" s="225">
        <v>14</v>
      </c>
      <c r="BE221" s="225">
        <v>11</v>
      </c>
      <c r="BF221" s="225">
        <v>98</v>
      </c>
      <c r="BG221" s="225">
        <v>7.0000000000000001E-3</v>
      </c>
      <c r="BH221" s="225" t="s">
        <v>1882</v>
      </c>
      <c r="BI221" s="225"/>
      <c r="BJ221" s="225">
        <f>5813.67+404+375+66.18+805+269.9</f>
        <v>7733.75</v>
      </c>
      <c r="BK221" s="225"/>
      <c r="BL221" s="225"/>
      <c r="BM221" s="225"/>
      <c r="BN221" s="225">
        <f>980+630</f>
        <v>1610</v>
      </c>
      <c r="BO221" s="225">
        <f t="shared" si="18"/>
        <v>9343.75</v>
      </c>
      <c r="BP221" s="230">
        <f t="shared" si="19"/>
        <v>513.90625</v>
      </c>
      <c r="BQ221" s="230">
        <f t="shared" si="20"/>
        <v>9857.65625</v>
      </c>
      <c r="BR221" s="230">
        <v>9500</v>
      </c>
      <c r="BS221" s="225" t="s">
        <v>191</v>
      </c>
      <c r="BT221" s="225"/>
      <c r="BU221" s="225"/>
      <c r="BV221" s="301" t="s">
        <v>2325</v>
      </c>
      <c r="BW221" s="301" t="s">
        <v>214</v>
      </c>
      <c r="BX221" s="222" t="s">
        <v>618</v>
      </c>
      <c r="BY221" s="301" t="s">
        <v>176</v>
      </c>
    </row>
    <row r="222" spans="1:77" s="12" customFormat="1" ht="13.5" customHeight="1">
      <c r="A222" s="64">
        <f t="shared" si="21"/>
        <v>2021</v>
      </c>
      <c r="B222" s="64">
        <f t="shared" si="22"/>
        <v>8</v>
      </c>
      <c r="C222" s="125" t="s">
        <v>191</v>
      </c>
      <c r="D222" s="168" t="str">
        <f t="shared" si="23"/>
        <v>maj</v>
      </c>
      <c r="E222" s="292" t="s">
        <v>670</v>
      </c>
      <c r="F222" s="292" t="s">
        <v>1463</v>
      </c>
      <c r="G222" s="221">
        <v>1000</v>
      </c>
      <c r="H222" s="222">
        <v>44400</v>
      </c>
      <c r="I222" s="222">
        <v>44405</v>
      </c>
      <c r="J222" s="223" t="s">
        <v>176</v>
      </c>
      <c r="K222" s="222" t="s">
        <v>176</v>
      </c>
      <c r="L222" s="223">
        <v>44413</v>
      </c>
      <c r="M222" s="223">
        <v>44413</v>
      </c>
      <c r="N222" s="223">
        <v>44417</v>
      </c>
      <c r="O222" s="222"/>
      <c r="P222" s="222">
        <v>44581</v>
      </c>
      <c r="Q222" s="222">
        <v>44543</v>
      </c>
      <c r="R222" s="222" t="s">
        <v>176</v>
      </c>
      <c r="S222" s="222">
        <v>44594</v>
      </c>
      <c r="T222" s="222">
        <v>44595</v>
      </c>
      <c r="U222" s="222">
        <v>44600</v>
      </c>
      <c r="V222" s="224"/>
      <c r="W222" s="222"/>
      <c r="X222" s="225"/>
      <c r="Y222" s="225"/>
      <c r="Z222" s="225"/>
      <c r="AA222" s="225">
        <v>3</v>
      </c>
      <c r="AB222" s="225">
        <v>27838</v>
      </c>
      <c r="AC222" s="225">
        <v>20</v>
      </c>
      <c r="AD222" s="225" t="s">
        <v>2591</v>
      </c>
      <c r="AE222" s="225">
        <v>38490</v>
      </c>
      <c r="AF222" s="225" t="s">
        <v>1018</v>
      </c>
      <c r="AG222" s="226" t="s">
        <v>2727</v>
      </c>
      <c r="AH222" s="246" t="s">
        <v>2728</v>
      </c>
      <c r="AI222" s="225" t="s">
        <v>1168</v>
      </c>
      <c r="AJ222" s="225"/>
      <c r="AK222" s="225"/>
      <c r="AL222" s="225" t="s">
        <v>176</v>
      </c>
      <c r="AM222" s="225" t="s">
        <v>176</v>
      </c>
      <c r="AN222" s="225" t="s">
        <v>176</v>
      </c>
      <c r="AO222" s="225" t="s">
        <v>176</v>
      </c>
      <c r="AP222" s="225" t="s">
        <v>845</v>
      </c>
      <c r="AQ222" s="225" t="s">
        <v>1910</v>
      </c>
      <c r="AR222" s="225" t="s">
        <v>1966</v>
      </c>
      <c r="AS222" s="241" t="s">
        <v>430</v>
      </c>
      <c r="AT222" s="226">
        <v>474432868</v>
      </c>
      <c r="AU222" s="225" t="s">
        <v>176</v>
      </c>
      <c r="AV222" s="241" t="s">
        <v>188</v>
      </c>
      <c r="AW222" s="223">
        <v>44514</v>
      </c>
      <c r="AX222" s="225" t="s">
        <v>4113</v>
      </c>
      <c r="AY222" s="225">
        <v>1990</v>
      </c>
      <c r="AZ222" s="225" t="s">
        <v>1880</v>
      </c>
      <c r="BA222" s="225" t="s">
        <v>267</v>
      </c>
      <c r="BB222" s="225" t="s">
        <v>853</v>
      </c>
      <c r="BC222" s="225" t="s">
        <v>2729</v>
      </c>
      <c r="BD222" s="225">
        <v>15</v>
      </c>
      <c r="BE222" s="225">
        <v>10.199999999999999</v>
      </c>
      <c r="BF222" s="225">
        <v>91.5</v>
      </c>
      <c r="BG222" s="225">
        <v>1.1999999999999999E-3</v>
      </c>
      <c r="BH222" s="225" t="s">
        <v>1882</v>
      </c>
      <c r="BI222" s="225"/>
      <c r="BJ222" s="225">
        <f>3540+340+216+721.41+164+275+46</f>
        <v>5302.41</v>
      </c>
      <c r="BK222" s="225"/>
      <c r="BL222" s="225"/>
      <c r="BM222" s="225"/>
      <c r="BN222" s="225">
        <f>250+750</f>
        <v>1000</v>
      </c>
      <c r="BO222" s="225">
        <f t="shared" si="18"/>
        <v>6302.41</v>
      </c>
      <c r="BP222" s="230">
        <f t="shared" si="19"/>
        <v>346.63254999999998</v>
      </c>
      <c r="BQ222" s="230">
        <f t="shared" si="20"/>
        <v>6649.0425500000001</v>
      </c>
      <c r="BR222" s="230">
        <v>6649.04</v>
      </c>
      <c r="BS222" s="225" t="s">
        <v>188</v>
      </c>
      <c r="BT222" s="225"/>
      <c r="BU222" s="225"/>
      <c r="BV222" s="301" t="s">
        <v>2325</v>
      </c>
      <c r="BW222" s="301" t="s">
        <v>214</v>
      </c>
      <c r="BX222" s="222" t="s">
        <v>618</v>
      </c>
      <c r="BY222" s="301" t="s">
        <v>176</v>
      </c>
    </row>
    <row r="223" spans="1:77" ht="13.5" customHeight="1">
      <c r="A223" s="64">
        <f t="shared" si="21"/>
        <v>2021</v>
      </c>
      <c r="B223" s="64">
        <f t="shared" si="22"/>
        <v>8</v>
      </c>
      <c r="C223" s="125" t="s">
        <v>191</v>
      </c>
      <c r="D223" s="168" t="str">
        <f t="shared" si="23"/>
        <v>maj</v>
      </c>
      <c r="E223" s="232" t="s">
        <v>670</v>
      </c>
      <c r="F223" s="232" t="s">
        <v>1464</v>
      </c>
      <c r="G223" s="221">
        <v>1000</v>
      </c>
      <c r="H223" s="222">
        <v>44400</v>
      </c>
      <c r="I223" s="222">
        <v>44405</v>
      </c>
      <c r="J223" s="223" t="s">
        <v>176</v>
      </c>
      <c r="K223" s="222" t="s">
        <v>176</v>
      </c>
      <c r="L223" s="223">
        <v>44413</v>
      </c>
      <c r="M223" s="223">
        <v>44413</v>
      </c>
      <c r="N223" s="223">
        <v>44417</v>
      </c>
      <c r="O223" s="222"/>
      <c r="P223" s="222">
        <v>44704</v>
      </c>
      <c r="Q223" s="222">
        <v>44561</v>
      </c>
      <c r="R223" s="222" t="s">
        <v>176</v>
      </c>
      <c r="S223" s="222">
        <v>44768</v>
      </c>
      <c r="T223" s="222">
        <v>44768</v>
      </c>
      <c r="U223" s="222">
        <v>44769</v>
      </c>
      <c r="V223" s="224"/>
      <c r="W223" s="222"/>
      <c r="X223" s="225"/>
      <c r="Y223" s="225"/>
      <c r="Z223" s="225"/>
      <c r="AA223" s="225">
        <v>1</v>
      </c>
      <c r="AB223" s="225">
        <f>4086+3381</f>
        <v>7467</v>
      </c>
      <c r="AC223" s="225">
        <v>55</v>
      </c>
      <c r="AD223" s="225" t="s">
        <v>2730</v>
      </c>
      <c r="AE223" s="225">
        <v>38620</v>
      </c>
      <c r="AF223" s="225" t="s">
        <v>1871</v>
      </c>
      <c r="AG223" s="226" t="s">
        <v>2731</v>
      </c>
      <c r="AH223" s="246" t="s">
        <v>2732</v>
      </c>
      <c r="AI223" s="225" t="s">
        <v>1168</v>
      </c>
      <c r="AJ223" s="225"/>
      <c r="AK223" s="225"/>
      <c r="AL223" s="225" t="s">
        <v>176</v>
      </c>
      <c r="AM223" s="225" t="s">
        <v>176</v>
      </c>
      <c r="AN223" s="225" t="s">
        <v>176</v>
      </c>
      <c r="AO223" s="225" t="s">
        <v>176</v>
      </c>
      <c r="AP223" s="225" t="s">
        <v>1874</v>
      </c>
      <c r="AQ223" s="225" t="s">
        <v>1875</v>
      </c>
      <c r="AR223" s="225" t="s">
        <v>1876</v>
      </c>
      <c r="AS223" s="246" t="s">
        <v>1877</v>
      </c>
      <c r="AT223" s="226" t="s">
        <v>434</v>
      </c>
      <c r="AU223" s="225" t="s">
        <v>176</v>
      </c>
      <c r="AV223" s="241" t="s">
        <v>1878</v>
      </c>
      <c r="AW223" s="223">
        <v>44517</v>
      </c>
      <c r="AX223" s="225" t="s">
        <v>1179</v>
      </c>
      <c r="AY223" s="225">
        <v>1991</v>
      </c>
      <c r="AZ223" s="225" t="s">
        <v>1181</v>
      </c>
      <c r="BA223" s="225" t="s">
        <v>267</v>
      </c>
      <c r="BB223" s="225" t="s">
        <v>417</v>
      </c>
      <c r="BC223" s="225" t="s">
        <v>2733</v>
      </c>
      <c r="BD223" s="225">
        <v>10</v>
      </c>
      <c r="BE223" s="225">
        <v>12</v>
      </c>
      <c r="BF223" s="225">
        <v>92.6</v>
      </c>
      <c r="BG223" s="225">
        <v>1.6999999999999999E-3</v>
      </c>
      <c r="BH223" s="225" t="s">
        <v>1882</v>
      </c>
      <c r="BI223" s="225"/>
      <c r="BJ223" s="225">
        <f>6260+497+194+158+457+91+189+1897+297+1860+448+225+796</f>
        <v>13369</v>
      </c>
      <c r="BK223" s="225"/>
      <c r="BL223" s="225"/>
      <c r="BM223" s="225"/>
      <c r="BN223" s="225">
        <f>450+198+1680+390</f>
        <v>2718</v>
      </c>
      <c r="BO223" s="225">
        <f t="shared" si="18"/>
        <v>16087</v>
      </c>
      <c r="BP223" s="230">
        <f t="shared" si="19"/>
        <v>884.78499999999997</v>
      </c>
      <c r="BQ223" s="230">
        <f t="shared" si="20"/>
        <v>16971.785</v>
      </c>
      <c r="BR223" s="230">
        <v>16971.78</v>
      </c>
      <c r="BS223" s="225" t="s">
        <v>188</v>
      </c>
      <c r="BT223" s="225"/>
      <c r="BU223" s="225"/>
      <c r="BV223" s="301" t="s">
        <v>2325</v>
      </c>
      <c r="BW223" s="301" t="s">
        <v>214</v>
      </c>
      <c r="BX223" s="222" t="s">
        <v>618</v>
      </c>
      <c r="BY223" s="301" t="s">
        <v>176</v>
      </c>
    </row>
    <row r="224" spans="1:77" ht="13.5" customHeight="1">
      <c r="A224" s="64">
        <f t="shared" si="21"/>
        <v>2021</v>
      </c>
      <c r="B224" s="64">
        <f t="shared" si="22"/>
        <v>8</v>
      </c>
      <c r="C224" s="125" t="s">
        <v>191</v>
      </c>
      <c r="D224" s="168" t="str">
        <f t="shared" si="23"/>
        <v>non maj</v>
      </c>
      <c r="E224" s="292" t="s">
        <v>670</v>
      </c>
      <c r="F224" s="292" t="s">
        <v>1466</v>
      </c>
      <c r="G224" s="221">
        <v>600</v>
      </c>
      <c r="H224" s="222">
        <v>44400</v>
      </c>
      <c r="I224" s="222">
        <v>44405</v>
      </c>
      <c r="J224" s="223">
        <v>44413</v>
      </c>
      <c r="K224" s="222" t="s">
        <v>2281</v>
      </c>
      <c r="L224" s="223">
        <v>44418</v>
      </c>
      <c r="M224" s="223">
        <v>44418</v>
      </c>
      <c r="N224" s="223">
        <v>44426</v>
      </c>
      <c r="O224" s="222"/>
      <c r="P224" s="222">
        <v>44482</v>
      </c>
      <c r="Q224" s="222">
        <v>44438</v>
      </c>
      <c r="R224" s="222" t="s">
        <v>176</v>
      </c>
      <c r="S224" s="222">
        <v>44491</v>
      </c>
      <c r="T224" s="222">
        <v>44491</v>
      </c>
      <c r="U224" s="222">
        <v>44495</v>
      </c>
      <c r="V224" s="224"/>
      <c r="W224" s="222"/>
      <c r="X224" s="225"/>
      <c r="Y224" s="225"/>
      <c r="Z224" s="225"/>
      <c r="AA224" s="225">
        <v>4</v>
      </c>
      <c r="AB224" s="225">
        <v>54818</v>
      </c>
      <c r="AC224" s="225">
        <v>312</v>
      </c>
      <c r="AD224" s="225" t="s">
        <v>2734</v>
      </c>
      <c r="AE224" s="225">
        <v>38430</v>
      </c>
      <c r="AF224" s="225" t="s">
        <v>1893</v>
      </c>
      <c r="AG224" s="226" t="s">
        <v>2735</v>
      </c>
      <c r="AH224" s="246" t="s">
        <v>2736</v>
      </c>
      <c r="AI224" s="225" t="s">
        <v>1168</v>
      </c>
      <c r="AJ224" s="225"/>
      <c r="AK224" s="225"/>
      <c r="AL224" s="225" t="s">
        <v>176</v>
      </c>
      <c r="AM224" s="225" t="s">
        <v>176</v>
      </c>
      <c r="AN224" s="225" t="s">
        <v>176</v>
      </c>
      <c r="AO224" s="225" t="s">
        <v>176</v>
      </c>
      <c r="AP224" s="225" t="s">
        <v>579</v>
      </c>
      <c r="AQ224" s="225" t="s">
        <v>1895</v>
      </c>
      <c r="AR224" s="225" t="s">
        <v>1896</v>
      </c>
      <c r="AS224" s="241" t="s">
        <v>201</v>
      </c>
      <c r="AT224" s="226">
        <v>608287337</v>
      </c>
      <c r="AU224" s="225" t="s">
        <v>176</v>
      </c>
      <c r="AV224" s="241" t="s">
        <v>188</v>
      </c>
      <c r="AW224" s="223">
        <v>44417</v>
      </c>
      <c r="AX224" s="225" t="s">
        <v>4113</v>
      </c>
      <c r="AY224" s="225">
        <v>1996</v>
      </c>
      <c r="AZ224" s="225" t="s">
        <v>1880</v>
      </c>
      <c r="BA224" s="225" t="s">
        <v>380</v>
      </c>
      <c r="BB224" s="225" t="s">
        <v>2698</v>
      </c>
      <c r="BC224" s="225" t="s">
        <v>2699</v>
      </c>
      <c r="BD224" s="225">
        <v>30.5</v>
      </c>
      <c r="BE224" s="225">
        <v>6.5</v>
      </c>
      <c r="BF224" s="225">
        <v>87.8</v>
      </c>
      <c r="BG224" s="225">
        <v>8.5000000000000006E-2</v>
      </c>
      <c r="BH224" s="225" t="s">
        <v>1899</v>
      </c>
      <c r="BI224" s="225"/>
      <c r="BJ224" s="225">
        <f>3288+230+132+325+165</f>
        <v>4140</v>
      </c>
      <c r="BK224" s="225"/>
      <c r="BL224" s="225"/>
      <c r="BM224" s="225"/>
      <c r="BN224" s="225">
        <v>650</v>
      </c>
      <c r="BO224" s="225">
        <f t="shared" si="18"/>
        <v>4790</v>
      </c>
      <c r="BP224" s="230">
        <f t="shared" si="19"/>
        <v>263.45</v>
      </c>
      <c r="BQ224" s="230">
        <f t="shared" si="20"/>
        <v>5053.45</v>
      </c>
      <c r="BR224" s="230">
        <v>4790</v>
      </c>
      <c r="BS224" s="225" t="s">
        <v>188</v>
      </c>
      <c r="BT224" s="225"/>
      <c r="BU224" s="225"/>
      <c r="BV224" s="301" t="s">
        <v>2325</v>
      </c>
      <c r="BW224" s="301" t="s">
        <v>214</v>
      </c>
      <c r="BX224" s="301" t="s">
        <v>620</v>
      </c>
      <c r="BY224" s="301">
        <v>2021</v>
      </c>
    </row>
    <row r="225" spans="1:77" ht="13.5" customHeight="1">
      <c r="A225" s="64">
        <f t="shared" si="21"/>
        <v>2021</v>
      </c>
      <c r="B225" s="64">
        <f t="shared" si="22"/>
        <v>8</v>
      </c>
      <c r="C225" s="125" t="s">
        <v>191</v>
      </c>
      <c r="D225" s="168" t="str">
        <f t="shared" si="23"/>
        <v>maj</v>
      </c>
      <c r="E225" s="292" t="s">
        <v>670</v>
      </c>
      <c r="F225" s="292" t="s">
        <v>1467</v>
      </c>
      <c r="G225" s="221">
        <v>1000</v>
      </c>
      <c r="H225" s="222">
        <v>44404</v>
      </c>
      <c r="I225" s="222">
        <v>44405</v>
      </c>
      <c r="J225" s="223">
        <v>44413</v>
      </c>
      <c r="K225" s="222" t="s">
        <v>2281</v>
      </c>
      <c r="L225" s="223">
        <v>44426</v>
      </c>
      <c r="M225" s="223">
        <v>44426</v>
      </c>
      <c r="N225" s="223">
        <v>44428</v>
      </c>
      <c r="O225" s="222"/>
      <c r="P225" s="222">
        <v>44545</v>
      </c>
      <c r="Q225" s="222">
        <v>44537</v>
      </c>
      <c r="R225" s="222" t="s">
        <v>2737</v>
      </c>
      <c r="S225" s="222">
        <v>44580</v>
      </c>
      <c r="T225" s="222">
        <v>44580</v>
      </c>
      <c r="U225" s="222">
        <v>44581</v>
      </c>
      <c r="V225" s="224"/>
      <c r="W225" s="222"/>
      <c r="X225" s="225"/>
      <c r="Y225" s="225"/>
      <c r="Z225" s="225"/>
      <c r="AA225" s="225">
        <v>1</v>
      </c>
      <c r="AB225" s="225">
        <v>18984</v>
      </c>
      <c r="AC225" s="225">
        <v>44</v>
      </c>
      <c r="AD225" s="225" t="s">
        <v>2738</v>
      </c>
      <c r="AE225" s="225">
        <v>38500</v>
      </c>
      <c r="AF225" s="225" t="s">
        <v>1907</v>
      </c>
      <c r="AG225" s="226" t="s">
        <v>2739</v>
      </c>
      <c r="AH225" s="246" t="s">
        <v>2740</v>
      </c>
      <c r="AI225" s="225" t="s">
        <v>1168</v>
      </c>
      <c r="AJ225" s="225"/>
      <c r="AK225" s="225"/>
      <c r="AL225" s="225" t="s">
        <v>176</v>
      </c>
      <c r="AM225" s="225" t="s">
        <v>176</v>
      </c>
      <c r="AN225" s="225" t="s">
        <v>176</v>
      </c>
      <c r="AO225" s="225" t="s">
        <v>176</v>
      </c>
      <c r="AP225" s="225" t="s">
        <v>947</v>
      </c>
      <c r="AQ225" s="225" t="s">
        <v>2545</v>
      </c>
      <c r="AR225" s="225" t="s">
        <v>903</v>
      </c>
      <c r="AS225" s="241" t="s">
        <v>2546</v>
      </c>
      <c r="AT225" s="226">
        <v>676354364</v>
      </c>
      <c r="AU225" s="225" t="s">
        <v>176</v>
      </c>
      <c r="AV225" s="241" t="s">
        <v>188</v>
      </c>
      <c r="AW225" s="223">
        <v>44860</v>
      </c>
      <c r="AX225" s="225" t="s">
        <v>4113</v>
      </c>
      <c r="AY225" s="225">
        <v>1990</v>
      </c>
      <c r="AZ225" s="225" t="s">
        <v>1880</v>
      </c>
      <c r="BA225" s="225" t="s">
        <v>380</v>
      </c>
      <c r="BB225" s="225" t="s">
        <v>242</v>
      </c>
      <c r="BC225" s="225" t="s">
        <v>2741</v>
      </c>
      <c r="BD225" s="225">
        <v>38</v>
      </c>
      <c r="BE225" s="225">
        <v>6</v>
      </c>
      <c r="BF225" s="225">
        <v>81</v>
      </c>
      <c r="BG225" s="225">
        <v>0.05</v>
      </c>
      <c r="BH225" s="225" t="s">
        <v>1899</v>
      </c>
      <c r="BI225" s="225"/>
      <c r="BJ225" s="225">
        <f>2935+175+1541.3+572.09+252.58+82.45</f>
        <v>5558.42</v>
      </c>
      <c r="BK225" s="225"/>
      <c r="BL225" s="225"/>
      <c r="BM225" s="225"/>
      <c r="BN225" s="225">
        <v>635</v>
      </c>
      <c r="BO225" s="225">
        <f t="shared" si="18"/>
        <v>6193.42</v>
      </c>
      <c r="BP225" s="230">
        <f t="shared" si="19"/>
        <v>340.63810000000001</v>
      </c>
      <c r="BQ225" s="230">
        <f t="shared" si="20"/>
        <v>6534.0581000000002</v>
      </c>
      <c r="BR225" s="230">
        <v>6193.42</v>
      </c>
      <c r="BS225" s="225" t="s">
        <v>191</v>
      </c>
      <c r="BT225" s="225"/>
      <c r="BU225" s="225"/>
      <c r="BV225" s="301" t="s">
        <v>2325</v>
      </c>
      <c r="BW225" s="301" t="s">
        <v>214</v>
      </c>
      <c r="BX225" s="222" t="s">
        <v>618</v>
      </c>
      <c r="BY225" s="301">
        <v>2021</v>
      </c>
    </row>
    <row r="226" spans="1:77" s="12" customFormat="1" ht="13.5" customHeight="1">
      <c r="A226" s="64">
        <f t="shared" si="21"/>
        <v>2021</v>
      </c>
      <c r="B226" s="64">
        <f t="shared" si="22"/>
        <v>8</v>
      </c>
      <c r="C226" s="125" t="s">
        <v>191</v>
      </c>
      <c r="D226" s="168" t="str">
        <f t="shared" si="23"/>
        <v>maj</v>
      </c>
      <c r="E226" s="232" t="s">
        <v>670</v>
      </c>
      <c r="F226" s="232" t="s">
        <v>2742</v>
      </c>
      <c r="G226" s="221">
        <v>1000</v>
      </c>
      <c r="H226" s="222">
        <v>44406</v>
      </c>
      <c r="I226" s="222">
        <v>44407</v>
      </c>
      <c r="J226" s="223" t="s">
        <v>176</v>
      </c>
      <c r="K226" s="222" t="s">
        <v>176</v>
      </c>
      <c r="L226" s="223">
        <v>44413</v>
      </c>
      <c r="M226" s="223">
        <v>44413</v>
      </c>
      <c r="N226" s="223">
        <v>44417</v>
      </c>
      <c r="O226" s="222"/>
      <c r="P226" s="222">
        <v>44821</v>
      </c>
      <c r="Q226" s="222">
        <v>44797</v>
      </c>
      <c r="R226" s="222" t="s">
        <v>1061</v>
      </c>
      <c r="S226" s="222">
        <v>44873</v>
      </c>
      <c r="T226" s="222">
        <v>44873</v>
      </c>
      <c r="U226" s="222">
        <v>44879</v>
      </c>
      <c r="V226" s="224"/>
      <c r="W226" s="222"/>
      <c r="X226" s="225"/>
      <c r="Y226" s="225"/>
      <c r="Z226" s="225"/>
      <c r="AA226" s="225">
        <v>1</v>
      </c>
      <c r="AB226" s="225">
        <v>10324</v>
      </c>
      <c r="AC226" s="225">
        <v>43</v>
      </c>
      <c r="AD226" s="225" t="s">
        <v>2743</v>
      </c>
      <c r="AE226" s="225">
        <v>38140</v>
      </c>
      <c r="AF226" s="225" t="s">
        <v>1946</v>
      </c>
      <c r="AG226" s="226" t="s">
        <v>2744</v>
      </c>
      <c r="AH226" s="246" t="s">
        <v>2745</v>
      </c>
      <c r="AI226" s="225" t="s">
        <v>1168</v>
      </c>
      <c r="AJ226" s="225"/>
      <c r="AK226" s="225"/>
      <c r="AL226" s="225" t="s">
        <v>176</v>
      </c>
      <c r="AM226" s="225" t="s">
        <v>176</v>
      </c>
      <c r="AN226" s="225" t="s">
        <v>176</v>
      </c>
      <c r="AO226" s="225" t="s">
        <v>176</v>
      </c>
      <c r="AP226" s="225" t="s">
        <v>385</v>
      </c>
      <c r="AQ226" s="225" t="s">
        <v>265</v>
      </c>
      <c r="AR226" s="225" t="s">
        <v>1959</v>
      </c>
      <c r="AS226" s="241" t="s">
        <v>1960</v>
      </c>
      <c r="AT226" s="226">
        <v>476065876</v>
      </c>
      <c r="AU226" s="225" t="s">
        <v>176</v>
      </c>
      <c r="AV226" s="241" t="s">
        <v>188</v>
      </c>
      <c r="AW226" s="223">
        <v>44398</v>
      </c>
      <c r="AX226" s="225" t="s">
        <v>1880</v>
      </c>
      <c r="AY226" s="225">
        <v>1950</v>
      </c>
      <c r="AZ226" s="225" t="s">
        <v>1880</v>
      </c>
      <c r="BA226" s="225" t="s">
        <v>267</v>
      </c>
      <c r="BB226" s="225" t="s">
        <v>190</v>
      </c>
      <c r="BC226" s="225" t="s">
        <v>2746</v>
      </c>
      <c r="BD226" s="225">
        <v>8</v>
      </c>
      <c r="BE226" s="225">
        <v>6</v>
      </c>
      <c r="BF226" s="225">
        <v>94</v>
      </c>
      <c r="BG226" s="225">
        <v>8.9999999999999993E-3</v>
      </c>
      <c r="BH226" s="225" t="s">
        <v>1882</v>
      </c>
      <c r="BI226" s="225"/>
      <c r="BJ226" s="225">
        <f>2874.3+1921.7+138.6</f>
        <v>4934.6000000000004</v>
      </c>
      <c r="BK226" s="225"/>
      <c r="BL226" s="225"/>
      <c r="BM226" s="225"/>
      <c r="BN226" s="225">
        <v>880</v>
      </c>
      <c r="BO226" s="225">
        <f t="shared" si="18"/>
        <v>5814.6</v>
      </c>
      <c r="BP226" s="230">
        <f t="shared" si="19"/>
        <v>319.803</v>
      </c>
      <c r="BQ226" s="230">
        <f t="shared" si="20"/>
        <v>6134.4030000000002</v>
      </c>
      <c r="BR226" s="230">
        <v>5988.18</v>
      </c>
      <c r="BS226" s="225" t="s">
        <v>188</v>
      </c>
      <c r="BT226" s="225"/>
      <c r="BU226" s="225"/>
      <c r="BV226" s="301" t="s">
        <v>2325</v>
      </c>
      <c r="BW226" s="301" t="s">
        <v>214</v>
      </c>
      <c r="BX226" s="222" t="s">
        <v>618</v>
      </c>
      <c r="BY226" s="301" t="s">
        <v>176</v>
      </c>
    </row>
    <row r="227" spans="1:77" ht="13.5" customHeight="1">
      <c r="A227" s="64">
        <f t="shared" si="21"/>
        <v>2021</v>
      </c>
      <c r="B227" s="64">
        <f t="shared" si="22"/>
        <v>8</v>
      </c>
      <c r="C227" s="125" t="s">
        <v>191</v>
      </c>
      <c r="D227" s="168" t="str">
        <f t="shared" si="23"/>
        <v>non maj</v>
      </c>
      <c r="E227" s="292" t="s">
        <v>670</v>
      </c>
      <c r="F227" s="292" t="s">
        <v>1468</v>
      </c>
      <c r="G227" s="221">
        <v>600</v>
      </c>
      <c r="H227" s="222">
        <v>44407</v>
      </c>
      <c r="I227" s="222">
        <v>44410</v>
      </c>
      <c r="J227" s="223" t="s">
        <v>176</v>
      </c>
      <c r="K227" s="222" t="s">
        <v>176</v>
      </c>
      <c r="L227" s="223">
        <v>44413</v>
      </c>
      <c r="M227" s="223">
        <v>44413</v>
      </c>
      <c r="N227" s="223">
        <v>44417</v>
      </c>
      <c r="O227" s="222"/>
      <c r="P227" s="222">
        <v>44509</v>
      </c>
      <c r="Q227" s="222">
        <v>44494</v>
      </c>
      <c r="R227" s="222" t="s">
        <v>176</v>
      </c>
      <c r="S227" s="222">
        <v>44512</v>
      </c>
      <c r="T227" s="222">
        <v>44512</v>
      </c>
      <c r="U227" s="222">
        <v>44518</v>
      </c>
      <c r="V227" s="224"/>
      <c r="W227" s="222"/>
      <c r="X227" s="225"/>
      <c r="Y227" s="225"/>
      <c r="Z227" s="225"/>
      <c r="AA227" s="225">
        <v>2</v>
      </c>
      <c r="AB227" s="225">
        <v>36298</v>
      </c>
      <c r="AC227" s="225">
        <v>219</v>
      </c>
      <c r="AD227" s="225" t="s">
        <v>2747</v>
      </c>
      <c r="AE227" s="225">
        <v>38430</v>
      </c>
      <c r="AF227" s="225" t="s">
        <v>2081</v>
      </c>
      <c r="AG227" s="226" t="s">
        <v>2748</v>
      </c>
      <c r="AH227" s="246" t="s">
        <v>2749</v>
      </c>
      <c r="AI227" s="225" t="s">
        <v>1168</v>
      </c>
      <c r="AJ227" s="225"/>
      <c r="AK227" s="225"/>
      <c r="AL227" s="225" t="s">
        <v>176</v>
      </c>
      <c r="AM227" s="225" t="s">
        <v>176</v>
      </c>
      <c r="AN227" s="225" t="s">
        <v>176</v>
      </c>
      <c r="AO227" s="225" t="s">
        <v>176</v>
      </c>
      <c r="AP227" s="225" t="s">
        <v>2613</v>
      </c>
      <c r="AQ227" s="225" t="s">
        <v>387</v>
      </c>
      <c r="AR227" s="225" t="s">
        <v>2614</v>
      </c>
      <c r="AS227" s="241" t="s">
        <v>2615</v>
      </c>
      <c r="AT227" s="226">
        <v>662398956</v>
      </c>
      <c r="AU227" s="225" t="s">
        <v>176</v>
      </c>
      <c r="AV227" s="241" t="s">
        <v>188</v>
      </c>
      <c r="AW227" s="223">
        <v>44658</v>
      </c>
      <c r="AX227" s="225" t="s">
        <v>1880</v>
      </c>
      <c r="AY227" s="225">
        <v>1999</v>
      </c>
      <c r="AZ227" s="225" t="s">
        <v>1880</v>
      </c>
      <c r="BA227" s="225" t="s">
        <v>380</v>
      </c>
      <c r="BB227" s="225" t="s">
        <v>270</v>
      </c>
      <c r="BC227" s="225" t="s">
        <v>2750</v>
      </c>
      <c r="BD227" s="225">
        <v>40</v>
      </c>
      <c r="BE227" s="225">
        <v>6</v>
      </c>
      <c r="BF227" s="225">
        <v>83.6</v>
      </c>
      <c r="BG227" s="225">
        <v>7.0000000000000007E-2</v>
      </c>
      <c r="BH227" s="225" t="s">
        <v>1882</v>
      </c>
      <c r="BI227" s="225"/>
      <c r="BJ227" s="225">
        <f>2666.67+300+463.3+101.16+175+248.28+78.58+20</f>
        <v>4052.9900000000002</v>
      </c>
      <c r="BK227" s="225"/>
      <c r="BL227" s="225"/>
      <c r="BM227" s="225"/>
      <c r="BN227" s="225">
        <f>473.93+47.39</f>
        <v>521.32000000000005</v>
      </c>
      <c r="BO227" s="225">
        <f t="shared" si="18"/>
        <v>4574.3100000000004</v>
      </c>
      <c r="BP227" s="230">
        <f t="shared" si="19"/>
        <v>251.58705000000003</v>
      </c>
      <c r="BQ227" s="230">
        <f t="shared" si="20"/>
        <v>4825.8970500000005</v>
      </c>
      <c r="BR227" s="230">
        <v>4667.6499999999996</v>
      </c>
      <c r="BS227" s="225" t="s">
        <v>191</v>
      </c>
      <c r="BT227" s="225"/>
      <c r="BU227" s="225"/>
      <c r="BV227" s="301" t="s">
        <v>2325</v>
      </c>
      <c r="BW227" s="301" t="s">
        <v>214</v>
      </c>
      <c r="BX227" s="301" t="s">
        <v>620</v>
      </c>
      <c r="BY227" s="301">
        <v>2021</v>
      </c>
    </row>
    <row r="228" spans="1:77" s="13" customFormat="1" ht="13.5" customHeight="1">
      <c r="A228" s="64">
        <f t="shared" si="21"/>
        <v>2021</v>
      </c>
      <c r="B228" s="64">
        <f t="shared" si="22"/>
        <v>9</v>
      </c>
      <c r="C228" s="125" t="s">
        <v>191</v>
      </c>
      <c r="D228" s="168" t="str">
        <f t="shared" si="23"/>
        <v>maj</v>
      </c>
      <c r="E228" s="232" t="s">
        <v>670</v>
      </c>
      <c r="F228" s="232" t="s">
        <v>1469</v>
      </c>
      <c r="G228" s="221">
        <v>1000</v>
      </c>
      <c r="H228" s="222">
        <v>44412</v>
      </c>
      <c r="I228" s="222">
        <v>44413</v>
      </c>
      <c r="J228" s="223">
        <v>44413</v>
      </c>
      <c r="K228" s="222" t="s">
        <v>897</v>
      </c>
      <c r="L228" s="223">
        <v>44462</v>
      </c>
      <c r="M228" s="223">
        <v>44462</v>
      </c>
      <c r="N228" s="223">
        <v>44462</v>
      </c>
      <c r="O228" s="222"/>
      <c r="P228" s="222">
        <v>44644</v>
      </c>
      <c r="Q228" s="222">
        <v>44595</v>
      </c>
      <c r="R228" s="222"/>
      <c r="S228" s="222">
        <v>44658</v>
      </c>
      <c r="T228" s="222">
        <v>44658</v>
      </c>
      <c r="U228" s="222">
        <v>44662</v>
      </c>
      <c r="V228" s="224"/>
      <c r="W228" s="222"/>
      <c r="X228" s="225"/>
      <c r="Y228" s="225"/>
      <c r="Z228" s="225"/>
      <c r="AA228" s="225">
        <v>2</v>
      </c>
      <c r="AB228" s="225">
        <v>25702</v>
      </c>
      <c r="AC228" s="225">
        <v>1</v>
      </c>
      <c r="AD228" s="225" t="s">
        <v>2751</v>
      </c>
      <c r="AE228" s="225">
        <v>38430</v>
      </c>
      <c r="AF228" s="225" t="s">
        <v>1893</v>
      </c>
      <c r="AG228" s="226">
        <v>476353174</v>
      </c>
      <c r="AH228" s="246" t="s">
        <v>176</v>
      </c>
      <c r="AI228" s="225" t="s">
        <v>1168</v>
      </c>
      <c r="AJ228" s="225"/>
      <c r="AK228" s="225"/>
      <c r="AL228" s="225" t="s">
        <v>176</v>
      </c>
      <c r="AM228" s="225" t="s">
        <v>176</v>
      </c>
      <c r="AN228" s="225" t="s">
        <v>176</v>
      </c>
      <c r="AO228" s="225" t="s">
        <v>176</v>
      </c>
      <c r="AP228" s="222" t="s">
        <v>587</v>
      </c>
      <c r="AQ228" s="225" t="s">
        <v>225</v>
      </c>
      <c r="AR228" s="225" t="s">
        <v>2026</v>
      </c>
      <c r="AS228" s="241" t="s">
        <v>266</v>
      </c>
      <c r="AT228" s="226">
        <v>476069938</v>
      </c>
      <c r="AU228" s="225" t="s">
        <v>176</v>
      </c>
      <c r="AV228" s="241" t="s">
        <v>188</v>
      </c>
      <c r="AW228" s="223">
        <v>44457</v>
      </c>
      <c r="AX228" s="225" t="s">
        <v>4113</v>
      </c>
      <c r="AY228" s="242">
        <v>1990</v>
      </c>
      <c r="AZ228" s="225" t="s">
        <v>1880</v>
      </c>
      <c r="BA228" s="225" t="s">
        <v>380</v>
      </c>
      <c r="BB228" s="225" t="s">
        <v>280</v>
      </c>
      <c r="BC228" s="225" t="s">
        <v>2452</v>
      </c>
      <c r="BD228" s="242">
        <v>40</v>
      </c>
      <c r="BE228" s="242">
        <v>6</v>
      </c>
      <c r="BF228" s="242">
        <v>83</v>
      </c>
      <c r="BG228" s="242">
        <v>7.0000000000000007E-2</v>
      </c>
      <c r="BH228" s="225" t="s">
        <v>1882</v>
      </c>
      <c r="BI228" s="225"/>
      <c r="BJ228" s="242">
        <f>550+250+2790+150+89+98+207</f>
        <v>4134</v>
      </c>
      <c r="BK228" s="225"/>
      <c r="BL228" s="225"/>
      <c r="BM228" s="225"/>
      <c r="BN228" s="242">
        <f>690+450+300</f>
        <v>1440</v>
      </c>
      <c r="BO228" s="242">
        <f t="shared" si="18"/>
        <v>5574</v>
      </c>
      <c r="BP228" s="242">
        <f t="shared" si="19"/>
        <v>306.57</v>
      </c>
      <c r="BQ228" s="242">
        <f t="shared" si="20"/>
        <v>5880.57</v>
      </c>
      <c r="BR228" s="230">
        <v>5880.58</v>
      </c>
      <c r="BS228" s="225" t="s">
        <v>191</v>
      </c>
      <c r="BT228" s="225"/>
      <c r="BU228" s="225"/>
      <c r="BV228" s="301" t="s">
        <v>2325</v>
      </c>
      <c r="BW228" s="301" t="s">
        <v>214</v>
      </c>
      <c r="BX228" s="222" t="s">
        <v>618</v>
      </c>
      <c r="BY228" s="301">
        <v>2021</v>
      </c>
    </row>
    <row r="229" spans="1:77" ht="13.5" customHeight="1">
      <c r="A229" s="64">
        <f t="shared" si="21"/>
        <v>2021</v>
      </c>
      <c r="B229" s="64">
        <f t="shared" si="22"/>
        <v>8</v>
      </c>
      <c r="C229" s="125" t="s">
        <v>191</v>
      </c>
      <c r="D229" s="168" t="str">
        <f t="shared" si="23"/>
        <v>non maj</v>
      </c>
      <c r="E229" s="292" t="s">
        <v>670</v>
      </c>
      <c r="F229" s="292" t="s">
        <v>1472</v>
      </c>
      <c r="G229" s="221">
        <v>600</v>
      </c>
      <c r="H229" s="222">
        <v>44418</v>
      </c>
      <c r="I229" s="222">
        <v>44420</v>
      </c>
      <c r="J229" s="223">
        <v>44420</v>
      </c>
      <c r="K229" s="222" t="s">
        <v>2752</v>
      </c>
      <c r="L229" s="223">
        <v>44426</v>
      </c>
      <c r="M229" s="223">
        <v>44426</v>
      </c>
      <c r="N229" s="223">
        <v>44428</v>
      </c>
      <c r="O229" s="222"/>
      <c r="P229" s="222">
        <v>44494</v>
      </c>
      <c r="Q229" s="222">
        <v>44453</v>
      </c>
      <c r="R229" s="222" t="s">
        <v>176</v>
      </c>
      <c r="S229" s="222">
        <v>44497</v>
      </c>
      <c r="T229" s="222">
        <v>44497</v>
      </c>
      <c r="U229" s="222">
        <v>44498</v>
      </c>
      <c r="V229" s="224"/>
      <c r="W229" s="222"/>
      <c r="X229" s="225"/>
      <c r="Y229" s="225"/>
      <c r="Z229" s="225"/>
      <c r="AA229" s="225">
        <v>1</v>
      </c>
      <c r="AB229" s="225">
        <v>37749</v>
      </c>
      <c r="AC229" s="225">
        <v>78</v>
      </c>
      <c r="AD229" s="225" t="s">
        <v>794</v>
      </c>
      <c r="AE229" s="225">
        <v>38500</v>
      </c>
      <c r="AF229" s="225" t="s">
        <v>225</v>
      </c>
      <c r="AG229" s="226">
        <v>608715106</v>
      </c>
      <c r="AH229" s="246" t="s">
        <v>2753</v>
      </c>
      <c r="AI229" s="225" t="s">
        <v>1168</v>
      </c>
      <c r="AJ229" s="225"/>
      <c r="AK229" s="225"/>
      <c r="AL229" s="225" t="s">
        <v>176</v>
      </c>
      <c r="AM229" s="225" t="s">
        <v>176</v>
      </c>
      <c r="AN229" s="225" t="s">
        <v>176</v>
      </c>
      <c r="AO229" s="225" t="s">
        <v>176</v>
      </c>
      <c r="AP229" s="225" t="s">
        <v>263</v>
      </c>
      <c r="AQ229" s="225" t="s">
        <v>1910</v>
      </c>
      <c r="AR229" s="225" t="s">
        <v>2568</v>
      </c>
      <c r="AS229" s="241" t="s">
        <v>595</v>
      </c>
      <c r="AT229" s="226">
        <v>438920220</v>
      </c>
      <c r="AU229" s="225" t="s">
        <v>176</v>
      </c>
      <c r="AV229" s="241" t="s">
        <v>188</v>
      </c>
      <c r="AW229" s="223">
        <v>44668</v>
      </c>
      <c r="AX229" s="225" t="s">
        <v>1880</v>
      </c>
      <c r="AY229" s="225" t="s">
        <v>1935</v>
      </c>
      <c r="AZ229" s="225" t="s">
        <v>1880</v>
      </c>
      <c r="BA229" s="225" t="s">
        <v>267</v>
      </c>
      <c r="BB229" s="225" t="s">
        <v>219</v>
      </c>
      <c r="BC229" s="225" t="s">
        <v>601</v>
      </c>
      <c r="BD229" s="225">
        <v>16</v>
      </c>
      <c r="BE229" s="225">
        <v>9.1</v>
      </c>
      <c r="BF229" s="225">
        <v>91.8</v>
      </c>
      <c r="BG229" s="225">
        <v>4.0000000000000001E-3</v>
      </c>
      <c r="BH229" s="225" t="s">
        <v>1882</v>
      </c>
      <c r="BI229" s="225"/>
      <c r="BJ229" s="225">
        <f>931+4213+308</f>
        <v>5452</v>
      </c>
      <c r="BK229" s="225"/>
      <c r="BL229" s="225"/>
      <c r="BM229" s="225"/>
      <c r="BN229" s="225">
        <f>699+112+128+48+1.67</f>
        <v>988.67</v>
      </c>
      <c r="BO229" s="225">
        <f t="shared" si="18"/>
        <v>6440.67</v>
      </c>
      <c r="BP229" s="230">
        <f t="shared" si="19"/>
        <v>354.23685</v>
      </c>
      <c r="BQ229" s="230">
        <f t="shared" si="20"/>
        <v>6794.9068500000003</v>
      </c>
      <c r="BR229" s="230">
        <v>5750</v>
      </c>
      <c r="BS229" s="225" t="s">
        <v>191</v>
      </c>
      <c r="BT229" s="225"/>
      <c r="BU229" s="225"/>
      <c r="BV229" s="301" t="s">
        <v>2325</v>
      </c>
      <c r="BW229" s="301" t="s">
        <v>214</v>
      </c>
      <c r="BX229" s="301" t="s">
        <v>620</v>
      </c>
      <c r="BY229" s="301" t="s">
        <v>176</v>
      </c>
    </row>
    <row r="230" spans="1:77" ht="13.5" customHeight="1">
      <c r="A230" s="64">
        <f t="shared" si="21"/>
        <v>2021</v>
      </c>
      <c r="B230" s="64">
        <f t="shared" si="22"/>
        <v>8</v>
      </c>
      <c r="C230" s="125" t="s">
        <v>191</v>
      </c>
      <c r="D230" s="168" t="str">
        <f t="shared" si="23"/>
        <v>non maj</v>
      </c>
      <c r="E230" s="292" t="s">
        <v>670</v>
      </c>
      <c r="F230" s="292" t="s">
        <v>1474</v>
      </c>
      <c r="G230" s="221">
        <v>600</v>
      </c>
      <c r="H230" s="222">
        <v>44418</v>
      </c>
      <c r="I230" s="222">
        <v>44420</v>
      </c>
      <c r="J230" s="223" t="s">
        <v>176</v>
      </c>
      <c r="K230" s="222" t="s">
        <v>176</v>
      </c>
      <c r="L230" s="223">
        <v>44424</v>
      </c>
      <c r="M230" s="223">
        <v>44424</v>
      </c>
      <c r="N230" s="223">
        <v>44428</v>
      </c>
      <c r="O230" s="222"/>
      <c r="P230" s="222">
        <v>44516</v>
      </c>
      <c r="Q230" s="222">
        <v>44510</v>
      </c>
      <c r="R230" s="222" t="s">
        <v>176</v>
      </c>
      <c r="S230" s="222">
        <v>44525</v>
      </c>
      <c r="T230" s="222">
        <v>44525</v>
      </c>
      <c r="U230" s="222">
        <v>44539</v>
      </c>
      <c r="V230" s="224"/>
      <c r="W230" s="222"/>
      <c r="X230" s="225"/>
      <c r="Y230" s="225"/>
      <c r="Z230" s="225"/>
      <c r="AA230" s="225">
        <v>3</v>
      </c>
      <c r="AB230" s="225">
        <v>42336</v>
      </c>
      <c r="AC230" s="225">
        <v>26</v>
      </c>
      <c r="AD230" s="225" t="s">
        <v>780</v>
      </c>
      <c r="AE230" s="225">
        <v>38430</v>
      </c>
      <c r="AF230" s="225" t="s">
        <v>1893</v>
      </c>
      <c r="AG230" s="226">
        <v>677401574</v>
      </c>
      <c r="AH230" s="246" t="s">
        <v>2754</v>
      </c>
      <c r="AI230" s="225" t="s">
        <v>1168</v>
      </c>
      <c r="AJ230" s="225"/>
      <c r="AK230" s="225"/>
      <c r="AL230" s="225" t="s">
        <v>176</v>
      </c>
      <c r="AM230" s="225" t="s">
        <v>176</v>
      </c>
      <c r="AN230" s="225" t="s">
        <v>176</v>
      </c>
      <c r="AO230" s="225" t="s">
        <v>176</v>
      </c>
      <c r="AP230" s="225" t="s">
        <v>268</v>
      </c>
      <c r="AQ230" s="225" t="s">
        <v>1893</v>
      </c>
      <c r="AR230" s="225" t="s">
        <v>1933</v>
      </c>
      <c r="AS230" s="246" t="s">
        <v>1934</v>
      </c>
      <c r="AT230" s="226">
        <v>476355605</v>
      </c>
      <c r="AU230" s="225" t="s">
        <v>176</v>
      </c>
      <c r="AV230" s="241" t="s">
        <v>188</v>
      </c>
      <c r="AW230" s="223">
        <v>44495</v>
      </c>
      <c r="AX230" s="225" t="s">
        <v>4113</v>
      </c>
      <c r="AY230" s="225">
        <v>1996</v>
      </c>
      <c r="AZ230" s="225" t="s">
        <v>4113</v>
      </c>
      <c r="BA230" s="225" t="s">
        <v>380</v>
      </c>
      <c r="BB230" s="225" t="s">
        <v>1936</v>
      </c>
      <c r="BC230" s="225" t="s">
        <v>2240</v>
      </c>
      <c r="BD230" s="225">
        <v>26</v>
      </c>
      <c r="BE230" s="225">
        <v>8</v>
      </c>
      <c r="BF230" s="225">
        <v>81</v>
      </c>
      <c r="BG230" s="225">
        <v>7.0000000000000007E-2</v>
      </c>
      <c r="BH230" s="225" t="s">
        <v>1882</v>
      </c>
      <c r="BI230" s="225"/>
      <c r="BJ230" s="225">
        <f>360+48.5+94+365.75+1745+590.56+178.55+215</f>
        <v>3597.36</v>
      </c>
      <c r="BK230" s="225"/>
      <c r="BL230" s="225"/>
      <c r="BM230" s="225"/>
      <c r="BN230" s="225">
        <f>382.94+99.09+126.35+1150</f>
        <v>1758.38</v>
      </c>
      <c r="BO230" s="225">
        <f t="shared" si="18"/>
        <v>5355.74</v>
      </c>
      <c r="BP230" s="230">
        <f t="shared" si="19"/>
        <v>294.56569999999999</v>
      </c>
      <c r="BQ230" s="230">
        <f t="shared" si="20"/>
        <v>5650.3056999999999</v>
      </c>
      <c r="BR230" s="230">
        <v>5650.31</v>
      </c>
      <c r="BS230" s="225" t="s">
        <v>188</v>
      </c>
      <c r="BT230" s="225"/>
      <c r="BU230" s="225"/>
      <c r="BV230" s="301" t="s">
        <v>2325</v>
      </c>
      <c r="BW230" s="301" t="s">
        <v>214</v>
      </c>
      <c r="BX230" s="301" t="s">
        <v>620</v>
      </c>
      <c r="BY230" s="301">
        <v>2021</v>
      </c>
    </row>
    <row r="231" spans="1:77" ht="12.75" customHeight="1">
      <c r="A231" s="64">
        <f t="shared" si="21"/>
        <v>2021</v>
      </c>
      <c r="B231" s="64">
        <f t="shared" si="22"/>
        <v>8</v>
      </c>
      <c r="C231" s="125" t="s">
        <v>191</v>
      </c>
      <c r="D231" s="168" t="str">
        <f t="shared" si="23"/>
        <v>non maj</v>
      </c>
      <c r="E231" s="292" t="s">
        <v>670</v>
      </c>
      <c r="F231" s="292" t="s">
        <v>1475</v>
      </c>
      <c r="G231" s="221">
        <v>600</v>
      </c>
      <c r="H231" s="222">
        <v>44427</v>
      </c>
      <c r="I231" s="222">
        <v>44428</v>
      </c>
      <c r="J231" s="223" t="s">
        <v>176</v>
      </c>
      <c r="K231" s="222" t="s">
        <v>176</v>
      </c>
      <c r="L231" s="223">
        <v>44428</v>
      </c>
      <c r="M231" s="223">
        <v>44428</v>
      </c>
      <c r="N231" s="223">
        <v>44435</v>
      </c>
      <c r="O231" s="222"/>
      <c r="P231" s="222">
        <v>44502</v>
      </c>
      <c r="Q231" s="222">
        <v>44490</v>
      </c>
      <c r="R231" s="222" t="s">
        <v>176</v>
      </c>
      <c r="S231" s="222">
        <v>44512</v>
      </c>
      <c r="T231" s="222">
        <v>44512</v>
      </c>
      <c r="U231" s="222">
        <v>44518</v>
      </c>
      <c r="V231" s="224"/>
      <c r="W231" s="222"/>
      <c r="X231" s="225"/>
      <c r="Y231" s="225"/>
      <c r="Z231" s="225"/>
      <c r="AA231" s="225">
        <v>2</v>
      </c>
      <c r="AB231" s="225">
        <v>42470</v>
      </c>
      <c r="AC231" s="225">
        <v>412</v>
      </c>
      <c r="AD231" s="225" t="s">
        <v>2755</v>
      </c>
      <c r="AE231" s="225">
        <v>38140</v>
      </c>
      <c r="AF231" s="225" t="s">
        <v>1957</v>
      </c>
      <c r="AG231" s="226">
        <v>476064302</v>
      </c>
      <c r="AH231" s="295" t="s">
        <v>2756</v>
      </c>
      <c r="AI231" s="225" t="s">
        <v>1168</v>
      </c>
      <c r="AJ231" s="225"/>
      <c r="AK231" s="225"/>
      <c r="AL231" s="225" t="s">
        <v>176</v>
      </c>
      <c r="AM231" s="225" t="s">
        <v>176</v>
      </c>
      <c r="AN231" s="225" t="s">
        <v>176</v>
      </c>
      <c r="AO231" s="225" t="s">
        <v>176</v>
      </c>
      <c r="AP231" s="225" t="s">
        <v>1888</v>
      </c>
      <c r="AQ231" s="225" t="s">
        <v>225</v>
      </c>
      <c r="AR231" s="225" t="s">
        <v>1889</v>
      </c>
      <c r="AS231" s="295" t="s">
        <v>269</v>
      </c>
      <c r="AT231" s="226" t="s">
        <v>600</v>
      </c>
      <c r="AU231" s="225" t="s">
        <v>176</v>
      </c>
      <c r="AV231" s="251" t="s">
        <v>188</v>
      </c>
      <c r="AW231" s="223">
        <v>44503</v>
      </c>
      <c r="AX231" s="225" t="s">
        <v>4113</v>
      </c>
      <c r="AY231" s="225">
        <v>1999</v>
      </c>
      <c r="AZ231" s="225" t="s">
        <v>4113</v>
      </c>
      <c r="BA231" s="225" t="s">
        <v>267</v>
      </c>
      <c r="BB231" s="225" t="s">
        <v>221</v>
      </c>
      <c r="BC231" s="225" t="s">
        <v>2757</v>
      </c>
      <c r="BD231" s="225">
        <v>19</v>
      </c>
      <c r="BE231" s="225">
        <v>11.4</v>
      </c>
      <c r="BF231" s="225">
        <v>92</v>
      </c>
      <c r="BG231" s="225">
        <v>0.01</v>
      </c>
      <c r="BH231" s="225" t="s">
        <v>1882</v>
      </c>
      <c r="BI231" s="225"/>
      <c r="BJ231" s="225">
        <f>5848+560+89+101+168+15</f>
        <v>6781</v>
      </c>
      <c r="BK231" s="225"/>
      <c r="BL231" s="225"/>
      <c r="BM231" s="225"/>
      <c r="BN231" s="225">
        <f>455+35</f>
        <v>490</v>
      </c>
      <c r="BO231" s="225">
        <f t="shared" si="18"/>
        <v>7271</v>
      </c>
      <c r="BP231" s="230">
        <f t="shared" si="19"/>
        <v>399.90500000000003</v>
      </c>
      <c r="BQ231" s="230">
        <f t="shared" si="20"/>
        <v>7670.9049999999997</v>
      </c>
      <c r="BR231" s="230">
        <v>7655.08</v>
      </c>
      <c r="BS231" s="225" t="s">
        <v>188</v>
      </c>
      <c r="BT231" s="225"/>
      <c r="BU231" s="225"/>
      <c r="BV231" s="225" t="s">
        <v>2325</v>
      </c>
      <c r="BW231" s="301" t="s">
        <v>214</v>
      </c>
      <c r="BX231" s="301" t="s">
        <v>620</v>
      </c>
      <c r="BY231" s="301" t="s">
        <v>176</v>
      </c>
    </row>
    <row r="232" spans="1:77" ht="12.75" customHeight="1">
      <c r="A232" s="64">
        <f t="shared" si="21"/>
        <v>2021</v>
      </c>
      <c r="B232" s="64">
        <f t="shared" si="22"/>
        <v>10</v>
      </c>
      <c r="C232" s="125" t="s">
        <v>191</v>
      </c>
      <c r="D232" s="168" t="str">
        <f t="shared" si="23"/>
        <v>non maj</v>
      </c>
      <c r="E232" s="292" t="s">
        <v>670</v>
      </c>
      <c r="F232" s="292" t="s">
        <v>2758</v>
      </c>
      <c r="G232" s="221">
        <v>600</v>
      </c>
      <c r="H232" s="222">
        <v>44438</v>
      </c>
      <c r="I232" s="222">
        <v>44438</v>
      </c>
      <c r="J232" s="223">
        <v>44442</v>
      </c>
      <c r="K232" s="222" t="s">
        <v>2759</v>
      </c>
      <c r="L232" s="223">
        <v>44476</v>
      </c>
      <c r="M232" s="223">
        <v>44476</v>
      </c>
      <c r="N232" s="223">
        <v>44494</v>
      </c>
      <c r="O232" s="222"/>
      <c r="P232" s="222">
        <v>44589</v>
      </c>
      <c r="Q232" s="222">
        <v>44573</v>
      </c>
      <c r="R232" s="222" t="s">
        <v>176</v>
      </c>
      <c r="S232" s="222">
        <v>44606</v>
      </c>
      <c r="T232" s="222">
        <v>44606</v>
      </c>
      <c r="U232" s="222">
        <v>44607</v>
      </c>
      <c r="V232" s="224"/>
      <c r="W232" s="222"/>
      <c r="X232" s="225"/>
      <c r="Y232" s="225"/>
      <c r="Z232" s="225"/>
      <c r="AA232" s="225">
        <v>2</v>
      </c>
      <c r="AB232" s="225">
        <v>41071</v>
      </c>
      <c r="AC232" s="225">
        <v>3625</v>
      </c>
      <c r="AD232" s="225" t="s">
        <v>2760</v>
      </c>
      <c r="AE232" s="225">
        <v>38620</v>
      </c>
      <c r="AF232" s="225" t="s">
        <v>2010</v>
      </c>
      <c r="AG232" s="226">
        <v>619179198</v>
      </c>
      <c r="AH232" s="246" t="s">
        <v>2761</v>
      </c>
      <c r="AI232" s="225" t="s">
        <v>1168</v>
      </c>
      <c r="AJ232" s="225"/>
      <c r="AK232" s="225"/>
      <c r="AL232" s="225" t="s">
        <v>176</v>
      </c>
      <c r="AM232" s="225" t="s">
        <v>176</v>
      </c>
      <c r="AN232" s="225" t="s">
        <v>176</v>
      </c>
      <c r="AO232" s="225" t="s">
        <v>176</v>
      </c>
      <c r="AP232" s="225" t="s">
        <v>2762</v>
      </c>
      <c r="AQ232" s="225" t="s">
        <v>1018</v>
      </c>
      <c r="AR232" s="225" t="s">
        <v>2763</v>
      </c>
      <c r="AS232" s="241" t="s">
        <v>1019</v>
      </c>
      <c r="AT232" s="226">
        <v>476663386</v>
      </c>
      <c r="AU232" s="225" t="s">
        <v>176</v>
      </c>
      <c r="AV232" s="241" t="s">
        <v>188</v>
      </c>
      <c r="AW232" s="223">
        <v>44731</v>
      </c>
      <c r="AX232" s="225" t="s">
        <v>4113</v>
      </c>
      <c r="AY232" s="242">
        <v>1991</v>
      </c>
      <c r="AZ232" s="225" t="s">
        <v>1880</v>
      </c>
      <c r="BA232" s="225" t="s">
        <v>380</v>
      </c>
      <c r="BB232" s="225" t="s">
        <v>2764</v>
      </c>
      <c r="BC232" s="225" t="s">
        <v>2765</v>
      </c>
      <c r="BD232" s="230">
        <v>37.6</v>
      </c>
      <c r="BE232" s="230">
        <v>8.5</v>
      </c>
      <c r="BF232" s="230">
        <v>75.400000000000006</v>
      </c>
      <c r="BG232" s="230">
        <v>0.08</v>
      </c>
      <c r="BH232" s="230" t="s">
        <v>1882</v>
      </c>
      <c r="BI232" s="225"/>
      <c r="BJ232" s="230">
        <f>2281.5+533.22+133+17.11+85.8+300.44+125+320+34.57+120.86+175</f>
        <v>4126.5000000000009</v>
      </c>
      <c r="BK232" s="225"/>
      <c r="BL232" s="225"/>
      <c r="BM232" s="225"/>
      <c r="BN232" s="230">
        <f>500+350</f>
        <v>850</v>
      </c>
      <c r="BO232" s="230">
        <f t="shared" si="18"/>
        <v>4976.5000000000009</v>
      </c>
      <c r="BP232" s="230">
        <f t="shared" si="19"/>
        <v>273.70750000000004</v>
      </c>
      <c r="BQ232" s="230">
        <f t="shared" si="20"/>
        <v>5250.2075000000013</v>
      </c>
      <c r="BR232" s="230">
        <v>5213.74</v>
      </c>
      <c r="BS232" s="225" t="s">
        <v>191</v>
      </c>
      <c r="BT232" s="225"/>
      <c r="BU232" s="225"/>
      <c r="BV232" s="301" t="s">
        <v>2325</v>
      </c>
      <c r="BW232" s="301" t="s">
        <v>214</v>
      </c>
      <c r="BX232" s="301" t="s">
        <v>620</v>
      </c>
      <c r="BY232" s="301">
        <v>2021</v>
      </c>
    </row>
    <row r="233" spans="1:77" ht="12.75" customHeight="1">
      <c r="A233" s="64" t="e">
        <f t="shared" si="21"/>
        <v>#VALUE!</v>
      </c>
      <c r="B233" s="64" t="e">
        <f t="shared" si="22"/>
        <v>#VALUE!</v>
      </c>
      <c r="C233" s="125" t="s">
        <v>188</v>
      </c>
      <c r="D233" s="168" t="str">
        <f t="shared" si="23"/>
        <v>NC</v>
      </c>
      <c r="E233" s="291" t="s">
        <v>670</v>
      </c>
      <c r="F233" s="291" t="s">
        <v>1476</v>
      </c>
      <c r="G233" s="221" t="s">
        <v>176</v>
      </c>
      <c r="H233" s="222">
        <v>44440</v>
      </c>
      <c r="I233" s="222">
        <v>44441</v>
      </c>
      <c r="J233" s="223" t="s">
        <v>176</v>
      </c>
      <c r="K233" s="222" t="s">
        <v>176</v>
      </c>
      <c r="L233" s="223" t="s">
        <v>176</v>
      </c>
      <c r="M233" s="223" t="s">
        <v>176</v>
      </c>
      <c r="N233" s="223" t="s">
        <v>176</v>
      </c>
      <c r="O233" s="222"/>
      <c r="P233" s="222" t="s">
        <v>176</v>
      </c>
      <c r="Q233" s="222" t="s">
        <v>176</v>
      </c>
      <c r="R233" s="222" t="s">
        <v>176</v>
      </c>
      <c r="S233" s="222" t="s">
        <v>176</v>
      </c>
      <c r="T233" s="222" t="s">
        <v>176</v>
      </c>
      <c r="U233" s="222" t="s">
        <v>176</v>
      </c>
      <c r="V233" s="224"/>
      <c r="W233" s="222">
        <v>44442</v>
      </c>
      <c r="X233" s="225" t="s">
        <v>2766</v>
      </c>
      <c r="Y233" s="225"/>
      <c r="Z233" s="225"/>
      <c r="AA233" s="225">
        <v>6</v>
      </c>
      <c r="AB233" s="225">
        <v>74035</v>
      </c>
      <c r="AC233" s="225">
        <v>240</v>
      </c>
      <c r="AD233" s="225" t="s">
        <v>2767</v>
      </c>
      <c r="AE233" s="225">
        <v>38340</v>
      </c>
      <c r="AF233" s="225" t="s">
        <v>232</v>
      </c>
      <c r="AG233" s="226">
        <v>664234269</v>
      </c>
      <c r="AH233" s="246" t="s">
        <v>2768</v>
      </c>
      <c r="AI233" s="225" t="s">
        <v>1168</v>
      </c>
      <c r="AJ233" s="225"/>
      <c r="AK233" s="225"/>
      <c r="AL233" s="225" t="s">
        <v>176</v>
      </c>
      <c r="AM233" s="225" t="s">
        <v>176</v>
      </c>
      <c r="AN233" s="225" t="s">
        <v>176</v>
      </c>
      <c r="AO233" s="225" t="s">
        <v>176</v>
      </c>
      <c r="AP233" s="222" t="s">
        <v>587</v>
      </c>
      <c r="AQ233" s="225" t="s">
        <v>225</v>
      </c>
      <c r="AR233" s="225" t="s">
        <v>2026</v>
      </c>
      <c r="AS233" s="241" t="s">
        <v>266</v>
      </c>
      <c r="AT233" s="226">
        <v>476069938</v>
      </c>
      <c r="AU233" s="225" t="s">
        <v>176</v>
      </c>
      <c r="AV233" s="241" t="s">
        <v>188</v>
      </c>
      <c r="AW233" s="223">
        <v>44457</v>
      </c>
      <c r="AX233" s="225" t="s">
        <v>1880</v>
      </c>
      <c r="AY233" s="242" t="s">
        <v>261</v>
      </c>
      <c r="AZ233" s="225" t="s">
        <v>1880</v>
      </c>
      <c r="BA233" s="225" t="s">
        <v>267</v>
      </c>
      <c r="BB233" s="225" t="s">
        <v>433</v>
      </c>
      <c r="BC233" s="225" t="s">
        <v>2148</v>
      </c>
      <c r="BD233" s="242">
        <v>14.8</v>
      </c>
      <c r="BE233" s="242">
        <v>7.4</v>
      </c>
      <c r="BF233" s="242">
        <v>92.5</v>
      </c>
      <c r="BG233" s="242">
        <v>1.2E-2</v>
      </c>
      <c r="BH233" s="225" t="s">
        <v>1899</v>
      </c>
      <c r="BI233" s="225"/>
      <c r="BJ233" s="242">
        <f>119.41+430+250+50+3180</f>
        <v>4029.41</v>
      </c>
      <c r="BK233" s="225"/>
      <c r="BL233" s="225"/>
      <c r="BM233" s="225"/>
      <c r="BN233" s="242">
        <f>450+390</f>
        <v>840</v>
      </c>
      <c r="BO233" s="242">
        <f t="shared" si="18"/>
        <v>4869.41</v>
      </c>
      <c r="BP233" s="242">
        <f t="shared" si="19"/>
        <v>267.81754999999998</v>
      </c>
      <c r="BQ233" s="242">
        <f t="shared" si="20"/>
        <v>5137.2275499999996</v>
      </c>
      <c r="BR233" s="230">
        <v>5137.2299999999996</v>
      </c>
      <c r="BS233" s="225" t="s">
        <v>191</v>
      </c>
      <c r="BT233" s="225"/>
      <c r="BU233" s="225"/>
      <c r="BV233" s="301">
        <v>0</v>
      </c>
      <c r="BW233" s="301" t="s">
        <v>214</v>
      </c>
      <c r="BX233" s="301" t="s">
        <v>214</v>
      </c>
      <c r="BY233" s="301" t="s">
        <v>176</v>
      </c>
    </row>
    <row r="234" spans="1:77" ht="12.75" customHeight="1">
      <c r="A234" s="64">
        <f t="shared" si="21"/>
        <v>2021</v>
      </c>
      <c r="B234" s="64">
        <f t="shared" si="22"/>
        <v>9</v>
      </c>
      <c r="C234" s="125" t="s">
        <v>191</v>
      </c>
      <c r="D234" s="168" t="str">
        <f t="shared" si="23"/>
        <v>non maj</v>
      </c>
      <c r="E234" s="232" t="s">
        <v>670</v>
      </c>
      <c r="F234" s="232" t="s">
        <v>1477</v>
      </c>
      <c r="G234" s="221">
        <v>600</v>
      </c>
      <c r="H234" s="222">
        <v>44440</v>
      </c>
      <c r="I234" s="222">
        <v>44441</v>
      </c>
      <c r="J234" s="223" t="s">
        <v>176</v>
      </c>
      <c r="K234" s="222" t="s">
        <v>176</v>
      </c>
      <c r="L234" s="223">
        <v>44442</v>
      </c>
      <c r="M234" s="223">
        <v>44442</v>
      </c>
      <c r="N234" s="223">
        <v>44469</v>
      </c>
      <c r="O234" s="222"/>
      <c r="P234" s="222">
        <v>44651</v>
      </c>
      <c r="Q234" s="222">
        <v>44643</v>
      </c>
      <c r="R234" s="222"/>
      <c r="S234" s="222">
        <v>44658</v>
      </c>
      <c r="T234" s="222">
        <v>44658</v>
      </c>
      <c r="U234" s="222">
        <v>44662</v>
      </c>
      <c r="V234" s="224"/>
      <c r="W234" s="222"/>
      <c r="X234" s="225"/>
      <c r="Y234" s="225"/>
      <c r="Z234" s="225"/>
      <c r="AA234" s="225">
        <v>2</v>
      </c>
      <c r="AB234" s="225">
        <v>36283</v>
      </c>
      <c r="AC234" s="225">
        <v>20</v>
      </c>
      <c r="AD234" s="225" t="s">
        <v>2769</v>
      </c>
      <c r="AE234" s="225">
        <v>38500</v>
      </c>
      <c r="AF234" s="225" t="s">
        <v>2297</v>
      </c>
      <c r="AG234" s="226">
        <v>476658159</v>
      </c>
      <c r="AH234" s="295" t="s">
        <v>2770</v>
      </c>
      <c r="AI234" s="225" t="s">
        <v>1168</v>
      </c>
      <c r="AJ234" s="225"/>
      <c r="AK234" s="225"/>
      <c r="AL234" s="225" t="s">
        <v>176</v>
      </c>
      <c r="AM234" s="225" t="s">
        <v>176</v>
      </c>
      <c r="AN234" s="225" t="s">
        <v>176</v>
      </c>
      <c r="AO234" s="225" t="s">
        <v>176</v>
      </c>
      <c r="AP234" s="225" t="s">
        <v>1888</v>
      </c>
      <c r="AQ234" s="225" t="s">
        <v>225</v>
      </c>
      <c r="AR234" s="225" t="s">
        <v>1889</v>
      </c>
      <c r="AS234" s="295" t="s">
        <v>269</v>
      </c>
      <c r="AT234" s="226" t="s">
        <v>600</v>
      </c>
      <c r="AU234" s="225" t="s">
        <v>176</v>
      </c>
      <c r="AV234" s="251" t="s">
        <v>188</v>
      </c>
      <c r="AW234" s="223">
        <v>44503</v>
      </c>
      <c r="AX234" s="225" t="s">
        <v>1179</v>
      </c>
      <c r="AY234" s="225">
        <v>1980</v>
      </c>
      <c r="AZ234" s="225" t="s">
        <v>1179</v>
      </c>
      <c r="BA234" s="225" t="s">
        <v>380</v>
      </c>
      <c r="BB234" s="225" t="s">
        <v>777</v>
      </c>
      <c r="BC234" s="225" t="s">
        <v>2771</v>
      </c>
      <c r="BD234" s="225">
        <v>13</v>
      </c>
      <c r="BE234" s="225">
        <v>5.2</v>
      </c>
      <c r="BF234" s="225">
        <v>87</v>
      </c>
      <c r="BG234" s="225">
        <v>0.08</v>
      </c>
      <c r="BH234" s="225" t="s">
        <v>1882</v>
      </c>
      <c r="BI234" s="225"/>
      <c r="BJ234" s="225">
        <f>4262+60+60+90+45+22+83+25</f>
        <v>4647</v>
      </c>
      <c r="BK234" s="225"/>
      <c r="BL234" s="225"/>
      <c r="BM234" s="225"/>
      <c r="BN234" s="225">
        <f>220+98+35+450</f>
        <v>803</v>
      </c>
      <c r="BO234" s="225">
        <f t="shared" si="18"/>
        <v>5450</v>
      </c>
      <c r="BP234" s="230">
        <f t="shared" si="19"/>
        <v>299.75</v>
      </c>
      <c r="BQ234" s="230">
        <f t="shared" si="20"/>
        <v>5749.75</v>
      </c>
      <c r="BR234" s="230">
        <v>5749.75</v>
      </c>
      <c r="BS234" s="225" t="s">
        <v>188</v>
      </c>
      <c r="BT234" s="225"/>
      <c r="BU234" s="225"/>
      <c r="BV234" s="225" t="s">
        <v>2325</v>
      </c>
      <c r="BW234" s="301" t="s">
        <v>214</v>
      </c>
      <c r="BX234" s="301" t="s">
        <v>620</v>
      </c>
      <c r="BY234" s="225">
        <v>2021</v>
      </c>
    </row>
    <row r="235" spans="1:77" ht="13.5" customHeight="1">
      <c r="A235" s="64">
        <f t="shared" si="21"/>
        <v>2021</v>
      </c>
      <c r="B235" s="64">
        <f t="shared" si="22"/>
        <v>9</v>
      </c>
      <c r="C235" s="125" t="s">
        <v>191</v>
      </c>
      <c r="D235" s="168" t="str">
        <f t="shared" si="23"/>
        <v>non maj</v>
      </c>
      <c r="E235" s="292" t="s">
        <v>670</v>
      </c>
      <c r="F235" s="292" t="s">
        <v>1479</v>
      </c>
      <c r="G235" s="221">
        <v>600</v>
      </c>
      <c r="H235" s="222">
        <v>44441</v>
      </c>
      <c r="I235" s="222">
        <v>44441</v>
      </c>
      <c r="J235" s="223" t="s">
        <v>176</v>
      </c>
      <c r="K235" s="222" t="s">
        <v>176</v>
      </c>
      <c r="L235" s="223">
        <v>44442</v>
      </c>
      <c r="M235" s="223">
        <v>44442</v>
      </c>
      <c r="N235" s="223">
        <v>44469</v>
      </c>
      <c r="O235" s="222"/>
      <c r="P235" s="222">
        <v>44532</v>
      </c>
      <c r="Q235" s="222">
        <v>44516</v>
      </c>
      <c r="R235" s="222" t="s">
        <v>2772</v>
      </c>
      <c r="S235" s="222">
        <v>44553</v>
      </c>
      <c r="T235" s="222">
        <v>44553</v>
      </c>
      <c r="U235" s="222">
        <v>44553</v>
      </c>
      <c r="V235" s="224"/>
      <c r="W235" s="222"/>
      <c r="X235" s="225"/>
      <c r="Y235" s="225"/>
      <c r="Z235" s="225"/>
      <c r="AA235" s="225">
        <v>3</v>
      </c>
      <c r="AB235" s="225">
        <v>52188</v>
      </c>
      <c r="AC235" s="225">
        <v>2321</v>
      </c>
      <c r="AD235" s="225" t="s">
        <v>2773</v>
      </c>
      <c r="AE235" s="225">
        <v>38730</v>
      </c>
      <c r="AF235" s="225" t="s">
        <v>1916</v>
      </c>
      <c r="AG235" s="226">
        <v>628200012</v>
      </c>
      <c r="AH235" s="246" t="s">
        <v>2774</v>
      </c>
      <c r="AI235" s="225" t="s">
        <v>1168</v>
      </c>
      <c r="AJ235" s="225"/>
      <c r="AK235" s="225"/>
      <c r="AL235" s="225" t="s">
        <v>176</v>
      </c>
      <c r="AM235" s="225" t="s">
        <v>176</v>
      </c>
      <c r="AN235" s="225" t="s">
        <v>176</v>
      </c>
      <c r="AO235" s="225" t="s">
        <v>176</v>
      </c>
      <c r="AP235" s="225" t="s">
        <v>845</v>
      </c>
      <c r="AQ235" s="225" t="s">
        <v>1910</v>
      </c>
      <c r="AR235" s="225" t="s">
        <v>1966</v>
      </c>
      <c r="AS235" s="241" t="s">
        <v>430</v>
      </c>
      <c r="AT235" s="226">
        <v>474432868</v>
      </c>
      <c r="AU235" s="225" t="s">
        <v>176</v>
      </c>
      <c r="AV235" s="241" t="s">
        <v>188</v>
      </c>
      <c r="AW235" s="223">
        <v>44514</v>
      </c>
      <c r="AX235" s="225" t="s">
        <v>4113</v>
      </c>
      <c r="AY235" s="225">
        <v>1987</v>
      </c>
      <c r="AZ235" s="225" t="s">
        <v>1880</v>
      </c>
      <c r="BA235" s="225" t="s">
        <v>267</v>
      </c>
      <c r="BB235" s="225" t="s">
        <v>853</v>
      </c>
      <c r="BC235" s="225" t="s">
        <v>2775</v>
      </c>
      <c r="BD235" s="225">
        <v>14</v>
      </c>
      <c r="BE235" s="225">
        <v>9.1</v>
      </c>
      <c r="BF235" s="225">
        <v>90.2</v>
      </c>
      <c r="BG235" s="225">
        <v>2E-3</v>
      </c>
      <c r="BH235" s="225" t="s">
        <v>1882</v>
      </c>
      <c r="BI235" s="225"/>
      <c r="BJ235" s="225">
        <f>3950+216+721.02+324+62.78+53.52+75+164+107</f>
        <v>5673.3200000000006</v>
      </c>
      <c r="BK235" s="225"/>
      <c r="BL235" s="225"/>
      <c r="BM235" s="225"/>
      <c r="BN235" s="225">
        <v>1200</v>
      </c>
      <c r="BO235" s="225">
        <f t="shared" si="18"/>
        <v>6873.3200000000006</v>
      </c>
      <c r="BP235" s="230">
        <f t="shared" si="19"/>
        <v>378.03260000000006</v>
      </c>
      <c r="BQ235" s="230">
        <f t="shared" si="20"/>
        <v>7251.3526000000011</v>
      </c>
      <c r="BR235" s="230">
        <v>7251.35</v>
      </c>
      <c r="BS235" s="225" t="s">
        <v>188</v>
      </c>
      <c r="BT235" s="225"/>
      <c r="BU235" s="225"/>
      <c r="BV235" s="301" t="s">
        <v>2325</v>
      </c>
      <c r="BW235" s="301" t="s">
        <v>214</v>
      </c>
      <c r="BX235" s="301" t="s">
        <v>620</v>
      </c>
      <c r="BY235" s="301" t="s">
        <v>176</v>
      </c>
    </row>
    <row r="236" spans="1:77" ht="13.5" customHeight="1">
      <c r="A236" s="64">
        <f t="shared" si="21"/>
        <v>2021</v>
      </c>
      <c r="B236" s="64">
        <f t="shared" si="22"/>
        <v>9</v>
      </c>
      <c r="C236" s="125" t="s">
        <v>191</v>
      </c>
      <c r="D236" s="168" t="str">
        <f t="shared" si="23"/>
        <v>non maj</v>
      </c>
      <c r="E236" s="292" t="s">
        <v>670</v>
      </c>
      <c r="F236" s="292" t="s">
        <v>1480</v>
      </c>
      <c r="G236" s="221">
        <v>600</v>
      </c>
      <c r="H236" s="222">
        <v>44442</v>
      </c>
      <c r="I236" s="222">
        <v>44445</v>
      </c>
      <c r="J236" s="223">
        <v>44448</v>
      </c>
      <c r="K236" s="222" t="s">
        <v>2658</v>
      </c>
      <c r="L236" s="223">
        <v>44455</v>
      </c>
      <c r="M236" s="223">
        <v>44455</v>
      </c>
      <c r="N236" s="223">
        <v>44469</v>
      </c>
      <c r="O236" s="222"/>
      <c r="P236" s="222">
        <v>44530</v>
      </c>
      <c r="Q236" s="222">
        <v>44500</v>
      </c>
      <c r="R236" s="222" t="s">
        <v>176</v>
      </c>
      <c r="S236" s="222">
        <v>44539</v>
      </c>
      <c r="T236" s="222">
        <v>44539</v>
      </c>
      <c r="U236" s="222">
        <v>44540</v>
      </c>
      <c r="V236" s="224"/>
      <c r="W236" s="222"/>
      <c r="X236" s="225"/>
      <c r="Y236" s="225"/>
      <c r="Z236" s="225"/>
      <c r="AA236" s="225">
        <v>4</v>
      </c>
      <c r="AB236" s="225">
        <v>46807</v>
      </c>
      <c r="AC236" s="225">
        <v>550</v>
      </c>
      <c r="AD236" s="225" t="s">
        <v>2776</v>
      </c>
      <c r="AE236" s="225">
        <v>38620</v>
      </c>
      <c r="AF236" s="225" t="s">
        <v>2382</v>
      </c>
      <c r="AG236" s="226">
        <v>601213744</v>
      </c>
      <c r="AH236" s="246" t="s">
        <v>2777</v>
      </c>
      <c r="AI236" s="225" t="s">
        <v>1168</v>
      </c>
      <c r="AJ236" s="225"/>
      <c r="AK236" s="225"/>
      <c r="AL236" s="225" t="s">
        <v>176</v>
      </c>
      <c r="AM236" s="225" t="s">
        <v>176</v>
      </c>
      <c r="AN236" s="225" t="s">
        <v>176</v>
      </c>
      <c r="AO236" s="225" t="s">
        <v>176</v>
      </c>
      <c r="AP236" s="225" t="s">
        <v>1874</v>
      </c>
      <c r="AQ236" s="225" t="s">
        <v>1875</v>
      </c>
      <c r="AR236" s="225" t="s">
        <v>1876</v>
      </c>
      <c r="AS236" s="246" t="s">
        <v>1877</v>
      </c>
      <c r="AT236" s="226" t="s">
        <v>434</v>
      </c>
      <c r="AU236" s="225" t="s">
        <v>176</v>
      </c>
      <c r="AV236" s="241" t="s">
        <v>1878</v>
      </c>
      <c r="AW236" s="223">
        <v>44517</v>
      </c>
      <c r="AX236" s="225" t="s">
        <v>4113</v>
      </c>
      <c r="AY236" s="225">
        <v>1992</v>
      </c>
      <c r="AZ236" s="225" t="s">
        <v>1880</v>
      </c>
      <c r="BA236" s="225" t="s">
        <v>380</v>
      </c>
      <c r="BB236" s="225" t="s">
        <v>280</v>
      </c>
      <c r="BC236" s="225" t="s">
        <v>2414</v>
      </c>
      <c r="BD236" s="225">
        <v>17</v>
      </c>
      <c r="BE236" s="225">
        <v>9</v>
      </c>
      <c r="BF236" s="225">
        <v>79.5</v>
      </c>
      <c r="BG236" s="225">
        <v>0.12</v>
      </c>
      <c r="BH236" s="225" t="s">
        <v>1882</v>
      </c>
      <c r="BI236" s="225"/>
      <c r="BJ236" s="225">
        <f>2690+896+185+116.4+45</f>
        <v>3932.4</v>
      </c>
      <c r="BK236" s="225"/>
      <c r="BL236" s="225"/>
      <c r="BM236" s="225"/>
      <c r="BN236" s="225">
        <f>490+310</f>
        <v>800</v>
      </c>
      <c r="BO236" s="225">
        <f t="shared" si="18"/>
        <v>4732.3999999999996</v>
      </c>
      <c r="BP236" s="230">
        <f t="shared" si="19"/>
        <v>260.28199999999998</v>
      </c>
      <c r="BQ236" s="230">
        <f t="shared" si="20"/>
        <v>4992.6819999999998</v>
      </c>
      <c r="BR236" s="230">
        <v>4992.68</v>
      </c>
      <c r="BS236" s="225" t="s">
        <v>188</v>
      </c>
      <c r="BT236" s="225"/>
      <c r="BU236" s="225"/>
      <c r="BV236" s="301" t="s">
        <v>2325</v>
      </c>
      <c r="BW236" s="301" t="s">
        <v>214</v>
      </c>
      <c r="BX236" s="301" t="s">
        <v>620</v>
      </c>
      <c r="BY236" s="301">
        <v>2021</v>
      </c>
    </row>
    <row r="237" spans="1:77" ht="12.75" customHeight="1">
      <c r="A237" s="64">
        <f t="shared" si="21"/>
        <v>2021</v>
      </c>
      <c r="B237" s="64">
        <f t="shared" si="22"/>
        <v>9</v>
      </c>
      <c r="C237" s="125" t="s">
        <v>191</v>
      </c>
      <c r="D237" s="168" t="str">
        <f t="shared" si="23"/>
        <v>non maj</v>
      </c>
      <c r="E237" s="232" t="s">
        <v>670</v>
      </c>
      <c r="F237" s="232" t="s">
        <v>1482</v>
      </c>
      <c r="G237" s="221">
        <v>600</v>
      </c>
      <c r="H237" s="222">
        <v>44445</v>
      </c>
      <c r="I237" s="222">
        <v>44448</v>
      </c>
      <c r="J237" s="223" t="s">
        <v>176</v>
      </c>
      <c r="K237" s="222" t="s">
        <v>176</v>
      </c>
      <c r="L237" s="223">
        <v>44455</v>
      </c>
      <c r="M237" s="223">
        <v>44455</v>
      </c>
      <c r="N237" s="223">
        <v>44469</v>
      </c>
      <c r="O237" s="222"/>
      <c r="P237" s="222">
        <v>44613</v>
      </c>
      <c r="Q237" s="222">
        <v>44595</v>
      </c>
      <c r="R237" s="222"/>
      <c r="S237" s="222">
        <v>44616</v>
      </c>
      <c r="T237" s="222">
        <v>44616</v>
      </c>
      <c r="U237" s="222">
        <v>44617</v>
      </c>
      <c r="V237" s="224"/>
      <c r="W237" s="222"/>
      <c r="X237" s="225"/>
      <c r="Y237" s="225"/>
      <c r="Z237" s="225"/>
      <c r="AA237" s="225">
        <v>4</v>
      </c>
      <c r="AB237" s="225">
        <v>54957</v>
      </c>
      <c r="AC237" s="225">
        <v>9</v>
      </c>
      <c r="AD237" s="225" t="s">
        <v>2778</v>
      </c>
      <c r="AE237" s="225">
        <v>38210</v>
      </c>
      <c r="AF237" s="225" t="s">
        <v>265</v>
      </c>
      <c r="AG237" s="226">
        <v>630582724</v>
      </c>
      <c r="AH237" s="295" t="s">
        <v>2779</v>
      </c>
      <c r="AI237" s="225" t="s">
        <v>1168</v>
      </c>
      <c r="AJ237" s="225"/>
      <c r="AK237" s="225"/>
      <c r="AL237" s="225" t="s">
        <v>176</v>
      </c>
      <c r="AM237" s="225" t="s">
        <v>176</v>
      </c>
      <c r="AN237" s="225" t="s">
        <v>176</v>
      </c>
      <c r="AO237" s="225" t="s">
        <v>176</v>
      </c>
      <c r="AP237" s="225" t="s">
        <v>1888</v>
      </c>
      <c r="AQ237" s="225" t="s">
        <v>225</v>
      </c>
      <c r="AR237" s="225" t="s">
        <v>1889</v>
      </c>
      <c r="AS237" s="295" t="s">
        <v>269</v>
      </c>
      <c r="AT237" s="226" t="s">
        <v>600</v>
      </c>
      <c r="AU237" s="225" t="s">
        <v>176</v>
      </c>
      <c r="AV237" s="251" t="s">
        <v>188</v>
      </c>
      <c r="AW237" s="223">
        <v>44503</v>
      </c>
      <c r="AX237" s="225" t="s">
        <v>1880</v>
      </c>
      <c r="AY237" s="225">
        <v>1999</v>
      </c>
      <c r="AZ237" s="225" t="s">
        <v>1880</v>
      </c>
      <c r="BA237" s="225" t="s">
        <v>267</v>
      </c>
      <c r="BB237" s="225" t="s">
        <v>221</v>
      </c>
      <c r="BC237" s="225" t="s">
        <v>2780</v>
      </c>
      <c r="BD237" s="225">
        <v>17</v>
      </c>
      <c r="BE237" s="225">
        <v>8.1</v>
      </c>
      <c r="BF237" s="225">
        <v>90.9</v>
      </c>
      <c r="BG237" s="225">
        <v>2E-3</v>
      </c>
      <c r="BH237" s="225" t="s">
        <v>1882</v>
      </c>
      <c r="BI237" s="225"/>
      <c r="BJ237" s="225">
        <f>3596+90+81+138+62+43+22+60+15</f>
        <v>4107</v>
      </c>
      <c r="BK237" s="225"/>
      <c r="BL237" s="225"/>
      <c r="BM237" s="225"/>
      <c r="BN237" s="225">
        <f>30+440</f>
        <v>470</v>
      </c>
      <c r="BO237" s="225">
        <f t="shared" si="18"/>
        <v>4577</v>
      </c>
      <c r="BP237" s="230">
        <f t="shared" si="19"/>
        <v>251.73500000000001</v>
      </c>
      <c r="BQ237" s="230">
        <f t="shared" si="20"/>
        <v>4828.7349999999997</v>
      </c>
      <c r="BR237" s="230">
        <v>4828.74</v>
      </c>
      <c r="BS237" s="225" t="s">
        <v>188</v>
      </c>
      <c r="BT237" s="225"/>
      <c r="BU237" s="225"/>
      <c r="BV237" s="225" t="s">
        <v>2325</v>
      </c>
      <c r="BW237" s="301" t="s">
        <v>214</v>
      </c>
      <c r="BX237" s="301" t="s">
        <v>620</v>
      </c>
      <c r="BY237" s="301" t="s">
        <v>176</v>
      </c>
    </row>
    <row r="238" spans="1:77" ht="12.75" customHeight="1">
      <c r="A238" s="64">
        <f t="shared" si="21"/>
        <v>2021</v>
      </c>
      <c r="B238" s="64">
        <f t="shared" si="22"/>
        <v>9</v>
      </c>
      <c r="C238" s="125" t="s">
        <v>188</v>
      </c>
      <c r="D238" s="168" t="str">
        <f t="shared" si="23"/>
        <v>NC</v>
      </c>
      <c r="E238" s="294" t="s">
        <v>670</v>
      </c>
      <c r="F238" s="294" t="s">
        <v>1483</v>
      </c>
      <c r="G238" s="221">
        <v>1000</v>
      </c>
      <c r="H238" s="222">
        <v>44446</v>
      </c>
      <c r="I238" s="222">
        <v>44448</v>
      </c>
      <c r="J238" s="223" t="s">
        <v>176</v>
      </c>
      <c r="K238" s="222" t="s">
        <v>176</v>
      </c>
      <c r="L238" s="223">
        <v>44455</v>
      </c>
      <c r="M238" s="223">
        <v>44455</v>
      </c>
      <c r="N238" s="223">
        <v>44469</v>
      </c>
      <c r="O238" s="222"/>
      <c r="P238" s="222"/>
      <c r="Q238" s="222"/>
      <c r="R238" s="222" t="s">
        <v>2781</v>
      </c>
      <c r="S238" s="222"/>
      <c r="T238" s="222"/>
      <c r="U238" s="222"/>
      <c r="V238" s="224"/>
      <c r="W238" s="222">
        <v>44930</v>
      </c>
      <c r="X238" s="225" t="s">
        <v>2782</v>
      </c>
      <c r="Y238" s="225"/>
      <c r="Z238" s="225"/>
      <c r="AA238" s="225">
        <v>2</v>
      </c>
      <c r="AB238" s="225">
        <v>17226</v>
      </c>
      <c r="AC238" s="225">
        <v>15</v>
      </c>
      <c r="AD238" s="225" t="s">
        <v>2783</v>
      </c>
      <c r="AE238" s="225">
        <v>38500</v>
      </c>
      <c r="AF238" s="225" t="s">
        <v>225</v>
      </c>
      <c r="AG238" s="226">
        <v>659212286</v>
      </c>
      <c r="AH238" s="246" t="s">
        <v>2784</v>
      </c>
      <c r="AI238" s="225" t="s">
        <v>1168</v>
      </c>
      <c r="AJ238" s="225"/>
      <c r="AK238" s="225"/>
      <c r="AL238" s="225" t="s">
        <v>176</v>
      </c>
      <c r="AM238" s="225" t="s">
        <v>176</v>
      </c>
      <c r="AN238" s="225" t="s">
        <v>176</v>
      </c>
      <c r="AO238" s="225" t="s">
        <v>176</v>
      </c>
      <c r="AP238" s="225" t="s">
        <v>2785</v>
      </c>
      <c r="AQ238" s="225" t="s">
        <v>403</v>
      </c>
      <c r="AR238" s="225" t="s">
        <v>404</v>
      </c>
      <c r="AS238" s="241" t="s">
        <v>2786</v>
      </c>
      <c r="AT238" s="226">
        <v>476725701</v>
      </c>
      <c r="AU238" s="225" t="s">
        <v>176</v>
      </c>
      <c r="AV238" s="241" t="s">
        <v>188</v>
      </c>
      <c r="AW238" s="223">
        <v>44593</v>
      </c>
      <c r="AX238" s="225" t="s">
        <v>1179</v>
      </c>
      <c r="AY238" s="225">
        <v>1989</v>
      </c>
      <c r="AZ238" s="225" t="s">
        <v>1880</v>
      </c>
      <c r="BA238" s="225" t="s">
        <v>380</v>
      </c>
      <c r="BB238" s="225" t="s">
        <v>212</v>
      </c>
      <c r="BC238" s="225" t="s">
        <v>2787</v>
      </c>
      <c r="BD238" s="225">
        <v>30</v>
      </c>
      <c r="BE238" s="225">
        <v>8</v>
      </c>
      <c r="BF238" s="225">
        <v>77</v>
      </c>
      <c r="BG238" s="225">
        <v>0.1</v>
      </c>
      <c r="BH238" s="225" t="s">
        <v>1882</v>
      </c>
      <c r="BI238" s="225"/>
      <c r="BJ238" s="225">
        <f>645+380+200+200+645</f>
        <v>2070</v>
      </c>
      <c r="BK238" s="225"/>
      <c r="BL238" s="225"/>
      <c r="BM238" s="225"/>
      <c r="BN238" s="225">
        <f>100+1200</f>
        <v>1300</v>
      </c>
      <c r="BO238" s="225">
        <f t="shared" si="18"/>
        <v>3370</v>
      </c>
      <c r="BP238" s="230">
        <f t="shared" si="19"/>
        <v>185.35</v>
      </c>
      <c r="BQ238" s="230">
        <f t="shared" si="20"/>
        <v>3555.35</v>
      </c>
      <c r="BR238" s="230">
        <v>3555.35</v>
      </c>
      <c r="BS238" s="225" t="s">
        <v>188</v>
      </c>
      <c r="BT238" s="225"/>
      <c r="BU238" s="225"/>
      <c r="BV238" s="301">
        <v>0</v>
      </c>
      <c r="BW238" s="301" t="s">
        <v>214</v>
      </c>
      <c r="BX238" s="301" t="s">
        <v>214</v>
      </c>
      <c r="BY238" s="301">
        <v>2021</v>
      </c>
    </row>
    <row r="239" spans="1:77" ht="12.75" customHeight="1">
      <c r="A239" s="64">
        <f t="shared" si="21"/>
        <v>2021</v>
      </c>
      <c r="B239" s="64">
        <f t="shared" si="22"/>
        <v>9</v>
      </c>
      <c r="C239" s="125" t="s">
        <v>188</v>
      </c>
      <c r="D239" s="168" t="str">
        <f t="shared" si="23"/>
        <v>NC</v>
      </c>
      <c r="E239" s="294" t="s">
        <v>670</v>
      </c>
      <c r="F239" s="294" t="s">
        <v>1484</v>
      </c>
      <c r="G239" s="221">
        <v>1000</v>
      </c>
      <c r="H239" s="222">
        <v>44447</v>
      </c>
      <c r="I239" s="222">
        <v>44448</v>
      </c>
      <c r="J239" s="223" t="s">
        <v>176</v>
      </c>
      <c r="K239" s="222" t="s">
        <v>176</v>
      </c>
      <c r="L239" s="223">
        <v>44455</v>
      </c>
      <c r="M239" s="223">
        <v>44455</v>
      </c>
      <c r="N239" s="223">
        <v>44469</v>
      </c>
      <c r="O239" s="222"/>
      <c r="P239" s="222"/>
      <c r="Q239" s="222"/>
      <c r="R239" s="222" t="s">
        <v>2781</v>
      </c>
      <c r="S239" s="222"/>
      <c r="T239" s="222"/>
      <c r="U239" s="222"/>
      <c r="V239" s="224"/>
      <c r="W239" s="222">
        <v>44930</v>
      </c>
      <c r="X239" s="225" t="s">
        <v>2782</v>
      </c>
      <c r="Y239" s="225"/>
      <c r="Z239" s="225"/>
      <c r="AA239" s="225">
        <v>2</v>
      </c>
      <c r="AB239" s="225">
        <v>19670</v>
      </c>
      <c r="AC239" s="225">
        <v>95</v>
      </c>
      <c r="AD239" s="225" t="s">
        <v>2327</v>
      </c>
      <c r="AE239" s="225">
        <v>38850</v>
      </c>
      <c r="AF239" s="225" t="s">
        <v>2151</v>
      </c>
      <c r="AG239" s="226">
        <v>671356041</v>
      </c>
      <c r="AH239" s="246" t="s">
        <v>2788</v>
      </c>
      <c r="AI239" s="225" t="s">
        <v>1168</v>
      </c>
      <c r="AJ239" s="225"/>
      <c r="AK239" s="225"/>
      <c r="AL239" s="225" t="s">
        <v>176</v>
      </c>
      <c r="AM239" s="225" t="s">
        <v>176</v>
      </c>
      <c r="AN239" s="225" t="s">
        <v>176</v>
      </c>
      <c r="AO239" s="225" t="s">
        <v>176</v>
      </c>
      <c r="AP239" s="225" t="s">
        <v>222</v>
      </c>
      <c r="AQ239" s="225" t="s">
        <v>2038</v>
      </c>
      <c r="AR239" s="225" t="s">
        <v>1043</v>
      </c>
      <c r="AS239" s="241" t="s">
        <v>224</v>
      </c>
      <c r="AT239" s="226">
        <v>479750979</v>
      </c>
      <c r="AU239" s="225" t="s">
        <v>176</v>
      </c>
      <c r="AV239" s="241" t="s">
        <v>188</v>
      </c>
      <c r="AW239" s="223">
        <v>44798</v>
      </c>
      <c r="AX239" s="225" t="s">
        <v>1879</v>
      </c>
      <c r="AY239" s="225" t="s">
        <v>2789</v>
      </c>
      <c r="AZ239" s="225" t="s">
        <v>1880</v>
      </c>
      <c r="BA239" s="225" t="s">
        <v>267</v>
      </c>
      <c r="BB239" s="225" t="s">
        <v>221</v>
      </c>
      <c r="BC239" s="225" t="s">
        <v>2467</v>
      </c>
      <c r="BD239" s="225">
        <v>11</v>
      </c>
      <c r="BE239" s="225">
        <v>7.8</v>
      </c>
      <c r="BF239" s="225">
        <v>90.2</v>
      </c>
      <c r="BG239" s="225">
        <v>6.0000000000000001E-3</v>
      </c>
      <c r="BH239" s="225" t="s">
        <v>1882</v>
      </c>
      <c r="BI239" s="225"/>
      <c r="BJ239" s="225">
        <f>55+35+455+85+150+85+285+110+3865</f>
        <v>5125</v>
      </c>
      <c r="BK239" s="225"/>
      <c r="BL239" s="225"/>
      <c r="BM239" s="225"/>
      <c r="BN239" s="225">
        <v>760</v>
      </c>
      <c r="BO239" s="225">
        <f t="shared" si="18"/>
        <v>5885</v>
      </c>
      <c r="BP239" s="230">
        <f t="shared" si="19"/>
        <v>323.67500000000001</v>
      </c>
      <c r="BQ239" s="230">
        <f t="shared" si="20"/>
        <v>6208.6750000000002</v>
      </c>
      <c r="BR239" s="230">
        <v>6208.07</v>
      </c>
      <c r="BS239" s="225" t="s">
        <v>188</v>
      </c>
      <c r="BT239" s="225"/>
      <c r="BU239" s="225"/>
      <c r="BV239" s="301">
        <v>0</v>
      </c>
      <c r="BW239" s="301" t="s">
        <v>214</v>
      </c>
      <c r="BX239" s="301" t="s">
        <v>214</v>
      </c>
      <c r="BY239" s="301" t="s">
        <v>176</v>
      </c>
    </row>
    <row r="240" spans="1:77" ht="12.75" customHeight="1">
      <c r="A240" s="64">
        <f t="shared" si="21"/>
        <v>2021</v>
      </c>
      <c r="B240" s="64">
        <f t="shared" si="22"/>
        <v>9</v>
      </c>
      <c r="C240" s="125" t="s">
        <v>191</v>
      </c>
      <c r="D240" s="168" t="str">
        <f t="shared" si="23"/>
        <v>non maj</v>
      </c>
      <c r="E240" s="232" t="s">
        <v>670</v>
      </c>
      <c r="F240" s="232" t="s">
        <v>1485</v>
      </c>
      <c r="G240" s="221">
        <v>600</v>
      </c>
      <c r="H240" s="222">
        <v>44449</v>
      </c>
      <c r="I240" s="222">
        <v>44452</v>
      </c>
      <c r="J240" s="223" t="s">
        <v>176</v>
      </c>
      <c r="K240" s="222" t="s">
        <v>176</v>
      </c>
      <c r="L240" s="223">
        <v>44455</v>
      </c>
      <c r="M240" s="223">
        <v>44455</v>
      </c>
      <c r="N240" s="223">
        <v>44469</v>
      </c>
      <c r="O240" s="222"/>
      <c r="P240" s="222">
        <v>44838</v>
      </c>
      <c r="Q240" s="222">
        <v>44743</v>
      </c>
      <c r="R240" s="222" t="s">
        <v>2790</v>
      </c>
      <c r="S240" s="222" t="s">
        <v>176</v>
      </c>
      <c r="T240" s="222">
        <v>44874</v>
      </c>
      <c r="U240" s="222">
        <v>44879</v>
      </c>
      <c r="V240" s="224"/>
      <c r="W240" s="222"/>
      <c r="X240" s="225"/>
      <c r="Y240" s="225"/>
      <c r="Z240" s="225"/>
      <c r="AA240" s="225">
        <v>1</v>
      </c>
      <c r="AB240" s="225">
        <v>23163</v>
      </c>
      <c r="AC240" s="225">
        <v>72</v>
      </c>
      <c r="AD240" s="225" t="s">
        <v>2791</v>
      </c>
      <c r="AE240" s="225">
        <v>38960</v>
      </c>
      <c r="AF240" s="225" t="s">
        <v>1964</v>
      </c>
      <c r="AG240" s="226">
        <v>684068570</v>
      </c>
      <c r="AH240" s="225" t="s">
        <v>176</v>
      </c>
      <c r="AI240" s="225" t="s">
        <v>1168</v>
      </c>
      <c r="AJ240" s="225"/>
      <c r="AK240" s="225"/>
      <c r="AL240" s="225" t="s">
        <v>176</v>
      </c>
      <c r="AM240" s="225" t="s">
        <v>176</v>
      </c>
      <c r="AN240" s="225" t="s">
        <v>176</v>
      </c>
      <c r="AO240" s="225" t="s">
        <v>176</v>
      </c>
      <c r="AP240" s="225" t="s">
        <v>1888</v>
      </c>
      <c r="AQ240" s="225" t="s">
        <v>225</v>
      </c>
      <c r="AR240" s="225" t="s">
        <v>1889</v>
      </c>
      <c r="AS240" s="295" t="s">
        <v>269</v>
      </c>
      <c r="AT240" s="226" t="s">
        <v>600</v>
      </c>
      <c r="AU240" s="225" t="s">
        <v>176</v>
      </c>
      <c r="AV240" s="251" t="s">
        <v>188</v>
      </c>
      <c r="AW240" s="223">
        <v>44503</v>
      </c>
      <c r="AX240" s="225" t="s">
        <v>4113</v>
      </c>
      <c r="AY240" s="225">
        <v>1990</v>
      </c>
      <c r="AZ240" s="225" t="s">
        <v>1880</v>
      </c>
      <c r="BA240" s="225" t="s">
        <v>380</v>
      </c>
      <c r="BB240" s="225" t="s">
        <v>1936</v>
      </c>
      <c r="BC240" s="225" t="s">
        <v>612</v>
      </c>
      <c r="BD240" s="225">
        <v>14</v>
      </c>
      <c r="BE240" s="225">
        <v>7.8</v>
      </c>
      <c r="BF240" s="225">
        <v>81</v>
      </c>
      <c r="BG240" s="225">
        <v>0.08</v>
      </c>
      <c r="BH240" s="225" t="s">
        <v>1882</v>
      </c>
      <c r="BI240" s="225"/>
      <c r="BJ240" s="225">
        <f>2476.73+68+90+120</f>
        <v>2754.73</v>
      </c>
      <c r="BK240" s="225"/>
      <c r="BL240" s="225"/>
      <c r="BM240" s="225"/>
      <c r="BN240" s="225">
        <f>30+150</f>
        <v>180</v>
      </c>
      <c r="BO240" s="225">
        <f t="shared" si="18"/>
        <v>2934.73</v>
      </c>
      <c r="BP240" s="230">
        <f t="shared" si="19"/>
        <v>161.41015000000002</v>
      </c>
      <c r="BQ240" s="230">
        <f t="shared" si="20"/>
        <v>3096.1401500000002</v>
      </c>
      <c r="BR240" s="230">
        <v>2573.5500000000002</v>
      </c>
      <c r="BS240" s="225" t="s">
        <v>188</v>
      </c>
      <c r="BT240" s="225"/>
      <c r="BU240" s="225"/>
      <c r="BV240" s="225" t="s">
        <v>2325</v>
      </c>
      <c r="BW240" s="301" t="s">
        <v>214</v>
      </c>
      <c r="BX240" s="301" t="s">
        <v>620</v>
      </c>
      <c r="BY240" s="225">
        <v>2021</v>
      </c>
    </row>
    <row r="241" spans="1:77" ht="12.75" customHeight="1">
      <c r="A241" s="64">
        <f t="shared" si="21"/>
        <v>2021</v>
      </c>
      <c r="B241" s="64">
        <f t="shared" si="22"/>
        <v>9</v>
      </c>
      <c r="C241" s="125" t="s">
        <v>191</v>
      </c>
      <c r="D241" s="168" t="str">
        <f t="shared" si="23"/>
        <v>maj</v>
      </c>
      <c r="E241" s="292" t="s">
        <v>670</v>
      </c>
      <c r="F241" s="292" t="s">
        <v>1486</v>
      </c>
      <c r="G241" s="221">
        <v>1000</v>
      </c>
      <c r="H241" s="222">
        <v>44449</v>
      </c>
      <c r="I241" s="222">
        <v>44452</v>
      </c>
      <c r="J241" s="223" t="s">
        <v>176</v>
      </c>
      <c r="K241" s="222" t="s">
        <v>176</v>
      </c>
      <c r="L241" s="223">
        <v>44455</v>
      </c>
      <c r="M241" s="223">
        <v>44455</v>
      </c>
      <c r="N241" s="223">
        <v>44469</v>
      </c>
      <c r="O241" s="222"/>
      <c r="P241" s="222">
        <v>44601</v>
      </c>
      <c r="Q241" s="222">
        <v>44594</v>
      </c>
      <c r="R241" s="222" t="s">
        <v>176</v>
      </c>
      <c r="S241" s="222">
        <v>44606</v>
      </c>
      <c r="T241" s="222">
        <v>44606</v>
      </c>
      <c r="U241" s="222">
        <v>44607</v>
      </c>
      <c r="V241" s="224"/>
      <c r="W241" s="222"/>
      <c r="X241" s="225"/>
      <c r="Y241" s="225"/>
      <c r="Z241" s="225"/>
      <c r="AA241" s="225">
        <v>4</v>
      </c>
      <c r="AB241" s="225">
        <v>36623</v>
      </c>
      <c r="AC241" s="225">
        <v>2</v>
      </c>
      <c r="AD241" s="225" t="s">
        <v>2792</v>
      </c>
      <c r="AE241" s="225">
        <v>38210</v>
      </c>
      <c r="AF241" s="225" t="s">
        <v>265</v>
      </c>
      <c r="AG241" s="226">
        <v>784515996</v>
      </c>
      <c r="AH241" s="246" t="s">
        <v>2793</v>
      </c>
      <c r="AI241" s="225" t="s">
        <v>1168</v>
      </c>
      <c r="AJ241" s="225"/>
      <c r="AK241" s="225"/>
      <c r="AL241" s="225" t="s">
        <v>176</v>
      </c>
      <c r="AM241" s="225" t="s">
        <v>176</v>
      </c>
      <c r="AN241" s="225" t="s">
        <v>176</v>
      </c>
      <c r="AO241" s="225" t="s">
        <v>176</v>
      </c>
      <c r="AP241" s="225" t="s">
        <v>2064</v>
      </c>
      <c r="AQ241" s="225" t="s">
        <v>265</v>
      </c>
      <c r="AR241" s="225" t="s">
        <v>1051</v>
      </c>
      <c r="AS241" s="241" t="s">
        <v>2065</v>
      </c>
      <c r="AT241" s="226">
        <v>611953404</v>
      </c>
      <c r="AU241" s="225" t="s">
        <v>176</v>
      </c>
      <c r="AV241" s="241" t="s">
        <v>188</v>
      </c>
      <c r="AW241" s="223">
        <v>44734</v>
      </c>
      <c r="AX241" s="225" t="s">
        <v>1880</v>
      </c>
      <c r="AY241" s="225">
        <v>1970</v>
      </c>
      <c r="AZ241" s="225" t="s">
        <v>1181</v>
      </c>
      <c r="BA241" s="225" t="s">
        <v>267</v>
      </c>
      <c r="BB241" s="225" t="s">
        <v>205</v>
      </c>
      <c r="BC241" s="225" t="s">
        <v>2794</v>
      </c>
      <c r="BD241" s="225">
        <v>17</v>
      </c>
      <c r="BE241" s="225">
        <v>12</v>
      </c>
      <c r="BF241" s="225">
        <v>95</v>
      </c>
      <c r="BG241" s="225">
        <v>3.1199999999999999E-3</v>
      </c>
      <c r="BH241" s="225" t="s">
        <v>1882</v>
      </c>
      <c r="BI241" s="225"/>
      <c r="BJ241" s="225">
        <f>14518+1480+369+308+887</f>
        <v>17562</v>
      </c>
      <c r="BK241" s="225"/>
      <c r="BL241" s="225"/>
      <c r="BM241" s="225"/>
      <c r="BN241" s="225">
        <f>950+1920+3780</f>
        <v>6650</v>
      </c>
      <c r="BO241" s="225">
        <f t="shared" si="18"/>
        <v>24212</v>
      </c>
      <c r="BP241" s="230">
        <f t="shared" si="19"/>
        <v>1331.66</v>
      </c>
      <c r="BQ241" s="230">
        <f t="shared" si="20"/>
        <v>25543.66</v>
      </c>
      <c r="BR241" s="230">
        <v>22330.13</v>
      </c>
      <c r="BS241" s="225" t="s">
        <v>188</v>
      </c>
      <c r="BT241" s="225"/>
      <c r="BU241" s="225"/>
      <c r="BV241" s="301" t="s">
        <v>2325</v>
      </c>
      <c r="BW241" s="301" t="s">
        <v>214</v>
      </c>
      <c r="BX241" s="222" t="s">
        <v>618</v>
      </c>
      <c r="BY241" s="301" t="s">
        <v>176</v>
      </c>
    </row>
    <row r="242" spans="1:77" ht="12.75" customHeight="1">
      <c r="A242" s="64">
        <f t="shared" si="21"/>
        <v>2021</v>
      </c>
      <c r="B242" s="64">
        <f t="shared" si="22"/>
        <v>9</v>
      </c>
      <c r="C242" s="125" t="s">
        <v>191</v>
      </c>
      <c r="D242" s="168" t="str">
        <f t="shared" si="23"/>
        <v>non maj</v>
      </c>
      <c r="E242" s="292" t="s">
        <v>670</v>
      </c>
      <c r="F242" s="292" t="s">
        <v>1488</v>
      </c>
      <c r="G242" s="221">
        <v>600</v>
      </c>
      <c r="H242" s="222">
        <v>44449</v>
      </c>
      <c r="I242" s="222">
        <v>44452</v>
      </c>
      <c r="J242" s="223" t="s">
        <v>176</v>
      </c>
      <c r="K242" s="222" t="s">
        <v>176</v>
      </c>
      <c r="L242" s="223">
        <v>44455</v>
      </c>
      <c r="M242" s="223">
        <v>44455</v>
      </c>
      <c r="N242" s="223">
        <v>44469</v>
      </c>
      <c r="O242" s="222"/>
      <c r="P242" s="222">
        <v>44575</v>
      </c>
      <c r="Q242" s="222">
        <v>44530</v>
      </c>
      <c r="R242" s="222" t="s">
        <v>176</v>
      </c>
      <c r="S242" s="222">
        <v>44580</v>
      </c>
      <c r="T242" s="222">
        <v>44580</v>
      </c>
      <c r="U242" s="222">
        <v>44581</v>
      </c>
      <c r="V242" s="224"/>
      <c r="W242" s="222"/>
      <c r="X242" s="225"/>
      <c r="Y242" s="225"/>
      <c r="Z242" s="225"/>
      <c r="AA242" s="225">
        <v>4</v>
      </c>
      <c r="AB242" s="225">
        <v>43399</v>
      </c>
      <c r="AC242" s="225">
        <v>192</v>
      </c>
      <c r="AD242" s="225" t="s">
        <v>2795</v>
      </c>
      <c r="AE242" s="225">
        <v>38850</v>
      </c>
      <c r="AF242" s="225" t="s">
        <v>1951</v>
      </c>
      <c r="AG242" s="226">
        <v>670560598</v>
      </c>
      <c r="AH242" s="246" t="s">
        <v>2796</v>
      </c>
      <c r="AI242" s="225" t="s">
        <v>1168</v>
      </c>
      <c r="AJ242" s="225"/>
      <c r="AK242" s="225"/>
      <c r="AL242" s="225" t="s">
        <v>176</v>
      </c>
      <c r="AM242" s="225" t="s">
        <v>176</v>
      </c>
      <c r="AN242" s="225" t="s">
        <v>176</v>
      </c>
      <c r="AO242" s="225" t="s">
        <v>176</v>
      </c>
      <c r="AP242" s="225" t="s">
        <v>1874</v>
      </c>
      <c r="AQ242" s="225" t="s">
        <v>1875</v>
      </c>
      <c r="AR242" s="225" t="s">
        <v>1876</v>
      </c>
      <c r="AS242" s="246" t="s">
        <v>1877</v>
      </c>
      <c r="AT242" s="226" t="s">
        <v>434</v>
      </c>
      <c r="AU242" s="225" t="s">
        <v>176</v>
      </c>
      <c r="AV242" s="241" t="s">
        <v>1878</v>
      </c>
      <c r="AW242" s="223">
        <v>44517</v>
      </c>
      <c r="AX242" s="225" t="s">
        <v>1179</v>
      </c>
      <c r="AY242" s="225">
        <v>2000</v>
      </c>
      <c r="AZ242" s="225" t="s">
        <v>1880</v>
      </c>
      <c r="BA242" s="225" t="s">
        <v>267</v>
      </c>
      <c r="BB242" s="225" t="s">
        <v>190</v>
      </c>
      <c r="BC242" s="225" t="s">
        <v>2408</v>
      </c>
      <c r="BD242" s="225">
        <v>16</v>
      </c>
      <c r="BE242" s="225">
        <v>9.1</v>
      </c>
      <c r="BF242" s="225">
        <v>91.8</v>
      </c>
      <c r="BG242" s="225">
        <v>3.7599999999999999E-3</v>
      </c>
      <c r="BH242" s="225" t="s">
        <v>1882</v>
      </c>
      <c r="BI242" s="225"/>
      <c r="BJ242" s="225">
        <f>4290+996+185+193</f>
        <v>5664</v>
      </c>
      <c r="BK242" s="225"/>
      <c r="BL242" s="225"/>
      <c r="BM242" s="225"/>
      <c r="BN242" s="225">
        <v>790</v>
      </c>
      <c r="BO242" s="225">
        <f t="shared" si="18"/>
        <v>6454</v>
      </c>
      <c r="BP242" s="230">
        <f t="shared" si="19"/>
        <v>354.97</v>
      </c>
      <c r="BQ242" s="230">
        <f t="shared" si="20"/>
        <v>6808.97</v>
      </c>
      <c r="BR242" s="230">
        <v>6808.97</v>
      </c>
      <c r="BS242" s="225" t="s">
        <v>188</v>
      </c>
      <c r="BT242" s="225"/>
      <c r="BU242" s="225"/>
      <c r="BV242" s="301" t="s">
        <v>2325</v>
      </c>
      <c r="BW242" s="301" t="s">
        <v>214</v>
      </c>
      <c r="BX242" s="301" t="s">
        <v>620</v>
      </c>
      <c r="BY242" s="301" t="s">
        <v>176</v>
      </c>
    </row>
    <row r="243" spans="1:77" ht="12.75" customHeight="1">
      <c r="A243" s="64">
        <f t="shared" si="21"/>
        <v>2021</v>
      </c>
      <c r="B243" s="64">
        <f t="shared" si="22"/>
        <v>9</v>
      </c>
      <c r="C243" s="125" t="s">
        <v>191</v>
      </c>
      <c r="D243" s="168" t="str">
        <f t="shared" si="23"/>
        <v>maj</v>
      </c>
      <c r="E243" s="292" t="s">
        <v>670</v>
      </c>
      <c r="F243" s="292" t="s">
        <v>1490</v>
      </c>
      <c r="G243" s="221">
        <v>1000</v>
      </c>
      <c r="H243" s="222">
        <v>44451</v>
      </c>
      <c r="I243" s="222">
        <v>44452</v>
      </c>
      <c r="J243" s="223" t="s">
        <v>176</v>
      </c>
      <c r="K243" s="222" t="s">
        <v>176</v>
      </c>
      <c r="L243" s="223">
        <v>44455</v>
      </c>
      <c r="M243" s="223">
        <v>44455</v>
      </c>
      <c r="N243" s="223">
        <v>44469</v>
      </c>
      <c r="O243" s="222"/>
      <c r="P243" s="222">
        <v>44607</v>
      </c>
      <c r="Q243" s="222">
        <v>44546</v>
      </c>
      <c r="R243" s="222" t="s">
        <v>176</v>
      </c>
      <c r="S243" s="222">
        <v>44609</v>
      </c>
      <c r="T243" s="222">
        <v>44609</v>
      </c>
      <c r="U243" s="222">
        <v>44609</v>
      </c>
      <c r="V243" s="224"/>
      <c r="W243" s="222"/>
      <c r="X243" s="225"/>
      <c r="Y243" s="225"/>
      <c r="Z243" s="225"/>
      <c r="AA243" s="225">
        <v>4</v>
      </c>
      <c r="AB243" s="225">
        <v>32738</v>
      </c>
      <c r="AC243" s="225">
        <v>31</v>
      </c>
      <c r="AD243" s="225" t="s">
        <v>2797</v>
      </c>
      <c r="AE243" s="225">
        <v>38500</v>
      </c>
      <c r="AF243" s="225" t="s">
        <v>271</v>
      </c>
      <c r="AG243" s="226">
        <v>672862660</v>
      </c>
      <c r="AH243" s="295" t="s">
        <v>2798</v>
      </c>
      <c r="AI243" s="225" t="s">
        <v>1168</v>
      </c>
      <c r="AJ243" s="225"/>
      <c r="AK243" s="225"/>
      <c r="AL243" s="225" t="s">
        <v>176</v>
      </c>
      <c r="AM243" s="225" t="s">
        <v>176</v>
      </c>
      <c r="AN243" s="225" t="s">
        <v>176</v>
      </c>
      <c r="AO243" s="225" t="s">
        <v>176</v>
      </c>
      <c r="AP243" s="225" t="s">
        <v>1888</v>
      </c>
      <c r="AQ243" s="225" t="s">
        <v>225</v>
      </c>
      <c r="AR243" s="225" t="s">
        <v>1889</v>
      </c>
      <c r="AS243" s="295" t="s">
        <v>269</v>
      </c>
      <c r="AT243" s="226" t="s">
        <v>600</v>
      </c>
      <c r="AU243" s="225" t="s">
        <v>176</v>
      </c>
      <c r="AV243" s="251" t="s">
        <v>188</v>
      </c>
      <c r="AW243" s="223">
        <v>44503</v>
      </c>
      <c r="AX243" s="225" t="s">
        <v>1880</v>
      </c>
      <c r="AY243" s="225">
        <v>1990</v>
      </c>
      <c r="AZ243" s="225" t="s">
        <v>1880</v>
      </c>
      <c r="BA243" s="225" t="s">
        <v>267</v>
      </c>
      <c r="BB243" s="225" t="s">
        <v>221</v>
      </c>
      <c r="BC243" s="225" t="s">
        <v>882</v>
      </c>
      <c r="BD243" s="225">
        <v>17</v>
      </c>
      <c r="BE243" s="225">
        <v>8.1</v>
      </c>
      <c r="BF243" s="225">
        <v>90.9</v>
      </c>
      <c r="BG243" s="225">
        <v>2E-3</v>
      </c>
      <c r="BH243" s="225" t="s">
        <v>1882</v>
      </c>
      <c r="BI243" s="225"/>
      <c r="BJ243" s="225">
        <f>3122+638+467.46+70+178+330+234+89+60+90+45+68+172+98+15</f>
        <v>5676.46</v>
      </c>
      <c r="BK243" s="225"/>
      <c r="BL243" s="225"/>
      <c r="BM243" s="225"/>
      <c r="BN243" s="225">
        <f>35+480</f>
        <v>515</v>
      </c>
      <c r="BO243" s="225">
        <f t="shared" si="18"/>
        <v>6191.46</v>
      </c>
      <c r="BP243" s="230">
        <f t="shared" si="19"/>
        <v>340.53030000000001</v>
      </c>
      <c r="BQ243" s="230">
        <f t="shared" si="20"/>
        <v>6531.9903000000004</v>
      </c>
      <c r="BR243" s="230">
        <v>6531.99</v>
      </c>
      <c r="BS243" s="225" t="s">
        <v>188</v>
      </c>
      <c r="BT243" s="225"/>
      <c r="BU243" s="225"/>
      <c r="BV243" s="225" t="s">
        <v>2325</v>
      </c>
      <c r="BW243" s="301" t="s">
        <v>214</v>
      </c>
      <c r="BX243" s="222" t="s">
        <v>618</v>
      </c>
      <c r="BY243" s="301" t="s">
        <v>176</v>
      </c>
    </row>
    <row r="244" spans="1:77" ht="12.75" customHeight="1">
      <c r="A244" s="64">
        <f t="shared" si="21"/>
        <v>2021</v>
      </c>
      <c r="B244" s="64">
        <f t="shared" si="22"/>
        <v>9</v>
      </c>
      <c r="C244" s="125" t="s">
        <v>191</v>
      </c>
      <c r="D244" s="168" t="str">
        <f t="shared" si="23"/>
        <v>non maj</v>
      </c>
      <c r="E244" s="292" t="s">
        <v>670</v>
      </c>
      <c r="F244" s="292" t="s">
        <v>1493</v>
      </c>
      <c r="G244" s="221">
        <v>600</v>
      </c>
      <c r="H244" s="222">
        <v>44449</v>
      </c>
      <c r="I244" s="222">
        <v>44452</v>
      </c>
      <c r="J244" s="223" t="s">
        <v>176</v>
      </c>
      <c r="K244" s="222" t="s">
        <v>176</v>
      </c>
      <c r="L244" s="223">
        <v>44455</v>
      </c>
      <c r="M244" s="223">
        <v>44455</v>
      </c>
      <c r="N244" s="223">
        <v>44469</v>
      </c>
      <c r="O244" s="222"/>
      <c r="P244" s="222">
        <v>44575</v>
      </c>
      <c r="Q244" s="222">
        <v>44530</v>
      </c>
      <c r="R244" s="222" t="s">
        <v>176</v>
      </c>
      <c r="S244" s="222">
        <v>44580</v>
      </c>
      <c r="T244" s="222">
        <v>44580</v>
      </c>
      <c r="U244" s="222">
        <v>44581</v>
      </c>
      <c r="V244" s="224"/>
      <c r="W244" s="222"/>
      <c r="X244" s="225"/>
      <c r="Y244" s="225"/>
      <c r="Z244" s="225"/>
      <c r="AA244" s="225">
        <v>1</v>
      </c>
      <c r="AB244" s="225">
        <v>31169</v>
      </c>
      <c r="AC244" s="225">
        <v>312</v>
      </c>
      <c r="AD244" s="225" t="s">
        <v>1930</v>
      </c>
      <c r="AE244" s="225">
        <v>38850</v>
      </c>
      <c r="AF244" s="225" t="s">
        <v>1931</v>
      </c>
      <c r="AG244" s="226">
        <v>675717274</v>
      </c>
      <c r="AH244" s="246" t="s">
        <v>2799</v>
      </c>
      <c r="AI244" s="225" t="s">
        <v>1168</v>
      </c>
      <c r="AJ244" s="225"/>
      <c r="AK244" s="225"/>
      <c r="AL244" s="225" t="s">
        <v>176</v>
      </c>
      <c r="AM244" s="225" t="s">
        <v>176</v>
      </c>
      <c r="AN244" s="225" t="s">
        <v>176</v>
      </c>
      <c r="AO244" s="225" t="s">
        <v>176</v>
      </c>
      <c r="AP244" s="225" t="s">
        <v>1874</v>
      </c>
      <c r="AQ244" s="225" t="s">
        <v>1875</v>
      </c>
      <c r="AR244" s="225" t="s">
        <v>1876</v>
      </c>
      <c r="AS244" s="246" t="s">
        <v>1877</v>
      </c>
      <c r="AT244" s="226" t="s">
        <v>434</v>
      </c>
      <c r="AU244" s="225" t="s">
        <v>176</v>
      </c>
      <c r="AV244" s="241" t="s">
        <v>1878</v>
      </c>
      <c r="AW244" s="223">
        <v>44517</v>
      </c>
      <c r="AX244" s="225" t="s">
        <v>4113</v>
      </c>
      <c r="AY244" s="225">
        <v>1999</v>
      </c>
      <c r="AZ244" s="225" t="s">
        <v>1880</v>
      </c>
      <c r="BA244" s="225" t="s">
        <v>380</v>
      </c>
      <c r="BB244" s="225" t="s">
        <v>280</v>
      </c>
      <c r="BC244" s="225" t="s">
        <v>2695</v>
      </c>
      <c r="BD244" s="225">
        <v>40</v>
      </c>
      <c r="BE244" s="225">
        <v>5.9</v>
      </c>
      <c r="BF244" s="225">
        <v>83.6</v>
      </c>
      <c r="BG244" s="225">
        <v>7.0000000000000007E-2</v>
      </c>
      <c r="BH244" s="225" t="s">
        <v>1882</v>
      </c>
      <c r="BI244" s="225"/>
      <c r="BJ244" s="225">
        <f>2820+995+195+128+86.2+45+198</f>
        <v>4467.2</v>
      </c>
      <c r="BK244" s="225"/>
      <c r="BL244" s="225"/>
      <c r="BM244" s="225"/>
      <c r="BN244" s="225">
        <f>690+430</f>
        <v>1120</v>
      </c>
      <c r="BO244" s="225">
        <f t="shared" si="18"/>
        <v>5587.2</v>
      </c>
      <c r="BP244" s="230">
        <f t="shared" si="19"/>
        <v>307.29599999999999</v>
      </c>
      <c r="BQ244" s="230">
        <f t="shared" si="20"/>
        <v>5894.4960000000001</v>
      </c>
      <c r="BR244" s="230">
        <v>5894.5</v>
      </c>
      <c r="BS244" s="225" t="s">
        <v>188</v>
      </c>
      <c r="BT244" s="225"/>
      <c r="BU244" s="225"/>
      <c r="BV244" s="301" t="s">
        <v>2325</v>
      </c>
      <c r="BW244" s="301" t="s">
        <v>214</v>
      </c>
      <c r="BX244" s="301" t="s">
        <v>620</v>
      </c>
      <c r="BY244" s="301">
        <v>2021</v>
      </c>
    </row>
    <row r="245" spans="1:77" ht="13.5" customHeight="1">
      <c r="A245" s="64">
        <f t="shared" si="21"/>
        <v>2021</v>
      </c>
      <c r="B245" s="64">
        <f t="shared" si="22"/>
        <v>9</v>
      </c>
      <c r="C245" s="125" t="s">
        <v>191</v>
      </c>
      <c r="D245" s="168" t="str">
        <f t="shared" si="23"/>
        <v>non maj</v>
      </c>
      <c r="E245" s="292" t="s">
        <v>670</v>
      </c>
      <c r="F245" s="292" t="s">
        <v>1494</v>
      </c>
      <c r="G245" s="221">
        <v>600</v>
      </c>
      <c r="H245" s="222">
        <v>44452</v>
      </c>
      <c r="I245" s="222">
        <v>44452</v>
      </c>
      <c r="J245" s="223" t="s">
        <v>176</v>
      </c>
      <c r="K245" s="222" t="s">
        <v>176</v>
      </c>
      <c r="L245" s="223">
        <v>44455</v>
      </c>
      <c r="M245" s="223">
        <v>44455</v>
      </c>
      <c r="N245" s="223">
        <v>44469</v>
      </c>
      <c r="O245" s="222"/>
      <c r="P245" s="222">
        <v>44532</v>
      </c>
      <c r="Q245" s="222">
        <v>44491</v>
      </c>
      <c r="R245" s="222" t="s">
        <v>176</v>
      </c>
      <c r="S245" s="222">
        <v>44539</v>
      </c>
      <c r="T245" s="222">
        <v>44539</v>
      </c>
      <c r="U245" s="222">
        <v>44540</v>
      </c>
      <c r="V245" s="224"/>
      <c r="W245" s="222"/>
      <c r="X245" s="225"/>
      <c r="Y245" s="225"/>
      <c r="Z245" s="225"/>
      <c r="AA245" s="225">
        <v>2</v>
      </c>
      <c r="AB245" s="225">
        <v>43933</v>
      </c>
      <c r="AC245" s="225">
        <v>163</v>
      </c>
      <c r="AD245" s="225" t="s">
        <v>2800</v>
      </c>
      <c r="AE245" s="225">
        <v>38960</v>
      </c>
      <c r="AF245" s="225" t="s">
        <v>2088</v>
      </c>
      <c r="AG245" s="226">
        <v>665626339</v>
      </c>
      <c r="AH245" s="246" t="s">
        <v>2801</v>
      </c>
      <c r="AI245" s="225" t="s">
        <v>1168</v>
      </c>
      <c r="AJ245" s="225"/>
      <c r="AK245" s="225"/>
      <c r="AL245" s="225" t="s">
        <v>176</v>
      </c>
      <c r="AM245" s="225" t="s">
        <v>176</v>
      </c>
      <c r="AN245" s="225" t="s">
        <v>176</v>
      </c>
      <c r="AO245" s="225" t="s">
        <v>176</v>
      </c>
      <c r="AP245" s="222" t="s">
        <v>4124</v>
      </c>
      <c r="AQ245" s="225" t="s">
        <v>2802</v>
      </c>
      <c r="AR245" s="225" t="s">
        <v>2803</v>
      </c>
      <c r="AS245" s="241" t="s">
        <v>2804</v>
      </c>
      <c r="AT245" s="226">
        <v>474204758</v>
      </c>
      <c r="AU245" s="225" t="s">
        <v>176</v>
      </c>
      <c r="AV245" s="241" t="s">
        <v>188</v>
      </c>
      <c r="AW245" s="223">
        <v>44703</v>
      </c>
      <c r="AX245" s="225" t="s">
        <v>4113</v>
      </c>
      <c r="AY245" s="225">
        <v>1996</v>
      </c>
      <c r="AZ245" s="225" t="s">
        <v>1880</v>
      </c>
      <c r="BA245" s="225" t="s">
        <v>267</v>
      </c>
      <c r="BB245" s="225" t="s">
        <v>2805</v>
      </c>
      <c r="BC245" s="225" t="s">
        <v>2806</v>
      </c>
      <c r="BD245" s="225">
        <v>18</v>
      </c>
      <c r="BE245" s="225">
        <v>10.4</v>
      </c>
      <c r="BF245" s="225">
        <v>91.8</v>
      </c>
      <c r="BG245" s="225">
        <v>0.01</v>
      </c>
      <c r="BH245" s="225" t="s">
        <v>1882</v>
      </c>
      <c r="BI245" s="225"/>
      <c r="BJ245" s="225">
        <f>30.25+23.44+66.18+478.3+85.86+88.56+350+30+4750</f>
        <v>5902.59</v>
      </c>
      <c r="BK245" s="225"/>
      <c r="BL245" s="225"/>
      <c r="BM245" s="225"/>
      <c r="BN245" s="225">
        <f>150+580</f>
        <v>730</v>
      </c>
      <c r="BO245" s="225">
        <f t="shared" si="18"/>
        <v>6632.59</v>
      </c>
      <c r="BP245" s="230">
        <f t="shared" si="19"/>
        <v>364.79245000000003</v>
      </c>
      <c r="BQ245" s="230">
        <f t="shared" si="20"/>
        <v>6997.3824500000001</v>
      </c>
      <c r="BR245" s="230">
        <v>6997.38</v>
      </c>
      <c r="BS245" s="225" t="s">
        <v>188</v>
      </c>
      <c r="BT245" s="225"/>
      <c r="BU245" s="225"/>
      <c r="BV245" s="301" t="s">
        <v>2325</v>
      </c>
      <c r="BW245" s="301" t="s">
        <v>214</v>
      </c>
      <c r="BX245" s="301" t="s">
        <v>620</v>
      </c>
      <c r="BY245" s="301" t="s">
        <v>176</v>
      </c>
    </row>
    <row r="246" spans="1:77" ht="12.75" customHeight="1">
      <c r="A246" s="64">
        <f t="shared" si="21"/>
        <v>2021</v>
      </c>
      <c r="B246" s="64">
        <f t="shared" si="22"/>
        <v>9</v>
      </c>
      <c r="C246" s="125" t="s">
        <v>191</v>
      </c>
      <c r="D246" s="168" t="str">
        <f t="shared" si="23"/>
        <v>non maj</v>
      </c>
      <c r="E246" s="292" t="s">
        <v>670</v>
      </c>
      <c r="F246" s="292" t="s">
        <v>1495</v>
      </c>
      <c r="G246" s="221">
        <v>600</v>
      </c>
      <c r="H246" s="222">
        <v>44453</v>
      </c>
      <c r="I246" s="222">
        <v>44455</v>
      </c>
      <c r="J246" s="223">
        <v>44455</v>
      </c>
      <c r="K246" s="222" t="s">
        <v>2281</v>
      </c>
      <c r="L246" s="223">
        <v>44462</v>
      </c>
      <c r="M246" s="223">
        <v>44462</v>
      </c>
      <c r="N246" s="223">
        <v>44462</v>
      </c>
      <c r="O246" s="222"/>
      <c r="P246" s="222">
        <v>44516</v>
      </c>
      <c r="Q246" s="222">
        <v>44485</v>
      </c>
      <c r="R246" s="222" t="s">
        <v>176</v>
      </c>
      <c r="S246" s="222">
        <v>44525</v>
      </c>
      <c r="T246" s="222">
        <v>44525</v>
      </c>
      <c r="U246" s="222">
        <v>44539</v>
      </c>
      <c r="V246" s="224"/>
      <c r="W246" s="222"/>
      <c r="X246" s="225"/>
      <c r="Y246" s="225"/>
      <c r="Z246" s="225"/>
      <c r="AA246" s="225">
        <v>3</v>
      </c>
      <c r="AB246" s="225">
        <v>52570</v>
      </c>
      <c r="AC246" s="225">
        <v>106</v>
      </c>
      <c r="AD246" s="225" t="s">
        <v>2807</v>
      </c>
      <c r="AE246" s="225">
        <v>38500</v>
      </c>
      <c r="AF246" s="225" t="s">
        <v>271</v>
      </c>
      <c r="AG246" s="226">
        <v>625765385</v>
      </c>
      <c r="AH246" s="246" t="s">
        <v>2808</v>
      </c>
      <c r="AI246" s="225" t="s">
        <v>1168</v>
      </c>
      <c r="AJ246" s="225"/>
      <c r="AK246" s="225"/>
      <c r="AL246" s="225" t="s">
        <v>176</v>
      </c>
      <c r="AM246" s="225" t="s">
        <v>176</v>
      </c>
      <c r="AN246" s="225" t="s">
        <v>176</v>
      </c>
      <c r="AO246" s="225" t="s">
        <v>176</v>
      </c>
      <c r="AP246" s="225" t="s">
        <v>778</v>
      </c>
      <c r="AQ246" s="225" t="s">
        <v>1926</v>
      </c>
      <c r="AR246" s="225" t="s">
        <v>779</v>
      </c>
      <c r="AS246" s="241" t="s">
        <v>251</v>
      </c>
      <c r="AT246" s="226">
        <v>438021901</v>
      </c>
      <c r="AU246" s="225" t="s">
        <v>176</v>
      </c>
      <c r="AV246" s="241" t="s">
        <v>188</v>
      </c>
      <c r="AW246" s="223">
        <v>44641</v>
      </c>
      <c r="AX246" s="225" t="s">
        <v>4113</v>
      </c>
      <c r="AY246" s="225">
        <v>1984</v>
      </c>
      <c r="AZ246" s="225" t="s">
        <v>1880</v>
      </c>
      <c r="BA246" s="225" t="s">
        <v>267</v>
      </c>
      <c r="BB246" s="225" t="s">
        <v>244</v>
      </c>
      <c r="BC246" s="225" t="s">
        <v>2809</v>
      </c>
      <c r="BD246" s="225">
        <v>18</v>
      </c>
      <c r="BE246" s="225">
        <v>9.1</v>
      </c>
      <c r="BF246" s="225">
        <v>93</v>
      </c>
      <c r="BG246" s="225">
        <v>2.12E-2</v>
      </c>
      <c r="BH246" s="225" t="s">
        <v>1882</v>
      </c>
      <c r="BI246" s="225"/>
      <c r="BJ246" s="225">
        <f>3842+990+182</f>
        <v>5014</v>
      </c>
      <c r="BK246" s="225"/>
      <c r="BL246" s="225"/>
      <c r="BM246" s="225"/>
      <c r="BN246" s="225">
        <v>891</v>
      </c>
      <c r="BO246" s="225">
        <f t="shared" si="18"/>
        <v>5905</v>
      </c>
      <c r="BP246" s="230">
        <f t="shared" si="19"/>
        <v>324.77499999999998</v>
      </c>
      <c r="BQ246" s="230">
        <f t="shared" si="20"/>
        <v>6229.7749999999996</v>
      </c>
      <c r="BR246" s="230">
        <v>5653</v>
      </c>
      <c r="BS246" s="225" t="s">
        <v>188</v>
      </c>
      <c r="BT246" s="225"/>
      <c r="BU246" s="225"/>
      <c r="BV246" s="301" t="s">
        <v>2325</v>
      </c>
      <c r="BW246" s="301" t="s">
        <v>214</v>
      </c>
      <c r="BX246" s="301" t="s">
        <v>620</v>
      </c>
      <c r="BY246" s="301" t="s">
        <v>176</v>
      </c>
    </row>
    <row r="247" spans="1:77" ht="12.75" customHeight="1">
      <c r="A247" s="64">
        <f t="shared" si="21"/>
        <v>2021</v>
      </c>
      <c r="B247" s="64">
        <f t="shared" si="22"/>
        <v>9</v>
      </c>
      <c r="C247" s="125" t="s">
        <v>191</v>
      </c>
      <c r="D247" s="168" t="str">
        <f t="shared" si="23"/>
        <v>maj</v>
      </c>
      <c r="E247" s="292" t="s">
        <v>670</v>
      </c>
      <c r="F247" s="292" t="s">
        <v>1496</v>
      </c>
      <c r="G247" s="221">
        <v>1000</v>
      </c>
      <c r="H247" s="222">
        <v>44453</v>
      </c>
      <c r="I247" s="222">
        <v>44455</v>
      </c>
      <c r="J247" s="223">
        <v>44455</v>
      </c>
      <c r="K247" s="222" t="s">
        <v>2810</v>
      </c>
      <c r="L247" s="223">
        <v>44469</v>
      </c>
      <c r="M247" s="223">
        <v>44469</v>
      </c>
      <c r="N247" s="223">
        <v>44494</v>
      </c>
      <c r="O247" s="222"/>
      <c r="P247" s="222">
        <v>44518</v>
      </c>
      <c r="Q247" s="222">
        <v>44498</v>
      </c>
      <c r="R247" s="222" t="s">
        <v>176</v>
      </c>
      <c r="S247" s="222">
        <v>44525</v>
      </c>
      <c r="T247" s="222">
        <v>44525</v>
      </c>
      <c r="U247" s="222">
        <v>44539</v>
      </c>
      <c r="V247" s="224"/>
      <c r="W247" s="222"/>
      <c r="X247" s="225"/>
      <c r="Y247" s="225"/>
      <c r="Z247" s="225"/>
      <c r="AA247" s="225">
        <v>2</v>
      </c>
      <c r="AB247" s="225">
        <v>16835</v>
      </c>
      <c r="AC247" s="225">
        <v>231</v>
      </c>
      <c r="AD247" s="225" t="s">
        <v>2811</v>
      </c>
      <c r="AE247" s="225">
        <v>38140</v>
      </c>
      <c r="AF247" s="225" t="s">
        <v>1924</v>
      </c>
      <c r="AG247" s="226">
        <v>670906846</v>
      </c>
      <c r="AH247" s="246" t="s">
        <v>2812</v>
      </c>
      <c r="AI247" s="225" t="s">
        <v>1168</v>
      </c>
      <c r="AJ247" s="225"/>
      <c r="AK247" s="225"/>
      <c r="AL247" s="225" t="s">
        <v>176</v>
      </c>
      <c r="AM247" s="225" t="s">
        <v>176</v>
      </c>
      <c r="AN247" s="225" t="s">
        <v>176</v>
      </c>
      <c r="AO247" s="225" t="s">
        <v>176</v>
      </c>
      <c r="AP247" s="225" t="s">
        <v>268</v>
      </c>
      <c r="AQ247" s="225" t="s">
        <v>1893</v>
      </c>
      <c r="AR247" s="225" t="s">
        <v>1933</v>
      </c>
      <c r="AS247" s="246" t="s">
        <v>1934</v>
      </c>
      <c r="AT247" s="226">
        <v>476355605</v>
      </c>
      <c r="AU247" s="225" t="s">
        <v>176</v>
      </c>
      <c r="AV247" s="241" t="s">
        <v>188</v>
      </c>
      <c r="AW247" s="223">
        <v>44495</v>
      </c>
      <c r="AX247" s="225" t="s">
        <v>4113</v>
      </c>
      <c r="AY247" s="225" t="s">
        <v>1935</v>
      </c>
      <c r="AZ247" s="225" t="s">
        <v>1880</v>
      </c>
      <c r="BA247" s="225" t="s">
        <v>380</v>
      </c>
      <c r="BB247" s="225" t="s">
        <v>2007</v>
      </c>
      <c r="BC247" s="225" t="s">
        <v>2813</v>
      </c>
      <c r="BD247" s="225">
        <v>18</v>
      </c>
      <c r="BE247" s="225">
        <v>10.6</v>
      </c>
      <c r="BF247" s="225">
        <v>88</v>
      </c>
      <c r="BG247" s="225">
        <v>6.5000000000000002E-2</v>
      </c>
      <c r="BH247" s="225" t="s">
        <v>1882</v>
      </c>
      <c r="BI247" s="225"/>
      <c r="BJ247" s="225">
        <f>2900+178.5+89.6+33.54</f>
        <v>3201.64</v>
      </c>
      <c r="BK247" s="225"/>
      <c r="BL247" s="225"/>
      <c r="BM247" s="225"/>
      <c r="BN247" s="225">
        <f>382.94+365+425</f>
        <v>1172.94</v>
      </c>
      <c r="BO247" s="225">
        <f t="shared" si="18"/>
        <v>4374.58</v>
      </c>
      <c r="BP247" s="230">
        <f t="shared" si="19"/>
        <v>240.6019</v>
      </c>
      <c r="BQ247" s="230">
        <f t="shared" si="20"/>
        <v>4615.1818999999996</v>
      </c>
      <c r="BR247" s="230">
        <v>4615.18</v>
      </c>
      <c r="BS247" s="225" t="s">
        <v>188</v>
      </c>
      <c r="BT247" s="225"/>
      <c r="BU247" s="225"/>
      <c r="BV247" s="301" t="s">
        <v>2325</v>
      </c>
      <c r="BW247" s="301" t="s">
        <v>214</v>
      </c>
      <c r="BX247" s="222" t="s">
        <v>618</v>
      </c>
      <c r="BY247" s="301">
        <v>2021</v>
      </c>
    </row>
    <row r="248" spans="1:77" ht="12.75" customHeight="1">
      <c r="A248" s="64">
        <f t="shared" si="21"/>
        <v>2021</v>
      </c>
      <c r="B248" s="64">
        <f t="shared" si="22"/>
        <v>10</v>
      </c>
      <c r="C248" s="125" t="s">
        <v>191</v>
      </c>
      <c r="D248" s="168" t="str">
        <f t="shared" si="23"/>
        <v>non maj</v>
      </c>
      <c r="E248" s="292" t="s">
        <v>670</v>
      </c>
      <c r="F248" s="292" t="s">
        <v>1497</v>
      </c>
      <c r="G248" s="221">
        <v>600</v>
      </c>
      <c r="H248" s="222">
        <v>44456</v>
      </c>
      <c r="I248" s="222">
        <v>44459</v>
      </c>
      <c r="J248" s="223">
        <v>44462</v>
      </c>
      <c r="K248" s="222" t="s">
        <v>2814</v>
      </c>
      <c r="L248" s="223">
        <v>44476</v>
      </c>
      <c r="M248" s="223">
        <v>44476</v>
      </c>
      <c r="N248" s="223">
        <v>44494</v>
      </c>
      <c r="O248" s="222"/>
      <c r="P248" s="222">
        <v>44535</v>
      </c>
      <c r="Q248" s="222">
        <v>44516</v>
      </c>
      <c r="R248" s="222" t="s">
        <v>2815</v>
      </c>
      <c r="S248" s="222">
        <v>44540</v>
      </c>
      <c r="T248" s="222">
        <v>44540</v>
      </c>
      <c r="U248" s="222">
        <v>44540</v>
      </c>
      <c r="V248" s="224"/>
      <c r="W248" s="222"/>
      <c r="X248" s="225"/>
      <c r="Y248" s="225"/>
      <c r="Z248" s="225"/>
      <c r="AA248" s="225">
        <v>3</v>
      </c>
      <c r="AB248" s="225">
        <v>38287</v>
      </c>
      <c r="AC248" s="225">
        <v>4</v>
      </c>
      <c r="AD248" s="225" t="s">
        <v>2816</v>
      </c>
      <c r="AE248" s="225">
        <v>38210</v>
      </c>
      <c r="AF248" s="225" t="s">
        <v>265</v>
      </c>
      <c r="AG248" s="226">
        <v>669380214</v>
      </c>
      <c r="AH248" s="246" t="s">
        <v>2817</v>
      </c>
      <c r="AI248" s="225" t="s">
        <v>1168</v>
      </c>
      <c r="AJ248" s="225"/>
      <c r="AK248" s="225"/>
      <c r="AL248" s="225" t="s">
        <v>176</v>
      </c>
      <c r="AM248" s="225" t="s">
        <v>176</v>
      </c>
      <c r="AN248" s="225" t="s">
        <v>176</v>
      </c>
      <c r="AO248" s="225" t="s">
        <v>176</v>
      </c>
      <c r="AP248" s="225" t="s">
        <v>585</v>
      </c>
      <c r="AQ248" s="225" t="s">
        <v>227</v>
      </c>
      <c r="AR248" s="225" t="s">
        <v>2509</v>
      </c>
      <c r="AS248" s="241" t="s">
        <v>228</v>
      </c>
      <c r="AT248" s="226">
        <v>618630529</v>
      </c>
      <c r="AU248" s="225" t="s">
        <v>176</v>
      </c>
      <c r="AV248" s="241" t="s">
        <v>188</v>
      </c>
      <c r="AW248" s="223">
        <v>44514</v>
      </c>
      <c r="AX248" s="225" t="s">
        <v>1880</v>
      </c>
      <c r="AY248" s="225">
        <v>1975</v>
      </c>
      <c r="AZ248" s="225" t="s">
        <v>1880</v>
      </c>
      <c r="BA248" s="225" t="s">
        <v>267</v>
      </c>
      <c r="BB248" s="225" t="s">
        <v>190</v>
      </c>
      <c r="BC248" s="225" t="s">
        <v>2818</v>
      </c>
      <c r="BD248" s="225">
        <v>8</v>
      </c>
      <c r="BE248" s="225">
        <v>8.1999999999999993</v>
      </c>
      <c r="BF248" s="225">
        <v>87.7</v>
      </c>
      <c r="BG248" s="225">
        <v>2.8E-3</v>
      </c>
      <c r="BH248" s="225" t="s">
        <v>1882</v>
      </c>
      <c r="BI248" s="225"/>
      <c r="BJ248" s="225">
        <f>3050+15+400+80+75+80+75+250+50</f>
        <v>4075</v>
      </c>
      <c r="BK248" s="225"/>
      <c r="BL248" s="225"/>
      <c r="BM248" s="225"/>
      <c r="BN248" s="225">
        <f>100+600</f>
        <v>700</v>
      </c>
      <c r="BO248" s="225">
        <f t="shared" si="18"/>
        <v>4775</v>
      </c>
      <c r="BP248" s="230">
        <f t="shared" si="19"/>
        <v>262.625</v>
      </c>
      <c r="BQ248" s="230">
        <f t="shared" si="20"/>
        <v>5037.625</v>
      </c>
      <c r="BR248" s="230">
        <v>5037.63</v>
      </c>
      <c r="BS248" s="225" t="s">
        <v>188</v>
      </c>
      <c r="BT248" s="225"/>
      <c r="BU248" s="225"/>
      <c r="BV248" s="301" t="s">
        <v>2325</v>
      </c>
      <c r="BW248" s="301" t="s">
        <v>214</v>
      </c>
      <c r="BX248" s="301" t="s">
        <v>620</v>
      </c>
      <c r="BY248" s="301" t="s">
        <v>176</v>
      </c>
    </row>
    <row r="249" spans="1:77" ht="12.75" customHeight="1">
      <c r="A249" s="64">
        <f t="shared" si="21"/>
        <v>2021</v>
      </c>
      <c r="B249" s="64">
        <f t="shared" si="22"/>
        <v>9</v>
      </c>
      <c r="C249" s="125" t="s">
        <v>191</v>
      </c>
      <c r="D249" s="168" t="str">
        <f t="shared" si="23"/>
        <v>maj</v>
      </c>
      <c r="E249" s="292" t="s">
        <v>670</v>
      </c>
      <c r="F249" s="292" t="s">
        <v>1498</v>
      </c>
      <c r="G249" s="221">
        <v>1000</v>
      </c>
      <c r="H249" s="222">
        <v>44459</v>
      </c>
      <c r="I249" s="222">
        <v>44459</v>
      </c>
      <c r="J249" s="223" t="s">
        <v>176</v>
      </c>
      <c r="K249" s="222" t="s">
        <v>176</v>
      </c>
      <c r="L249" s="223">
        <v>44462</v>
      </c>
      <c r="M249" s="223">
        <v>44462</v>
      </c>
      <c r="N249" s="223">
        <v>44462</v>
      </c>
      <c r="O249" s="222"/>
      <c r="P249" s="222">
        <v>44575</v>
      </c>
      <c r="Q249" s="222">
        <v>44522</v>
      </c>
      <c r="R249" s="222" t="s">
        <v>176</v>
      </c>
      <c r="S249" s="222">
        <v>44580</v>
      </c>
      <c r="T249" s="222">
        <v>44580</v>
      </c>
      <c r="U249" s="222">
        <v>44581</v>
      </c>
      <c r="V249" s="224"/>
      <c r="W249" s="222"/>
      <c r="X249" s="225"/>
      <c r="Y249" s="225"/>
      <c r="Z249" s="225"/>
      <c r="AA249" s="225">
        <v>4</v>
      </c>
      <c r="AB249" s="225">
        <v>33988</v>
      </c>
      <c r="AC249" s="225">
        <v>29</v>
      </c>
      <c r="AD249" s="225" t="s">
        <v>2512</v>
      </c>
      <c r="AE249" s="225">
        <v>38500</v>
      </c>
      <c r="AF249" s="225" t="s">
        <v>2297</v>
      </c>
      <c r="AG249" s="226">
        <v>770395251</v>
      </c>
      <c r="AH249" s="246" t="s">
        <v>2819</v>
      </c>
      <c r="AI249" s="225" t="s">
        <v>1168</v>
      </c>
      <c r="AJ249" s="225"/>
      <c r="AK249" s="225"/>
      <c r="AL249" s="225" t="s">
        <v>176</v>
      </c>
      <c r="AM249" s="225" t="s">
        <v>176</v>
      </c>
      <c r="AN249" s="225" t="s">
        <v>176</v>
      </c>
      <c r="AO249" s="225" t="s">
        <v>176</v>
      </c>
      <c r="AP249" s="222" t="s">
        <v>587</v>
      </c>
      <c r="AQ249" s="225" t="s">
        <v>225</v>
      </c>
      <c r="AR249" s="225" t="s">
        <v>2026</v>
      </c>
      <c r="AS249" s="241" t="s">
        <v>266</v>
      </c>
      <c r="AT249" s="226">
        <v>476069938</v>
      </c>
      <c r="AU249" s="225" t="s">
        <v>176</v>
      </c>
      <c r="AV249" s="241" t="s">
        <v>188</v>
      </c>
      <c r="AW249" s="223">
        <v>44822</v>
      </c>
      <c r="AX249" s="225" t="s">
        <v>4113</v>
      </c>
      <c r="AY249" s="242">
        <v>1985</v>
      </c>
      <c r="AZ249" s="225" t="s">
        <v>1880</v>
      </c>
      <c r="BA249" s="225" t="s">
        <v>267</v>
      </c>
      <c r="BB249" s="225" t="s">
        <v>190</v>
      </c>
      <c r="BC249" s="225" t="s">
        <v>2820</v>
      </c>
      <c r="BD249" s="242">
        <v>16</v>
      </c>
      <c r="BE249" s="242">
        <v>9.1</v>
      </c>
      <c r="BF249" s="242">
        <v>91.8</v>
      </c>
      <c r="BG249" s="242">
        <v>8.9999999999999993E-3</v>
      </c>
      <c r="BH249" s="225" t="s">
        <v>1882</v>
      </c>
      <c r="BI249" s="225"/>
      <c r="BJ249" s="242">
        <f>1390+350+207+3700</f>
        <v>5647</v>
      </c>
      <c r="BK249" s="225"/>
      <c r="BL249" s="225"/>
      <c r="BM249" s="225"/>
      <c r="BN249" s="242">
        <f>590+390</f>
        <v>980</v>
      </c>
      <c r="BO249" s="242">
        <f t="shared" si="18"/>
        <v>6627</v>
      </c>
      <c r="BP249" s="242">
        <f t="shared" si="19"/>
        <v>364.48500000000001</v>
      </c>
      <c r="BQ249" s="242">
        <f t="shared" si="20"/>
        <v>6991.4849999999997</v>
      </c>
      <c r="BR249" s="230">
        <v>8120.34</v>
      </c>
      <c r="BS249" s="225" t="s">
        <v>188</v>
      </c>
      <c r="BT249" s="225"/>
      <c r="BU249" s="225"/>
      <c r="BV249" s="301" t="s">
        <v>2325</v>
      </c>
      <c r="BW249" s="301" t="s">
        <v>214</v>
      </c>
      <c r="BX249" s="222" t="s">
        <v>618</v>
      </c>
      <c r="BY249" s="301" t="s">
        <v>176</v>
      </c>
    </row>
    <row r="250" spans="1:77" ht="12.75" customHeight="1">
      <c r="A250" s="64">
        <f t="shared" si="21"/>
        <v>2021</v>
      </c>
      <c r="B250" s="64">
        <f t="shared" si="22"/>
        <v>9</v>
      </c>
      <c r="C250" s="125" t="s">
        <v>191</v>
      </c>
      <c r="D250" s="168" t="str">
        <f t="shared" si="23"/>
        <v>non maj</v>
      </c>
      <c r="E250" s="292" t="s">
        <v>670</v>
      </c>
      <c r="F250" s="292" t="s">
        <v>1499</v>
      </c>
      <c r="G250" s="221">
        <v>600</v>
      </c>
      <c r="H250" s="222">
        <v>44459</v>
      </c>
      <c r="I250" s="222">
        <v>44459</v>
      </c>
      <c r="J250" s="223" t="s">
        <v>176</v>
      </c>
      <c r="K250" s="222" t="s">
        <v>176</v>
      </c>
      <c r="L250" s="223">
        <v>44462</v>
      </c>
      <c r="M250" s="223">
        <v>44462</v>
      </c>
      <c r="N250" s="223">
        <v>44462</v>
      </c>
      <c r="O250" s="222"/>
      <c r="P250" s="222">
        <v>44533</v>
      </c>
      <c r="Q250" s="222">
        <v>44523</v>
      </c>
      <c r="R250" s="222" t="s">
        <v>176</v>
      </c>
      <c r="S250" s="222">
        <v>44539</v>
      </c>
      <c r="T250" s="222">
        <v>44539</v>
      </c>
      <c r="U250" s="222">
        <v>44540</v>
      </c>
      <c r="V250" s="224"/>
      <c r="W250" s="222"/>
      <c r="X250" s="225"/>
      <c r="Y250" s="225"/>
      <c r="Z250" s="225"/>
      <c r="AA250" s="225">
        <v>2</v>
      </c>
      <c r="AB250" s="225">
        <v>41283</v>
      </c>
      <c r="AC250" s="225">
        <v>10</v>
      </c>
      <c r="AD250" s="225" t="s">
        <v>2821</v>
      </c>
      <c r="AE250" s="225">
        <v>38430</v>
      </c>
      <c r="AF250" s="225" t="s">
        <v>1893</v>
      </c>
      <c r="AG250" s="226">
        <v>626200164</v>
      </c>
      <c r="AH250" s="246" t="s">
        <v>2822</v>
      </c>
      <c r="AI250" s="225" t="s">
        <v>1168</v>
      </c>
      <c r="AJ250" s="225"/>
      <c r="AK250" s="225"/>
      <c r="AL250" s="225" t="s">
        <v>176</v>
      </c>
      <c r="AM250" s="225" t="s">
        <v>176</v>
      </c>
      <c r="AN250" s="225" t="s">
        <v>176</v>
      </c>
      <c r="AO250" s="225" t="s">
        <v>176</v>
      </c>
      <c r="AP250" s="225" t="s">
        <v>268</v>
      </c>
      <c r="AQ250" s="225" t="s">
        <v>1893</v>
      </c>
      <c r="AR250" s="225" t="s">
        <v>1933</v>
      </c>
      <c r="AS250" s="246" t="s">
        <v>1934</v>
      </c>
      <c r="AT250" s="226">
        <v>476355605</v>
      </c>
      <c r="AU250" s="225" t="s">
        <v>176</v>
      </c>
      <c r="AV250" s="241" t="s">
        <v>188</v>
      </c>
      <c r="AW250" s="223">
        <v>44495</v>
      </c>
      <c r="AX250" s="225" t="s">
        <v>4113</v>
      </c>
      <c r="AY250" s="225">
        <v>1994</v>
      </c>
      <c r="AZ250" s="225" t="s">
        <v>4113</v>
      </c>
      <c r="BA250" s="225" t="s">
        <v>380</v>
      </c>
      <c r="BB250" s="225" t="s">
        <v>1936</v>
      </c>
      <c r="BC250" s="225" t="s">
        <v>2336</v>
      </c>
      <c r="BD250" s="225">
        <v>23</v>
      </c>
      <c r="BE250" s="225">
        <v>10</v>
      </c>
      <c r="BF250" s="225">
        <v>78</v>
      </c>
      <c r="BG250" s="225">
        <v>7.0000000000000007E-2</v>
      </c>
      <c r="BH250" s="225" t="s">
        <v>1882</v>
      </c>
      <c r="BI250" s="225"/>
      <c r="BJ250" s="225">
        <f>480+32.45+48.5+99.09+94+465.75+1950+390.56+177.6+99.09</f>
        <v>3837.04</v>
      </c>
      <c r="BK250" s="225"/>
      <c r="BL250" s="225"/>
      <c r="BM250" s="225"/>
      <c r="BN250" s="225">
        <f>950+382.94</f>
        <v>1332.94</v>
      </c>
      <c r="BO250" s="225">
        <f t="shared" si="18"/>
        <v>5169.9799999999996</v>
      </c>
      <c r="BP250" s="230">
        <f t="shared" si="19"/>
        <v>284.34889999999996</v>
      </c>
      <c r="BQ250" s="230">
        <f t="shared" si="20"/>
        <v>5454.3288999999995</v>
      </c>
      <c r="BR250" s="230">
        <v>5454.42</v>
      </c>
      <c r="BS250" s="225" t="s">
        <v>188</v>
      </c>
      <c r="BT250" s="225"/>
      <c r="BU250" s="225"/>
      <c r="BV250" s="301" t="s">
        <v>2325</v>
      </c>
      <c r="BW250" s="301" t="s">
        <v>214</v>
      </c>
      <c r="BX250" s="301" t="s">
        <v>620</v>
      </c>
      <c r="BY250" s="301">
        <v>2021</v>
      </c>
    </row>
    <row r="251" spans="1:77" ht="12.75" customHeight="1">
      <c r="A251" s="64">
        <f t="shared" si="21"/>
        <v>2021</v>
      </c>
      <c r="B251" s="64">
        <f t="shared" si="22"/>
        <v>10</v>
      </c>
      <c r="C251" s="125" t="s">
        <v>191</v>
      </c>
      <c r="D251" s="168" t="str">
        <f t="shared" si="23"/>
        <v>maj</v>
      </c>
      <c r="E251" s="292" t="s">
        <v>670</v>
      </c>
      <c r="F251" s="292" t="s">
        <v>1500</v>
      </c>
      <c r="G251" s="221">
        <v>1000</v>
      </c>
      <c r="H251" s="222">
        <v>44455</v>
      </c>
      <c r="I251" s="222">
        <v>44459</v>
      </c>
      <c r="J251" s="223">
        <v>44462</v>
      </c>
      <c r="K251" s="222" t="s">
        <v>2823</v>
      </c>
      <c r="L251" s="223">
        <v>44476</v>
      </c>
      <c r="M251" s="223">
        <v>44476</v>
      </c>
      <c r="N251" s="223">
        <v>44494</v>
      </c>
      <c r="O251" s="222"/>
      <c r="P251" s="222">
        <v>44545</v>
      </c>
      <c r="Q251" s="222">
        <v>44531</v>
      </c>
      <c r="R251" s="222" t="s">
        <v>176</v>
      </c>
      <c r="S251" s="222">
        <v>44546</v>
      </c>
      <c r="T251" s="222">
        <v>44546</v>
      </c>
      <c r="U251" s="222">
        <v>44547</v>
      </c>
      <c r="V251" s="224"/>
      <c r="W251" s="222"/>
      <c r="X251" s="225"/>
      <c r="Y251" s="225"/>
      <c r="Z251" s="225"/>
      <c r="AA251" s="225">
        <v>2</v>
      </c>
      <c r="AB251" s="225">
        <v>23777</v>
      </c>
      <c r="AC251" s="225">
        <v>656</v>
      </c>
      <c r="AD251" s="225" t="s">
        <v>2824</v>
      </c>
      <c r="AE251" s="225">
        <v>38210</v>
      </c>
      <c r="AF251" s="225" t="s">
        <v>265</v>
      </c>
      <c r="AG251" s="226">
        <v>652323031</v>
      </c>
      <c r="AH251" s="246" t="s">
        <v>2825</v>
      </c>
      <c r="AI251" s="225" t="s">
        <v>1168</v>
      </c>
      <c r="AJ251" s="225"/>
      <c r="AK251" s="225"/>
      <c r="AL251" s="225" t="s">
        <v>176</v>
      </c>
      <c r="AM251" s="225" t="s">
        <v>176</v>
      </c>
      <c r="AN251" s="225" t="s">
        <v>176</v>
      </c>
      <c r="AO251" s="225" t="s">
        <v>176</v>
      </c>
      <c r="AP251" s="225" t="s">
        <v>678</v>
      </c>
      <c r="AQ251" s="225" t="s">
        <v>2014</v>
      </c>
      <c r="AR251" s="225" t="s">
        <v>2015</v>
      </c>
      <c r="AS251" s="241" t="s">
        <v>274</v>
      </c>
      <c r="AT251" s="226">
        <v>437064566</v>
      </c>
      <c r="AU251" s="225" t="s">
        <v>176</v>
      </c>
      <c r="AV251" s="241" t="s">
        <v>188</v>
      </c>
      <c r="AW251" s="223">
        <v>44633</v>
      </c>
      <c r="AX251" s="225" t="s">
        <v>1879</v>
      </c>
      <c r="AY251" s="225" t="s">
        <v>1935</v>
      </c>
      <c r="AZ251" s="225" t="s">
        <v>1880</v>
      </c>
      <c r="BA251" s="225" t="s">
        <v>380</v>
      </c>
      <c r="BB251" s="225" t="s">
        <v>218</v>
      </c>
      <c r="BC251" s="225" t="s">
        <v>2826</v>
      </c>
      <c r="BD251" s="225">
        <v>25</v>
      </c>
      <c r="BE251" s="225">
        <v>6</v>
      </c>
      <c r="BF251" s="225">
        <v>80.3</v>
      </c>
      <c r="BG251" s="225">
        <v>7.0000000000000007E-2</v>
      </c>
      <c r="BH251" s="225" t="s">
        <v>1882</v>
      </c>
      <c r="BI251" s="225"/>
      <c r="BJ251" s="225">
        <f>1450.62+112.59+162.07+125.26+54.77+13.62+5.36+165.66+81.4+8+19.78+17.58+36.04+22.77+72.09+55.04</f>
        <v>2402.6499999999996</v>
      </c>
      <c r="BK251" s="225"/>
      <c r="BL251" s="225"/>
      <c r="BM251" s="225"/>
      <c r="BN251" s="225">
        <f>1093.74+0.01</f>
        <v>1093.75</v>
      </c>
      <c r="BO251" s="225">
        <f t="shared" si="18"/>
        <v>3496.3999999999996</v>
      </c>
      <c r="BP251" s="230">
        <f t="shared" si="19"/>
        <v>192.30199999999999</v>
      </c>
      <c r="BQ251" s="230">
        <f t="shared" si="20"/>
        <v>3688.7019999999998</v>
      </c>
      <c r="BR251" s="230">
        <v>3496.4</v>
      </c>
      <c r="BS251" s="225" t="s">
        <v>191</v>
      </c>
      <c r="BT251" s="225"/>
      <c r="BU251" s="225"/>
      <c r="BV251" s="301" t="s">
        <v>2325</v>
      </c>
      <c r="BW251" s="301" t="s">
        <v>214</v>
      </c>
      <c r="BX251" s="222" t="s">
        <v>618</v>
      </c>
      <c r="BY251" s="301">
        <v>2021</v>
      </c>
    </row>
    <row r="252" spans="1:77" s="13" customFormat="1" ht="12.75" customHeight="1">
      <c r="A252" s="64">
        <f t="shared" si="21"/>
        <v>2021</v>
      </c>
      <c r="B252" s="64">
        <f t="shared" si="22"/>
        <v>9</v>
      </c>
      <c r="C252" s="125" t="s">
        <v>191</v>
      </c>
      <c r="D252" s="168" t="str">
        <f t="shared" si="23"/>
        <v>non maj</v>
      </c>
      <c r="E252" s="232" t="s">
        <v>670</v>
      </c>
      <c r="F252" s="232" t="s">
        <v>1501</v>
      </c>
      <c r="G252" s="221">
        <v>600</v>
      </c>
      <c r="H252" s="222">
        <v>44459</v>
      </c>
      <c r="I252" s="222">
        <v>44460</v>
      </c>
      <c r="J252" s="223">
        <v>44462</v>
      </c>
      <c r="K252" s="222" t="s">
        <v>2827</v>
      </c>
      <c r="L252" s="223">
        <v>44469</v>
      </c>
      <c r="M252" s="223">
        <v>44469</v>
      </c>
      <c r="N252" s="223">
        <v>44494</v>
      </c>
      <c r="O252" s="222"/>
      <c r="P252" s="222">
        <v>44634</v>
      </c>
      <c r="Q252" s="222">
        <v>44883</v>
      </c>
      <c r="R252" s="222" t="s">
        <v>2828</v>
      </c>
      <c r="S252" s="222">
        <v>44665</v>
      </c>
      <c r="T252" s="222">
        <v>44665</v>
      </c>
      <c r="U252" s="222">
        <v>44666</v>
      </c>
      <c r="V252" s="224"/>
      <c r="W252" s="222"/>
      <c r="X252" s="225"/>
      <c r="Y252" s="225"/>
      <c r="Z252" s="225"/>
      <c r="AA252" s="225">
        <v>2</v>
      </c>
      <c r="AB252" s="225">
        <f>17200+22740</f>
        <v>39940</v>
      </c>
      <c r="AC252" s="225">
        <v>285</v>
      </c>
      <c r="AD252" s="225" t="s">
        <v>2829</v>
      </c>
      <c r="AE252" s="225">
        <v>38500</v>
      </c>
      <c r="AF252" s="225" t="s">
        <v>1984</v>
      </c>
      <c r="AG252" s="226">
        <v>685196718</v>
      </c>
      <c r="AH252" s="246" t="s">
        <v>2830</v>
      </c>
      <c r="AI252" s="225" t="s">
        <v>1168</v>
      </c>
      <c r="AJ252" s="225"/>
      <c r="AK252" s="225"/>
      <c r="AL252" s="225" t="s">
        <v>176</v>
      </c>
      <c r="AM252" s="225" t="s">
        <v>176</v>
      </c>
      <c r="AN252" s="225" t="s">
        <v>176</v>
      </c>
      <c r="AO252" s="225" t="s">
        <v>176</v>
      </c>
      <c r="AP252" s="222" t="s">
        <v>587</v>
      </c>
      <c r="AQ252" s="225" t="s">
        <v>225</v>
      </c>
      <c r="AR252" s="225" t="s">
        <v>2026</v>
      </c>
      <c r="AS252" s="241" t="s">
        <v>266</v>
      </c>
      <c r="AT252" s="226">
        <v>476069938</v>
      </c>
      <c r="AU252" s="225" t="s">
        <v>176</v>
      </c>
      <c r="AV252" s="241" t="s">
        <v>188</v>
      </c>
      <c r="AW252" s="223">
        <v>44822</v>
      </c>
      <c r="AX252" s="225" t="s">
        <v>1880</v>
      </c>
      <c r="AY252" s="242">
        <v>1975</v>
      </c>
      <c r="AZ252" s="225" t="s">
        <v>1880</v>
      </c>
      <c r="BA252" s="225" t="s">
        <v>267</v>
      </c>
      <c r="BB252" s="225" t="s">
        <v>433</v>
      </c>
      <c r="BC252" s="225" t="s">
        <v>2831</v>
      </c>
      <c r="BD252" s="242">
        <v>14.7</v>
      </c>
      <c r="BE252" s="242">
        <v>9.6</v>
      </c>
      <c r="BF252" s="242">
        <v>92.5</v>
      </c>
      <c r="BG252" s="242">
        <v>8.0000000000000002E-3</v>
      </c>
      <c r="BH252" s="225" t="s">
        <v>1882</v>
      </c>
      <c r="BI252" s="225"/>
      <c r="BJ252" s="242">
        <f>3260+1590+207</f>
        <v>5057</v>
      </c>
      <c r="BK252" s="225"/>
      <c r="BL252" s="225"/>
      <c r="BM252" s="225"/>
      <c r="BN252" s="242">
        <f>390+590+50</f>
        <v>1030</v>
      </c>
      <c r="BO252" s="242">
        <f t="shared" si="18"/>
        <v>6087</v>
      </c>
      <c r="BP252" s="242">
        <f t="shared" si="19"/>
        <v>334.78500000000003</v>
      </c>
      <c r="BQ252" s="242">
        <f t="shared" si="20"/>
        <v>6421.7849999999999</v>
      </c>
      <c r="BR252" s="230">
        <v>6369.04</v>
      </c>
      <c r="BS252" s="225" t="s">
        <v>188</v>
      </c>
      <c r="BT252" s="225"/>
      <c r="BU252" s="225"/>
      <c r="BV252" s="301" t="s">
        <v>2325</v>
      </c>
      <c r="BW252" s="301" t="s">
        <v>214</v>
      </c>
      <c r="BX252" s="301" t="s">
        <v>620</v>
      </c>
      <c r="BY252" s="301" t="s">
        <v>176</v>
      </c>
    </row>
    <row r="253" spans="1:77" s="34" customFormat="1" ht="12.75" customHeight="1">
      <c r="A253" s="64">
        <f t="shared" si="21"/>
        <v>2021</v>
      </c>
      <c r="B253" s="64">
        <f t="shared" si="22"/>
        <v>9</v>
      </c>
      <c r="C253" s="125" t="s">
        <v>191</v>
      </c>
      <c r="D253" s="168" t="str">
        <f t="shared" si="23"/>
        <v>maj</v>
      </c>
      <c r="E253" s="292" t="s">
        <v>670</v>
      </c>
      <c r="F253" s="292" t="s">
        <v>1502</v>
      </c>
      <c r="G253" s="221">
        <v>1000</v>
      </c>
      <c r="H253" s="222">
        <v>44461</v>
      </c>
      <c r="I253" s="222">
        <v>44463</v>
      </c>
      <c r="J253" s="223" t="s">
        <v>176</v>
      </c>
      <c r="K253" s="222" t="s">
        <v>176</v>
      </c>
      <c r="L253" s="223">
        <v>44469</v>
      </c>
      <c r="M253" s="223">
        <v>44469</v>
      </c>
      <c r="N253" s="223">
        <v>44494</v>
      </c>
      <c r="O253" s="222"/>
      <c r="P253" s="222">
        <v>44572</v>
      </c>
      <c r="Q253" s="222">
        <v>44532</v>
      </c>
      <c r="R253" s="222" t="s">
        <v>176</v>
      </c>
      <c r="S253" s="222">
        <v>44580</v>
      </c>
      <c r="T253" s="222">
        <v>44580</v>
      </c>
      <c r="U253" s="222">
        <v>44581</v>
      </c>
      <c r="V253" s="224"/>
      <c r="W253" s="222"/>
      <c r="X253" s="225"/>
      <c r="Y253" s="225"/>
      <c r="Z253" s="225"/>
      <c r="AA253" s="225">
        <v>2</v>
      </c>
      <c r="AB253" s="225">
        <v>19261</v>
      </c>
      <c r="AC253" s="225">
        <v>231</v>
      </c>
      <c r="AD253" s="225" t="s">
        <v>2507</v>
      </c>
      <c r="AE253" s="225">
        <v>38850</v>
      </c>
      <c r="AF253" s="225" t="s">
        <v>2151</v>
      </c>
      <c r="AG253" s="226">
        <v>632943494</v>
      </c>
      <c r="AH253" s="246" t="s">
        <v>2832</v>
      </c>
      <c r="AI253" s="225" t="s">
        <v>1168</v>
      </c>
      <c r="AJ253" s="225"/>
      <c r="AK253" s="225"/>
      <c r="AL253" s="225" t="s">
        <v>176</v>
      </c>
      <c r="AM253" s="225" t="s">
        <v>176</v>
      </c>
      <c r="AN253" s="225" t="s">
        <v>176</v>
      </c>
      <c r="AO253" s="225" t="s">
        <v>176</v>
      </c>
      <c r="AP253" s="225" t="s">
        <v>675</v>
      </c>
      <c r="AQ253" s="225" t="s">
        <v>225</v>
      </c>
      <c r="AR253" s="225" t="s">
        <v>1948</v>
      </c>
      <c r="AS253" s="241" t="s">
        <v>673</v>
      </c>
      <c r="AT253" s="226">
        <v>951096343</v>
      </c>
      <c r="AU253" s="225" t="s">
        <v>176</v>
      </c>
      <c r="AV253" s="241" t="s">
        <v>188</v>
      </c>
      <c r="AW253" s="223">
        <v>44798</v>
      </c>
      <c r="AX253" s="225" t="s">
        <v>1880</v>
      </c>
      <c r="AY253" s="225">
        <v>2001</v>
      </c>
      <c r="AZ253" s="225" t="s">
        <v>1880</v>
      </c>
      <c r="BA253" s="225" t="s">
        <v>267</v>
      </c>
      <c r="BB253" s="225" t="s">
        <v>229</v>
      </c>
      <c r="BC253" s="225" t="s">
        <v>783</v>
      </c>
      <c r="BD253" s="225">
        <v>20</v>
      </c>
      <c r="BE253" s="225">
        <v>8.3000000000000007</v>
      </c>
      <c r="BF253" s="225">
        <v>87</v>
      </c>
      <c r="BG253" s="225">
        <v>1.7999999999999999E-2</v>
      </c>
      <c r="BH253" s="225" t="s">
        <v>1899</v>
      </c>
      <c r="BI253" s="225"/>
      <c r="BJ253" s="225">
        <f>4390+269+340.5+271.35+1035+35</f>
        <v>6340.85</v>
      </c>
      <c r="BK253" s="225"/>
      <c r="BL253" s="225"/>
      <c r="BM253" s="225"/>
      <c r="BN253" s="225">
        <v>630</v>
      </c>
      <c r="BO253" s="225">
        <f t="shared" si="18"/>
        <v>6970.85</v>
      </c>
      <c r="BP253" s="230">
        <f t="shared" si="19"/>
        <v>383.39675</v>
      </c>
      <c r="BQ253" s="230">
        <f t="shared" si="20"/>
        <v>7354.2467500000002</v>
      </c>
      <c r="BR253" s="230">
        <v>7000</v>
      </c>
      <c r="BS253" s="225" t="s">
        <v>191</v>
      </c>
      <c r="BT253" s="225"/>
      <c r="BU253" s="225"/>
      <c r="BV253" s="301" t="s">
        <v>2325</v>
      </c>
      <c r="BW253" s="301" t="s">
        <v>214</v>
      </c>
      <c r="BX253" s="222" t="s">
        <v>618</v>
      </c>
      <c r="BY253" s="301" t="s">
        <v>176</v>
      </c>
    </row>
    <row r="254" spans="1:77" ht="12.75" customHeight="1">
      <c r="A254" s="64">
        <f t="shared" si="21"/>
        <v>2021</v>
      </c>
      <c r="B254" s="64">
        <f t="shared" si="22"/>
        <v>10</v>
      </c>
      <c r="C254" s="125" t="s">
        <v>191</v>
      </c>
      <c r="D254" s="168" t="str">
        <f t="shared" si="23"/>
        <v>maj</v>
      </c>
      <c r="E254" s="232" t="s">
        <v>670</v>
      </c>
      <c r="F254" s="232" t="s">
        <v>1503</v>
      </c>
      <c r="G254" s="221">
        <v>1000</v>
      </c>
      <c r="H254" s="222">
        <v>44463</v>
      </c>
      <c r="I254" s="222">
        <v>44463</v>
      </c>
      <c r="J254" s="223">
        <v>44469</v>
      </c>
      <c r="K254" s="222" t="s">
        <v>897</v>
      </c>
      <c r="L254" s="223">
        <v>44476</v>
      </c>
      <c r="M254" s="223">
        <v>44476</v>
      </c>
      <c r="N254" s="223">
        <v>44494</v>
      </c>
      <c r="O254" s="222"/>
      <c r="P254" s="222">
        <v>44602</v>
      </c>
      <c r="Q254" s="222">
        <v>44546</v>
      </c>
      <c r="R254" s="222" t="s">
        <v>2833</v>
      </c>
      <c r="S254" s="222">
        <v>44662</v>
      </c>
      <c r="T254" s="222">
        <v>44662</v>
      </c>
      <c r="U254" s="222">
        <v>44662</v>
      </c>
      <c r="V254" s="224"/>
      <c r="W254" s="222"/>
      <c r="X254" s="225"/>
      <c r="Y254" s="225"/>
      <c r="Z254" s="225"/>
      <c r="AA254" s="225">
        <v>5</v>
      </c>
      <c r="AB254" s="225">
        <v>32534</v>
      </c>
      <c r="AC254" s="225">
        <v>40</v>
      </c>
      <c r="AD254" s="225" t="s">
        <v>2834</v>
      </c>
      <c r="AE254" s="225">
        <v>38620</v>
      </c>
      <c r="AF254" s="225" t="s">
        <v>2249</v>
      </c>
      <c r="AG254" s="226">
        <v>684074376</v>
      </c>
      <c r="AH254" s="246" t="s">
        <v>2835</v>
      </c>
      <c r="AI254" s="225" t="s">
        <v>1168</v>
      </c>
      <c r="AJ254" s="225"/>
      <c r="AK254" s="225"/>
      <c r="AL254" s="225" t="s">
        <v>176</v>
      </c>
      <c r="AM254" s="225" t="s">
        <v>176</v>
      </c>
      <c r="AN254" s="225" t="s">
        <v>176</v>
      </c>
      <c r="AO254" s="225" t="s">
        <v>176</v>
      </c>
      <c r="AP254" s="225" t="s">
        <v>749</v>
      </c>
      <c r="AQ254" s="225" t="s">
        <v>209</v>
      </c>
      <c r="AR254" s="225" t="s">
        <v>1013</v>
      </c>
      <c r="AS254" s="241" t="s">
        <v>2557</v>
      </c>
      <c r="AT254" s="226">
        <v>476042368</v>
      </c>
      <c r="AU254" s="225" t="s">
        <v>176</v>
      </c>
      <c r="AV254" s="241" t="s">
        <v>188</v>
      </c>
      <c r="AW254" s="223">
        <v>44524</v>
      </c>
      <c r="AX254" s="225" t="s">
        <v>1880</v>
      </c>
      <c r="AY254" s="225">
        <v>2002</v>
      </c>
      <c r="AZ254" s="225" t="s">
        <v>1880</v>
      </c>
      <c r="BA254" s="225" t="s">
        <v>380</v>
      </c>
      <c r="BB254" s="225" t="s">
        <v>218</v>
      </c>
      <c r="BC254" s="225" t="s">
        <v>2836</v>
      </c>
      <c r="BD254" s="225">
        <v>40</v>
      </c>
      <c r="BE254" s="225">
        <v>7</v>
      </c>
      <c r="BF254" s="225">
        <v>78</v>
      </c>
      <c r="BG254" s="225">
        <v>0.12</v>
      </c>
      <c r="BH254" s="225" t="s">
        <v>1882</v>
      </c>
      <c r="BI254" s="225"/>
      <c r="BJ254" s="225">
        <f>690+27.2+33.5+51+78.9+64.6+49.5+855.6+22.5+49.5+85</f>
        <v>2007.3000000000002</v>
      </c>
      <c r="BK254" s="225"/>
      <c r="BL254" s="225"/>
      <c r="BM254" s="225"/>
      <c r="BN254" s="225">
        <f>450+450</f>
        <v>900</v>
      </c>
      <c r="BO254" s="225">
        <f t="shared" si="18"/>
        <v>2907.3</v>
      </c>
      <c r="BP254" s="230">
        <f t="shared" si="19"/>
        <v>159.9015</v>
      </c>
      <c r="BQ254" s="230">
        <f t="shared" si="20"/>
        <v>3067.2015000000001</v>
      </c>
      <c r="BR254" s="230">
        <f>(872.19*1.055)+2147.05</f>
        <v>3067.21045</v>
      </c>
      <c r="BS254" s="225" t="s">
        <v>188</v>
      </c>
      <c r="BT254" s="225"/>
      <c r="BU254" s="225"/>
      <c r="BV254" s="301" t="s">
        <v>2325</v>
      </c>
      <c r="BW254" s="301" t="s">
        <v>214</v>
      </c>
      <c r="BX254" s="222" t="s">
        <v>618</v>
      </c>
      <c r="BY254" s="301">
        <v>2021</v>
      </c>
    </row>
    <row r="255" spans="1:77" s="13" customFormat="1" ht="12.75" customHeight="1">
      <c r="A255" s="64">
        <f t="shared" si="21"/>
        <v>2021</v>
      </c>
      <c r="B255" s="64">
        <f t="shared" si="22"/>
        <v>10</v>
      </c>
      <c r="C255" s="125" t="s">
        <v>191</v>
      </c>
      <c r="D255" s="168" t="str">
        <f t="shared" si="23"/>
        <v>non maj</v>
      </c>
      <c r="E255" s="232" t="s">
        <v>670</v>
      </c>
      <c r="F255" s="232" t="s">
        <v>2837</v>
      </c>
      <c r="G255" s="221">
        <v>600</v>
      </c>
      <c r="H255" s="222">
        <v>44463</v>
      </c>
      <c r="I255" s="222">
        <v>44467</v>
      </c>
      <c r="J255" s="223">
        <v>44469</v>
      </c>
      <c r="K255" s="222" t="s">
        <v>2838</v>
      </c>
      <c r="L255" s="223">
        <v>44491</v>
      </c>
      <c r="M255" s="223">
        <v>44491</v>
      </c>
      <c r="N255" s="223">
        <v>44495</v>
      </c>
      <c r="O255" s="222"/>
      <c r="P255" s="222">
        <v>44525</v>
      </c>
      <c r="Q255" s="222">
        <v>44530</v>
      </c>
      <c r="R255" s="222" t="s">
        <v>2839</v>
      </c>
      <c r="S255" s="222">
        <v>44650</v>
      </c>
      <c r="T255" s="222">
        <v>44650</v>
      </c>
      <c r="U255" s="222">
        <v>44652</v>
      </c>
      <c r="V255" s="224"/>
      <c r="W255" s="222"/>
      <c r="X255" s="225"/>
      <c r="Y255" s="225"/>
      <c r="Z255" s="225"/>
      <c r="AA255" s="225">
        <v>2</v>
      </c>
      <c r="AB255" s="225">
        <v>30147</v>
      </c>
      <c r="AC255" s="225">
        <v>845</v>
      </c>
      <c r="AD255" s="225" t="s">
        <v>2591</v>
      </c>
      <c r="AE255" s="225">
        <v>38490</v>
      </c>
      <c r="AF255" s="225" t="s">
        <v>1018</v>
      </c>
      <c r="AG255" s="226">
        <v>476982722</v>
      </c>
      <c r="AH255" s="246" t="s">
        <v>2840</v>
      </c>
      <c r="AI255" s="225" t="s">
        <v>1168</v>
      </c>
      <c r="AJ255" s="225"/>
      <c r="AK255" s="225"/>
      <c r="AL255" s="225" t="s">
        <v>176</v>
      </c>
      <c r="AM255" s="225" t="s">
        <v>176</v>
      </c>
      <c r="AN255" s="225" t="s">
        <v>176</v>
      </c>
      <c r="AO255" s="225" t="s">
        <v>176</v>
      </c>
      <c r="AP255" s="225" t="s">
        <v>2762</v>
      </c>
      <c r="AQ255" s="225" t="s">
        <v>1018</v>
      </c>
      <c r="AR255" s="225" t="s">
        <v>2763</v>
      </c>
      <c r="AS255" s="241" t="s">
        <v>1019</v>
      </c>
      <c r="AT255" s="226">
        <v>476663386</v>
      </c>
      <c r="AU255" s="225" t="s">
        <v>176</v>
      </c>
      <c r="AV255" s="241" t="s">
        <v>188</v>
      </c>
      <c r="AW255" s="223">
        <v>44731</v>
      </c>
      <c r="AX255" s="225" t="s">
        <v>4113</v>
      </c>
      <c r="AY255" s="242">
        <v>1992</v>
      </c>
      <c r="AZ255" s="225" t="s">
        <v>4113</v>
      </c>
      <c r="BA255" s="225" t="s">
        <v>380</v>
      </c>
      <c r="BB255" s="225" t="s">
        <v>2764</v>
      </c>
      <c r="BC255" s="225" t="s">
        <v>2841</v>
      </c>
      <c r="BD255" s="230">
        <v>34</v>
      </c>
      <c r="BE255" s="230">
        <v>7.8</v>
      </c>
      <c r="BF255" s="230">
        <v>76.5</v>
      </c>
      <c r="BG255" s="230">
        <v>0.1</v>
      </c>
      <c r="BH255" s="230" t="s">
        <v>1882</v>
      </c>
      <c r="BI255" s="225"/>
      <c r="BJ255" s="230">
        <f>1806+40+266.61+300.44+17.11+178+467+295+110.86</f>
        <v>3481.0200000000004</v>
      </c>
      <c r="BK255" s="225"/>
      <c r="BL255" s="225"/>
      <c r="BM255" s="225"/>
      <c r="BN255" s="230">
        <v>500</v>
      </c>
      <c r="BO255" s="230">
        <f t="shared" si="18"/>
        <v>3981.0200000000004</v>
      </c>
      <c r="BP255" s="230">
        <f t="shared" si="19"/>
        <v>218.95610000000002</v>
      </c>
      <c r="BQ255" s="230">
        <f t="shared" si="20"/>
        <v>4199.9761000000008</v>
      </c>
      <c r="BR255" s="230">
        <v>4199.9799999999996</v>
      </c>
      <c r="BS255" s="225" t="s">
        <v>191</v>
      </c>
      <c r="BT255" s="225"/>
      <c r="BU255" s="225"/>
      <c r="BV255" s="301" t="s">
        <v>2325</v>
      </c>
      <c r="BW255" s="301" t="s">
        <v>214</v>
      </c>
      <c r="BX255" s="301" t="s">
        <v>620</v>
      </c>
      <c r="BY255" s="301">
        <v>2021</v>
      </c>
    </row>
    <row r="256" spans="1:77" ht="12.75" customHeight="1">
      <c r="A256" s="64">
        <f t="shared" si="21"/>
        <v>2021</v>
      </c>
      <c r="B256" s="64">
        <f t="shared" si="22"/>
        <v>9</v>
      </c>
      <c r="C256" s="125" t="s">
        <v>191</v>
      </c>
      <c r="D256" s="168" t="str">
        <f t="shared" si="23"/>
        <v>non maj</v>
      </c>
      <c r="E256" s="232" t="s">
        <v>670</v>
      </c>
      <c r="F256" s="232" t="s">
        <v>1504</v>
      </c>
      <c r="G256" s="221">
        <v>600</v>
      </c>
      <c r="H256" s="222">
        <v>44463</v>
      </c>
      <c r="I256" s="222">
        <v>44467</v>
      </c>
      <c r="J256" s="223" t="s">
        <v>176</v>
      </c>
      <c r="K256" s="222" t="s">
        <v>176</v>
      </c>
      <c r="L256" s="223">
        <v>44469</v>
      </c>
      <c r="M256" s="223">
        <v>44469</v>
      </c>
      <c r="N256" s="223">
        <v>44494</v>
      </c>
      <c r="O256" s="222"/>
      <c r="P256" s="222">
        <v>44739</v>
      </c>
      <c r="Q256" s="222">
        <v>44645</v>
      </c>
      <c r="R256" s="222" t="s">
        <v>176</v>
      </c>
      <c r="S256" s="222">
        <v>44769</v>
      </c>
      <c r="T256" s="222">
        <v>44769</v>
      </c>
      <c r="U256" s="222">
        <v>44770</v>
      </c>
      <c r="V256" s="224"/>
      <c r="W256" s="222"/>
      <c r="X256" s="225"/>
      <c r="Y256" s="225"/>
      <c r="Z256" s="225"/>
      <c r="AA256" s="225">
        <v>2</v>
      </c>
      <c r="AB256" s="225">
        <f>57442+25478</f>
        <v>82920</v>
      </c>
      <c r="AC256" s="225">
        <v>1312</v>
      </c>
      <c r="AD256" s="225" t="s">
        <v>2842</v>
      </c>
      <c r="AE256" s="225">
        <v>38850</v>
      </c>
      <c r="AF256" s="225" t="s">
        <v>1916</v>
      </c>
      <c r="AG256" s="226">
        <v>679130007</v>
      </c>
      <c r="AH256" s="246" t="s">
        <v>2843</v>
      </c>
      <c r="AI256" s="225" t="s">
        <v>1168</v>
      </c>
      <c r="AJ256" s="225"/>
      <c r="AK256" s="225"/>
      <c r="AL256" s="225" t="s">
        <v>176</v>
      </c>
      <c r="AM256" s="225" t="s">
        <v>176</v>
      </c>
      <c r="AN256" s="225" t="s">
        <v>176</v>
      </c>
      <c r="AO256" s="225" t="s">
        <v>176</v>
      </c>
      <c r="AP256" s="222" t="s">
        <v>818</v>
      </c>
      <c r="AQ256" s="225" t="s">
        <v>225</v>
      </c>
      <c r="AR256" s="225" t="s">
        <v>1973</v>
      </c>
      <c r="AS256" s="241" t="s">
        <v>1974</v>
      </c>
      <c r="AT256" s="226">
        <v>476323235</v>
      </c>
      <c r="AU256" s="225" t="s">
        <v>176</v>
      </c>
      <c r="AV256" s="241" t="s">
        <v>188</v>
      </c>
      <c r="AW256" s="223">
        <v>44794</v>
      </c>
      <c r="AX256" s="225" t="s">
        <v>1879</v>
      </c>
      <c r="AY256" s="225">
        <v>1995</v>
      </c>
      <c r="AZ256" s="225" t="s">
        <v>1880</v>
      </c>
      <c r="BA256" s="225" t="s">
        <v>380</v>
      </c>
      <c r="BB256" s="225" t="s">
        <v>219</v>
      </c>
      <c r="BC256" s="225" t="s">
        <v>2318</v>
      </c>
      <c r="BD256" s="225">
        <v>6</v>
      </c>
      <c r="BE256" s="225">
        <v>7</v>
      </c>
      <c r="BF256" s="225">
        <v>83</v>
      </c>
      <c r="BG256" s="225">
        <v>5.8000000000000003E-2</v>
      </c>
      <c r="BH256" s="225" t="s">
        <v>1882</v>
      </c>
      <c r="BI256" s="225"/>
      <c r="BJ256" s="225">
        <f>2906.2+66+2099.45+168.8+68.58+100.23+31.65+15.83</f>
        <v>5456.7399999999989</v>
      </c>
      <c r="BK256" s="225"/>
      <c r="BL256" s="225"/>
      <c r="BM256" s="225"/>
      <c r="BN256" s="225">
        <f>379.8+79.13+698.5+41.8+115.5+33+423.5+49.5</f>
        <v>1820.73</v>
      </c>
      <c r="BO256" s="225">
        <f t="shared" si="18"/>
        <v>7277.4699999999993</v>
      </c>
      <c r="BP256" s="230">
        <f t="shared" si="19"/>
        <v>400.26084999999995</v>
      </c>
      <c r="BQ256" s="230">
        <f t="shared" si="20"/>
        <v>7677.730849999999</v>
      </c>
      <c r="BR256" s="230">
        <f>3712.5+2681.81</f>
        <v>6394.3099999999995</v>
      </c>
      <c r="BS256" s="225" t="s">
        <v>191</v>
      </c>
      <c r="BT256" s="225"/>
      <c r="BU256" s="225"/>
      <c r="BV256" s="301" t="s">
        <v>2325</v>
      </c>
      <c r="BW256" s="301" t="s">
        <v>214</v>
      </c>
      <c r="BX256" s="301" t="s">
        <v>620</v>
      </c>
      <c r="BY256" s="301">
        <v>2021</v>
      </c>
    </row>
    <row r="257" spans="1:77" ht="12.75" customHeight="1">
      <c r="A257" s="64">
        <f t="shared" si="21"/>
        <v>2021</v>
      </c>
      <c r="B257" s="64">
        <f t="shared" si="22"/>
        <v>10</v>
      </c>
      <c r="C257" s="125" t="s">
        <v>191</v>
      </c>
      <c r="D257" s="168" t="str">
        <f t="shared" si="23"/>
        <v>non maj</v>
      </c>
      <c r="E257" s="292" t="s">
        <v>670</v>
      </c>
      <c r="F257" s="292" t="s">
        <v>1505</v>
      </c>
      <c r="G257" s="221">
        <v>600</v>
      </c>
      <c r="H257" s="222">
        <v>44465</v>
      </c>
      <c r="I257" s="222">
        <v>44467</v>
      </c>
      <c r="J257" s="223">
        <v>44469</v>
      </c>
      <c r="K257" s="222" t="s">
        <v>897</v>
      </c>
      <c r="L257" s="223">
        <v>44491</v>
      </c>
      <c r="M257" s="223">
        <v>44491</v>
      </c>
      <c r="N257" s="223">
        <v>44495</v>
      </c>
      <c r="O257" s="222"/>
      <c r="P257" s="222">
        <v>44495</v>
      </c>
      <c r="Q257" s="222">
        <v>44492</v>
      </c>
      <c r="R257" s="222" t="s">
        <v>176</v>
      </c>
      <c r="S257" s="222">
        <v>44497</v>
      </c>
      <c r="T257" s="222">
        <v>44497</v>
      </c>
      <c r="U257" s="222">
        <v>44498</v>
      </c>
      <c r="V257" s="224"/>
      <c r="W257" s="222"/>
      <c r="X257" s="225"/>
      <c r="Y257" s="225"/>
      <c r="Z257" s="225"/>
      <c r="AA257" s="225">
        <v>2</v>
      </c>
      <c r="AB257" s="225">
        <v>30549</v>
      </c>
      <c r="AC257" s="225">
        <v>104</v>
      </c>
      <c r="AD257" s="225" t="s">
        <v>2844</v>
      </c>
      <c r="AE257" s="225">
        <v>38430</v>
      </c>
      <c r="AF257" s="225" t="s">
        <v>2081</v>
      </c>
      <c r="AG257" s="226">
        <v>769961513</v>
      </c>
      <c r="AH257" s="246" t="s">
        <v>2845</v>
      </c>
      <c r="AI257" s="225" t="s">
        <v>1168</v>
      </c>
      <c r="AJ257" s="225"/>
      <c r="AK257" s="225"/>
      <c r="AL257" s="225" t="s">
        <v>176</v>
      </c>
      <c r="AM257" s="225" t="s">
        <v>176</v>
      </c>
      <c r="AN257" s="225" t="s">
        <v>176</v>
      </c>
      <c r="AO257" s="225" t="s">
        <v>176</v>
      </c>
      <c r="AP257" s="225" t="s">
        <v>749</v>
      </c>
      <c r="AQ257" s="225" t="s">
        <v>209</v>
      </c>
      <c r="AR257" s="225" t="s">
        <v>1013</v>
      </c>
      <c r="AS257" s="241" t="s">
        <v>2557</v>
      </c>
      <c r="AT257" s="226">
        <v>476042368</v>
      </c>
      <c r="AU257" s="225" t="s">
        <v>176</v>
      </c>
      <c r="AV257" s="241" t="s">
        <v>188</v>
      </c>
      <c r="AW257" s="223">
        <v>44524</v>
      </c>
      <c r="AX257" s="225" t="s">
        <v>1879</v>
      </c>
      <c r="AY257" s="225" t="s">
        <v>1935</v>
      </c>
      <c r="AZ257" s="225" t="s">
        <v>1880</v>
      </c>
      <c r="BA257" s="225" t="s">
        <v>267</v>
      </c>
      <c r="BB257" s="225" t="s">
        <v>2717</v>
      </c>
      <c r="BC257" s="225" t="s">
        <v>2846</v>
      </c>
      <c r="BD257" s="225">
        <v>17</v>
      </c>
      <c r="BE257" s="225">
        <v>7.22</v>
      </c>
      <c r="BF257" s="225">
        <v>89.24</v>
      </c>
      <c r="BG257" s="225">
        <v>1.9E-2</v>
      </c>
      <c r="BH257" s="225" t="s">
        <v>1899</v>
      </c>
      <c r="BI257" s="225"/>
      <c r="BJ257" s="225">
        <f>2277.04+44.75+35.08+46.5+62.33+81.3+15.74+33.32+28.92+100+5.63+70.33+182.87</f>
        <v>2983.81</v>
      </c>
      <c r="BK257" s="225"/>
      <c r="BL257" s="225"/>
      <c r="BM257" s="225"/>
      <c r="BN257" s="225">
        <v>940</v>
      </c>
      <c r="BO257" s="225">
        <f t="shared" si="18"/>
        <v>3923.81</v>
      </c>
      <c r="BP257" s="230">
        <f t="shared" si="19"/>
        <v>215.80955</v>
      </c>
      <c r="BQ257" s="230">
        <f t="shared" si="20"/>
        <v>4139.6195500000003</v>
      </c>
      <c r="BR257" s="230">
        <v>3923.81</v>
      </c>
      <c r="BS257" s="225" t="s">
        <v>191</v>
      </c>
      <c r="BT257" s="225"/>
      <c r="BU257" s="225"/>
      <c r="BV257" s="301" t="s">
        <v>2325</v>
      </c>
      <c r="BW257" s="301" t="s">
        <v>214</v>
      </c>
      <c r="BX257" s="301" t="s">
        <v>620</v>
      </c>
      <c r="BY257" s="301" t="s">
        <v>176</v>
      </c>
    </row>
    <row r="258" spans="1:77" ht="12.75" customHeight="1">
      <c r="A258" s="64">
        <f t="shared" si="21"/>
        <v>2021</v>
      </c>
      <c r="B258" s="64">
        <f t="shared" si="22"/>
        <v>10</v>
      </c>
      <c r="C258" s="125" t="s">
        <v>191</v>
      </c>
      <c r="D258" s="168" t="str">
        <f t="shared" si="23"/>
        <v>maj</v>
      </c>
      <c r="E258" s="232" t="s">
        <v>670</v>
      </c>
      <c r="F258" s="232" t="s">
        <v>1506</v>
      </c>
      <c r="G258" s="221">
        <v>1000</v>
      </c>
      <c r="H258" s="222">
        <v>44467</v>
      </c>
      <c r="I258" s="222">
        <v>44467</v>
      </c>
      <c r="J258" s="223">
        <v>44469</v>
      </c>
      <c r="K258" s="222" t="s">
        <v>2838</v>
      </c>
      <c r="L258" s="223">
        <v>44491</v>
      </c>
      <c r="M258" s="223">
        <v>44491</v>
      </c>
      <c r="N258" s="223">
        <v>44495</v>
      </c>
      <c r="O258" s="222"/>
      <c r="P258" s="222">
        <v>44615</v>
      </c>
      <c r="Q258" s="222">
        <v>44567</v>
      </c>
      <c r="R258" s="222"/>
      <c r="S258" s="222">
        <v>44616</v>
      </c>
      <c r="T258" s="222">
        <v>44616</v>
      </c>
      <c r="U258" s="222">
        <v>44617</v>
      </c>
      <c r="V258" s="224"/>
      <c r="W258" s="222"/>
      <c r="X258" s="225"/>
      <c r="Y258" s="225"/>
      <c r="Z258" s="225"/>
      <c r="AA258" s="225">
        <v>1</v>
      </c>
      <c r="AB258" s="225">
        <v>16280</v>
      </c>
      <c r="AC258" s="225">
        <v>97</v>
      </c>
      <c r="AD258" s="225" t="s">
        <v>2847</v>
      </c>
      <c r="AE258" s="225">
        <v>38500</v>
      </c>
      <c r="AF258" s="225" t="s">
        <v>271</v>
      </c>
      <c r="AG258" s="226">
        <v>476658426</v>
      </c>
      <c r="AH258" s="246" t="s">
        <v>2848</v>
      </c>
      <c r="AI258" s="225" t="s">
        <v>1168</v>
      </c>
      <c r="AJ258" s="225"/>
      <c r="AK258" s="225"/>
      <c r="AL258" s="225" t="s">
        <v>176</v>
      </c>
      <c r="AM258" s="225" t="s">
        <v>176</v>
      </c>
      <c r="AN258" s="225" t="s">
        <v>176</v>
      </c>
      <c r="AO258" s="225" t="s">
        <v>176</v>
      </c>
      <c r="AP258" s="225" t="s">
        <v>2762</v>
      </c>
      <c r="AQ258" s="225" t="s">
        <v>1018</v>
      </c>
      <c r="AR258" s="225" t="s">
        <v>2763</v>
      </c>
      <c r="AS258" s="241" t="s">
        <v>1019</v>
      </c>
      <c r="AT258" s="226">
        <v>476663386</v>
      </c>
      <c r="AU258" s="225" t="s">
        <v>176</v>
      </c>
      <c r="AV258" s="241" t="s">
        <v>188</v>
      </c>
      <c r="AW258" s="223">
        <v>44731</v>
      </c>
      <c r="AX258" s="225" t="s">
        <v>4113</v>
      </c>
      <c r="AY258" s="242">
        <v>1990</v>
      </c>
      <c r="AZ258" s="225" t="s">
        <v>1880</v>
      </c>
      <c r="BA258" s="225" t="s">
        <v>267</v>
      </c>
      <c r="BB258" s="225" t="s">
        <v>2764</v>
      </c>
      <c r="BC258" s="225" t="s">
        <v>2849</v>
      </c>
      <c r="BD258" s="230">
        <v>16</v>
      </c>
      <c r="BE258" s="230">
        <v>9</v>
      </c>
      <c r="BF258" s="230">
        <v>93</v>
      </c>
      <c r="BG258" s="230">
        <v>2.1000000000000001E-2</v>
      </c>
      <c r="BH258" s="230" t="s">
        <v>1882</v>
      </c>
      <c r="BI258" s="225"/>
      <c r="BJ258" s="230">
        <f>3682.03+121.42+118+138.5+404.92+15.48+115.17+102.73+96+85+232.06+298</f>
        <v>5409.3099999999995</v>
      </c>
      <c r="BK258" s="225"/>
      <c r="BL258" s="225"/>
      <c r="BM258" s="225"/>
      <c r="BN258" s="230">
        <f>500+300</f>
        <v>800</v>
      </c>
      <c r="BO258" s="230">
        <f t="shared" ref="BO258:BO321" si="24">BJ258+BN258</f>
        <v>6209.3099999999995</v>
      </c>
      <c r="BP258" s="230">
        <f t="shared" ref="BP258:BP316" si="25">BO258*0.055</f>
        <v>341.51204999999999</v>
      </c>
      <c r="BQ258" s="230">
        <f t="shared" ref="BQ258:BQ321" si="26">BO258+BP258</f>
        <v>6550.8220499999998</v>
      </c>
      <c r="BR258" s="230">
        <v>5968</v>
      </c>
      <c r="BS258" s="225" t="s">
        <v>191</v>
      </c>
      <c r="BT258" s="225"/>
      <c r="BU258" s="225"/>
      <c r="BV258" s="301" t="s">
        <v>2325</v>
      </c>
      <c r="BW258" s="301" t="s">
        <v>214</v>
      </c>
      <c r="BX258" s="222" t="s">
        <v>618</v>
      </c>
      <c r="BY258" s="301" t="s">
        <v>176</v>
      </c>
    </row>
    <row r="259" spans="1:77" ht="12.75" customHeight="1">
      <c r="A259" s="64">
        <f t="shared" ref="A259:A322" si="27">YEAR(L259)</f>
        <v>2021</v>
      </c>
      <c r="B259" s="64">
        <f t="shared" ref="B259:B322" si="28">MONTH(L259)</f>
        <v>9</v>
      </c>
      <c r="C259" s="125" t="s">
        <v>191</v>
      </c>
      <c r="D259" s="168" t="str">
        <f t="shared" ref="D259:D322" si="29">BX259</f>
        <v>non maj</v>
      </c>
      <c r="E259" s="292" t="s">
        <v>670</v>
      </c>
      <c r="F259" s="292" t="s">
        <v>1507</v>
      </c>
      <c r="G259" s="221">
        <v>600</v>
      </c>
      <c r="H259" s="222">
        <v>44467</v>
      </c>
      <c r="I259" s="222">
        <v>44467</v>
      </c>
      <c r="J259" s="223" t="s">
        <v>176</v>
      </c>
      <c r="K259" s="222" t="s">
        <v>176</v>
      </c>
      <c r="L259" s="223">
        <v>44469</v>
      </c>
      <c r="M259" s="223">
        <v>44469</v>
      </c>
      <c r="N259" s="223">
        <v>44494</v>
      </c>
      <c r="O259" s="222"/>
      <c r="P259" s="222">
        <v>44550</v>
      </c>
      <c r="Q259" s="222">
        <v>44517</v>
      </c>
      <c r="R259" s="222" t="s">
        <v>176</v>
      </c>
      <c r="S259" s="222">
        <v>44553</v>
      </c>
      <c r="T259" s="222">
        <v>44553</v>
      </c>
      <c r="U259" s="222">
        <v>44553</v>
      </c>
      <c r="V259" s="224"/>
      <c r="W259" s="222"/>
      <c r="X259" s="225"/>
      <c r="Y259" s="225"/>
      <c r="Z259" s="225"/>
      <c r="AA259" s="225">
        <v>1</v>
      </c>
      <c r="AB259" s="225">
        <v>20315</v>
      </c>
      <c r="AC259" s="225">
        <v>581</v>
      </c>
      <c r="AD259" s="225" t="s">
        <v>2850</v>
      </c>
      <c r="AE259" s="225">
        <v>38430</v>
      </c>
      <c r="AF259" s="225" t="s">
        <v>2081</v>
      </c>
      <c r="AG259" s="226">
        <v>476550131</v>
      </c>
      <c r="AH259" s="246" t="s">
        <v>176</v>
      </c>
      <c r="AI259" s="225" t="s">
        <v>1168</v>
      </c>
      <c r="AJ259" s="225"/>
      <c r="AK259" s="225"/>
      <c r="AL259" s="225" t="s">
        <v>176</v>
      </c>
      <c r="AM259" s="225" t="s">
        <v>176</v>
      </c>
      <c r="AN259" s="225" t="s">
        <v>176</v>
      </c>
      <c r="AO259" s="225" t="s">
        <v>176</v>
      </c>
      <c r="AP259" s="225" t="s">
        <v>268</v>
      </c>
      <c r="AQ259" s="225" t="s">
        <v>1893</v>
      </c>
      <c r="AR259" s="225" t="s">
        <v>1933</v>
      </c>
      <c r="AS259" s="246" t="s">
        <v>1934</v>
      </c>
      <c r="AT259" s="226">
        <v>476355605</v>
      </c>
      <c r="AU259" s="225" t="s">
        <v>176</v>
      </c>
      <c r="AV259" s="241" t="s">
        <v>188</v>
      </c>
      <c r="AW259" s="223">
        <v>44495</v>
      </c>
      <c r="AX259" s="225" t="s">
        <v>1879</v>
      </c>
      <c r="AY259" s="225">
        <v>1977</v>
      </c>
      <c r="AZ259" s="225" t="s">
        <v>4113</v>
      </c>
      <c r="BA259" s="225" t="s">
        <v>380</v>
      </c>
      <c r="BB259" s="225" t="s">
        <v>1936</v>
      </c>
      <c r="BC259" s="225" t="s">
        <v>2240</v>
      </c>
      <c r="BD259" s="225">
        <v>26</v>
      </c>
      <c r="BE259" s="225">
        <v>8</v>
      </c>
      <c r="BF259" s="225">
        <v>81</v>
      </c>
      <c r="BG259" s="225">
        <v>7.0000000000000007E-2</v>
      </c>
      <c r="BH259" s="225" t="s">
        <v>1882</v>
      </c>
      <c r="BI259" s="225"/>
      <c r="BJ259" s="225">
        <f>360+24.5+48.5+365.75+1645+229+490.56+177.6</f>
        <v>3340.91</v>
      </c>
      <c r="BK259" s="225"/>
      <c r="BL259" s="225"/>
      <c r="BM259" s="225"/>
      <c r="BN259" s="225">
        <f>482.94+99.09+118.25+950</f>
        <v>1650.28</v>
      </c>
      <c r="BO259" s="225">
        <f t="shared" si="24"/>
        <v>4991.1899999999996</v>
      </c>
      <c r="BP259" s="230">
        <f t="shared" si="25"/>
        <v>274.51544999999999</v>
      </c>
      <c r="BQ259" s="230">
        <f t="shared" si="26"/>
        <v>5265.7054499999995</v>
      </c>
      <c r="BR259" s="230">
        <v>5265.71</v>
      </c>
      <c r="BS259" s="225" t="s">
        <v>191</v>
      </c>
      <c r="BT259" s="225"/>
      <c r="BU259" s="225"/>
      <c r="BV259" s="301" t="s">
        <v>2325</v>
      </c>
      <c r="BW259" s="301" t="s">
        <v>214</v>
      </c>
      <c r="BX259" s="301" t="s">
        <v>620</v>
      </c>
      <c r="BY259" s="301">
        <v>2021</v>
      </c>
    </row>
    <row r="260" spans="1:77" ht="12.75" customHeight="1">
      <c r="A260" s="64">
        <f t="shared" si="27"/>
        <v>2021</v>
      </c>
      <c r="B260" s="64">
        <f t="shared" si="28"/>
        <v>9</v>
      </c>
      <c r="C260" s="125" t="s">
        <v>191</v>
      </c>
      <c r="D260" s="168" t="str">
        <f t="shared" si="29"/>
        <v>non maj</v>
      </c>
      <c r="E260" s="292" t="s">
        <v>670</v>
      </c>
      <c r="F260" s="292" t="s">
        <v>1508</v>
      </c>
      <c r="G260" s="221">
        <v>600</v>
      </c>
      <c r="H260" s="222">
        <v>44467</v>
      </c>
      <c r="I260" s="222">
        <v>44467</v>
      </c>
      <c r="J260" s="223" t="s">
        <v>176</v>
      </c>
      <c r="K260" s="222" t="s">
        <v>176</v>
      </c>
      <c r="L260" s="223">
        <v>44469</v>
      </c>
      <c r="M260" s="223">
        <v>44469</v>
      </c>
      <c r="N260" s="223">
        <v>44494</v>
      </c>
      <c r="O260" s="222"/>
      <c r="P260" s="222">
        <v>44525</v>
      </c>
      <c r="Q260" s="222">
        <v>44500</v>
      </c>
      <c r="R260" s="222" t="s">
        <v>176</v>
      </c>
      <c r="S260" s="222">
        <v>44539</v>
      </c>
      <c r="T260" s="222">
        <v>44539</v>
      </c>
      <c r="U260" s="222">
        <v>44540</v>
      </c>
      <c r="V260" s="224"/>
      <c r="W260" s="222"/>
      <c r="X260" s="225"/>
      <c r="Y260" s="225"/>
      <c r="Z260" s="225"/>
      <c r="AA260" s="225">
        <v>2</v>
      </c>
      <c r="AB260" s="225">
        <v>91645</v>
      </c>
      <c r="AC260" s="225">
        <v>2371</v>
      </c>
      <c r="AD260" s="225" t="s">
        <v>2851</v>
      </c>
      <c r="AE260" s="225">
        <v>38620</v>
      </c>
      <c r="AF260" s="225" t="s">
        <v>1990</v>
      </c>
      <c r="AG260" s="226">
        <v>607033341</v>
      </c>
      <c r="AH260" s="246" t="s">
        <v>2852</v>
      </c>
      <c r="AI260" s="225" t="s">
        <v>1168</v>
      </c>
      <c r="AJ260" s="225"/>
      <c r="AK260" s="225"/>
      <c r="AL260" s="225" t="s">
        <v>176</v>
      </c>
      <c r="AM260" s="225" t="s">
        <v>176</v>
      </c>
      <c r="AN260" s="225" t="s">
        <v>176</v>
      </c>
      <c r="AO260" s="225" t="s">
        <v>176</v>
      </c>
      <c r="AP260" s="225" t="s">
        <v>1874</v>
      </c>
      <c r="AQ260" s="225" t="s">
        <v>1875</v>
      </c>
      <c r="AR260" s="225" t="s">
        <v>1876</v>
      </c>
      <c r="AS260" s="246" t="s">
        <v>1877</v>
      </c>
      <c r="AT260" s="226" t="s">
        <v>434</v>
      </c>
      <c r="AU260" s="225" t="s">
        <v>176</v>
      </c>
      <c r="AV260" s="241" t="s">
        <v>1878</v>
      </c>
      <c r="AW260" s="223">
        <v>44517</v>
      </c>
      <c r="AX260" s="225" t="s">
        <v>1880</v>
      </c>
      <c r="AY260" s="225">
        <v>1980</v>
      </c>
      <c r="AZ260" s="225" t="s">
        <v>1880</v>
      </c>
      <c r="BA260" s="225" t="s">
        <v>267</v>
      </c>
      <c r="BB260" s="225" t="s">
        <v>190</v>
      </c>
      <c r="BC260" s="225" t="s">
        <v>2638</v>
      </c>
      <c r="BD260" s="225">
        <v>8</v>
      </c>
      <c r="BE260" s="225">
        <v>9</v>
      </c>
      <c r="BF260" s="225">
        <v>90.5</v>
      </c>
      <c r="BG260" s="225">
        <v>3.0000000000000001E-3</v>
      </c>
      <c r="BH260" s="225" t="s">
        <v>1882</v>
      </c>
      <c r="BI260" s="225"/>
      <c r="BJ260" s="225">
        <f>2850+566+163+150</f>
        <v>3729</v>
      </c>
      <c r="BK260" s="225"/>
      <c r="BL260" s="225"/>
      <c r="BM260" s="225"/>
      <c r="BN260" s="225">
        <v>790</v>
      </c>
      <c r="BO260" s="225">
        <f t="shared" si="24"/>
        <v>4519</v>
      </c>
      <c r="BP260" s="230">
        <f t="shared" si="25"/>
        <v>248.54499999999999</v>
      </c>
      <c r="BQ260" s="230">
        <f t="shared" si="26"/>
        <v>4767.5450000000001</v>
      </c>
      <c r="BR260" s="230">
        <v>4767.54</v>
      </c>
      <c r="BS260" s="225" t="s">
        <v>188</v>
      </c>
      <c r="BT260" s="225"/>
      <c r="BU260" s="225"/>
      <c r="BV260" s="301" t="s">
        <v>2325</v>
      </c>
      <c r="BW260" s="301" t="s">
        <v>214</v>
      </c>
      <c r="BX260" s="301" t="s">
        <v>620</v>
      </c>
      <c r="BY260" s="301" t="s">
        <v>176</v>
      </c>
    </row>
    <row r="261" spans="1:77" ht="12.75" customHeight="1">
      <c r="A261" s="64">
        <f t="shared" si="27"/>
        <v>2021</v>
      </c>
      <c r="B261" s="64">
        <f t="shared" si="28"/>
        <v>10</v>
      </c>
      <c r="C261" s="125" t="s">
        <v>191</v>
      </c>
      <c r="D261" s="168" t="str">
        <f t="shared" si="29"/>
        <v>non maj</v>
      </c>
      <c r="E261" s="292" t="s">
        <v>670</v>
      </c>
      <c r="F261" s="292" t="s">
        <v>1510</v>
      </c>
      <c r="G261" s="221">
        <v>600</v>
      </c>
      <c r="H261" s="222">
        <v>44468</v>
      </c>
      <c r="I261" s="222">
        <v>44469</v>
      </c>
      <c r="J261" s="223">
        <v>44469</v>
      </c>
      <c r="K261" s="222" t="s">
        <v>2853</v>
      </c>
      <c r="L261" s="223">
        <v>44476</v>
      </c>
      <c r="M261" s="223">
        <v>44476</v>
      </c>
      <c r="N261" s="223">
        <v>44494</v>
      </c>
      <c r="O261" s="222"/>
      <c r="P261" s="222">
        <v>44582</v>
      </c>
      <c r="Q261" s="222">
        <v>44572</v>
      </c>
      <c r="R261" s="222" t="s">
        <v>176</v>
      </c>
      <c r="S261" s="222">
        <v>44606</v>
      </c>
      <c r="T261" s="222">
        <v>44606</v>
      </c>
      <c r="U261" s="222">
        <v>44607</v>
      </c>
      <c r="V261" s="224"/>
      <c r="W261" s="222"/>
      <c r="X261" s="225"/>
      <c r="Y261" s="225"/>
      <c r="Z261" s="225"/>
      <c r="AA261" s="225">
        <v>2</v>
      </c>
      <c r="AB261" s="225">
        <v>52943</v>
      </c>
      <c r="AC261" s="225">
        <v>88</v>
      </c>
      <c r="AD261" s="225" t="s">
        <v>2507</v>
      </c>
      <c r="AE261" s="225">
        <v>38850</v>
      </c>
      <c r="AF261" s="225" t="s">
        <v>2151</v>
      </c>
      <c r="AG261" s="226">
        <v>624067839</v>
      </c>
      <c r="AH261" s="246" t="s">
        <v>2854</v>
      </c>
      <c r="AI261" s="225" t="s">
        <v>1168</v>
      </c>
      <c r="AJ261" s="225"/>
      <c r="AK261" s="225"/>
      <c r="AL261" s="225" t="s">
        <v>176</v>
      </c>
      <c r="AM261" s="225" t="s">
        <v>176</v>
      </c>
      <c r="AN261" s="225" t="s">
        <v>176</v>
      </c>
      <c r="AO261" s="225" t="s">
        <v>176</v>
      </c>
      <c r="AP261" s="225" t="s">
        <v>2052</v>
      </c>
      <c r="AQ261" s="225" t="s">
        <v>232</v>
      </c>
      <c r="AR261" s="225" t="s">
        <v>233</v>
      </c>
      <c r="AS261" s="241" t="s">
        <v>234</v>
      </c>
      <c r="AT261" s="226">
        <v>476500550</v>
      </c>
      <c r="AU261" s="225" t="s">
        <v>176</v>
      </c>
      <c r="AV261" s="241" t="s">
        <v>188</v>
      </c>
      <c r="AW261" s="223">
        <v>44740</v>
      </c>
      <c r="AX261" s="225" t="s">
        <v>4113</v>
      </c>
      <c r="AY261" s="225" t="s">
        <v>1935</v>
      </c>
      <c r="AZ261" s="225" t="s">
        <v>1880</v>
      </c>
      <c r="BA261" s="225" t="s">
        <v>267</v>
      </c>
      <c r="BB261" s="225" t="s">
        <v>270</v>
      </c>
      <c r="BC261" s="225" t="s">
        <v>2855</v>
      </c>
      <c r="BD261" s="225">
        <v>12</v>
      </c>
      <c r="BE261" s="225">
        <v>12</v>
      </c>
      <c r="BF261" s="225">
        <v>88.5</v>
      </c>
      <c r="BG261" s="225">
        <v>7.0000000000000001E-3</v>
      </c>
      <c r="BH261" s="225" t="s">
        <v>1882</v>
      </c>
      <c r="BI261" s="225"/>
      <c r="BJ261" s="225">
        <f>88.8+519.61+51.1+4266.66+185.1+195.1+58.21</f>
        <v>5364.5800000000008</v>
      </c>
      <c r="BK261" s="225"/>
      <c r="BL261" s="225"/>
      <c r="BM261" s="225"/>
      <c r="BN261" s="225">
        <v>900</v>
      </c>
      <c r="BO261" s="225">
        <f t="shared" si="24"/>
        <v>6264.5800000000008</v>
      </c>
      <c r="BP261" s="230">
        <f t="shared" si="25"/>
        <v>344.55190000000005</v>
      </c>
      <c r="BQ261" s="230">
        <f t="shared" si="26"/>
        <v>6609.1319000000012</v>
      </c>
      <c r="BR261" s="230">
        <v>6562.29</v>
      </c>
      <c r="BS261" s="225" t="s">
        <v>188</v>
      </c>
      <c r="BT261" s="225"/>
      <c r="BU261" s="225"/>
      <c r="BV261" s="301" t="s">
        <v>2325</v>
      </c>
      <c r="BW261" s="301" t="s">
        <v>214</v>
      </c>
      <c r="BX261" s="301" t="s">
        <v>620</v>
      </c>
      <c r="BY261" s="301" t="s">
        <v>176</v>
      </c>
    </row>
    <row r="262" spans="1:77" ht="12.75" customHeight="1">
      <c r="A262" s="64">
        <f t="shared" si="27"/>
        <v>2021</v>
      </c>
      <c r="B262" s="64">
        <f t="shared" si="28"/>
        <v>10</v>
      </c>
      <c r="C262" s="125" t="s">
        <v>191</v>
      </c>
      <c r="D262" s="168" t="str">
        <f t="shared" si="29"/>
        <v>non maj</v>
      </c>
      <c r="E262" s="292" t="s">
        <v>670</v>
      </c>
      <c r="F262" s="292" t="s">
        <v>1511</v>
      </c>
      <c r="G262" s="221">
        <v>600</v>
      </c>
      <c r="H262" s="222">
        <v>44468</v>
      </c>
      <c r="I262" s="222">
        <v>44469</v>
      </c>
      <c r="J262" s="223">
        <v>44469</v>
      </c>
      <c r="K262" s="222" t="s">
        <v>2856</v>
      </c>
      <c r="L262" s="223">
        <v>44476</v>
      </c>
      <c r="M262" s="223">
        <v>44476</v>
      </c>
      <c r="N262" s="223">
        <v>44494</v>
      </c>
      <c r="O262" s="222"/>
      <c r="P262" s="222">
        <v>44530</v>
      </c>
      <c r="Q262" s="222">
        <v>44496</v>
      </c>
      <c r="R262" s="222" t="s">
        <v>176</v>
      </c>
      <c r="S262" s="222">
        <v>44539</v>
      </c>
      <c r="T262" s="222">
        <v>44539</v>
      </c>
      <c r="U262" s="222">
        <v>44540</v>
      </c>
      <c r="V262" s="224"/>
      <c r="W262" s="222"/>
      <c r="X262" s="225"/>
      <c r="Y262" s="225"/>
      <c r="Z262" s="225"/>
      <c r="AA262" s="225">
        <v>2</v>
      </c>
      <c r="AB262" s="225">
        <f>16062+23524</f>
        <v>39586</v>
      </c>
      <c r="AC262" s="225">
        <v>20</v>
      </c>
      <c r="AD262" s="225" t="s">
        <v>2857</v>
      </c>
      <c r="AE262" s="225">
        <v>38210</v>
      </c>
      <c r="AF262" s="225" t="s">
        <v>265</v>
      </c>
      <c r="AG262" s="226">
        <v>680158431</v>
      </c>
      <c r="AH262" s="246" t="s">
        <v>2858</v>
      </c>
      <c r="AI262" s="225" t="s">
        <v>1168</v>
      </c>
      <c r="AJ262" s="225"/>
      <c r="AK262" s="225"/>
      <c r="AL262" s="225" t="s">
        <v>176</v>
      </c>
      <c r="AM262" s="225" t="s">
        <v>176</v>
      </c>
      <c r="AN262" s="225" t="s">
        <v>176</v>
      </c>
      <c r="AO262" s="225" t="s">
        <v>176</v>
      </c>
      <c r="AP262" s="225" t="s">
        <v>678</v>
      </c>
      <c r="AQ262" s="225" t="s">
        <v>2014</v>
      </c>
      <c r="AR262" s="225" t="s">
        <v>2015</v>
      </c>
      <c r="AS262" s="241" t="s">
        <v>274</v>
      </c>
      <c r="AT262" s="226">
        <v>437064566</v>
      </c>
      <c r="AU262" s="225" t="s">
        <v>176</v>
      </c>
      <c r="AV262" s="241" t="s">
        <v>188</v>
      </c>
      <c r="AW262" s="223">
        <v>44633</v>
      </c>
      <c r="AX262" s="225" t="s">
        <v>4113</v>
      </c>
      <c r="AY262" s="225">
        <v>1980</v>
      </c>
      <c r="AZ262" s="225" t="s">
        <v>1880</v>
      </c>
      <c r="BA262" s="225" t="s">
        <v>380</v>
      </c>
      <c r="BB262" s="225" t="s">
        <v>218</v>
      </c>
      <c r="BC262" s="225" t="s">
        <v>2859</v>
      </c>
      <c r="BD262" s="225">
        <v>40</v>
      </c>
      <c r="BE262" s="225">
        <v>7</v>
      </c>
      <c r="BF262" s="225">
        <v>78</v>
      </c>
      <c r="BG262" s="225">
        <v>0.12</v>
      </c>
      <c r="BH262" s="225" t="s">
        <v>1882</v>
      </c>
      <c r="BI262" s="225"/>
      <c r="BJ262" s="225">
        <f>782.46+0.01+0.01+18.02+64.54+55.04+66.46+18.02+9.58+77.36+114.2</f>
        <v>1205.7</v>
      </c>
      <c r="BK262" s="225"/>
      <c r="BL262" s="225"/>
      <c r="BM262" s="225"/>
      <c r="BN262" s="225">
        <v>799.01</v>
      </c>
      <c r="BO262" s="225">
        <f t="shared" si="24"/>
        <v>2004.71</v>
      </c>
      <c r="BP262" s="230">
        <f t="shared" si="25"/>
        <v>110.25905</v>
      </c>
      <c r="BQ262" s="230">
        <f t="shared" si="26"/>
        <v>2114.9690500000002</v>
      </c>
      <c r="BR262" s="230">
        <v>1880.93</v>
      </c>
      <c r="BS262" s="225" t="s">
        <v>191</v>
      </c>
      <c r="BT262" s="225"/>
      <c r="BU262" s="225"/>
      <c r="BV262" s="301" t="s">
        <v>2325</v>
      </c>
      <c r="BW262" s="301" t="s">
        <v>214</v>
      </c>
      <c r="BX262" s="301" t="s">
        <v>620</v>
      </c>
      <c r="BY262" s="301">
        <v>2021</v>
      </c>
    </row>
    <row r="263" spans="1:77" ht="12.75" customHeight="1">
      <c r="A263" s="64">
        <f t="shared" si="27"/>
        <v>2021</v>
      </c>
      <c r="B263" s="64">
        <f t="shared" si="28"/>
        <v>10</v>
      </c>
      <c r="C263" s="125" t="s">
        <v>191</v>
      </c>
      <c r="D263" s="168" t="str">
        <f t="shared" si="29"/>
        <v>non maj</v>
      </c>
      <c r="E263" s="292" t="s">
        <v>670</v>
      </c>
      <c r="F263" s="292" t="s">
        <v>1513</v>
      </c>
      <c r="G263" s="221">
        <v>600</v>
      </c>
      <c r="H263" s="222">
        <v>44469</v>
      </c>
      <c r="I263" s="222">
        <v>44473</v>
      </c>
      <c r="J263" s="223" t="s">
        <v>176</v>
      </c>
      <c r="K263" s="222" t="s">
        <v>176</v>
      </c>
      <c r="L263" s="223">
        <v>44476</v>
      </c>
      <c r="M263" s="223">
        <v>44476</v>
      </c>
      <c r="N263" s="223">
        <v>44494</v>
      </c>
      <c r="O263" s="222"/>
      <c r="P263" s="222">
        <v>44533</v>
      </c>
      <c r="Q263" s="222">
        <v>44496</v>
      </c>
      <c r="R263" s="222" t="s">
        <v>176</v>
      </c>
      <c r="S263" s="222">
        <v>44539</v>
      </c>
      <c r="T263" s="222">
        <v>44539</v>
      </c>
      <c r="U263" s="222">
        <v>44540</v>
      </c>
      <c r="V263" s="224"/>
      <c r="W263" s="222"/>
      <c r="X263" s="225"/>
      <c r="Y263" s="225"/>
      <c r="Z263" s="225"/>
      <c r="AA263" s="225">
        <v>4</v>
      </c>
      <c r="AB263" s="225">
        <v>52925</v>
      </c>
      <c r="AC263" s="225">
        <v>250</v>
      </c>
      <c r="AD263" s="225" t="s">
        <v>2860</v>
      </c>
      <c r="AE263" s="225">
        <v>38730</v>
      </c>
      <c r="AF263" s="225" t="s">
        <v>1916</v>
      </c>
      <c r="AG263" s="226">
        <v>688336899</v>
      </c>
      <c r="AH263" s="246" t="s">
        <v>2861</v>
      </c>
      <c r="AI263" s="225" t="s">
        <v>1168</v>
      </c>
      <c r="AJ263" s="225"/>
      <c r="AK263" s="225"/>
      <c r="AL263" s="225" t="s">
        <v>176</v>
      </c>
      <c r="AM263" s="225" t="s">
        <v>176</v>
      </c>
      <c r="AN263" s="225" t="s">
        <v>176</v>
      </c>
      <c r="AO263" s="225" t="s">
        <v>176</v>
      </c>
      <c r="AP263" s="225" t="s">
        <v>579</v>
      </c>
      <c r="AQ263" s="225" t="s">
        <v>1895</v>
      </c>
      <c r="AR263" s="225" t="s">
        <v>1896</v>
      </c>
      <c r="AS263" s="241" t="s">
        <v>201</v>
      </c>
      <c r="AT263" s="226">
        <v>608287337</v>
      </c>
      <c r="AU263" s="225" t="s">
        <v>176</v>
      </c>
      <c r="AV263" s="241" t="s">
        <v>188</v>
      </c>
      <c r="AW263" s="223">
        <v>44782</v>
      </c>
      <c r="AX263" s="225" t="s">
        <v>1880</v>
      </c>
      <c r="AY263" s="225" t="s">
        <v>1935</v>
      </c>
      <c r="AZ263" s="225" t="s">
        <v>1880</v>
      </c>
      <c r="BA263" s="225" t="s">
        <v>267</v>
      </c>
      <c r="BB263" s="225" t="s">
        <v>1897</v>
      </c>
      <c r="BC263" s="225" t="s">
        <v>2862</v>
      </c>
      <c r="BD263" s="225">
        <v>22.8</v>
      </c>
      <c r="BE263" s="225">
        <v>6.5</v>
      </c>
      <c r="BF263" s="225">
        <v>93.1</v>
      </c>
      <c r="BG263" s="225">
        <v>8.0000000000000002E-3</v>
      </c>
      <c r="BH263" s="225" t="s">
        <v>1899</v>
      </c>
      <c r="BI263" s="225"/>
      <c r="BJ263" s="225">
        <f>3317+200+85+105</f>
        <v>3707</v>
      </c>
      <c r="BK263" s="225"/>
      <c r="BL263" s="225"/>
      <c r="BM263" s="225"/>
      <c r="BN263" s="225">
        <v>400</v>
      </c>
      <c r="BO263" s="225">
        <f t="shared" si="24"/>
        <v>4107</v>
      </c>
      <c r="BP263" s="230">
        <f t="shared" si="25"/>
        <v>225.88499999999999</v>
      </c>
      <c r="BQ263" s="230">
        <f t="shared" si="26"/>
        <v>4332.8850000000002</v>
      </c>
      <c r="BR263" s="230">
        <v>4000</v>
      </c>
      <c r="BS263" s="225" t="s">
        <v>188</v>
      </c>
      <c r="BT263" s="225"/>
      <c r="BU263" s="225"/>
      <c r="BV263" s="301" t="s">
        <v>2325</v>
      </c>
      <c r="BW263" s="301" t="s">
        <v>214</v>
      </c>
      <c r="BX263" s="301" t="s">
        <v>620</v>
      </c>
      <c r="BY263" s="301" t="s">
        <v>176</v>
      </c>
    </row>
    <row r="264" spans="1:77" ht="12.75" customHeight="1">
      <c r="A264" s="64">
        <f t="shared" si="27"/>
        <v>2021</v>
      </c>
      <c r="B264" s="64">
        <f t="shared" si="28"/>
        <v>10</v>
      </c>
      <c r="C264" s="125" t="s">
        <v>188</v>
      </c>
      <c r="D264" s="168" t="str">
        <f t="shared" si="29"/>
        <v>NC</v>
      </c>
      <c r="E264" s="294" t="s">
        <v>670</v>
      </c>
      <c r="F264" s="294" t="s">
        <v>1514</v>
      </c>
      <c r="G264" s="221">
        <v>1000</v>
      </c>
      <c r="H264" s="222">
        <v>44473</v>
      </c>
      <c r="I264" s="222">
        <v>44474</v>
      </c>
      <c r="J264" s="223">
        <v>44476</v>
      </c>
      <c r="K264" s="222" t="s">
        <v>897</v>
      </c>
      <c r="L264" s="223">
        <v>44481</v>
      </c>
      <c r="M264" s="223">
        <v>44481</v>
      </c>
      <c r="N264" s="223">
        <v>44498</v>
      </c>
      <c r="O264" s="222"/>
      <c r="P264" s="222"/>
      <c r="Q264" s="222"/>
      <c r="R264" s="222" t="s">
        <v>2781</v>
      </c>
      <c r="S264" s="222"/>
      <c r="T264" s="222"/>
      <c r="U264" s="222"/>
      <c r="V264" s="224"/>
      <c r="W264" s="222">
        <v>44930</v>
      </c>
      <c r="X264" s="225" t="s">
        <v>2782</v>
      </c>
      <c r="Y264" s="225"/>
      <c r="Z264" s="225"/>
      <c r="AA264" s="225">
        <v>1</v>
      </c>
      <c r="AB264" s="225">
        <v>15652</v>
      </c>
      <c r="AC264" s="225">
        <v>105</v>
      </c>
      <c r="AD264" s="225" t="s">
        <v>2863</v>
      </c>
      <c r="AE264" s="225">
        <v>38730</v>
      </c>
      <c r="AF264" s="225" t="s">
        <v>1916</v>
      </c>
      <c r="AG264" s="226">
        <v>786104222</v>
      </c>
      <c r="AH264" s="246" t="s">
        <v>2864</v>
      </c>
      <c r="AI264" s="225" t="s">
        <v>1168</v>
      </c>
      <c r="AJ264" s="225"/>
      <c r="AK264" s="225"/>
      <c r="AL264" s="225" t="s">
        <v>176</v>
      </c>
      <c r="AM264" s="225" t="s">
        <v>176</v>
      </c>
      <c r="AN264" s="225" t="s">
        <v>176</v>
      </c>
      <c r="AO264" s="225" t="s">
        <v>176</v>
      </c>
      <c r="AP264" s="225" t="s">
        <v>678</v>
      </c>
      <c r="AQ264" s="225" t="s">
        <v>2014</v>
      </c>
      <c r="AR264" s="225" t="s">
        <v>2015</v>
      </c>
      <c r="AS264" s="241" t="s">
        <v>274</v>
      </c>
      <c r="AT264" s="226">
        <v>437064566</v>
      </c>
      <c r="AU264" s="225" t="s">
        <v>176</v>
      </c>
      <c r="AV264" s="241" t="s">
        <v>188</v>
      </c>
      <c r="AW264" s="223">
        <v>44633</v>
      </c>
      <c r="AX264" s="225" t="s">
        <v>1880</v>
      </c>
      <c r="AY264" s="225">
        <v>2000</v>
      </c>
      <c r="AZ264" s="225" t="s">
        <v>1880</v>
      </c>
      <c r="BA264" s="225" t="s">
        <v>380</v>
      </c>
      <c r="BB264" s="225" t="s">
        <v>212</v>
      </c>
      <c r="BC264" s="225" t="s">
        <v>2865</v>
      </c>
      <c r="BD264" s="225">
        <v>31</v>
      </c>
      <c r="BE264" s="225">
        <v>10</v>
      </c>
      <c r="BF264" s="225">
        <v>76</v>
      </c>
      <c r="BG264" s="225">
        <v>0.08</v>
      </c>
      <c r="BH264" s="225" t="s">
        <v>1882</v>
      </c>
      <c r="BI264" s="225"/>
      <c r="BJ264" s="225">
        <f>13.98+1397.88+123.08+153.85+100.23+433.82+121.61+129+55.39+830.81+72.09+36.05+18.02</f>
        <v>3485.8100000000004</v>
      </c>
      <c r="BK264" s="225"/>
      <c r="BL264" s="225"/>
      <c r="BM264" s="225"/>
      <c r="BN264" s="225">
        <v>1083.1300000000001</v>
      </c>
      <c r="BO264" s="225">
        <f t="shared" si="24"/>
        <v>4568.9400000000005</v>
      </c>
      <c r="BP264" s="230">
        <f t="shared" si="25"/>
        <v>251.29170000000002</v>
      </c>
      <c r="BQ264" s="230">
        <f t="shared" si="26"/>
        <v>4820.2317000000003</v>
      </c>
      <c r="BR264" s="230">
        <v>4568.9399999999996</v>
      </c>
      <c r="BS264" s="225" t="s">
        <v>188</v>
      </c>
      <c r="BT264" s="225"/>
      <c r="BU264" s="225"/>
      <c r="BV264" s="301">
        <v>0</v>
      </c>
      <c r="BW264" s="301" t="s">
        <v>214</v>
      </c>
      <c r="BX264" s="301" t="s">
        <v>214</v>
      </c>
      <c r="BY264" s="301">
        <v>2021</v>
      </c>
    </row>
    <row r="265" spans="1:77" ht="12.75" customHeight="1">
      <c r="A265" s="64">
        <f t="shared" si="27"/>
        <v>2021</v>
      </c>
      <c r="B265" s="64">
        <f t="shared" si="28"/>
        <v>10</v>
      </c>
      <c r="C265" s="125" t="s">
        <v>191</v>
      </c>
      <c r="D265" s="168" t="str">
        <f t="shared" si="29"/>
        <v>maj</v>
      </c>
      <c r="E265" s="292" t="s">
        <v>670</v>
      </c>
      <c r="F265" s="292" t="s">
        <v>2866</v>
      </c>
      <c r="G265" s="221">
        <v>1000</v>
      </c>
      <c r="H265" s="222">
        <v>44476</v>
      </c>
      <c r="I265" s="222">
        <v>44476</v>
      </c>
      <c r="J265" s="223" t="s">
        <v>176</v>
      </c>
      <c r="K265" s="222" t="s">
        <v>176</v>
      </c>
      <c r="L265" s="223">
        <v>44481</v>
      </c>
      <c r="M265" s="223">
        <v>44481</v>
      </c>
      <c r="N265" s="223">
        <v>44503</v>
      </c>
      <c r="O265" s="222"/>
      <c r="P265" s="222">
        <v>44552</v>
      </c>
      <c r="Q265" s="222">
        <v>44541</v>
      </c>
      <c r="R265" s="222" t="s">
        <v>176</v>
      </c>
      <c r="S265" s="222">
        <v>44553</v>
      </c>
      <c r="T265" s="222">
        <v>44553</v>
      </c>
      <c r="U265" s="222">
        <v>44553</v>
      </c>
      <c r="V265" s="224"/>
      <c r="W265" s="222"/>
      <c r="X265" s="225"/>
      <c r="Y265" s="225"/>
      <c r="Z265" s="225"/>
      <c r="AA265" s="225">
        <v>3</v>
      </c>
      <c r="AB265" s="225">
        <v>31145</v>
      </c>
      <c r="AC265" s="225">
        <v>635</v>
      </c>
      <c r="AD265" s="225" t="s">
        <v>1995</v>
      </c>
      <c r="AE265" s="225">
        <v>38210</v>
      </c>
      <c r="AF265" s="225" t="s">
        <v>1903</v>
      </c>
      <c r="AG265" s="226">
        <v>635228677</v>
      </c>
      <c r="AH265" s="246" t="s">
        <v>2867</v>
      </c>
      <c r="AI265" s="225" t="s">
        <v>1168</v>
      </c>
      <c r="AJ265" s="225"/>
      <c r="AK265" s="225"/>
      <c r="AL265" s="225" t="s">
        <v>176</v>
      </c>
      <c r="AM265" s="225" t="s">
        <v>176</v>
      </c>
      <c r="AN265" s="225" t="s">
        <v>176</v>
      </c>
      <c r="AO265" s="225" t="s">
        <v>176</v>
      </c>
      <c r="AP265" s="225" t="s">
        <v>268</v>
      </c>
      <c r="AQ265" s="225" t="s">
        <v>1893</v>
      </c>
      <c r="AR265" s="225" t="s">
        <v>1933</v>
      </c>
      <c r="AS265" s="246" t="s">
        <v>1934</v>
      </c>
      <c r="AT265" s="226">
        <v>476355605</v>
      </c>
      <c r="AU265" s="225" t="s">
        <v>176</v>
      </c>
      <c r="AV265" s="241" t="s">
        <v>188</v>
      </c>
      <c r="AW265" s="223">
        <v>44495</v>
      </c>
      <c r="AX265" s="225" t="s">
        <v>4113</v>
      </c>
      <c r="AY265" s="225" t="s">
        <v>1967</v>
      </c>
      <c r="AZ265" s="225" t="s">
        <v>4113</v>
      </c>
      <c r="BA265" s="225" t="s">
        <v>380</v>
      </c>
      <c r="BB265" s="225" t="s">
        <v>1936</v>
      </c>
      <c r="BC265" s="225" t="s">
        <v>2123</v>
      </c>
      <c r="BD265" s="225">
        <v>23</v>
      </c>
      <c r="BE265" s="225">
        <v>10</v>
      </c>
      <c r="BF265" s="225">
        <v>78</v>
      </c>
      <c r="BG265" s="225">
        <v>7.0000000000000007E-2</v>
      </c>
      <c r="BH265" s="225" t="s">
        <v>1882</v>
      </c>
      <c r="BI265" s="225"/>
      <c r="BJ265" s="225">
        <f>360+27.5+48+114+365.75+1900+665+524+266.4+525+65.35</f>
        <v>4861</v>
      </c>
      <c r="BK265" s="225"/>
      <c r="BL265" s="225"/>
      <c r="BM265" s="225"/>
      <c r="BN265" s="225">
        <f>382.94+99.09+118.35+1080</f>
        <v>1680.38</v>
      </c>
      <c r="BO265" s="225">
        <f t="shared" si="24"/>
        <v>6541.38</v>
      </c>
      <c r="BP265" s="230">
        <f t="shared" si="25"/>
        <v>359.77590000000004</v>
      </c>
      <c r="BQ265" s="230">
        <f t="shared" si="26"/>
        <v>6901.1558999999997</v>
      </c>
      <c r="BR265" s="230">
        <v>6901.16</v>
      </c>
      <c r="BS265" s="225" t="s">
        <v>191</v>
      </c>
      <c r="BT265" s="225"/>
      <c r="BU265" s="225"/>
      <c r="BV265" s="301" t="s">
        <v>2325</v>
      </c>
      <c r="BW265" s="301" t="s">
        <v>214</v>
      </c>
      <c r="BX265" s="222" t="s">
        <v>618</v>
      </c>
      <c r="BY265" s="301">
        <v>2021</v>
      </c>
    </row>
    <row r="266" spans="1:77" ht="12.75" customHeight="1">
      <c r="A266" s="64">
        <f t="shared" si="27"/>
        <v>2021</v>
      </c>
      <c r="B266" s="64">
        <f t="shared" si="28"/>
        <v>10</v>
      </c>
      <c r="C266" s="125" t="s">
        <v>191</v>
      </c>
      <c r="D266" s="168" t="str">
        <f t="shared" si="29"/>
        <v>non maj</v>
      </c>
      <c r="E266" s="292" t="s">
        <v>670</v>
      </c>
      <c r="F266" s="292" t="s">
        <v>1515</v>
      </c>
      <c r="G266" s="221">
        <v>600</v>
      </c>
      <c r="H266" s="222">
        <v>44476</v>
      </c>
      <c r="I266" s="222">
        <v>44476</v>
      </c>
      <c r="J266" s="223" t="s">
        <v>176</v>
      </c>
      <c r="K266" s="222" t="s">
        <v>176</v>
      </c>
      <c r="L266" s="223">
        <v>44481</v>
      </c>
      <c r="M266" s="223">
        <v>44481</v>
      </c>
      <c r="N266" s="223">
        <v>44503</v>
      </c>
      <c r="O266" s="222"/>
      <c r="P266" s="222">
        <v>44551</v>
      </c>
      <c r="Q266" s="222">
        <v>44532</v>
      </c>
      <c r="R266" s="222" t="s">
        <v>176</v>
      </c>
      <c r="S266" s="222">
        <v>44553</v>
      </c>
      <c r="T266" s="222">
        <v>44553</v>
      </c>
      <c r="U266" s="222">
        <v>44553</v>
      </c>
      <c r="V266" s="224"/>
      <c r="W266" s="222"/>
      <c r="X266" s="225"/>
      <c r="Y266" s="225"/>
      <c r="Z266" s="225"/>
      <c r="AA266" s="225">
        <v>2</v>
      </c>
      <c r="AB266" s="225">
        <v>35390</v>
      </c>
      <c r="AC266" s="225">
        <v>11</v>
      </c>
      <c r="AD266" s="225" t="s">
        <v>2868</v>
      </c>
      <c r="AE266" s="225">
        <v>38210</v>
      </c>
      <c r="AF266" s="225" t="s">
        <v>265</v>
      </c>
      <c r="AG266" s="226">
        <v>683089108</v>
      </c>
      <c r="AH266" s="246" t="s">
        <v>2869</v>
      </c>
      <c r="AI266" s="225" t="s">
        <v>1168</v>
      </c>
      <c r="AJ266" s="225"/>
      <c r="AK266" s="225"/>
      <c r="AL266" s="225" t="s">
        <v>176</v>
      </c>
      <c r="AM266" s="225" t="s">
        <v>176</v>
      </c>
      <c r="AN266" s="225" t="s">
        <v>176</v>
      </c>
      <c r="AO266" s="225" t="s">
        <v>176</v>
      </c>
      <c r="AP266" s="225" t="s">
        <v>675</v>
      </c>
      <c r="AQ266" s="225" t="s">
        <v>225</v>
      </c>
      <c r="AR266" s="225" t="s">
        <v>1948</v>
      </c>
      <c r="AS266" s="241" t="s">
        <v>673</v>
      </c>
      <c r="AT266" s="226">
        <v>951096343</v>
      </c>
      <c r="AU266" s="225" t="s">
        <v>176</v>
      </c>
      <c r="AV266" s="241" t="s">
        <v>188</v>
      </c>
      <c r="AW266" s="223">
        <v>44798</v>
      </c>
      <c r="AX266" s="225" t="s">
        <v>4113</v>
      </c>
      <c r="AY266" s="225">
        <v>1993</v>
      </c>
      <c r="AZ266" s="225" t="s">
        <v>1880</v>
      </c>
      <c r="BA266" s="225" t="s">
        <v>267</v>
      </c>
      <c r="BB266" s="225" t="s">
        <v>229</v>
      </c>
      <c r="BC266" s="225" t="s">
        <v>783</v>
      </c>
      <c r="BD266" s="225">
        <v>20</v>
      </c>
      <c r="BE266" s="225">
        <v>8.3000000000000007</v>
      </c>
      <c r="BF266" s="225">
        <v>87</v>
      </c>
      <c r="BG266" s="225">
        <v>1.7999999999999999E-2</v>
      </c>
      <c r="BH266" s="225" t="s">
        <v>1899</v>
      </c>
      <c r="BI266" s="225"/>
      <c r="BJ266" s="225">
        <f>4890+340+271.35+920</f>
        <v>6421.35</v>
      </c>
      <c r="BK266" s="225"/>
      <c r="BL266" s="225"/>
      <c r="BM266" s="225"/>
      <c r="BN266" s="225">
        <v>630</v>
      </c>
      <c r="BO266" s="225">
        <f t="shared" si="24"/>
        <v>7051.35</v>
      </c>
      <c r="BP266" s="230">
        <f t="shared" si="25"/>
        <v>387.82425000000001</v>
      </c>
      <c r="BQ266" s="230">
        <f t="shared" si="26"/>
        <v>7439.17425</v>
      </c>
      <c r="BR266" s="230">
        <v>7100</v>
      </c>
      <c r="BS266" s="225" t="s">
        <v>188</v>
      </c>
      <c r="BT266" s="225"/>
      <c r="BU266" s="225"/>
      <c r="BV266" s="301" t="s">
        <v>2325</v>
      </c>
      <c r="BW266" s="301" t="s">
        <v>214</v>
      </c>
      <c r="BX266" s="301" t="s">
        <v>620</v>
      </c>
      <c r="BY266" s="301" t="s">
        <v>176</v>
      </c>
    </row>
    <row r="267" spans="1:77" s="32" customFormat="1" ht="13.5" customHeight="1">
      <c r="A267" s="64">
        <f t="shared" si="27"/>
        <v>1900</v>
      </c>
      <c r="B267" s="64">
        <f t="shared" si="28"/>
        <v>1</v>
      </c>
      <c r="C267" s="125" t="s">
        <v>188</v>
      </c>
      <c r="D267" s="168" t="str">
        <f t="shared" si="29"/>
        <v>NC</v>
      </c>
      <c r="E267" s="294" t="s">
        <v>670</v>
      </c>
      <c r="F267" s="294" t="s">
        <v>1516</v>
      </c>
      <c r="G267" s="221" t="s">
        <v>2870</v>
      </c>
      <c r="H267" s="222">
        <v>44477</v>
      </c>
      <c r="I267" s="222">
        <v>44477</v>
      </c>
      <c r="J267" s="223">
        <v>44481</v>
      </c>
      <c r="K267" s="222" t="s">
        <v>2871</v>
      </c>
      <c r="L267" s="223"/>
      <c r="M267" s="223"/>
      <c r="N267" s="223"/>
      <c r="O267" s="222"/>
      <c r="P267" s="222"/>
      <c r="Q267" s="222"/>
      <c r="R267" s="222"/>
      <c r="S267" s="222"/>
      <c r="T267" s="222"/>
      <c r="U267" s="222"/>
      <c r="V267" s="224"/>
      <c r="W267" s="222">
        <v>44930</v>
      </c>
      <c r="X267" s="225" t="s">
        <v>2590</v>
      </c>
      <c r="Y267" s="225"/>
      <c r="Z267" s="225"/>
      <c r="AA267" s="225">
        <v>2</v>
      </c>
      <c r="AB267" s="225">
        <v>27034</v>
      </c>
      <c r="AC267" s="225">
        <v>284</v>
      </c>
      <c r="AD267" s="225" t="s">
        <v>2872</v>
      </c>
      <c r="AE267" s="225">
        <v>38620</v>
      </c>
      <c r="AF267" s="225" t="s">
        <v>1871</v>
      </c>
      <c r="AG267" s="226">
        <v>789564956</v>
      </c>
      <c r="AH267" s="246" t="s">
        <v>2873</v>
      </c>
      <c r="AI267" s="225" t="s">
        <v>1168</v>
      </c>
      <c r="AJ267" s="225"/>
      <c r="AK267" s="225"/>
      <c r="AL267" s="225" t="s">
        <v>176</v>
      </c>
      <c r="AM267" s="225" t="s">
        <v>176</v>
      </c>
      <c r="AN267" s="225" t="s">
        <v>176</v>
      </c>
      <c r="AO267" s="225" t="s">
        <v>176</v>
      </c>
      <c r="AP267" s="225" t="s">
        <v>778</v>
      </c>
      <c r="AQ267" s="225" t="s">
        <v>1926</v>
      </c>
      <c r="AR267" s="225" t="s">
        <v>779</v>
      </c>
      <c r="AS267" s="241" t="s">
        <v>251</v>
      </c>
      <c r="AT267" s="226">
        <v>438021901</v>
      </c>
      <c r="AU267" s="225" t="s">
        <v>176</v>
      </c>
      <c r="AV267" s="241" t="s">
        <v>188</v>
      </c>
      <c r="AW267" s="223">
        <v>44641</v>
      </c>
      <c r="AX267" s="225" t="s">
        <v>4113</v>
      </c>
      <c r="AY267" s="225">
        <v>1980</v>
      </c>
      <c r="AZ267" s="225" t="s">
        <v>1880</v>
      </c>
      <c r="BA267" s="225" t="s">
        <v>380</v>
      </c>
      <c r="BB267" s="225" t="s">
        <v>244</v>
      </c>
      <c r="BC267" s="225" t="s">
        <v>2874</v>
      </c>
      <c r="BD267" s="225">
        <v>20</v>
      </c>
      <c r="BE267" s="225">
        <v>8.5</v>
      </c>
      <c r="BF267" s="225">
        <v>75</v>
      </c>
      <c r="BG267" s="225">
        <v>0.02</v>
      </c>
      <c r="BH267" s="225" t="s">
        <v>1882</v>
      </c>
      <c r="BI267" s="225"/>
      <c r="BJ267" s="225">
        <f>5259+1132+437</f>
        <v>6828</v>
      </c>
      <c r="BK267" s="225"/>
      <c r="BL267" s="225"/>
      <c r="BM267" s="225"/>
      <c r="BN267" s="225">
        <v>1182</v>
      </c>
      <c r="BO267" s="225">
        <f t="shared" si="24"/>
        <v>8010</v>
      </c>
      <c r="BP267" s="230">
        <f t="shared" si="25"/>
        <v>440.55</v>
      </c>
      <c r="BQ267" s="230">
        <f t="shared" si="26"/>
        <v>8450.5499999999993</v>
      </c>
      <c r="BR267" s="230">
        <v>7135</v>
      </c>
      <c r="BS267" s="225" t="s">
        <v>188</v>
      </c>
      <c r="BT267" s="225"/>
      <c r="BU267" s="225"/>
      <c r="BV267" s="231">
        <v>0</v>
      </c>
      <c r="BW267" s="301" t="s">
        <v>214</v>
      </c>
      <c r="BX267" s="301" t="s">
        <v>214</v>
      </c>
      <c r="BY267" s="301">
        <v>2022</v>
      </c>
    </row>
    <row r="268" spans="1:77" s="31" customFormat="1" ht="13.5" customHeight="1">
      <c r="A268" s="64">
        <f t="shared" si="27"/>
        <v>2021</v>
      </c>
      <c r="B268" s="64">
        <f t="shared" si="28"/>
        <v>10</v>
      </c>
      <c r="C268" s="125" t="s">
        <v>191</v>
      </c>
      <c r="D268" s="168" t="str">
        <f t="shared" si="29"/>
        <v>non maj</v>
      </c>
      <c r="E268" s="292" t="s">
        <v>670</v>
      </c>
      <c r="F268" s="292" t="s">
        <v>1517</v>
      </c>
      <c r="G268" s="221">
        <v>600</v>
      </c>
      <c r="H268" s="222">
        <v>44481</v>
      </c>
      <c r="I268" s="222">
        <v>44481</v>
      </c>
      <c r="J268" s="223" t="s">
        <v>176</v>
      </c>
      <c r="K268" s="222" t="s">
        <v>176</v>
      </c>
      <c r="L268" s="223">
        <v>44481</v>
      </c>
      <c r="M268" s="223">
        <v>44481</v>
      </c>
      <c r="N268" s="223">
        <v>44503</v>
      </c>
      <c r="O268" s="222"/>
      <c r="P268" s="222">
        <v>44601</v>
      </c>
      <c r="Q268" s="222">
        <v>44571</v>
      </c>
      <c r="R268" s="222" t="s">
        <v>176</v>
      </c>
      <c r="S268" s="222">
        <v>44606</v>
      </c>
      <c r="T268" s="222">
        <v>44606</v>
      </c>
      <c r="U268" s="222">
        <v>44607</v>
      </c>
      <c r="V268" s="224"/>
      <c r="W268" s="222"/>
      <c r="X268" s="225"/>
      <c r="Y268" s="225"/>
      <c r="Z268" s="225"/>
      <c r="AA268" s="225">
        <v>4</v>
      </c>
      <c r="AB268" s="225">
        <v>39493</v>
      </c>
      <c r="AC268" s="225">
        <v>476</v>
      </c>
      <c r="AD268" s="225" t="s">
        <v>2875</v>
      </c>
      <c r="AE268" s="225">
        <v>38730</v>
      </c>
      <c r="AF268" s="225" t="s">
        <v>2031</v>
      </c>
      <c r="AG268" s="226">
        <v>645600893</v>
      </c>
      <c r="AH268" s="246" t="s">
        <v>2876</v>
      </c>
      <c r="AI268" s="225" t="s">
        <v>1168</v>
      </c>
      <c r="AJ268" s="225"/>
      <c r="AK268" s="225"/>
      <c r="AL268" s="225" t="s">
        <v>176</v>
      </c>
      <c r="AM268" s="225" t="s">
        <v>176</v>
      </c>
      <c r="AN268" s="225" t="s">
        <v>176</v>
      </c>
      <c r="AO268" s="225" t="s">
        <v>176</v>
      </c>
      <c r="AP268" s="225" t="s">
        <v>2762</v>
      </c>
      <c r="AQ268" s="225" t="s">
        <v>1018</v>
      </c>
      <c r="AR268" s="225" t="s">
        <v>2763</v>
      </c>
      <c r="AS268" s="241" t="s">
        <v>1019</v>
      </c>
      <c r="AT268" s="226">
        <v>476663386</v>
      </c>
      <c r="AU268" s="225" t="s">
        <v>176</v>
      </c>
      <c r="AV268" s="241" t="s">
        <v>188</v>
      </c>
      <c r="AW268" s="223">
        <v>44731</v>
      </c>
      <c r="AX268" s="225" t="s">
        <v>4113</v>
      </c>
      <c r="AY268" s="242">
        <v>1989</v>
      </c>
      <c r="AZ268" s="225" t="s">
        <v>4113</v>
      </c>
      <c r="BA268" s="225" t="s">
        <v>380</v>
      </c>
      <c r="BB268" s="225" t="s">
        <v>2764</v>
      </c>
      <c r="BC268" s="225" t="s">
        <v>2877</v>
      </c>
      <c r="BD268" s="230">
        <v>24</v>
      </c>
      <c r="BE268" s="230">
        <v>13.2</v>
      </c>
      <c r="BF268" s="230">
        <v>75.900000000000006</v>
      </c>
      <c r="BG268" s="230">
        <v>0.09</v>
      </c>
      <c r="BH268" s="230" t="s">
        <v>1882</v>
      </c>
      <c r="BI268" s="225"/>
      <c r="BJ268" s="230">
        <f>2143.22+259.65+529.76+300.44+89+17.11+58.23+295+467+121</f>
        <v>4280.41</v>
      </c>
      <c r="BK268" s="225"/>
      <c r="BL268" s="225"/>
      <c r="BM268" s="225"/>
      <c r="BN268" s="230">
        <v>600</v>
      </c>
      <c r="BO268" s="230">
        <f t="shared" si="24"/>
        <v>4880.41</v>
      </c>
      <c r="BP268" s="230">
        <f t="shared" si="25"/>
        <v>268.42255</v>
      </c>
      <c r="BQ268" s="230">
        <f t="shared" si="26"/>
        <v>5148.8325500000001</v>
      </c>
      <c r="BR268" s="230">
        <v>4500</v>
      </c>
      <c r="BS268" s="225" t="s">
        <v>188</v>
      </c>
      <c r="BT268" s="225"/>
      <c r="BU268" s="225"/>
      <c r="BV268" s="301" t="s">
        <v>2325</v>
      </c>
      <c r="BW268" s="301" t="s">
        <v>214</v>
      </c>
      <c r="BX268" s="301" t="s">
        <v>620</v>
      </c>
      <c r="BY268" s="301">
        <v>2021</v>
      </c>
    </row>
    <row r="269" spans="1:77" s="33" customFormat="1" ht="13.5" customHeight="1">
      <c r="A269" s="64">
        <f t="shared" si="27"/>
        <v>2021</v>
      </c>
      <c r="B269" s="64">
        <f t="shared" si="28"/>
        <v>10</v>
      </c>
      <c r="C269" s="125" t="s">
        <v>188</v>
      </c>
      <c r="D269" s="168" t="str">
        <f t="shared" si="29"/>
        <v>NC</v>
      </c>
      <c r="E269" s="294" t="s">
        <v>670</v>
      </c>
      <c r="F269" s="294" t="s">
        <v>1519</v>
      </c>
      <c r="G269" s="221">
        <v>1000</v>
      </c>
      <c r="H269" s="222">
        <v>44482</v>
      </c>
      <c r="I269" s="222">
        <v>44483</v>
      </c>
      <c r="J269" s="223" t="s">
        <v>176</v>
      </c>
      <c r="K269" s="222" t="s">
        <v>176</v>
      </c>
      <c r="L269" s="223">
        <v>44491</v>
      </c>
      <c r="M269" s="223">
        <v>44491</v>
      </c>
      <c r="N269" s="223">
        <v>44495</v>
      </c>
      <c r="O269" s="222"/>
      <c r="P269" s="222"/>
      <c r="Q269" s="222"/>
      <c r="R269" s="222" t="s">
        <v>2781</v>
      </c>
      <c r="S269" s="222"/>
      <c r="T269" s="222"/>
      <c r="U269" s="222"/>
      <c r="V269" s="224"/>
      <c r="W269" s="222">
        <v>44930</v>
      </c>
      <c r="X269" s="225" t="s">
        <v>2782</v>
      </c>
      <c r="Y269" s="225"/>
      <c r="Z269" s="225"/>
      <c r="AA269" s="225">
        <v>3</v>
      </c>
      <c r="AB269" s="225">
        <v>27726</v>
      </c>
      <c r="AC269" s="225">
        <v>355</v>
      </c>
      <c r="AD269" s="225" t="s">
        <v>2878</v>
      </c>
      <c r="AE269" s="225">
        <v>38730</v>
      </c>
      <c r="AF269" s="225" t="s">
        <v>1916</v>
      </c>
      <c r="AG269" s="226">
        <v>651304664</v>
      </c>
      <c r="AH269" s="246" t="s">
        <v>2879</v>
      </c>
      <c r="AI269" s="225" t="s">
        <v>1168</v>
      </c>
      <c r="AJ269" s="225"/>
      <c r="AK269" s="225"/>
      <c r="AL269" s="225" t="s">
        <v>176</v>
      </c>
      <c r="AM269" s="225" t="s">
        <v>176</v>
      </c>
      <c r="AN269" s="225" t="s">
        <v>176</v>
      </c>
      <c r="AO269" s="225" t="s">
        <v>176</v>
      </c>
      <c r="AP269" s="225" t="s">
        <v>845</v>
      </c>
      <c r="AQ269" s="225" t="s">
        <v>1910</v>
      </c>
      <c r="AR269" s="225" t="s">
        <v>1966</v>
      </c>
      <c r="AS269" s="241" t="s">
        <v>430</v>
      </c>
      <c r="AT269" s="226">
        <v>474432868</v>
      </c>
      <c r="AU269" s="225" t="s">
        <v>176</v>
      </c>
      <c r="AV269" s="241" t="s">
        <v>188</v>
      </c>
      <c r="AW269" s="223">
        <v>44514</v>
      </c>
      <c r="AX269" s="225" t="s">
        <v>1879</v>
      </c>
      <c r="AY269" s="225">
        <v>1968</v>
      </c>
      <c r="AZ269" s="225" t="s">
        <v>1880</v>
      </c>
      <c r="BA269" s="225" t="s">
        <v>380</v>
      </c>
      <c r="BB269" s="225" t="s">
        <v>235</v>
      </c>
      <c r="BC269" s="225" t="s">
        <v>2880</v>
      </c>
      <c r="BD269" s="225">
        <v>36</v>
      </c>
      <c r="BE269" s="225">
        <v>9</v>
      </c>
      <c r="BF269" s="225">
        <v>79</v>
      </c>
      <c r="BG269" s="225">
        <v>0.09</v>
      </c>
      <c r="BH269" s="225" t="s">
        <v>1882</v>
      </c>
      <c r="BI269" s="225"/>
      <c r="BJ269" s="225">
        <f>1630+256+1392.14+46+156.8</f>
        <v>3480.9400000000005</v>
      </c>
      <c r="BK269" s="225"/>
      <c r="BL269" s="225"/>
      <c r="BM269" s="225"/>
      <c r="BN269" s="225">
        <f>580+675</f>
        <v>1255</v>
      </c>
      <c r="BO269" s="225">
        <f t="shared" si="24"/>
        <v>4735.9400000000005</v>
      </c>
      <c r="BP269" s="230">
        <f t="shared" si="25"/>
        <v>260.47670000000005</v>
      </c>
      <c r="BQ269" s="230">
        <f t="shared" si="26"/>
        <v>4996.4167000000007</v>
      </c>
      <c r="BR269" s="230">
        <v>4996.42</v>
      </c>
      <c r="BS269" s="225" t="s">
        <v>188</v>
      </c>
      <c r="BT269" s="225"/>
      <c r="BU269" s="225"/>
      <c r="BV269" s="301">
        <v>0</v>
      </c>
      <c r="BW269" s="301" t="s">
        <v>214</v>
      </c>
      <c r="BX269" s="301" t="s">
        <v>214</v>
      </c>
      <c r="BY269" s="301">
        <v>2021</v>
      </c>
    </row>
    <row r="270" spans="1:77" s="33" customFormat="1" ht="13.5" customHeight="1">
      <c r="A270" s="64">
        <f t="shared" si="27"/>
        <v>2021</v>
      </c>
      <c r="B270" s="64">
        <f t="shared" si="28"/>
        <v>10</v>
      </c>
      <c r="C270" s="125" t="s">
        <v>191</v>
      </c>
      <c r="D270" s="168" t="str">
        <f t="shared" si="29"/>
        <v>non maj</v>
      </c>
      <c r="E270" s="292" t="s">
        <v>670</v>
      </c>
      <c r="F270" s="292" t="s">
        <v>1522</v>
      </c>
      <c r="G270" s="221">
        <v>600</v>
      </c>
      <c r="H270" s="222">
        <v>44482</v>
      </c>
      <c r="I270" s="222">
        <v>44483</v>
      </c>
      <c r="J270" s="223" t="s">
        <v>176</v>
      </c>
      <c r="K270" s="222" t="s">
        <v>176</v>
      </c>
      <c r="L270" s="223">
        <v>44491</v>
      </c>
      <c r="M270" s="223">
        <v>44491</v>
      </c>
      <c r="N270" s="223">
        <v>44495</v>
      </c>
      <c r="O270" s="222"/>
      <c r="P270" s="222">
        <v>44536</v>
      </c>
      <c r="Q270" s="222">
        <v>44530</v>
      </c>
      <c r="R270" s="222" t="s">
        <v>176</v>
      </c>
      <c r="S270" s="222">
        <v>44539</v>
      </c>
      <c r="T270" s="222">
        <v>44539</v>
      </c>
      <c r="U270" s="222">
        <v>44540</v>
      </c>
      <c r="V270" s="224"/>
      <c r="W270" s="222"/>
      <c r="X270" s="225"/>
      <c r="Y270" s="225"/>
      <c r="Z270" s="225"/>
      <c r="AA270" s="225">
        <v>2</v>
      </c>
      <c r="AB270" s="225">
        <v>53016</v>
      </c>
      <c r="AC270" s="225">
        <v>37</v>
      </c>
      <c r="AD270" s="225" t="s">
        <v>2881</v>
      </c>
      <c r="AE270" s="225">
        <v>38340</v>
      </c>
      <c r="AF270" s="225" t="s">
        <v>232</v>
      </c>
      <c r="AG270" s="226">
        <v>607066765</v>
      </c>
      <c r="AH270" s="246" t="s">
        <v>2882</v>
      </c>
      <c r="AI270" s="225" t="s">
        <v>1168</v>
      </c>
      <c r="AJ270" s="225"/>
      <c r="AK270" s="225"/>
      <c r="AL270" s="225" t="s">
        <v>176</v>
      </c>
      <c r="AM270" s="225" t="s">
        <v>176</v>
      </c>
      <c r="AN270" s="225" t="s">
        <v>176</v>
      </c>
      <c r="AO270" s="225" t="s">
        <v>176</v>
      </c>
      <c r="AP270" s="225" t="s">
        <v>778</v>
      </c>
      <c r="AQ270" s="225" t="s">
        <v>1926</v>
      </c>
      <c r="AR270" s="225" t="s">
        <v>779</v>
      </c>
      <c r="AS270" s="241" t="s">
        <v>251</v>
      </c>
      <c r="AT270" s="226">
        <v>438021901</v>
      </c>
      <c r="AU270" s="225" t="s">
        <v>176</v>
      </c>
      <c r="AV270" s="241" t="s">
        <v>188</v>
      </c>
      <c r="AW270" s="223">
        <v>44641</v>
      </c>
      <c r="AX270" s="225" t="s">
        <v>1879</v>
      </c>
      <c r="AY270" s="225" t="s">
        <v>1967</v>
      </c>
      <c r="AZ270" s="225" t="s">
        <v>4113</v>
      </c>
      <c r="BA270" s="225" t="s">
        <v>380</v>
      </c>
      <c r="BB270" s="225" t="s">
        <v>244</v>
      </c>
      <c r="BC270" s="225" t="s">
        <v>2634</v>
      </c>
      <c r="BD270" s="225">
        <v>24</v>
      </c>
      <c r="BE270" s="225">
        <v>13.2</v>
      </c>
      <c r="BF270" s="225">
        <v>76</v>
      </c>
      <c r="BG270" s="225">
        <v>0.09</v>
      </c>
      <c r="BH270" s="225" t="s">
        <v>1882</v>
      </c>
      <c r="BI270" s="225"/>
      <c r="BJ270" s="225">
        <f>208+2302+1658+904</f>
        <v>5072</v>
      </c>
      <c r="BK270" s="225"/>
      <c r="BL270" s="225"/>
      <c r="BM270" s="225"/>
      <c r="BN270" s="225">
        <v>1200</v>
      </c>
      <c r="BO270" s="225">
        <f t="shared" si="24"/>
        <v>6272</v>
      </c>
      <c r="BP270" s="230">
        <f t="shared" si="25"/>
        <v>344.96</v>
      </c>
      <c r="BQ270" s="230">
        <f t="shared" si="26"/>
        <v>6616.96</v>
      </c>
      <c r="BR270" s="230">
        <v>6200</v>
      </c>
      <c r="BS270" s="225" t="s">
        <v>188</v>
      </c>
      <c r="BT270" s="225"/>
      <c r="BU270" s="225"/>
      <c r="BV270" s="301" t="s">
        <v>2325</v>
      </c>
      <c r="BW270" s="301" t="s">
        <v>214</v>
      </c>
      <c r="BX270" s="301" t="s">
        <v>620</v>
      </c>
      <c r="BY270" s="301">
        <v>2021</v>
      </c>
    </row>
    <row r="271" spans="1:77" s="33" customFormat="1" ht="13.5" customHeight="1">
      <c r="A271" s="64">
        <f t="shared" si="27"/>
        <v>2021</v>
      </c>
      <c r="B271" s="64">
        <f t="shared" si="28"/>
        <v>10</v>
      </c>
      <c r="C271" s="125" t="s">
        <v>191</v>
      </c>
      <c r="D271" s="168" t="str">
        <f t="shared" si="29"/>
        <v>non maj</v>
      </c>
      <c r="E271" s="232" t="s">
        <v>670</v>
      </c>
      <c r="F271" s="232" t="s">
        <v>1524</v>
      </c>
      <c r="G271" s="221">
        <v>600</v>
      </c>
      <c r="H271" s="222">
        <v>44482</v>
      </c>
      <c r="I271" s="222">
        <v>44483</v>
      </c>
      <c r="J271" s="223" t="s">
        <v>176</v>
      </c>
      <c r="K271" s="222" t="s">
        <v>176</v>
      </c>
      <c r="L271" s="223">
        <v>44491</v>
      </c>
      <c r="M271" s="223">
        <v>44491</v>
      </c>
      <c r="N271" s="223">
        <v>44495</v>
      </c>
      <c r="O271" s="222"/>
      <c r="P271" s="222">
        <v>44743</v>
      </c>
      <c r="Q271" s="222">
        <v>44701</v>
      </c>
      <c r="R271" s="222" t="s">
        <v>176</v>
      </c>
      <c r="S271" s="222">
        <v>44769</v>
      </c>
      <c r="T271" s="222">
        <v>44769</v>
      </c>
      <c r="U271" s="222">
        <v>44770</v>
      </c>
      <c r="V271" s="224"/>
      <c r="W271" s="222"/>
      <c r="X271" s="225"/>
      <c r="Y271" s="225"/>
      <c r="Z271" s="225"/>
      <c r="AA271" s="225">
        <v>4</v>
      </c>
      <c r="AB271" s="225">
        <v>46366</v>
      </c>
      <c r="AC271" s="225">
        <v>52</v>
      </c>
      <c r="AD271" s="225" t="s">
        <v>2406</v>
      </c>
      <c r="AE271" s="225">
        <v>38850</v>
      </c>
      <c r="AF271" s="225" t="s">
        <v>1916</v>
      </c>
      <c r="AG271" s="226">
        <v>679803954</v>
      </c>
      <c r="AH271" s="295" t="s">
        <v>2883</v>
      </c>
      <c r="AI271" s="225" t="s">
        <v>1168</v>
      </c>
      <c r="AJ271" s="225"/>
      <c r="AK271" s="225"/>
      <c r="AL271" s="225" t="s">
        <v>176</v>
      </c>
      <c r="AM271" s="225" t="s">
        <v>176</v>
      </c>
      <c r="AN271" s="225" t="s">
        <v>176</v>
      </c>
      <c r="AO271" s="225" t="s">
        <v>176</v>
      </c>
      <c r="AP271" s="225" t="s">
        <v>1888</v>
      </c>
      <c r="AQ271" s="225" t="s">
        <v>225</v>
      </c>
      <c r="AR271" s="225" t="s">
        <v>1889</v>
      </c>
      <c r="AS271" s="295" t="s">
        <v>269</v>
      </c>
      <c r="AT271" s="226" t="s">
        <v>600</v>
      </c>
      <c r="AU271" s="225" t="s">
        <v>176</v>
      </c>
      <c r="AV271" s="251" t="s">
        <v>188</v>
      </c>
      <c r="AW271" s="223">
        <v>44503</v>
      </c>
      <c r="AX271" s="225" t="s">
        <v>1879</v>
      </c>
      <c r="AY271" s="225" t="s">
        <v>1935</v>
      </c>
      <c r="AZ271" s="225" t="s">
        <v>1880</v>
      </c>
      <c r="BA271" s="225" t="s">
        <v>380</v>
      </c>
      <c r="BB271" s="225" t="s">
        <v>2007</v>
      </c>
      <c r="BC271" s="225" t="s">
        <v>2008</v>
      </c>
      <c r="BD271" s="225">
        <v>34</v>
      </c>
      <c r="BE271" s="225">
        <v>7.3</v>
      </c>
      <c r="BF271" s="225">
        <v>76.599999999999994</v>
      </c>
      <c r="BG271" s="225">
        <v>0.04</v>
      </c>
      <c r="BH271" s="225" t="s">
        <v>1882</v>
      </c>
      <c r="BI271" s="225"/>
      <c r="BJ271" s="225">
        <f>1876.78+600+101+83+88+86+68+135+43+142+35+20</f>
        <v>3277.7799999999997</v>
      </c>
      <c r="BK271" s="225"/>
      <c r="BL271" s="225"/>
      <c r="BM271" s="225"/>
      <c r="BN271" s="225">
        <v>420</v>
      </c>
      <c r="BO271" s="225">
        <f t="shared" si="24"/>
        <v>3697.7799999999997</v>
      </c>
      <c r="BP271" s="230">
        <f t="shared" si="25"/>
        <v>203.37789999999998</v>
      </c>
      <c r="BQ271" s="230">
        <f t="shared" si="26"/>
        <v>3901.1578999999997</v>
      </c>
      <c r="BR271" s="230">
        <v>3901.16</v>
      </c>
      <c r="BS271" s="225" t="s">
        <v>188</v>
      </c>
      <c r="BT271" s="225"/>
      <c r="BU271" s="225"/>
      <c r="BV271" s="225" t="s">
        <v>2325</v>
      </c>
      <c r="BW271" s="301" t="s">
        <v>214</v>
      </c>
      <c r="BX271" s="301" t="s">
        <v>620</v>
      </c>
      <c r="BY271" s="225">
        <v>2021</v>
      </c>
    </row>
    <row r="272" spans="1:77" s="33" customFormat="1" ht="13.5" customHeight="1">
      <c r="A272" s="64">
        <f t="shared" si="27"/>
        <v>2022</v>
      </c>
      <c r="B272" s="64">
        <f t="shared" si="28"/>
        <v>2</v>
      </c>
      <c r="C272" s="125" t="s">
        <v>191</v>
      </c>
      <c r="D272" s="168" t="str">
        <f t="shared" si="29"/>
        <v>non maj</v>
      </c>
      <c r="E272" s="232" t="s">
        <v>670</v>
      </c>
      <c r="F272" s="232" t="s">
        <v>1525</v>
      </c>
      <c r="G272" s="221">
        <v>600</v>
      </c>
      <c r="H272" s="222">
        <v>44484</v>
      </c>
      <c r="I272" s="222">
        <v>44484</v>
      </c>
      <c r="J272" s="223">
        <v>44491</v>
      </c>
      <c r="K272" s="222" t="s">
        <v>2884</v>
      </c>
      <c r="L272" s="223">
        <v>44601</v>
      </c>
      <c r="M272" s="223">
        <v>44601</v>
      </c>
      <c r="N272" s="223">
        <v>44606</v>
      </c>
      <c r="O272" s="222"/>
      <c r="P272" s="222">
        <v>44713</v>
      </c>
      <c r="Q272" s="222">
        <v>44657</v>
      </c>
      <c r="R272" s="222" t="s">
        <v>176</v>
      </c>
      <c r="S272" s="222">
        <v>44768</v>
      </c>
      <c r="T272" s="222">
        <v>44768</v>
      </c>
      <c r="U272" s="222">
        <v>44769</v>
      </c>
      <c r="V272" s="224"/>
      <c r="W272" s="222"/>
      <c r="X272" s="225"/>
      <c r="Y272" s="225"/>
      <c r="Z272" s="225"/>
      <c r="AA272" s="225">
        <v>2</v>
      </c>
      <c r="AB272" s="225">
        <v>64838</v>
      </c>
      <c r="AC272" s="225">
        <v>410</v>
      </c>
      <c r="AD272" s="225" t="s">
        <v>2885</v>
      </c>
      <c r="AE272" s="225">
        <v>38210</v>
      </c>
      <c r="AF272" s="225" t="s">
        <v>1903</v>
      </c>
      <c r="AG272" s="226">
        <v>612232834</v>
      </c>
      <c r="AH272" s="246" t="s">
        <v>2886</v>
      </c>
      <c r="AI272" s="225" t="s">
        <v>1168</v>
      </c>
      <c r="AJ272" s="225"/>
      <c r="AK272" s="225"/>
      <c r="AL272" s="225" t="s">
        <v>176</v>
      </c>
      <c r="AM272" s="225" t="s">
        <v>176</v>
      </c>
      <c r="AN272" s="225" t="s">
        <v>176</v>
      </c>
      <c r="AO272" s="225" t="s">
        <v>176</v>
      </c>
      <c r="AP272" s="225" t="s">
        <v>2052</v>
      </c>
      <c r="AQ272" s="225" t="s">
        <v>232</v>
      </c>
      <c r="AR272" s="225" t="s">
        <v>233</v>
      </c>
      <c r="AS272" s="241" t="s">
        <v>234</v>
      </c>
      <c r="AT272" s="226">
        <v>476500550</v>
      </c>
      <c r="AU272" s="225" t="s">
        <v>176</v>
      </c>
      <c r="AV272" s="241" t="s">
        <v>188</v>
      </c>
      <c r="AW272" s="223">
        <v>44740</v>
      </c>
      <c r="AX272" s="225" t="s">
        <v>1879</v>
      </c>
      <c r="AY272" s="225" t="s">
        <v>1967</v>
      </c>
      <c r="AZ272" s="225" t="s">
        <v>4113</v>
      </c>
      <c r="BA272" s="225" t="s">
        <v>380</v>
      </c>
      <c r="BB272" s="225" t="s">
        <v>270</v>
      </c>
      <c r="BC272" s="225" t="s">
        <v>2887</v>
      </c>
      <c r="BD272" s="225">
        <v>30</v>
      </c>
      <c r="BE272" s="225">
        <v>13</v>
      </c>
      <c r="BF272" s="225">
        <v>84</v>
      </c>
      <c r="BG272" s="225">
        <v>0.04</v>
      </c>
      <c r="BH272" s="225" t="s">
        <v>1882</v>
      </c>
      <c r="BI272" s="225"/>
      <c r="BJ272" s="225">
        <f>681.5+584.3+71.09+2850.33+179.48+209.08+34.6+137.19+114.14+142.2+248.18</f>
        <v>5252.0899999999992</v>
      </c>
      <c r="BK272" s="225"/>
      <c r="BL272" s="225"/>
      <c r="BM272" s="225"/>
      <c r="BN272" s="225">
        <v>1900</v>
      </c>
      <c r="BO272" s="225">
        <f t="shared" si="24"/>
        <v>7152.0899999999992</v>
      </c>
      <c r="BP272" s="230">
        <f t="shared" si="25"/>
        <v>393.36494999999996</v>
      </c>
      <c r="BQ272" s="230">
        <f t="shared" si="26"/>
        <v>7545.4549499999994</v>
      </c>
      <c r="BR272" s="230">
        <v>7096.73</v>
      </c>
      <c r="BS272" s="225" t="s">
        <v>191</v>
      </c>
      <c r="BT272" s="225"/>
      <c r="BU272" s="225"/>
      <c r="BV272" s="231" t="s">
        <v>4045</v>
      </c>
      <c r="BW272" s="225" t="s">
        <v>968</v>
      </c>
      <c r="BX272" s="301" t="s">
        <v>620</v>
      </c>
      <c r="BY272" s="301">
        <v>2022</v>
      </c>
    </row>
    <row r="273" spans="1:77" s="33" customFormat="1" ht="13.5" customHeight="1">
      <c r="A273" s="64">
        <f t="shared" si="27"/>
        <v>2021</v>
      </c>
      <c r="B273" s="64">
        <f t="shared" si="28"/>
        <v>10</v>
      </c>
      <c r="C273" s="125" t="s">
        <v>191</v>
      </c>
      <c r="D273" s="168" t="str">
        <f t="shared" si="29"/>
        <v>non maj</v>
      </c>
      <c r="E273" s="292" t="s">
        <v>670</v>
      </c>
      <c r="F273" s="292" t="s">
        <v>1527</v>
      </c>
      <c r="G273" s="221">
        <v>600</v>
      </c>
      <c r="H273" s="222">
        <v>44484</v>
      </c>
      <c r="I273" s="222">
        <v>44487</v>
      </c>
      <c r="J273" s="223" t="s">
        <v>176</v>
      </c>
      <c r="K273" s="222" t="s">
        <v>176</v>
      </c>
      <c r="L273" s="223">
        <v>44491</v>
      </c>
      <c r="M273" s="223">
        <v>44491</v>
      </c>
      <c r="N273" s="223">
        <v>44495</v>
      </c>
      <c r="O273" s="222"/>
      <c r="P273" s="222">
        <v>44594</v>
      </c>
      <c r="Q273" s="222">
        <v>44568</v>
      </c>
      <c r="R273" s="222" t="s">
        <v>176</v>
      </c>
      <c r="S273" s="222">
        <v>44606</v>
      </c>
      <c r="T273" s="222">
        <v>44606</v>
      </c>
      <c r="U273" s="222">
        <v>44607</v>
      </c>
      <c r="V273" s="224"/>
      <c r="W273" s="222"/>
      <c r="X273" s="225"/>
      <c r="Y273" s="225"/>
      <c r="Z273" s="225"/>
      <c r="AA273" s="225">
        <v>2</v>
      </c>
      <c r="AB273" s="225">
        <v>34973</v>
      </c>
      <c r="AC273" s="225">
        <v>308</v>
      </c>
      <c r="AD273" s="225" t="s">
        <v>794</v>
      </c>
      <c r="AE273" s="225">
        <v>38620</v>
      </c>
      <c r="AF273" s="225" t="s">
        <v>2888</v>
      </c>
      <c r="AG273" s="226">
        <v>630602447</v>
      </c>
      <c r="AH273" s="246" t="s">
        <v>2889</v>
      </c>
      <c r="AI273" s="225" t="s">
        <v>1168</v>
      </c>
      <c r="AJ273" s="225"/>
      <c r="AK273" s="225"/>
      <c r="AL273" s="225" t="s">
        <v>176</v>
      </c>
      <c r="AM273" s="225" t="s">
        <v>176</v>
      </c>
      <c r="AN273" s="225" t="s">
        <v>176</v>
      </c>
      <c r="AO273" s="225" t="s">
        <v>176</v>
      </c>
      <c r="AP273" s="225" t="s">
        <v>845</v>
      </c>
      <c r="AQ273" s="225" t="s">
        <v>1910</v>
      </c>
      <c r="AR273" s="225" t="s">
        <v>1966</v>
      </c>
      <c r="AS273" s="241" t="s">
        <v>430</v>
      </c>
      <c r="AT273" s="226">
        <v>474432868</v>
      </c>
      <c r="AU273" s="225" t="s">
        <v>176</v>
      </c>
      <c r="AV273" s="241" t="s">
        <v>188</v>
      </c>
      <c r="AW273" s="223">
        <v>44514</v>
      </c>
      <c r="AX273" s="225" t="s">
        <v>1880</v>
      </c>
      <c r="AY273" s="225">
        <v>1975</v>
      </c>
      <c r="AZ273" s="225" t="s">
        <v>1880</v>
      </c>
      <c r="BA273" s="225" t="s">
        <v>380</v>
      </c>
      <c r="BB273" s="225" t="s">
        <v>235</v>
      </c>
      <c r="BC273" s="225" t="s">
        <v>2880</v>
      </c>
      <c r="BD273" s="225">
        <v>36</v>
      </c>
      <c r="BE273" s="225">
        <v>9</v>
      </c>
      <c r="BF273" s="225">
        <v>79</v>
      </c>
      <c r="BG273" s="225">
        <v>0.09</v>
      </c>
      <c r="BH273" s="225" t="s">
        <v>1882</v>
      </c>
      <c r="BI273" s="225"/>
      <c r="BJ273" s="225">
        <f>1680+256+1392.14+46+98</f>
        <v>3472.1400000000003</v>
      </c>
      <c r="BK273" s="225"/>
      <c r="BL273" s="225"/>
      <c r="BM273" s="225"/>
      <c r="BN273" s="225">
        <v>750</v>
      </c>
      <c r="BO273" s="225">
        <f t="shared" si="24"/>
        <v>4222.1400000000003</v>
      </c>
      <c r="BP273" s="230">
        <f t="shared" si="25"/>
        <v>232.21770000000001</v>
      </c>
      <c r="BQ273" s="230">
        <f t="shared" si="26"/>
        <v>4454.3577000000005</v>
      </c>
      <c r="BR273" s="230">
        <v>4454.3599999999997</v>
      </c>
      <c r="BS273" s="225" t="s">
        <v>188</v>
      </c>
      <c r="BT273" s="225"/>
      <c r="BU273" s="225"/>
      <c r="BV273" s="301" t="s">
        <v>2325</v>
      </c>
      <c r="BW273" s="301" t="s">
        <v>214</v>
      </c>
      <c r="BX273" s="301" t="s">
        <v>620</v>
      </c>
      <c r="BY273" s="301">
        <v>2021</v>
      </c>
    </row>
    <row r="274" spans="1:77" s="33" customFormat="1" ht="13.5" customHeight="1">
      <c r="A274" s="64">
        <f t="shared" si="27"/>
        <v>2021</v>
      </c>
      <c r="B274" s="64">
        <f t="shared" si="28"/>
        <v>10</v>
      </c>
      <c r="C274" s="125" t="s">
        <v>191</v>
      </c>
      <c r="D274" s="168" t="str">
        <f t="shared" si="29"/>
        <v>non maj</v>
      </c>
      <c r="E274" s="292" t="s">
        <v>670</v>
      </c>
      <c r="F274" s="292" t="s">
        <v>1528</v>
      </c>
      <c r="G274" s="221">
        <v>600</v>
      </c>
      <c r="H274" s="222">
        <v>44484</v>
      </c>
      <c r="I274" s="222">
        <v>44487</v>
      </c>
      <c r="J274" s="223">
        <v>44491</v>
      </c>
      <c r="K274" s="222" t="s">
        <v>2281</v>
      </c>
      <c r="L274" s="223">
        <v>44497</v>
      </c>
      <c r="M274" s="223">
        <v>44497</v>
      </c>
      <c r="N274" s="223">
        <v>44503</v>
      </c>
      <c r="O274" s="222"/>
      <c r="P274" s="222">
        <v>44582</v>
      </c>
      <c r="Q274" s="222">
        <v>44574</v>
      </c>
      <c r="R274" s="222" t="s">
        <v>176</v>
      </c>
      <c r="S274" s="222">
        <v>44606</v>
      </c>
      <c r="T274" s="222">
        <v>44606</v>
      </c>
      <c r="U274" s="222">
        <v>44607</v>
      </c>
      <c r="V274" s="224"/>
      <c r="W274" s="222"/>
      <c r="X274" s="225"/>
      <c r="Y274" s="225"/>
      <c r="Z274" s="225"/>
      <c r="AA274" s="225">
        <v>2</v>
      </c>
      <c r="AB274" s="225">
        <v>49200</v>
      </c>
      <c r="AC274" s="225">
        <v>20</v>
      </c>
      <c r="AD274" s="225" t="s">
        <v>2890</v>
      </c>
      <c r="AE274" s="225">
        <v>38960</v>
      </c>
      <c r="AF274" s="225" t="s">
        <v>2088</v>
      </c>
      <c r="AG274" s="226">
        <v>682518916</v>
      </c>
      <c r="AH274" s="246" t="s">
        <v>2891</v>
      </c>
      <c r="AI274" s="225" t="s">
        <v>1168</v>
      </c>
      <c r="AJ274" s="225"/>
      <c r="AK274" s="225"/>
      <c r="AL274" s="225" t="s">
        <v>176</v>
      </c>
      <c r="AM274" s="225" t="s">
        <v>176</v>
      </c>
      <c r="AN274" s="225" t="s">
        <v>176</v>
      </c>
      <c r="AO274" s="225" t="s">
        <v>176</v>
      </c>
      <c r="AP274" s="222" t="s">
        <v>587</v>
      </c>
      <c r="AQ274" s="225" t="s">
        <v>225</v>
      </c>
      <c r="AR274" s="225" t="s">
        <v>2026</v>
      </c>
      <c r="AS274" s="241" t="s">
        <v>266</v>
      </c>
      <c r="AT274" s="226">
        <v>476069938</v>
      </c>
      <c r="AU274" s="225" t="s">
        <v>176</v>
      </c>
      <c r="AV274" s="241" t="s">
        <v>188</v>
      </c>
      <c r="AW274" s="223">
        <v>44822</v>
      </c>
      <c r="AX274" s="225" t="s">
        <v>1879</v>
      </c>
      <c r="AY274" s="242">
        <v>1980</v>
      </c>
      <c r="AZ274" s="225" t="s">
        <v>1880</v>
      </c>
      <c r="BA274" s="225" t="s">
        <v>380</v>
      </c>
      <c r="BB274" s="225" t="s">
        <v>280</v>
      </c>
      <c r="BC274" s="225" t="s">
        <v>2474</v>
      </c>
      <c r="BD274" s="242">
        <v>35</v>
      </c>
      <c r="BE274" s="242">
        <v>5.9</v>
      </c>
      <c r="BF274" s="242">
        <v>80.2</v>
      </c>
      <c r="BG274" s="242">
        <v>0.09</v>
      </c>
      <c r="BH274" s="225" t="s">
        <v>1882</v>
      </c>
      <c r="BI274" s="225"/>
      <c r="BJ274" s="242">
        <f>89+2650+2930+370</f>
        <v>6039</v>
      </c>
      <c r="BK274" s="225"/>
      <c r="BL274" s="225"/>
      <c r="BM274" s="225"/>
      <c r="BN274" s="242">
        <f>300+450</f>
        <v>750</v>
      </c>
      <c r="BO274" s="242">
        <f t="shared" si="24"/>
        <v>6789</v>
      </c>
      <c r="BP274" s="242">
        <f t="shared" si="25"/>
        <v>373.39499999999998</v>
      </c>
      <c r="BQ274" s="242">
        <f t="shared" si="26"/>
        <v>7162.3950000000004</v>
      </c>
      <c r="BR274" s="230">
        <v>7162.45</v>
      </c>
      <c r="BS274" s="225" t="s">
        <v>191</v>
      </c>
      <c r="BT274" s="225"/>
      <c r="BU274" s="225"/>
      <c r="BV274" s="301" t="s">
        <v>2325</v>
      </c>
      <c r="BW274" s="301" t="s">
        <v>214</v>
      </c>
      <c r="BX274" s="301" t="s">
        <v>620</v>
      </c>
      <c r="BY274" s="301">
        <v>2021</v>
      </c>
    </row>
    <row r="275" spans="1:77" s="33" customFormat="1" ht="13.5" customHeight="1">
      <c r="A275" s="64">
        <f t="shared" si="27"/>
        <v>2021</v>
      </c>
      <c r="B275" s="64">
        <f t="shared" si="28"/>
        <v>10</v>
      </c>
      <c r="C275" s="125" t="s">
        <v>191</v>
      </c>
      <c r="D275" s="168" t="str">
        <f t="shared" si="29"/>
        <v>non maj</v>
      </c>
      <c r="E275" s="232" t="s">
        <v>670</v>
      </c>
      <c r="F275" s="232" t="s">
        <v>1529</v>
      </c>
      <c r="G275" s="221">
        <v>600</v>
      </c>
      <c r="H275" s="222">
        <v>44489</v>
      </c>
      <c r="I275" s="222">
        <v>44490</v>
      </c>
      <c r="J275" s="223" t="s">
        <v>176</v>
      </c>
      <c r="K275" s="222" t="s">
        <v>176</v>
      </c>
      <c r="L275" s="223">
        <v>44491</v>
      </c>
      <c r="M275" s="223">
        <v>44491</v>
      </c>
      <c r="N275" s="223">
        <v>44495</v>
      </c>
      <c r="O275" s="222"/>
      <c r="P275" s="222">
        <v>44893</v>
      </c>
      <c r="Q275" s="222">
        <v>44889</v>
      </c>
      <c r="R275" s="222" t="s">
        <v>2892</v>
      </c>
      <c r="S275" s="222">
        <v>44915</v>
      </c>
      <c r="T275" s="222">
        <v>44915</v>
      </c>
      <c r="U275" s="222">
        <v>44932</v>
      </c>
      <c r="V275" s="224"/>
      <c r="W275" s="222"/>
      <c r="X275" s="225"/>
      <c r="Y275" s="225"/>
      <c r="Z275" s="225"/>
      <c r="AA275" s="225">
        <v>2</v>
      </c>
      <c r="AB275" s="225">
        <v>48212</v>
      </c>
      <c r="AC275" s="225">
        <v>60</v>
      </c>
      <c r="AD275" s="225" t="s">
        <v>2893</v>
      </c>
      <c r="AE275" s="225">
        <v>38850</v>
      </c>
      <c r="AF275" s="225" t="s">
        <v>1951</v>
      </c>
      <c r="AG275" s="226">
        <v>673852872</v>
      </c>
      <c r="AH275" s="246" t="s">
        <v>2894</v>
      </c>
      <c r="AI275" s="225" t="s">
        <v>1168</v>
      </c>
      <c r="AJ275" s="225"/>
      <c r="AK275" s="225"/>
      <c r="AL275" s="225" t="s">
        <v>176</v>
      </c>
      <c r="AM275" s="225" t="s">
        <v>176</v>
      </c>
      <c r="AN275" s="225" t="s">
        <v>176</v>
      </c>
      <c r="AO275" s="225" t="s">
        <v>176</v>
      </c>
      <c r="AP275" s="225" t="s">
        <v>820</v>
      </c>
      <c r="AQ275" s="225" t="s">
        <v>225</v>
      </c>
      <c r="AR275" s="225" t="s">
        <v>2895</v>
      </c>
      <c r="AS275" s="241" t="s">
        <v>281</v>
      </c>
      <c r="AT275" s="226">
        <v>685231565</v>
      </c>
      <c r="AU275" s="225" t="s">
        <v>176</v>
      </c>
      <c r="AV275" s="241" t="s">
        <v>188</v>
      </c>
      <c r="AW275" s="223">
        <v>44641</v>
      </c>
      <c r="AX275" s="225" t="s">
        <v>1880</v>
      </c>
      <c r="AY275" s="225" t="s">
        <v>1935</v>
      </c>
      <c r="AZ275" s="225" t="s">
        <v>1880</v>
      </c>
      <c r="BA275" s="225" t="s">
        <v>380</v>
      </c>
      <c r="BB275" s="225" t="s">
        <v>244</v>
      </c>
      <c r="BC275" s="225" t="s">
        <v>2896</v>
      </c>
      <c r="BD275" s="225">
        <v>31</v>
      </c>
      <c r="BE275" s="225">
        <v>10</v>
      </c>
      <c r="BF275" s="225">
        <v>78.099999999999994</v>
      </c>
      <c r="BG275" s="225">
        <v>0.08</v>
      </c>
      <c r="BH275" s="225" t="s">
        <v>1882</v>
      </c>
      <c r="BI275" s="225"/>
      <c r="BJ275" s="225">
        <f>25+65+50+350+145+235+62+34+48+47+106+35+300+215+80+1800</f>
        <v>3597</v>
      </c>
      <c r="BK275" s="225"/>
      <c r="BL275" s="225"/>
      <c r="BM275" s="225"/>
      <c r="BN275" s="225">
        <v>450</v>
      </c>
      <c r="BO275" s="225">
        <f t="shared" si="24"/>
        <v>4047</v>
      </c>
      <c r="BP275" s="230">
        <f t="shared" si="25"/>
        <v>222.58500000000001</v>
      </c>
      <c r="BQ275" s="230">
        <f t="shared" si="26"/>
        <v>4269.585</v>
      </c>
      <c r="BR275" s="230">
        <v>4000.56</v>
      </c>
      <c r="BS275" s="225" t="s">
        <v>188</v>
      </c>
      <c r="BT275" s="225"/>
      <c r="BU275" s="225"/>
      <c r="BV275" s="301" t="s">
        <v>2325</v>
      </c>
      <c r="BW275" s="301" t="s">
        <v>214</v>
      </c>
      <c r="BX275" s="301" t="s">
        <v>620</v>
      </c>
      <c r="BY275" s="301">
        <v>2021</v>
      </c>
    </row>
    <row r="276" spans="1:77" s="33" customFormat="1" ht="13.5" customHeight="1">
      <c r="A276" s="64">
        <f t="shared" si="27"/>
        <v>2021</v>
      </c>
      <c r="B276" s="64">
        <f t="shared" si="28"/>
        <v>10</v>
      </c>
      <c r="C276" s="125" t="s">
        <v>191</v>
      </c>
      <c r="D276" s="168" t="str">
        <f t="shared" si="29"/>
        <v>non maj</v>
      </c>
      <c r="E276" s="292" t="s">
        <v>670</v>
      </c>
      <c r="F276" s="292" t="s">
        <v>1531</v>
      </c>
      <c r="G276" s="221">
        <v>600</v>
      </c>
      <c r="H276" s="222">
        <v>44489</v>
      </c>
      <c r="I276" s="222">
        <v>44490</v>
      </c>
      <c r="J276" s="223" t="s">
        <v>176</v>
      </c>
      <c r="K276" s="222" t="s">
        <v>176</v>
      </c>
      <c r="L276" s="223">
        <v>44491</v>
      </c>
      <c r="M276" s="223">
        <v>44491</v>
      </c>
      <c r="N276" s="223">
        <v>44495</v>
      </c>
      <c r="O276" s="222"/>
      <c r="P276" s="222">
        <v>44582</v>
      </c>
      <c r="Q276" s="222">
        <v>44580</v>
      </c>
      <c r="R276" s="222" t="s">
        <v>176</v>
      </c>
      <c r="S276" s="222">
        <v>44594</v>
      </c>
      <c r="T276" s="222">
        <v>44595</v>
      </c>
      <c r="U276" s="222">
        <v>44600</v>
      </c>
      <c r="V276" s="224"/>
      <c r="W276" s="222"/>
      <c r="X276" s="225"/>
      <c r="Y276" s="225"/>
      <c r="Z276" s="225"/>
      <c r="AA276" s="225">
        <v>2</v>
      </c>
      <c r="AB276" s="225">
        <v>54687</v>
      </c>
      <c r="AC276" s="225">
        <v>654</v>
      </c>
      <c r="AD276" s="225" t="s">
        <v>2897</v>
      </c>
      <c r="AE276" s="225">
        <v>38340</v>
      </c>
      <c r="AF276" s="225" t="s">
        <v>232</v>
      </c>
      <c r="AG276" s="226">
        <v>687029751</v>
      </c>
      <c r="AH276" s="246" t="s">
        <v>2898</v>
      </c>
      <c r="AI276" s="225" t="s">
        <v>1168</v>
      </c>
      <c r="AJ276" s="225"/>
      <c r="AK276" s="225"/>
      <c r="AL276" s="225" t="s">
        <v>176</v>
      </c>
      <c r="AM276" s="225" t="s">
        <v>176</v>
      </c>
      <c r="AN276" s="225" t="s">
        <v>176</v>
      </c>
      <c r="AO276" s="225" t="s">
        <v>176</v>
      </c>
      <c r="AP276" s="225" t="s">
        <v>2002</v>
      </c>
      <c r="AQ276" s="225" t="s">
        <v>1895</v>
      </c>
      <c r="AR276" s="225" t="s">
        <v>2003</v>
      </c>
      <c r="AS276" s="241" t="s">
        <v>245</v>
      </c>
      <c r="AT276" s="226">
        <v>476452433</v>
      </c>
      <c r="AU276" s="225" t="s">
        <v>176</v>
      </c>
      <c r="AV276" s="241" t="s">
        <v>188</v>
      </c>
      <c r="AW276" s="223">
        <v>44620</v>
      </c>
      <c r="AX276" s="225" t="s">
        <v>1179</v>
      </c>
      <c r="AY276" s="225" t="s">
        <v>1967</v>
      </c>
      <c r="AZ276" s="225" t="s">
        <v>1179</v>
      </c>
      <c r="BA276" s="225" t="s">
        <v>380</v>
      </c>
      <c r="BB276" s="225" t="s">
        <v>796</v>
      </c>
      <c r="BC276" s="225" t="s">
        <v>900</v>
      </c>
      <c r="BD276" s="225">
        <v>14.4</v>
      </c>
      <c r="BE276" s="225">
        <v>8.25</v>
      </c>
      <c r="BF276" s="225">
        <v>92</v>
      </c>
      <c r="BG276" s="225">
        <v>4.0000000000000001E-3</v>
      </c>
      <c r="BH276" s="225" t="s">
        <v>1899</v>
      </c>
      <c r="BI276" s="225"/>
      <c r="BJ276" s="225">
        <f>3782+112+1222.01+215.78+87.66</f>
        <v>5419.45</v>
      </c>
      <c r="BK276" s="225"/>
      <c r="BL276" s="225"/>
      <c r="BM276" s="225"/>
      <c r="BN276" s="225">
        <f>420+380+85</f>
        <v>885</v>
      </c>
      <c r="BO276" s="225">
        <f t="shared" si="24"/>
        <v>6304.45</v>
      </c>
      <c r="BP276" s="230">
        <f t="shared" si="25"/>
        <v>346.74475000000001</v>
      </c>
      <c r="BQ276" s="230">
        <f t="shared" si="26"/>
        <v>6651.1947499999997</v>
      </c>
      <c r="BR276" s="230">
        <v>6651.19</v>
      </c>
      <c r="BS276" s="225" t="s">
        <v>191</v>
      </c>
      <c r="BT276" s="225"/>
      <c r="BU276" s="225"/>
      <c r="BV276" s="301" t="s">
        <v>2325</v>
      </c>
      <c r="BW276" s="301" t="s">
        <v>214</v>
      </c>
      <c r="BX276" s="301" t="s">
        <v>620</v>
      </c>
      <c r="BY276" s="301">
        <v>2021</v>
      </c>
    </row>
    <row r="277" spans="1:77" s="33" customFormat="1" ht="13.5" customHeight="1">
      <c r="A277" s="64">
        <f t="shared" si="27"/>
        <v>2021</v>
      </c>
      <c r="B277" s="64">
        <f t="shared" si="28"/>
        <v>10</v>
      </c>
      <c r="C277" s="125" t="s">
        <v>191</v>
      </c>
      <c r="D277" s="168" t="str">
        <f t="shared" si="29"/>
        <v>non maj</v>
      </c>
      <c r="E277" s="232" t="s">
        <v>670</v>
      </c>
      <c r="F277" s="232" t="s">
        <v>1532</v>
      </c>
      <c r="G277" s="221">
        <v>600</v>
      </c>
      <c r="H277" s="222">
        <v>44489</v>
      </c>
      <c r="I277" s="222">
        <v>44490</v>
      </c>
      <c r="J277" s="223">
        <v>44491</v>
      </c>
      <c r="K277" s="222" t="s">
        <v>2899</v>
      </c>
      <c r="L277" s="223">
        <v>44497</v>
      </c>
      <c r="M277" s="223">
        <v>44497</v>
      </c>
      <c r="N277" s="223">
        <v>44503</v>
      </c>
      <c r="O277" s="222"/>
      <c r="P277" s="222">
        <v>44651</v>
      </c>
      <c r="Q277" s="222">
        <v>44620</v>
      </c>
      <c r="R277" s="222"/>
      <c r="S277" s="222">
        <v>44658</v>
      </c>
      <c r="T277" s="222">
        <v>44658</v>
      </c>
      <c r="U277" s="222">
        <v>44662</v>
      </c>
      <c r="V277" s="224"/>
      <c r="W277" s="222"/>
      <c r="X277" s="225"/>
      <c r="Y277" s="225"/>
      <c r="Z277" s="225"/>
      <c r="AA277" s="225">
        <v>4</v>
      </c>
      <c r="AB277" s="225">
        <v>59347</v>
      </c>
      <c r="AC277" s="225">
        <v>48</v>
      </c>
      <c r="AD277" s="225" t="s">
        <v>2900</v>
      </c>
      <c r="AE277" s="225">
        <v>38620</v>
      </c>
      <c r="AF277" s="225" t="s">
        <v>2010</v>
      </c>
      <c r="AG277" s="226">
        <v>675544208</v>
      </c>
      <c r="AH277" s="246" t="s">
        <v>2901</v>
      </c>
      <c r="AI277" s="225" t="s">
        <v>1168</v>
      </c>
      <c r="AJ277" s="225"/>
      <c r="AK277" s="225"/>
      <c r="AL277" s="225" t="s">
        <v>176</v>
      </c>
      <c r="AM277" s="225" t="s">
        <v>176</v>
      </c>
      <c r="AN277" s="225" t="s">
        <v>176</v>
      </c>
      <c r="AO277" s="225" t="s">
        <v>176</v>
      </c>
      <c r="AP277" s="225" t="s">
        <v>2762</v>
      </c>
      <c r="AQ277" s="225" t="s">
        <v>1018</v>
      </c>
      <c r="AR277" s="225" t="s">
        <v>2763</v>
      </c>
      <c r="AS277" s="241" t="s">
        <v>1019</v>
      </c>
      <c r="AT277" s="226">
        <v>476663386</v>
      </c>
      <c r="AU277" s="225" t="s">
        <v>176</v>
      </c>
      <c r="AV277" s="241" t="s">
        <v>188</v>
      </c>
      <c r="AW277" s="223">
        <v>44731</v>
      </c>
      <c r="AX277" s="225" t="s">
        <v>1880</v>
      </c>
      <c r="AY277" s="242">
        <v>2000</v>
      </c>
      <c r="AZ277" s="225" t="s">
        <v>4113</v>
      </c>
      <c r="BA277" s="225" t="s">
        <v>380</v>
      </c>
      <c r="BB277" s="225" t="s">
        <v>2764</v>
      </c>
      <c r="BC277" s="225" t="s">
        <v>2902</v>
      </c>
      <c r="BD277" s="230">
        <v>10</v>
      </c>
      <c r="BE277" s="230">
        <v>15.5</v>
      </c>
      <c r="BF277" s="230">
        <v>77.400000000000006</v>
      </c>
      <c r="BG277" s="230">
        <v>7.0000000000000007E-2</v>
      </c>
      <c r="BH277" s="230" t="s">
        <v>1882</v>
      </c>
      <c r="BI277" s="225"/>
      <c r="BJ277" s="230">
        <f>5090+925+344</f>
        <v>6359</v>
      </c>
      <c r="BK277" s="225"/>
      <c r="BL277" s="225"/>
      <c r="BM277" s="225"/>
      <c r="BN277" s="230">
        <v>650</v>
      </c>
      <c r="BO277" s="230">
        <f t="shared" si="24"/>
        <v>7009</v>
      </c>
      <c r="BP277" s="230">
        <f t="shared" si="25"/>
        <v>385.495</v>
      </c>
      <c r="BQ277" s="230">
        <f t="shared" si="26"/>
        <v>7394.4949999999999</v>
      </c>
      <c r="BR277" s="230">
        <v>5223</v>
      </c>
      <c r="BS277" s="225" t="s">
        <v>188</v>
      </c>
      <c r="BT277" s="225"/>
      <c r="BU277" s="225"/>
      <c r="BV277" s="301" t="s">
        <v>2325</v>
      </c>
      <c r="BW277" s="301" t="s">
        <v>214</v>
      </c>
      <c r="BX277" s="301" t="s">
        <v>620</v>
      </c>
      <c r="BY277" s="301">
        <v>2021</v>
      </c>
    </row>
    <row r="278" spans="1:77" s="33" customFormat="1" ht="13.5" customHeight="1">
      <c r="A278" s="64">
        <f t="shared" si="27"/>
        <v>2021</v>
      </c>
      <c r="B278" s="64">
        <f t="shared" si="28"/>
        <v>10</v>
      </c>
      <c r="C278" s="125" t="s">
        <v>191</v>
      </c>
      <c r="D278" s="168" t="str">
        <f t="shared" si="29"/>
        <v>maj</v>
      </c>
      <c r="E278" s="292" t="s">
        <v>670</v>
      </c>
      <c r="F278" s="292" t="s">
        <v>1533</v>
      </c>
      <c r="G278" s="221">
        <v>1000</v>
      </c>
      <c r="H278" s="222">
        <v>44489</v>
      </c>
      <c r="I278" s="222">
        <v>44490</v>
      </c>
      <c r="J278" s="223" t="s">
        <v>176</v>
      </c>
      <c r="K278" s="222" t="s">
        <v>176</v>
      </c>
      <c r="L278" s="223">
        <v>44491</v>
      </c>
      <c r="M278" s="223">
        <v>44491</v>
      </c>
      <c r="N278" s="223">
        <v>44495</v>
      </c>
      <c r="O278" s="222"/>
      <c r="P278" s="222">
        <v>44602</v>
      </c>
      <c r="Q278" s="222">
        <v>44533</v>
      </c>
      <c r="R278" s="222" t="s">
        <v>176</v>
      </c>
      <c r="S278" s="222">
        <v>44606</v>
      </c>
      <c r="T278" s="222">
        <v>44606</v>
      </c>
      <c r="U278" s="222">
        <v>44607</v>
      </c>
      <c r="V278" s="224"/>
      <c r="W278" s="222"/>
      <c r="X278" s="225"/>
      <c r="Y278" s="225"/>
      <c r="Z278" s="225"/>
      <c r="AA278" s="225">
        <v>1</v>
      </c>
      <c r="AB278" s="225">
        <v>9686</v>
      </c>
      <c r="AC278" s="225">
        <v>34</v>
      </c>
      <c r="AD278" s="225" t="s">
        <v>2903</v>
      </c>
      <c r="AE278" s="225">
        <v>38620</v>
      </c>
      <c r="AF278" s="225" t="s">
        <v>2888</v>
      </c>
      <c r="AG278" s="226">
        <v>625146515</v>
      </c>
      <c r="AH278" s="246" t="s">
        <v>2904</v>
      </c>
      <c r="AI278" s="225" t="s">
        <v>1168</v>
      </c>
      <c r="AJ278" s="225"/>
      <c r="AK278" s="225"/>
      <c r="AL278" s="225" t="s">
        <v>176</v>
      </c>
      <c r="AM278" s="225" t="s">
        <v>176</v>
      </c>
      <c r="AN278" s="225" t="s">
        <v>176</v>
      </c>
      <c r="AO278" s="225" t="s">
        <v>176</v>
      </c>
      <c r="AP278" s="225" t="s">
        <v>2762</v>
      </c>
      <c r="AQ278" s="225" t="s">
        <v>1018</v>
      </c>
      <c r="AR278" s="225" t="s">
        <v>2763</v>
      </c>
      <c r="AS278" s="241" t="s">
        <v>1019</v>
      </c>
      <c r="AT278" s="226">
        <v>476663386</v>
      </c>
      <c r="AU278" s="225" t="s">
        <v>176</v>
      </c>
      <c r="AV278" s="241" t="s">
        <v>188</v>
      </c>
      <c r="AW278" s="223">
        <v>44731</v>
      </c>
      <c r="AX278" s="225" t="s">
        <v>1880</v>
      </c>
      <c r="AY278" s="242">
        <v>1999</v>
      </c>
      <c r="AZ278" s="225" t="s">
        <v>1880</v>
      </c>
      <c r="BA278" s="225" t="s">
        <v>380</v>
      </c>
      <c r="BB278" s="225" t="s">
        <v>2764</v>
      </c>
      <c r="BC278" s="225" t="s">
        <v>2905</v>
      </c>
      <c r="BD278" s="230">
        <v>29</v>
      </c>
      <c r="BE278" s="230">
        <v>8</v>
      </c>
      <c r="BF278" s="230">
        <v>77</v>
      </c>
      <c r="BG278" s="230">
        <v>0.05</v>
      </c>
      <c r="BH278" s="230" t="s">
        <v>1882</v>
      </c>
      <c r="BI278" s="225"/>
      <c r="BJ278" s="230">
        <f>1792.23+465+103.26+245.24+94.25+150+285+120</f>
        <v>3254.9800000000005</v>
      </c>
      <c r="BK278" s="225"/>
      <c r="BL278" s="225"/>
      <c r="BM278" s="225"/>
      <c r="BN278" s="230">
        <v>600</v>
      </c>
      <c r="BO278" s="230">
        <f t="shared" si="24"/>
        <v>3854.9800000000005</v>
      </c>
      <c r="BP278" s="230">
        <f t="shared" si="25"/>
        <v>212.02390000000003</v>
      </c>
      <c r="BQ278" s="230">
        <f t="shared" si="26"/>
        <v>4067.0039000000006</v>
      </c>
      <c r="BR278" s="230">
        <v>4067</v>
      </c>
      <c r="BS278" s="225" t="s">
        <v>188</v>
      </c>
      <c r="BT278" s="225"/>
      <c r="BU278" s="225"/>
      <c r="BV278" s="301" t="s">
        <v>2325</v>
      </c>
      <c r="BW278" s="301" t="s">
        <v>214</v>
      </c>
      <c r="BX278" s="222" t="s">
        <v>618</v>
      </c>
      <c r="BY278" s="301">
        <v>2021</v>
      </c>
    </row>
    <row r="279" spans="1:77" s="33" customFormat="1" ht="13.5" customHeight="1">
      <c r="A279" s="64">
        <f t="shared" si="27"/>
        <v>2021</v>
      </c>
      <c r="B279" s="64">
        <f t="shared" si="28"/>
        <v>11</v>
      </c>
      <c r="C279" s="125" t="s">
        <v>191</v>
      </c>
      <c r="D279" s="168" t="str">
        <f t="shared" si="29"/>
        <v>non maj</v>
      </c>
      <c r="E279" s="292" t="s">
        <v>670</v>
      </c>
      <c r="F279" s="292" t="s">
        <v>1534</v>
      </c>
      <c r="G279" s="221">
        <v>600</v>
      </c>
      <c r="H279" s="222">
        <v>44491</v>
      </c>
      <c r="I279" s="222">
        <v>44494</v>
      </c>
      <c r="J279" s="223">
        <v>44497</v>
      </c>
      <c r="K279" s="222" t="s">
        <v>2906</v>
      </c>
      <c r="L279" s="223">
        <v>44512</v>
      </c>
      <c r="M279" s="223">
        <v>44512</v>
      </c>
      <c r="N279" s="223">
        <v>44519</v>
      </c>
      <c r="O279" s="222"/>
      <c r="P279" s="222">
        <v>44574</v>
      </c>
      <c r="Q279" s="222">
        <v>44530</v>
      </c>
      <c r="R279" s="222" t="s">
        <v>176</v>
      </c>
      <c r="S279" s="222">
        <v>44580</v>
      </c>
      <c r="T279" s="222">
        <v>44580</v>
      </c>
      <c r="U279" s="222">
        <v>44581</v>
      </c>
      <c r="V279" s="224"/>
      <c r="W279" s="222"/>
      <c r="X279" s="225"/>
      <c r="Y279" s="225"/>
      <c r="Z279" s="225"/>
      <c r="AA279" s="225">
        <v>2</v>
      </c>
      <c r="AB279" s="225">
        <v>65816</v>
      </c>
      <c r="AC279" s="225">
        <v>670</v>
      </c>
      <c r="AD279" s="225" t="s">
        <v>2907</v>
      </c>
      <c r="AE279" s="225">
        <v>38340</v>
      </c>
      <c r="AF279" s="225" t="s">
        <v>232</v>
      </c>
      <c r="AG279" s="226">
        <v>624874689</v>
      </c>
      <c r="AH279" s="246" t="s">
        <v>2908</v>
      </c>
      <c r="AI279" s="225" t="s">
        <v>1168</v>
      </c>
      <c r="AJ279" s="225"/>
      <c r="AK279" s="225"/>
      <c r="AL279" s="225" t="s">
        <v>176</v>
      </c>
      <c r="AM279" s="225" t="s">
        <v>176</v>
      </c>
      <c r="AN279" s="225" t="s">
        <v>176</v>
      </c>
      <c r="AO279" s="225" t="s">
        <v>176</v>
      </c>
      <c r="AP279" s="225" t="s">
        <v>579</v>
      </c>
      <c r="AQ279" s="225" t="s">
        <v>1895</v>
      </c>
      <c r="AR279" s="225" t="s">
        <v>1896</v>
      </c>
      <c r="AS279" s="241" t="s">
        <v>201</v>
      </c>
      <c r="AT279" s="226">
        <v>608287337</v>
      </c>
      <c r="AU279" s="225" t="s">
        <v>176</v>
      </c>
      <c r="AV279" s="241" t="s">
        <v>188</v>
      </c>
      <c r="AW279" s="223">
        <v>44417</v>
      </c>
      <c r="AX279" s="225" t="s">
        <v>4113</v>
      </c>
      <c r="AY279" s="225" t="s">
        <v>1935</v>
      </c>
      <c r="AZ279" s="225" t="s">
        <v>1880</v>
      </c>
      <c r="BA279" s="225" t="s">
        <v>380</v>
      </c>
      <c r="BB279" s="225" t="s">
        <v>2698</v>
      </c>
      <c r="BC279" s="225" t="s">
        <v>2909</v>
      </c>
      <c r="BD279" s="225">
        <v>30.5</v>
      </c>
      <c r="BE279" s="225">
        <v>6.5</v>
      </c>
      <c r="BF279" s="225">
        <v>83.3</v>
      </c>
      <c r="BG279" s="225">
        <v>8.5000000000000006E-2</v>
      </c>
      <c r="BH279" s="225" t="s">
        <v>1899</v>
      </c>
      <c r="BI279" s="225"/>
      <c r="BJ279" s="225">
        <f>3946+280+65+35</f>
        <v>4326</v>
      </c>
      <c r="BK279" s="225"/>
      <c r="BL279" s="225"/>
      <c r="BM279" s="225"/>
      <c r="BN279" s="225">
        <v>650</v>
      </c>
      <c r="BO279" s="225">
        <f t="shared" si="24"/>
        <v>4976</v>
      </c>
      <c r="BP279" s="230">
        <f t="shared" si="25"/>
        <v>273.68</v>
      </c>
      <c r="BQ279" s="230">
        <f t="shared" si="26"/>
        <v>5249.68</v>
      </c>
      <c r="BR279" s="230">
        <v>6000</v>
      </c>
      <c r="BS279" s="225" t="s">
        <v>191</v>
      </c>
      <c r="BT279" s="225"/>
      <c r="BU279" s="225"/>
      <c r="BV279" s="301" t="s">
        <v>2325</v>
      </c>
      <c r="BW279" s="301" t="s">
        <v>214</v>
      </c>
      <c r="BX279" s="301" t="s">
        <v>620</v>
      </c>
      <c r="BY279" s="301">
        <v>2021</v>
      </c>
    </row>
    <row r="280" spans="1:77" s="33" customFormat="1" ht="13.5" customHeight="1">
      <c r="A280" s="64">
        <f t="shared" si="27"/>
        <v>2021</v>
      </c>
      <c r="B280" s="64">
        <f t="shared" si="28"/>
        <v>10</v>
      </c>
      <c r="C280" s="125" t="s">
        <v>191</v>
      </c>
      <c r="D280" s="168" t="str">
        <f t="shared" si="29"/>
        <v>non maj</v>
      </c>
      <c r="E280" s="232" t="s">
        <v>670</v>
      </c>
      <c r="F280" s="232" t="s">
        <v>1535</v>
      </c>
      <c r="G280" s="221">
        <v>600</v>
      </c>
      <c r="H280" s="222">
        <v>44494</v>
      </c>
      <c r="I280" s="222">
        <v>44495</v>
      </c>
      <c r="J280" s="223" t="s">
        <v>176</v>
      </c>
      <c r="K280" s="222" t="s">
        <v>176</v>
      </c>
      <c r="L280" s="223">
        <v>44497</v>
      </c>
      <c r="M280" s="223">
        <v>44497</v>
      </c>
      <c r="N280" s="223">
        <v>44606</v>
      </c>
      <c r="O280" s="222"/>
      <c r="P280" s="222">
        <v>44683</v>
      </c>
      <c r="Q280" s="222">
        <v>44670</v>
      </c>
      <c r="R280" s="222"/>
      <c r="S280" s="222">
        <v>44685</v>
      </c>
      <c r="T280" s="222">
        <v>44685</v>
      </c>
      <c r="U280" s="222">
        <v>44687</v>
      </c>
      <c r="V280" s="224"/>
      <c r="W280" s="222"/>
      <c r="X280" s="225"/>
      <c r="Y280" s="225"/>
      <c r="Z280" s="225"/>
      <c r="AA280" s="225">
        <v>2</v>
      </c>
      <c r="AB280" s="225">
        <v>30719</v>
      </c>
      <c r="AC280" s="225">
        <v>203</v>
      </c>
      <c r="AD280" s="225" t="s">
        <v>2910</v>
      </c>
      <c r="AE280" s="225">
        <v>38500</v>
      </c>
      <c r="AF280" s="225" t="s">
        <v>1984</v>
      </c>
      <c r="AG280" s="226">
        <v>679536208</v>
      </c>
      <c r="AH280" s="246" t="s">
        <v>2911</v>
      </c>
      <c r="AI280" s="225" t="s">
        <v>1168</v>
      </c>
      <c r="AJ280" s="225"/>
      <c r="AK280" s="225"/>
      <c r="AL280" s="225" t="s">
        <v>176</v>
      </c>
      <c r="AM280" s="225" t="s">
        <v>176</v>
      </c>
      <c r="AN280" s="225" t="s">
        <v>176</v>
      </c>
      <c r="AO280" s="225" t="s">
        <v>176</v>
      </c>
      <c r="AP280" s="225" t="s">
        <v>845</v>
      </c>
      <c r="AQ280" s="225" t="s">
        <v>1910</v>
      </c>
      <c r="AR280" s="225" t="s">
        <v>1966</v>
      </c>
      <c r="AS280" s="241" t="s">
        <v>430</v>
      </c>
      <c r="AT280" s="226">
        <v>474432868</v>
      </c>
      <c r="AU280" s="225" t="s">
        <v>176</v>
      </c>
      <c r="AV280" s="241" t="s">
        <v>188</v>
      </c>
      <c r="AW280" s="223">
        <v>44514</v>
      </c>
      <c r="AX280" s="225" t="s">
        <v>4113</v>
      </c>
      <c r="AY280" s="225" t="s">
        <v>1967</v>
      </c>
      <c r="AZ280" s="225" t="s">
        <v>1880</v>
      </c>
      <c r="BA280" s="225" t="s">
        <v>267</v>
      </c>
      <c r="BB280" s="225" t="s">
        <v>853</v>
      </c>
      <c r="BC280" s="225" t="s">
        <v>2912</v>
      </c>
      <c r="BD280" s="225">
        <v>15</v>
      </c>
      <c r="BE280" s="225">
        <v>10.199999999999999</v>
      </c>
      <c r="BF280" s="225">
        <v>91.5</v>
      </c>
      <c r="BG280" s="225">
        <v>1.1999999999999999E-3</v>
      </c>
      <c r="BH280" s="225" t="s">
        <v>1882</v>
      </c>
      <c r="BI280" s="225"/>
      <c r="BJ280" s="225">
        <f>3590+170+216+396.28</f>
        <v>4372.28</v>
      </c>
      <c r="BK280" s="225"/>
      <c r="BL280" s="225"/>
      <c r="BM280" s="225"/>
      <c r="BN280" s="225">
        <v>675</v>
      </c>
      <c r="BO280" s="225">
        <f t="shared" si="24"/>
        <v>5047.28</v>
      </c>
      <c r="BP280" s="230">
        <f t="shared" si="25"/>
        <v>277.60039999999998</v>
      </c>
      <c r="BQ280" s="230">
        <f t="shared" si="26"/>
        <v>5324.8804</v>
      </c>
      <c r="BR280" s="230">
        <v>5324.88</v>
      </c>
      <c r="BS280" s="225" t="s">
        <v>188</v>
      </c>
      <c r="BT280" s="225"/>
      <c r="BU280" s="225"/>
      <c r="BV280" s="231" t="s">
        <v>4045</v>
      </c>
      <c r="BW280" s="225" t="s">
        <v>968</v>
      </c>
      <c r="BX280" s="301" t="s">
        <v>620</v>
      </c>
      <c r="BY280" s="301" t="s">
        <v>176</v>
      </c>
    </row>
    <row r="281" spans="1:77" s="33" customFormat="1" ht="13.5" customHeight="1">
      <c r="A281" s="64">
        <f t="shared" si="27"/>
        <v>2021</v>
      </c>
      <c r="B281" s="64">
        <f t="shared" si="28"/>
        <v>10</v>
      </c>
      <c r="C281" s="125" t="s">
        <v>191</v>
      </c>
      <c r="D281" s="168" t="str">
        <f t="shared" si="29"/>
        <v>non maj</v>
      </c>
      <c r="E281" s="292" t="s">
        <v>670</v>
      </c>
      <c r="F281" s="292" t="s">
        <v>1536</v>
      </c>
      <c r="G281" s="221">
        <v>600</v>
      </c>
      <c r="H281" s="222">
        <v>44496</v>
      </c>
      <c r="I281" s="222">
        <v>44497</v>
      </c>
      <c r="J281" s="223" t="s">
        <v>176</v>
      </c>
      <c r="K281" s="222" t="s">
        <v>176</v>
      </c>
      <c r="L281" s="223">
        <v>44497</v>
      </c>
      <c r="M281" s="223">
        <v>44497</v>
      </c>
      <c r="N281" s="223">
        <v>44503</v>
      </c>
      <c r="O281" s="222"/>
      <c r="P281" s="222">
        <v>44553</v>
      </c>
      <c r="Q281" s="222">
        <v>44545</v>
      </c>
      <c r="R281" s="222" t="s">
        <v>176</v>
      </c>
      <c r="S281" s="222">
        <v>44580</v>
      </c>
      <c r="T281" s="222">
        <v>44580</v>
      </c>
      <c r="U281" s="222">
        <v>44581</v>
      </c>
      <c r="V281" s="224"/>
      <c r="W281" s="222"/>
      <c r="X281" s="225"/>
      <c r="Y281" s="225"/>
      <c r="Z281" s="225"/>
      <c r="AA281" s="225">
        <v>5</v>
      </c>
      <c r="AB281" s="225">
        <v>49889</v>
      </c>
      <c r="AC281" s="225">
        <v>76</v>
      </c>
      <c r="AD281" s="225" t="s">
        <v>2791</v>
      </c>
      <c r="AE281" s="225">
        <v>38960</v>
      </c>
      <c r="AF281" s="225" t="s">
        <v>1964</v>
      </c>
      <c r="AG281" s="226">
        <v>681610195</v>
      </c>
      <c r="AH281" s="246" t="s">
        <v>2913</v>
      </c>
      <c r="AI281" s="225" t="s">
        <v>1168</v>
      </c>
      <c r="AJ281" s="225"/>
      <c r="AK281" s="225"/>
      <c r="AL281" s="225" t="s">
        <v>176</v>
      </c>
      <c r="AM281" s="225" t="s">
        <v>176</v>
      </c>
      <c r="AN281" s="225" t="s">
        <v>176</v>
      </c>
      <c r="AO281" s="225" t="s">
        <v>176</v>
      </c>
      <c r="AP281" s="225" t="s">
        <v>268</v>
      </c>
      <c r="AQ281" s="225" t="s">
        <v>1893</v>
      </c>
      <c r="AR281" s="225" t="s">
        <v>1933</v>
      </c>
      <c r="AS281" s="246" t="s">
        <v>1934</v>
      </c>
      <c r="AT281" s="226">
        <v>476355605</v>
      </c>
      <c r="AU281" s="225" t="s">
        <v>176</v>
      </c>
      <c r="AV281" s="241" t="s">
        <v>188</v>
      </c>
      <c r="AW281" s="223">
        <v>44495</v>
      </c>
      <c r="AX281" s="225" t="s">
        <v>4113</v>
      </c>
      <c r="AY281" s="225">
        <v>1998</v>
      </c>
      <c r="AZ281" s="225" t="s">
        <v>1880</v>
      </c>
      <c r="BA281" s="225" t="s">
        <v>380</v>
      </c>
      <c r="BB281" s="225" t="s">
        <v>1936</v>
      </c>
      <c r="BC281" s="225" t="s">
        <v>2914</v>
      </c>
      <c r="BD281" s="225">
        <v>22</v>
      </c>
      <c r="BE281" s="225">
        <v>7</v>
      </c>
      <c r="BF281" s="225">
        <v>80</v>
      </c>
      <c r="BG281" s="225">
        <v>0.08</v>
      </c>
      <c r="BH281" s="225" t="s">
        <v>1882</v>
      </c>
      <c r="BI281" s="225"/>
      <c r="BJ281" s="225">
        <f>420+38.5+64.5+47.65+74.56+94+3100+218+89.6+45.35</f>
        <v>4192.1600000000008</v>
      </c>
      <c r="BK281" s="225"/>
      <c r="BL281" s="225"/>
      <c r="BM281" s="225"/>
      <c r="BN281" s="225">
        <f>99.09+450+425</f>
        <v>974.09</v>
      </c>
      <c r="BO281" s="225">
        <f t="shared" si="24"/>
        <v>5166.2500000000009</v>
      </c>
      <c r="BP281" s="230">
        <f t="shared" si="25"/>
        <v>284.14375000000007</v>
      </c>
      <c r="BQ281" s="230">
        <f t="shared" si="26"/>
        <v>5450.3937500000011</v>
      </c>
      <c r="BR281" s="230">
        <v>5450.39</v>
      </c>
      <c r="BS281" s="225" t="s">
        <v>188</v>
      </c>
      <c r="BT281" s="225"/>
      <c r="BU281" s="225"/>
      <c r="BV281" s="301" t="s">
        <v>2325</v>
      </c>
      <c r="BW281" s="301" t="s">
        <v>214</v>
      </c>
      <c r="BX281" s="301" t="s">
        <v>620</v>
      </c>
      <c r="BY281" s="301">
        <v>2021</v>
      </c>
    </row>
    <row r="282" spans="1:77" s="33" customFormat="1" ht="13.5" customHeight="1">
      <c r="A282" s="64">
        <f t="shared" si="27"/>
        <v>2021</v>
      </c>
      <c r="B282" s="64">
        <f t="shared" si="28"/>
        <v>11</v>
      </c>
      <c r="C282" s="125" t="s">
        <v>191</v>
      </c>
      <c r="D282" s="168" t="str">
        <f t="shared" si="29"/>
        <v>non maj</v>
      </c>
      <c r="E282" s="232" t="s">
        <v>670</v>
      </c>
      <c r="F282" s="232" t="s">
        <v>1537</v>
      </c>
      <c r="G282" s="221">
        <v>600</v>
      </c>
      <c r="H282" s="222">
        <v>44498</v>
      </c>
      <c r="I282" s="222">
        <v>44498</v>
      </c>
      <c r="J282" s="223" t="s">
        <v>176</v>
      </c>
      <c r="K282" s="222" t="s">
        <v>176</v>
      </c>
      <c r="L282" s="223">
        <v>44512</v>
      </c>
      <c r="M282" s="223">
        <v>44512</v>
      </c>
      <c r="N282" s="223">
        <v>44519</v>
      </c>
      <c r="O282" s="222"/>
      <c r="P282" s="222">
        <v>44816</v>
      </c>
      <c r="Q282" s="222">
        <v>44797</v>
      </c>
      <c r="R282" s="222" t="s">
        <v>176</v>
      </c>
      <c r="S282" s="222">
        <v>44833</v>
      </c>
      <c r="T282" s="222">
        <v>44833</v>
      </c>
      <c r="U282" s="222">
        <v>44833</v>
      </c>
      <c r="V282" s="224"/>
      <c r="W282" s="222"/>
      <c r="X282" s="225"/>
      <c r="Y282" s="225"/>
      <c r="Z282" s="225"/>
      <c r="AA282" s="225">
        <v>2</v>
      </c>
      <c r="AB282" s="225">
        <v>38396</v>
      </c>
      <c r="AC282" s="225">
        <v>629</v>
      </c>
      <c r="AD282" s="225" t="s">
        <v>2601</v>
      </c>
      <c r="AE282" s="225">
        <v>38620</v>
      </c>
      <c r="AF282" s="225" t="s">
        <v>1871</v>
      </c>
      <c r="AG282" s="226">
        <v>672833178</v>
      </c>
      <c r="AH282" s="246" t="s">
        <v>2915</v>
      </c>
      <c r="AI282" s="225" t="s">
        <v>1168</v>
      </c>
      <c r="AJ282" s="225"/>
      <c r="AK282" s="225"/>
      <c r="AL282" s="225" t="s">
        <v>176</v>
      </c>
      <c r="AM282" s="225" t="s">
        <v>176</v>
      </c>
      <c r="AN282" s="225" t="s">
        <v>176</v>
      </c>
      <c r="AO282" s="225" t="s">
        <v>176</v>
      </c>
      <c r="AP282" s="225" t="s">
        <v>1874</v>
      </c>
      <c r="AQ282" s="225" t="s">
        <v>1875</v>
      </c>
      <c r="AR282" s="225" t="s">
        <v>1876</v>
      </c>
      <c r="AS282" s="246" t="s">
        <v>1877</v>
      </c>
      <c r="AT282" s="226" t="s">
        <v>434</v>
      </c>
      <c r="AU282" s="225" t="s">
        <v>176</v>
      </c>
      <c r="AV282" s="241" t="s">
        <v>1878</v>
      </c>
      <c r="AW282" s="223">
        <v>44517</v>
      </c>
      <c r="AX282" s="225" t="s">
        <v>1880</v>
      </c>
      <c r="AY282" s="225">
        <v>1995</v>
      </c>
      <c r="AZ282" s="225" t="s">
        <v>1880</v>
      </c>
      <c r="BA282" s="225" t="s">
        <v>267</v>
      </c>
      <c r="BB282" s="225" t="s">
        <v>190</v>
      </c>
      <c r="BC282" s="225" t="s">
        <v>2916</v>
      </c>
      <c r="BD282" s="225">
        <v>11</v>
      </c>
      <c r="BE282" s="225">
        <v>12</v>
      </c>
      <c r="BF282" s="225">
        <v>88.5</v>
      </c>
      <c r="BG282" s="225">
        <v>7.0000000000000001E-3</v>
      </c>
      <c r="BH282" s="225" t="s">
        <v>1882</v>
      </c>
      <c r="BI282" s="225"/>
      <c r="BJ282" s="225">
        <f>3700+185+193+185</f>
        <v>4263</v>
      </c>
      <c r="BK282" s="225"/>
      <c r="BL282" s="225"/>
      <c r="BM282" s="225"/>
      <c r="BN282" s="225">
        <f>790+695</f>
        <v>1485</v>
      </c>
      <c r="BO282" s="225">
        <f t="shared" si="24"/>
        <v>5748</v>
      </c>
      <c r="BP282" s="230">
        <f t="shared" si="25"/>
        <v>316.14</v>
      </c>
      <c r="BQ282" s="230">
        <f t="shared" si="26"/>
        <v>6064.14</v>
      </c>
      <c r="BR282" s="230">
        <v>6064.14</v>
      </c>
      <c r="BS282" s="225" t="s">
        <v>188</v>
      </c>
      <c r="BT282" s="225"/>
      <c r="BU282" s="225"/>
      <c r="BV282" s="301" t="s">
        <v>2325</v>
      </c>
      <c r="BW282" s="301" t="s">
        <v>214</v>
      </c>
      <c r="BX282" s="301" t="s">
        <v>620</v>
      </c>
      <c r="BY282" s="301" t="s">
        <v>176</v>
      </c>
    </row>
    <row r="283" spans="1:77" s="33" customFormat="1" ht="13.5" customHeight="1">
      <c r="A283" s="64">
        <f t="shared" si="27"/>
        <v>2021</v>
      </c>
      <c r="B283" s="64">
        <f t="shared" si="28"/>
        <v>11</v>
      </c>
      <c r="C283" s="125" t="s">
        <v>191</v>
      </c>
      <c r="D283" s="168" t="str">
        <f t="shared" si="29"/>
        <v>non maj</v>
      </c>
      <c r="E283" s="292" t="s">
        <v>670</v>
      </c>
      <c r="F283" s="292" t="s">
        <v>1538</v>
      </c>
      <c r="G283" s="221">
        <v>600</v>
      </c>
      <c r="H283" s="222">
        <v>44499</v>
      </c>
      <c r="I283" s="222">
        <v>44508</v>
      </c>
      <c r="J283" s="223" t="s">
        <v>176</v>
      </c>
      <c r="K283" s="222" t="s">
        <v>176</v>
      </c>
      <c r="L283" s="223">
        <v>44512</v>
      </c>
      <c r="M283" s="223">
        <v>44512</v>
      </c>
      <c r="N283" s="223">
        <v>44519</v>
      </c>
      <c r="O283" s="222"/>
      <c r="P283" s="222">
        <v>44585</v>
      </c>
      <c r="Q283" s="222">
        <v>44581</v>
      </c>
      <c r="R283" s="222" t="s">
        <v>176</v>
      </c>
      <c r="S283" s="222">
        <v>44594</v>
      </c>
      <c r="T283" s="222">
        <v>44595</v>
      </c>
      <c r="U283" s="222">
        <v>44600</v>
      </c>
      <c r="V283" s="224"/>
      <c r="W283" s="222"/>
      <c r="X283" s="225"/>
      <c r="Y283" s="225"/>
      <c r="Z283" s="225"/>
      <c r="AA283" s="225">
        <v>4</v>
      </c>
      <c r="AB283" s="225">
        <v>55290</v>
      </c>
      <c r="AC283" s="225">
        <v>65</v>
      </c>
      <c r="AD283" s="225" t="s">
        <v>802</v>
      </c>
      <c r="AE283" s="225">
        <v>38500</v>
      </c>
      <c r="AF283" s="225" t="s">
        <v>271</v>
      </c>
      <c r="AG283" s="226">
        <v>604095149</v>
      </c>
      <c r="AH283" s="246" t="s">
        <v>2917</v>
      </c>
      <c r="AI283" s="225" t="s">
        <v>1168</v>
      </c>
      <c r="AJ283" s="225"/>
      <c r="AK283" s="225"/>
      <c r="AL283" s="225" t="s">
        <v>176</v>
      </c>
      <c r="AM283" s="225" t="s">
        <v>176</v>
      </c>
      <c r="AN283" s="225" t="s">
        <v>176</v>
      </c>
      <c r="AO283" s="225" t="s">
        <v>176</v>
      </c>
      <c r="AP283" s="225" t="s">
        <v>2052</v>
      </c>
      <c r="AQ283" s="225" t="s">
        <v>232</v>
      </c>
      <c r="AR283" s="225" t="s">
        <v>233</v>
      </c>
      <c r="AS283" s="241" t="s">
        <v>234</v>
      </c>
      <c r="AT283" s="226">
        <v>476500550</v>
      </c>
      <c r="AU283" s="225" t="s">
        <v>176</v>
      </c>
      <c r="AV283" s="241" t="s">
        <v>188</v>
      </c>
      <c r="AW283" s="223">
        <v>44740</v>
      </c>
      <c r="AX283" s="225" t="s">
        <v>1880</v>
      </c>
      <c r="AY283" s="225">
        <v>2001</v>
      </c>
      <c r="AZ283" s="225" t="s">
        <v>1880</v>
      </c>
      <c r="BA283" s="225" t="s">
        <v>380</v>
      </c>
      <c r="BB283" s="225" t="s">
        <v>270</v>
      </c>
      <c r="BC283" s="225" t="s">
        <v>2918</v>
      </c>
      <c r="BD283" s="225">
        <v>32</v>
      </c>
      <c r="BE283" s="225">
        <v>7</v>
      </c>
      <c r="BF283" s="225">
        <v>77.8</v>
      </c>
      <c r="BG283" s="225">
        <v>0.08</v>
      </c>
      <c r="BH283" s="225" t="s">
        <v>1882</v>
      </c>
      <c r="BI283" s="225"/>
      <c r="BJ283" s="225">
        <f>3816.66+34.25+215.2</f>
        <v>4066.1099999999997</v>
      </c>
      <c r="BK283" s="225"/>
      <c r="BL283" s="225"/>
      <c r="BM283" s="225"/>
      <c r="BN283" s="225">
        <v>650</v>
      </c>
      <c r="BO283" s="225">
        <f t="shared" si="24"/>
        <v>4716.1099999999997</v>
      </c>
      <c r="BP283" s="230">
        <f t="shared" si="25"/>
        <v>259.38605000000001</v>
      </c>
      <c r="BQ283" s="230">
        <f t="shared" si="26"/>
        <v>4975.4960499999997</v>
      </c>
      <c r="BR283" s="230">
        <v>4975.5</v>
      </c>
      <c r="BS283" s="225" t="s">
        <v>191</v>
      </c>
      <c r="BT283" s="225"/>
      <c r="BU283" s="225"/>
      <c r="BV283" s="301" t="s">
        <v>2325</v>
      </c>
      <c r="BW283" s="301" t="s">
        <v>214</v>
      </c>
      <c r="BX283" s="301" t="s">
        <v>620</v>
      </c>
      <c r="BY283" s="301">
        <v>2021</v>
      </c>
    </row>
    <row r="284" spans="1:77" s="33" customFormat="1" ht="13.5" customHeight="1">
      <c r="A284" s="64">
        <f t="shared" si="27"/>
        <v>2021</v>
      </c>
      <c r="B284" s="64">
        <f t="shared" si="28"/>
        <v>11</v>
      </c>
      <c r="C284" s="125" t="s">
        <v>191</v>
      </c>
      <c r="D284" s="168" t="str">
        <f t="shared" si="29"/>
        <v>maj</v>
      </c>
      <c r="E284" s="232" t="s">
        <v>670</v>
      </c>
      <c r="F284" s="232" t="s">
        <v>1539</v>
      </c>
      <c r="G284" s="221">
        <v>1000</v>
      </c>
      <c r="H284" s="222">
        <v>44502</v>
      </c>
      <c r="I284" s="222">
        <v>44508</v>
      </c>
      <c r="J284" s="223" t="s">
        <v>176</v>
      </c>
      <c r="K284" s="222" t="s">
        <v>176</v>
      </c>
      <c r="L284" s="223">
        <v>44512</v>
      </c>
      <c r="M284" s="223">
        <v>44512</v>
      </c>
      <c r="N284" s="223">
        <v>44519</v>
      </c>
      <c r="O284" s="222"/>
      <c r="P284" s="222">
        <v>44700</v>
      </c>
      <c r="Q284" s="222">
        <v>44561</v>
      </c>
      <c r="R284" s="222" t="s">
        <v>176</v>
      </c>
      <c r="S284" s="222">
        <v>44768</v>
      </c>
      <c r="T284" s="222">
        <v>44768</v>
      </c>
      <c r="U284" s="222">
        <v>44769</v>
      </c>
      <c r="V284" s="224"/>
      <c r="W284" s="222"/>
      <c r="X284" s="225"/>
      <c r="Y284" s="225"/>
      <c r="Z284" s="225"/>
      <c r="AA284" s="225">
        <v>2</v>
      </c>
      <c r="AB284" s="225">
        <v>21498</v>
      </c>
      <c r="AC284" s="225">
        <v>1710</v>
      </c>
      <c r="AD284" s="225" t="s">
        <v>2919</v>
      </c>
      <c r="AE284" s="225">
        <v>38850</v>
      </c>
      <c r="AF284" s="225" t="s">
        <v>2151</v>
      </c>
      <c r="AG284" s="226">
        <v>644835495</v>
      </c>
      <c r="AH284" s="246" t="s">
        <v>2920</v>
      </c>
      <c r="AI284" s="225" t="s">
        <v>1168</v>
      </c>
      <c r="AJ284" s="225"/>
      <c r="AK284" s="225"/>
      <c r="AL284" s="225" t="s">
        <v>176</v>
      </c>
      <c r="AM284" s="225" t="s">
        <v>176</v>
      </c>
      <c r="AN284" s="225" t="s">
        <v>176</v>
      </c>
      <c r="AO284" s="225" t="s">
        <v>176</v>
      </c>
      <c r="AP284" s="225" t="s">
        <v>1874</v>
      </c>
      <c r="AQ284" s="225" t="s">
        <v>1875</v>
      </c>
      <c r="AR284" s="225" t="s">
        <v>1876</v>
      </c>
      <c r="AS284" s="246" t="s">
        <v>1877</v>
      </c>
      <c r="AT284" s="226" t="s">
        <v>434</v>
      </c>
      <c r="AU284" s="225" t="s">
        <v>176</v>
      </c>
      <c r="AV284" s="241" t="s">
        <v>1878</v>
      </c>
      <c r="AW284" s="223">
        <v>44517</v>
      </c>
      <c r="AX284" s="225" t="s">
        <v>1880</v>
      </c>
      <c r="AY284" s="225">
        <v>1998</v>
      </c>
      <c r="AZ284" s="225" t="s">
        <v>1880</v>
      </c>
      <c r="BA284" s="225" t="s">
        <v>267</v>
      </c>
      <c r="BB284" s="225" t="s">
        <v>190</v>
      </c>
      <c r="BC284" s="225" t="s">
        <v>2662</v>
      </c>
      <c r="BD284" s="225">
        <v>8</v>
      </c>
      <c r="BE284" s="225">
        <v>8.1999999999999993</v>
      </c>
      <c r="BF284" s="225">
        <v>87.7</v>
      </c>
      <c r="BG284" s="225">
        <v>2E-3</v>
      </c>
      <c r="BH284" s="225" t="s">
        <v>1882</v>
      </c>
      <c r="BI284" s="225"/>
      <c r="BJ284" s="225">
        <f>2080+185+293+198</f>
        <v>2756</v>
      </c>
      <c r="BK284" s="225"/>
      <c r="BL284" s="225"/>
      <c r="BM284" s="225"/>
      <c r="BN284" s="225">
        <f>790+595</f>
        <v>1385</v>
      </c>
      <c r="BO284" s="225">
        <f t="shared" si="24"/>
        <v>4141</v>
      </c>
      <c r="BP284" s="230">
        <f t="shared" si="25"/>
        <v>227.755</v>
      </c>
      <c r="BQ284" s="230">
        <f t="shared" si="26"/>
        <v>4368.7550000000001</v>
      </c>
      <c r="BR284" s="230">
        <v>4368.76</v>
      </c>
      <c r="BS284" s="225" t="s">
        <v>188</v>
      </c>
      <c r="BT284" s="225"/>
      <c r="BU284" s="225"/>
      <c r="BV284" s="301" t="s">
        <v>2325</v>
      </c>
      <c r="BW284" s="301" t="s">
        <v>214</v>
      </c>
      <c r="BX284" s="222" t="s">
        <v>618</v>
      </c>
      <c r="BY284" s="301" t="s">
        <v>176</v>
      </c>
    </row>
    <row r="285" spans="1:77" s="33" customFormat="1" ht="13.5" customHeight="1">
      <c r="A285" s="64">
        <f t="shared" si="27"/>
        <v>2021</v>
      </c>
      <c r="B285" s="64">
        <f t="shared" si="28"/>
        <v>11</v>
      </c>
      <c r="C285" s="125" t="s">
        <v>191</v>
      </c>
      <c r="D285" s="168" t="str">
        <f t="shared" si="29"/>
        <v>non maj</v>
      </c>
      <c r="E285" s="232" t="s">
        <v>670</v>
      </c>
      <c r="F285" s="232" t="s">
        <v>1540</v>
      </c>
      <c r="G285" s="221">
        <v>600</v>
      </c>
      <c r="H285" s="222">
        <v>44502</v>
      </c>
      <c r="I285" s="222">
        <v>44508</v>
      </c>
      <c r="J285" s="223" t="s">
        <v>176</v>
      </c>
      <c r="K285" s="222" t="s">
        <v>2921</v>
      </c>
      <c r="L285" s="223">
        <v>44512</v>
      </c>
      <c r="M285" s="223">
        <v>44512</v>
      </c>
      <c r="N285" s="223">
        <v>44519</v>
      </c>
      <c r="O285" s="222"/>
      <c r="P285" s="222">
        <v>44750</v>
      </c>
      <c r="Q285" s="222">
        <v>44732</v>
      </c>
      <c r="R285" s="222" t="s">
        <v>2922</v>
      </c>
      <c r="S285" s="222">
        <v>44795</v>
      </c>
      <c r="T285" s="222">
        <v>44795</v>
      </c>
      <c r="U285" s="222">
        <v>44796</v>
      </c>
      <c r="V285" s="224"/>
      <c r="W285" s="222"/>
      <c r="X285" s="225"/>
      <c r="Y285" s="225"/>
      <c r="Z285" s="225"/>
      <c r="AA285" s="225">
        <v>2</v>
      </c>
      <c r="AB285" s="225">
        <v>44283</v>
      </c>
      <c r="AC285" s="225">
        <v>13</v>
      </c>
      <c r="AD285" s="225" t="s">
        <v>2923</v>
      </c>
      <c r="AE285" s="225">
        <v>38210</v>
      </c>
      <c r="AF285" s="225" t="s">
        <v>265</v>
      </c>
      <c r="AG285" s="226">
        <v>672616469</v>
      </c>
      <c r="AH285" s="246" t="s">
        <v>2924</v>
      </c>
      <c r="AI285" s="225" t="s">
        <v>1168</v>
      </c>
      <c r="AJ285" s="225"/>
      <c r="AK285" s="225"/>
      <c r="AL285" s="225" t="s">
        <v>176</v>
      </c>
      <c r="AM285" s="225" t="s">
        <v>176</v>
      </c>
      <c r="AN285" s="225" t="s">
        <v>176</v>
      </c>
      <c r="AO285" s="225" t="s">
        <v>176</v>
      </c>
      <c r="AP285" s="225" t="s">
        <v>749</v>
      </c>
      <c r="AQ285" s="225" t="s">
        <v>209</v>
      </c>
      <c r="AR285" s="225" t="s">
        <v>1013</v>
      </c>
      <c r="AS285" s="241" t="s">
        <v>2557</v>
      </c>
      <c r="AT285" s="226">
        <v>476042368</v>
      </c>
      <c r="AU285" s="225" t="s">
        <v>176</v>
      </c>
      <c r="AV285" s="241" t="s">
        <v>188</v>
      </c>
      <c r="AW285" s="223">
        <v>44708</v>
      </c>
      <c r="AX285" s="225" t="s">
        <v>4113</v>
      </c>
      <c r="AY285" s="225">
        <v>1981</v>
      </c>
      <c r="AZ285" s="225" t="s">
        <v>1880</v>
      </c>
      <c r="BA285" s="225" t="s">
        <v>267</v>
      </c>
      <c r="BB285" s="225" t="s">
        <v>1047</v>
      </c>
      <c r="BC285" s="225" t="s">
        <v>2925</v>
      </c>
      <c r="BD285" s="225">
        <v>27</v>
      </c>
      <c r="BE285" s="225">
        <v>9.5</v>
      </c>
      <c r="BF285" s="225">
        <v>92.5</v>
      </c>
      <c r="BG285" s="225">
        <v>7.0000000000000001E-3</v>
      </c>
      <c r="BH285" s="225" t="s">
        <v>1882</v>
      </c>
      <c r="BI285" s="225"/>
      <c r="BJ285" s="225">
        <f>135.66+617.18+205.73+89+37.8+32.53+48.35+42.02+14.95+47.48+1573.71</f>
        <v>2844.41</v>
      </c>
      <c r="BK285" s="225"/>
      <c r="BL285" s="225"/>
      <c r="BM285" s="225"/>
      <c r="BN285" s="225">
        <f>480.03+479</f>
        <v>959.03</v>
      </c>
      <c r="BO285" s="225">
        <f t="shared" si="24"/>
        <v>3803.4399999999996</v>
      </c>
      <c r="BP285" s="230">
        <f t="shared" si="25"/>
        <v>209.18919999999997</v>
      </c>
      <c r="BQ285" s="230">
        <f t="shared" si="26"/>
        <v>4012.6291999999994</v>
      </c>
      <c r="BR285" s="230">
        <v>4012.63</v>
      </c>
      <c r="BS285" s="225" t="s">
        <v>188</v>
      </c>
      <c r="BT285" s="225"/>
      <c r="BU285" s="225"/>
      <c r="BV285" s="301" t="s">
        <v>2325</v>
      </c>
      <c r="BW285" s="301" t="s">
        <v>214</v>
      </c>
      <c r="BX285" s="301" t="s">
        <v>620</v>
      </c>
      <c r="BY285" s="301" t="s">
        <v>176</v>
      </c>
    </row>
    <row r="286" spans="1:77" s="33" customFormat="1" ht="13.5" customHeight="1">
      <c r="A286" s="64">
        <f t="shared" si="27"/>
        <v>2021</v>
      </c>
      <c r="B286" s="64">
        <f t="shared" si="28"/>
        <v>11</v>
      </c>
      <c r="C286" s="125" t="s">
        <v>188</v>
      </c>
      <c r="D286" s="168" t="str">
        <f t="shared" si="29"/>
        <v>NC</v>
      </c>
      <c r="E286" s="294" t="s">
        <v>670</v>
      </c>
      <c r="F286" s="294" t="s">
        <v>1541</v>
      </c>
      <c r="G286" s="221">
        <v>600</v>
      </c>
      <c r="H286" s="222">
        <v>44503</v>
      </c>
      <c r="I286" s="222">
        <v>44508</v>
      </c>
      <c r="J286" s="223" t="s">
        <v>176</v>
      </c>
      <c r="K286" s="222" t="s">
        <v>176</v>
      </c>
      <c r="L286" s="223">
        <v>44512</v>
      </c>
      <c r="M286" s="223">
        <v>44512</v>
      </c>
      <c r="N286" s="223">
        <v>44519</v>
      </c>
      <c r="O286" s="222"/>
      <c r="P286" s="222">
        <v>44678</v>
      </c>
      <c r="Q286" s="222">
        <v>44494</v>
      </c>
      <c r="R286" s="222"/>
      <c r="S286" s="222"/>
      <c r="T286" s="222"/>
      <c r="U286" s="222"/>
      <c r="V286" s="224"/>
      <c r="W286" s="222">
        <v>44679</v>
      </c>
      <c r="X286" s="225" t="s">
        <v>604</v>
      </c>
      <c r="Y286" s="225"/>
      <c r="Z286" s="225"/>
      <c r="AA286" s="225">
        <v>2</v>
      </c>
      <c r="AB286" s="225">
        <v>40563</v>
      </c>
      <c r="AC286" s="225">
        <v>120</v>
      </c>
      <c r="AD286" s="225" t="s">
        <v>2926</v>
      </c>
      <c r="AE286" s="225">
        <v>38140</v>
      </c>
      <c r="AF286" s="225" t="s">
        <v>2216</v>
      </c>
      <c r="AG286" s="226">
        <v>676216116</v>
      </c>
      <c r="AH286" s="295" t="s">
        <v>2927</v>
      </c>
      <c r="AI286" s="225" t="s">
        <v>1168</v>
      </c>
      <c r="AJ286" s="225"/>
      <c r="AK286" s="225"/>
      <c r="AL286" s="225" t="s">
        <v>176</v>
      </c>
      <c r="AM286" s="225" t="s">
        <v>176</v>
      </c>
      <c r="AN286" s="225" t="s">
        <v>176</v>
      </c>
      <c r="AO286" s="225" t="s">
        <v>176</v>
      </c>
      <c r="AP286" s="225" t="s">
        <v>1888</v>
      </c>
      <c r="AQ286" s="225" t="s">
        <v>225</v>
      </c>
      <c r="AR286" s="225" t="s">
        <v>1889</v>
      </c>
      <c r="AS286" s="295" t="s">
        <v>269</v>
      </c>
      <c r="AT286" s="226" t="s">
        <v>600</v>
      </c>
      <c r="AU286" s="225" t="s">
        <v>176</v>
      </c>
      <c r="AV286" s="251" t="s">
        <v>188</v>
      </c>
      <c r="AW286" s="223">
        <v>44868</v>
      </c>
      <c r="AX286" s="225" t="s">
        <v>4113</v>
      </c>
      <c r="AY286" s="225">
        <v>1990</v>
      </c>
      <c r="AZ286" s="225" t="s">
        <v>1880</v>
      </c>
      <c r="BA286" s="225" t="s">
        <v>380</v>
      </c>
      <c r="BB286" s="225" t="s">
        <v>2007</v>
      </c>
      <c r="BC286" s="225" t="s">
        <v>2928</v>
      </c>
      <c r="BD286" s="225">
        <v>18</v>
      </c>
      <c r="BE286" s="225">
        <v>10.6</v>
      </c>
      <c r="BF286" s="225">
        <v>88</v>
      </c>
      <c r="BG286" s="225">
        <v>0.06</v>
      </c>
      <c r="BH286" s="225" t="s">
        <v>1882</v>
      </c>
      <c r="BI286" s="225"/>
      <c r="BJ286" s="225">
        <f>3282.62+138+89+83+90+22+25</f>
        <v>3729.62</v>
      </c>
      <c r="BK286" s="225"/>
      <c r="BL286" s="225"/>
      <c r="BM286" s="225"/>
      <c r="BN286" s="225">
        <f>450+60+420</f>
        <v>930</v>
      </c>
      <c r="BO286" s="225">
        <f t="shared" si="24"/>
        <v>4659.62</v>
      </c>
      <c r="BP286" s="230">
        <f t="shared" si="25"/>
        <v>256.27909999999997</v>
      </c>
      <c r="BQ286" s="230">
        <f t="shared" si="26"/>
        <v>4915.8990999999996</v>
      </c>
      <c r="BR286" s="230">
        <v>4390.51</v>
      </c>
      <c r="BS286" s="225" t="s">
        <v>188</v>
      </c>
      <c r="BT286" s="225"/>
      <c r="BU286" s="225"/>
      <c r="BV286" s="225">
        <v>0</v>
      </c>
      <c r="BW286" s="301" t="s">
        <v>214</v>
      </c>
      <c r="BX286" s="301" t="s">
        <v>214</v>
      </c>
      <c r="BY286" s="225">
        <v>2021</v>
      </c>
    </row>
    <row r="287" spans="1:77" s="33" customFormat="1" ht="13.5" customHeight="1">
      <c r="A287" s="64">
        <f t="shared" si="27"/>
        <v>2021</v>
      </c>
      <c r="B287" s="64">
        <f t="shared" si="28"/>
        <v>11</v>
      </c>
      <c r="C287" s="125" t="s">
        <v>191</v>
      </c>
      <c r="D287" s="168" t="str">
        <f t="shared" si="29"/>
        <v>non maj</v>
      </c>
      <c r="E287" s="225" t="s">
        <v>670</v>
      </c>
      <c r="F287" s="225" t="s">
        <v>1542</v>
      </c>
      <c r="G287" s="221">
        <v>600</v>
      </c>
      <c r="H287" s="222">
        <v>44504</v>
      </c>
      <c r="I287" s="222">
        <v>44508</v>
      </c>
      <c r="J287" s="223">
        <v>44512</v>
      </c>
      <c r="K287" s="222" t="s">
        <v>2281</v>
      </c>
      <c r="L287" s="223">
        <v>44525</v>
      </c>
      <c r="M287" s="223">
        <v>44525</v>
      </c>
      <c r="N287" s="223">
        <v>44539</v>
      </c>
      <c r="O287" s="222"/>
      <c r="P287" s="222"/>
      <c r="Q287" s="222"/>
      <c r="R287" s="222" t="s">
        <v>2929</v>
      </c>
      <c r="S287" s="222"/>
      <c r="T287" s="222"/>
      <c r="U287" s="222"/>
      <c r="V287" s="224"/>
      <c r="W287" s="222"/>
      <c r="X287" s="225"/>
      <c r="Y287" s="225"/>
      <c r="Z287" s="225"/>
      <c r="AA287" s="225">
        <v>3</v>
      </c>
      <c r="AB287" s="225">
        <v>43494</v>
      </c>
      <c r="AC287" s="225">
        <v>500</v>
      </c>
      <c r="AD287" s="225" t="s">
        <v>2930</v>
      </c>
      <c r="AE287" s="225">
        <v>38850</v>
      </c>
      <c r="AF287" s="225" t="s">
        <v>1916</v>
      </c>
      <c r="AG287" s="226">
        <v>626880404</v>
      </c>
      <c r="AH287" s="246" t="s">
        <v>2931</v>
      </c>
      <c r="AI287" s="225" t="s">
        <v>1168</v>
      </c>
      <c r="AJ287" s="225"/>
      <c r="AK287" s="225"/>
      <c r="AL287" s="225" t="s">
        <v>176</v>
      </c>
      <c r="AM287" s="225" t="s">
        <v>176</v>
      </c>
      <c r="AN287" s="225" t="s">
        <v>176</v>
      </c>
      <c r="AO287" s="225" t="s">
        <v>176</v>
      </c>
      <c r="AP287" s="225" t="s">
        <v>263</v>
      </c>
      <c r="AQ287" s="225" t="s">
        <v>1910</v>
      </c>
      <c r="AR287" s="225" t="s">
        <v>2568</v>
      </c>
      <c r="AS287" s="241" t="s">
        <v>595</v>
      </c>
      <c r="AT287" s="226">
        <v>438920220</v>
      </c>
      <c r="AU287" s="225" t="s">
        <v>176</v>
      </c>
      <c r="AV287" s="241" t="s">
        <v>188</v>
      </c>
      <c r="AW287" s="223">
        <v>44668</v>
      </c>
      <c r="AX287" s="225" t="s">
        <v>1179</v>
      </c>
      <c r="AY287" s="225" t="s">
        <v>1967</v>
      </c>
      <c r="AZ287" s="225" t="s">
        <v>4113</v>
      </c>
      <c r="BA287" s="225" t="s">
        <v>380</v>
      </c>
      <c r="BB287" s="225" t="s">
        <v>219</v>
      </c>
      <c r="BC287" s="225" t="s">
        <v>697</v>
      </c>
      <c r="BD287" s="225">
        <v>5</v>
      </c>
      <c r="BE287" s="225">
        <v>9</v>
      </c>
      <c r="BF287" s="225">
        <v>77</v>
      </c>
      <c r="BG287" s="225">
        <v>7.0000000000000007E-2</v>
      </c>
      <c r="BH287" s="225" t="s">
        <v>1882</v>
      </c>
      <c r="BI287" s="225"/>
      <c r="BJ287" s="225">
        <f>3186+222+390.22+241+1537+355+1051+57+52+198+91+456</f>
        <v>7836.22</v>
      </c>
      <c r="BK287" s="225"/>
      <c r="BL287" s="225"/>
      <c r="BM287" s="225"/>
      <c r="BN287" s="225">
        <f>1818+51+135</f>
        <v>2004</v>
      </c>
      <c r="BO287" s="225">
        <f t="shared" si="24"/>
        <v>9840.2200000000012</v>
      </c>
      <c r="BP287" s="230">
        <f t="shared" si="25"/>
        <v>541.21210000000008</v>
      </c>
      <c r="BQ287" s="230">
        <f t="shared" si="26"/>
        <v>10381.432100000002</v>
      </c>
      <c r="BR287" s="230">
        <v>9300</v>
      </c>
      <c r="BS287" s="225" t="s">
        <v>188</v>
      </c>
      <c r="BT287" s="225"/>
      <c r="BU287" s="225"/>
      <c r="BV287" s="301" t="s">
        <v>2325</v>
      </c>
      <c r="BW287" s="301" t="s">
        <v>214</v>
      </c>
      <c r="BX287" s="301" t="s">
        <v>620</v>
      </c>
      <c r="BY287" s="301">
        <v>2022</v>
      </c>
    </row>
    <row r="288" spans="1:77" s="33" customFormat="1" ht="13.5" customHeight="1">
      <c r="A288" s="64">
        <f t="shared" si="27"/>
        <v>2021</v>
      </c>
      <c r="B288" s="64">
        <f t="shared" si="28"/>
        <v>11</v>
      </c>
      <c r="C288" s="125" t="s">
        <v>191</v>
      </c>
      <c r="D288" s="168" t="str">
        <f t="shared" si="29"/>
        <v>maj</v>
      </c>
      <c r="E288" s="292" t="s">
        <v>670</v>
      </c>
      <c r="F288" s="292" t="s">
        <v>1543</v>
      </c>
      <c r="G288" s="221">
        <v>1000</v>
      </c>
      <c r="H288" s="222">
        <v>44504</v>
      </c>
      <c r="I288" s="222">
        <v>44508</v>
      </c>
      <c r="J288" s="223" t="s">
        <v>176</v>
      </c>
      <c r="K288" s="222" t="s">
        <v>176</v>
      </c>
      <c r="L288" s="223">
        <v>44512</v>
      </c>
      <c r="M288" s="223">
        <v>44512</v>
      </c>
      <c r="N288" s="223">
        <v>44519</v>
      </c>
      <c r="O288" s="222"/>
      <c r="P288" s="222">
        <v>44582</v>
      </c>
      <c r="Q288" s="222">
        <v>44553</v>
      </c>
      <c r="R288" s="222" t="s">
        <v>176</v>
      </c>
      <c r="S288" s="222">
        <v>44606</v>
      </c>
      <c r="T288" s="222">
        <v>44606</v>
      </c>
      <c r="U288" s="222">
        <v>44607</v>
      </c>
      <c r="V288" s="224"/>
      <c r="W288" s="222"/>
      <c r="X288" s="225"/>
      <c r="Y288" s="225"/>
      <c r="Z288" s="225"/>
      <c r="AA288" s="225">
        <v>2</v>
      </c>
      <c r="AB288" s="225">
        <v>27680</v>
      </c>
      <c r="AC288" s="225">
        <v>398</v>
      </c>
      <c r="AD288" s="225" t="s">
        <v>2932</v>
      </c>
      <c r="AE288" s="225">
        <v>38730</v>
      </c>
      <c r="AF288" s="225" t="s">
        <v>1916</v>
      </c>
      <c r="AG288" s="226">
        <v>684887148</v>
      </c>
      <c r="AH288" s="246" t="s">
        <v>2933</v>
      </c>
      <c r="AI288" s="225" t="s">
        <v>1168</v>
      </c>
      <c r="AJ288" s="225"/>
      <c r="AK288" s="225"/>
      <c r="AL288" s="225" t="s">
        <v>176</v>
      </c>
      <c r="AM288" s="225" t="s">
        <v>176</v>
      </c>
      <c r="AN288" s="225" t="s">
        <v>176</v>
      </c>
      <c r="AO288" s="225" t="s">
        <v>176</v>
      </c>
      <c r="AP288" s="225" t="s">
        <v>222</v>
      </c>
      <c r="AQ288" s="225" t="s">
        <v>2038</v>
      </c>
      <c r="AR288" s="225" t="s">
        <v>1043</v>
      </c>
      <c r="AS288" s="241" t="s">
        <v>224</v>
      </c>
      <c r="AT288" s="226">
        <v>479750979</v>
      </c>
      <c r="AU288" s="225" t="s">
        <v>176</v>
      </c>
      <c r="AV288" s="241" t="s">
        <v>188</v>
      </c>
      <c r="AW288" s="223">
        <v>44798</v>
      </c>
      <c r="AX288" s="225" t="s">
        <v>4113</v>
      </c>
      <c r="AY288" s="225">
        <v>1977</v>
      </c>
      <c r="AZ288" s="225" t="s">
        <v>1880</v>
      </c>
      <c r="BA288" s="225" t="s">
        <v>267</v>
      </c>
      <c r="BB288" s="225" t="s">
        <v>400</v>
      </c>
      <c r="BC288" s="225" t="s">
        <v>2934</v>
      </c>
      <c r="BD288" s="225">
        <v>18</v>
      </c>
      <c r="BE288" s="225">
        <v>10</v>
      </c>
      <c r="BF288" s="225">
        <v>90.4</v>
      </c>
      <c r="BG288" s="225">
        <v>3.0000000000000001E-3</v>
      </c>
      <c r="BH288" s="225" t="s">
        <v>1882</v>
      </c>
      <c r="BI288" s="225"/>
      <c r="BJ288" s="225">
        <f>70+45+490+85+116+210+90+117+128+2676</f>
        <v>4027</v>
      </c>
      <c r="BK288" s="225"/>
      <c r="BL288" s="225"/>
      <c r="BM288" s="225"/>
      <c r="BN288" s="225">
        <f>760+45+200</f>
        <v>1005</v>
      </c>
      <c r="BO288" s="225">
        <f t="shared" si="24"/>
        <v>5032</v>
      </c>
      <c r="BP288" s="230">
        <f t="shared" si="25"/>
        <v>276.76</v>
      </c>
      <c r="BQ288" s="230">
        <f t="shared" si="26"/>
        <v>5308.76</v>
      </c>
      <c r="BR288" s="230">
        <f>(1516.59*1.055)+3710.52</f>
        <v>5310.5224499999995</v>
      </c>
      <c r="BS288" s="225" t="s">
        <v>188</v>
      </c>
      <c r="BT288" s="225"/>
      <c r="BU288" s="225"/>
      <c r="BV288" s="301" t="s">
        <v>2325</v>
      </c>
      <c r="BW288" s="301" t="s">
        <v>214</v>
      </c>
      <c r="BX288" s="222" t="s">
        <v>618</v>
      </c>
      <c r="BY288" s="301" t="s">
        <v>176</v>
      </c>
    </row>
    <row r="289" spans="1:77" s="33" customFormat="1" ht="13.5" customHeight="1">
      <c r="A289" s="64">
        <f t="shared" si="27"/>
        <v>2021</v>
      </c>
      <c r="B289" s="64">
        <f t="shared" si="28"/>
        <v>11</v>
      </c>
      <c r="C289" s="125" t="s">
        <v>191</v>
      </c>
      <c r="D289" s="168" t="str">
        <f t="shared" si="29"/>
        <v>maj</v>
      </c>
      <c r="E289" s="292" t="s">
        <v>670</v>
      </c>
      <c r="F289" s="292" t="s">
        <v>1544</v>
      </c>
      <c r="G289" s="221">
        <v>1000</v>
      </c>
      <c r="H289" s="222">
        <v>44504</v>
      </c>
      <c r="I289" s="222">
        <v>44508</v>
      </c>
      <c r="J289" s="223" t="s">
        <v>176</v>
      </c>
      <c r="K289" s="222" t="s">
        <v>176</v>
      </c>
      <c r="L289" s="223">
        <v>44512</v>
      </c>
      <c r="M289" s="223">
        <v>44512</v>
      </c>
      <c r="N289" s="223">
        <v>44519</v>
      </c>
      <c r="O289" s="222"/>
      <c r="P289" s="222">
        <v>44573</v>
      </c>
      <c r="Q289" s="222">
        <v>44561</v>
      </c>
      <c r="R289" s="222" t="s">
        <v>176</v>
      </c>
      <c r="S289" s="222">
        <v>44580</v>
      </c>
      <c r="T289" s="222">
        <v>44580</v>
      </c>
      <c r="U289" s="222">
        <v>44581</v>
      </c>
      <c r="V289" s="224"/>
      <c r="W289" s="222"/>
      <c r="X289" s="225"/>
      <c r="Y289" s="225"/>
      <c r="Z289" s="225"/>
      <c r="AA289" s="225">
        <v>2</v>
      </c>
      <c r="AB289" s="225">
        <v>16275</v>
      </c>
      <c r="AC289" s="225">
        <v>269</v>
      </c>
      <c r="AD289" s="225" t="s">
        <v>2875</v>
      </c>
      <c r="AE289" s="225">
        <v>38730</v>
      </c>
      <c r="AF289" s="225" t="s">
        <v>1916</v>
      </c>
      <c r="AG289" s="226">
        <v>699619352</v>
      </c>
      <c r="AH289" s="246" t="s">
        <v>2935</v>
      </c>
      <c r="AI289" s="225" t="s">
        <v>1168</v>
      </c>
      <c r="AJ289" s="225"/>
      <c r="AK289" s="225"/>
      <c r="AL289" s="225" t="s">
        <v>176</v>
      </c>
      <c r="AM289" s="225" t="s">
        <v>176</v>
      </c>
      <c r="AN289" s="225" t="s">
        <v>176</v>
      </c>
      <c r="AO289" s="225" t="s">
        <v>176</v>
      </c>
      <c r="AP289" s="225" t="s">
        <v>1874</v>
      </c>
      <c r="AQ289" s="225" t="s">
        <v>1875</v>
      </c>
      <c r="AR289" s="225" t="s">
        <v>1876</v>
      </c>
      <c r="AS289" s="246" t="s">
        <v>1877</v>
      </c>
      <c r="AT289" s="226" t="s">
        <v>434</v>
      </c>
      <c r="AU289" s="225" t="s">
        <v>176</v>
      </c>
      <c r="AV289" s="241" t="s">
        <v>1878</v>
      </c>
      <c r="AW289" s="223">
        <v>44517</v>
      </c>
      <c r="AX289" s="225" t="s">
        <v>4113</v>
      </c>
      <c r="AY289" s="225">
        <v>1975</v>
      </c>
      <c r="AZ289" s="225" t="s">
        <v>1880</v>
      </c>
      <c r="BA289" s="225" t="s">
        <v>267</v>
      </c>
      <c r="BB289" s="225" t="s">
        <v>190</v>
      </c>
      <c r="BC289" s="225" t="s">
        <v>2936</v>
      </c>
      <c r="BD289" s="225">
        <v>11</v>
      </c>
      <c r="BE289" s="225">
        <v>12</v>
      </c>
      <c r="BF289" s="225">
        <v>88.5</v>
      </c>
      <c r="BG289" s="225">
        <v>0.01</v>
      </c>
      <c r="BH289" s="225" t="s">
        <v>1882</v>
      </c>
      <c r="BI289" s="225"/>
      <c r="BJ289" s="225">
        <f>4300+118+393+215</f>
        <v>5026</v>
      </c>
      <c r="BK289" s="225"/>
      <c r="BL289" s="225"/>
      <c r="BM289" s="225"/>
      <c r="BN289" s="225">
        <f>790+1385</f>
        <v>2175</v>
      </c>
      <c r="BO289" s="225">
        <f t="shared" si="24"/>
        <v>7201</v>
      </c>
      <c r="BP289" s="230">
        <f t="shared" si="25"/>
        <v>396.05500000000001</v>
      </c>
      <c r="BQ289" s="230">
        <f t="shared" si="26"/>
        <v>7597.0550000000003</v>
      </c>
      <c r="BR289" s="230">
        <v>7597.06</v>
      </c>
      <c r="BS289" s="225" t="s">
        <v>188</v>
      </c>
      <c r="BT289" s="225"/>
      <c r="BU289" s="225"/>
      <c r="BV289" s="301" t="s">
        <v>2325</v>
      </c>
      <c r="BW289" s="301" t="s">
        <v>214</v>
      </c>
      <c r="BX289" s="222" t="s">
        <v>618</v>
      </c>
      <c r="BY289" s="301" t="s">
        <v>176</v>
      </c>
    </row>
    <row r="290" spans="1:77" s="33" customFormat="1" ht="13.5" customHeight="1">
      <c r="A290" s="64">
        <f t="shared" si="27"/>
        <v>2021</v>
      </c>
      <c r="B290" s="64">
        <f t="shared" si="28"/>
        <v>11</v>
      </c>
      <c r="C290" s="125" t="s">
        <v>191</v>
      </c>
      <c r="D290" s="168" t="str">
        <f t="shared" si="29"/>
        <v>non maj</v>
      </c>
      <c r="E290" s="232" t="s">
        <v>670</v>
      </c>
      <c r="F290" s="232" t="s">
        <v>1547</v>
      </c>
      <c r="G290" s="221">
        <v>600</v>
      </c>
      <c r="H290" s="222">
        <v>44505</v>
      </c>
      <c r="I290" s="222">
        <v>44508</v>
      </c>
      <c r="J290" s="223" t="s">
        <v>176</v>
      </c>
      <c r="K290" s="222" t="s">
        <v>176</v>
      </c>
      <c r="L290" s="223">
        <v>44512</v>
      </c>
      <c r="M290" s="223">
        <v>44512</v>
      </c>
      <c r="N290" s="223">
        <v>44519</v>
      </c>
      <c r="O290" s="222"/>
      <c r="P290" s="222">
        <v>44781</v>
      </c>
      <c r="Q290" s="222">
        <v>44714</v>
      </c>
      <c r="R290" s="222" t="s">
        <v>176</v>
      </c>
      <c r="S290" s="222">
        <v>44795</v>
      </c>
      <c r="T290" s="222">
        <v>44795</v>
      </c>
      <c r="U290" s="222">
        <v>44796</v>
      </c>
      <c r="V290" s="224"/>
      <c r="W290" s="222"/>
      <c r="X290" s="225"/>
      <c r="Y290" s="225"/>
      <c r="Z290" s="225"/>
      <c r="AA290" s="225">
        <v>2</v>
      </c>
      <c r="AB290" s="225">
        <v>38186</v>
      </c>
      <c r="AC290" s="225">
        <v>53</v>
      </c>
      <c r="AD290" s="225" t="s">
        <v>2937</v>
      </c>
      <c r="AE290" s="225">
        <v>38430</v>
      </c>
      <c r="AF290" s="225" t="s">
        <v>2081</v>
      </c>
      <c r="AG290" s="226">
        <v>673438602</v>
      </c>
      <c r="AH290" s="246" t="s">
        <v>2938</v>
      </c>
      <c r="AI290" s="225" t="s">
        <v>1168</v>
      </c>
      <c r="AJ290" s="225"/>
      <c r="AK290" s="225"/>
      <c r="AL290" s="225" t="s">
        <v>176</v>
      </c>
      <c r="AM290" s="225" t="s">
        <v>176</v>
      </c>
      <c r="AN290" s="225" t="s">
        <v>176</v>
      </c>
      <c r="AO290" s="225" t="s">
        <v>176</v>
      </c>
      <c r="AP290" s="225" t="s">
        <v>263</v>
      </c>
      <c r="AQ290" s="225" t="s">
        <v>1910</v>
      </c>
      <c r="AR290" s="225" t="s">
        <v>2568</v>
      </c>
      <c r="AS290" s="241" t="s">
        <v>595</v>
      </c>
      <c r="AT290" s="226">
        <v>438920220</v>
      </c>
      <c r="AU290" s="225" t="s">
        <v>176</v>
      </c>
      <c r="AV290" s="241" t="s">
        <v>188</v>
      </c>
      <c r="AW290" s="223">
        <v>44668</v>
      </c>
      <c r="AX290" s="225" t="s">
        <v>4113</v>
      </c>
      <c r="AY290" s="225">
        <v>1994</v>
      </c>
      <c r="AZ290" s="225" t="s">
        <v>1880</v>
      </c>
      <c r="BA290" s="225" t="s">
        <v>267</v>
      </c>
      <c r="BB290" s="225" t="s">
        <v>2939</v>
      </c>
      <c r="BC290" s="225" t="s">
        <v>2940</v>
      </c>
      <c r="BD290" s="225">
        <v>29</v>
      </c>
      <c r="BE290" s="225">
        <v>14</v>
      </c>
      <c r="BF290" s="225">
        <v>88</v>
      </c>
      <c r="BG290" s="225">
        <v>0.01</v>
      </c>
      <c r="BH290" s="225" t="s">
        <v>1882</v>
      </c>
      <c r="BI290" s="225"/>
      <c r="BJ290" s="225">
        <f>4493.84+489+187+338+260+475+49+345+167+1.67</f>
        <v>6805.51</v>
      </c>
      <c r="BK290" s="225"/>
      <c r="BL290" s="225"/>
      <c r="BM290" s="225"/>
      <c r="BN290" s="225">
        <f>987+138+50+118</f>
        <v>1293</v>
      </c>
      <c r="BO290" s="225">
        <f t="shared" si="24"/>
        <v>8098.51</v>
      </c>
      <c r="BP290" s="230">
        <f t="shared" si="25"/>
        <v>445.41804999999999</v>
      </c>
      <c r="BQ290" s="230">
        <f t="shared" si="26"/>
        <v>8543.9280500000004</v>
      </c>
      <c r="BR290" s="230">
        <v>7830</v>
      </c>
      <c r="BS290" s="225" t="s">
        <v>188</v>
      </c>
      <c r="BT290" s="225"/>
      <c r="BU290" s="225"/>
      <c r="BV290" s="301" t="s">
        <v>2325</v>
      </c>
      <c r="BW290" s="301" t="s">
        <v>214</v>
      </c>
      <c r="BX290" s="301" t="s">
        <v>620</v>
      </c>
      <c r="BY290" s="301" t="s">
        <v>176</v>
      </c>
    </row>
    <row r="291" spans="1:77" s="33" customFormat="1" ht="13.5" customHeight="1">
      <c r="A291" s="64">
        <f t="shared" si="27"/>
        <v>2021</v>
      </c>
      <c r="B291" s="64">
        <f t="shared" si="28"/>
        <v>11</v>
      </c>
      <c r="C291" s="125" t="s">
        <v>191</v>
      </c>
      <c r="D291" s="168" t="str">
        <f t="shared" si="29"/>
        <v>non maj</v>
      </c>
      <c r="E291" s="292" t="s">
        <v>670</v>
      </c>
      <c r="F291" s="292" t="s">
        <v>1548</v>
      </c>
      <c r="G291" s="221">
        <v>600</v>
      </c>
      <c r="H291" s="222">
        <v>44505</v>
      </c>
      <c r="I291" s="222">
        <v>44508</v>
      </c>
      <c r="J291" s="223" t="s">
        <v>176</v>
      </c>
      <c r="K291" s="222" t="s">
        <v>176</v>
      </c>
      <c r="L291" s="223">
        <v>44512</v>
      </c>
      <c r="M291" s="223">
        <v>44512</v>
      </c>
      <c r="N291" s="223">
        <v>44519</v>
      </c>
      <c r="O291" s="222"/>
      <c r="P291" s="222">
        <v>44582</v>
      </c>
      <c r="Q291" s="222">
        <v>44574</v>
      </c>
      <c r="R291" s="222" t="s">
        <v>176</v>
      </c>
      <c r="S291" s="222">
        <v>44606</v>
      </c>
      <c r="T291" s="222">
        <v>44606</v>
      </c>
      <c r="U291" s="222">
        <v>44607</v>
      </c>
      <c r="V291" s="224"/>
      <c r="W291" s="222"/>
      <c r="X291" s="225"/>
      <c r="Y291" s="225"/>
      <c r="Z291" s="225"/>
      <c r="AA291" s="225">
        <v>1</v>
      </c>
      <c r="AB291" s="225">
        <v>25748</v>
      </c>
      <c r="AC291" s="225">
        <v>265</v>
      </c>
      <c r="AD291" s="225" t="s">
        <v>791</v>
      </c>
      <c r="AE291" s="225">
        <v>38430</v>
      </c>
      <c r="AF291" s="225" t="s">
        <v>2081</v>
      </c>
      <c r="AG291" s="226">
        <v>687135294</v>
      </c>
      <c r="AH291" s="246" t="s">
        <v>2941</v>
      </c>
      <c r="AI291" s="225" t="s">
        <v>1168</v>
      </c>
      <c r="AJ291" s="225"/>
      <c r="AK291" s="225"/>
      <c r="AL291" s="225" t="s">
        <v>176</v>
      </c>
      <c r="AM291" s="225" t="s">
        <v>176</v>
      </c>
      <c r="AN291" s="225" t="s">
        <v>176</v>
      </c>
      <c r="AO291" s="225" t="s">
        <v>176</v>
      </c>
      <c r="AP291" s="225" t="s">
        <v>268</v>
      </c>
      <c r="AQ291" s="225" t="s">
        <v>1893</v>
      </c>
      <c r="AR291" s="225" t="s">
        <v>1933</v>
      </c>
      <c r="AS291" s="246" t="s">
        <v>1934</v>
      </c>
      <c r="AT291" s="226">
        <v>476355605</v>
      </c>
      <c r="AU291" s="225" t="s">
        <v>176</v>
      </c>
      <c r="AV291" s="241" t="s">
        <v>188</v>
      </c>
      <c r="AW291" s="223">
        <v>44860</v>
      </c>
      <c r="AX291" s="225" t="s">
        <v>1879</v>
      </c>
      <c r="AY291" s="225">
        <v>1980</v>
      </c>
      <c r="AZ291" s="225" t="s">
        <v>1880</v>
      </c>
      <c r="BA291" s="225" t="s">
        <v>380</v>
      </c>
      <c r="BB291" s="225" t="s">
        <v>1936</v>
      </c>
      <c r="BC291" s="225" t="s">
        <v>605</v>
      </c>
      <c r="BD291" s="225">
        <v>22</v>
      </c>
      <c r="BE291" s="225">
        <v>6.4</v>
      </c>
      <c r="BF291" s="225">
        <v>78</v>
      </c>
      <c r="BG291" s="225">
        <v>0.1</v>
      </c>
      <c r="BH291" s="225" t="s">
        <v>1882</v>
      </c>
      <c r="BI291" s="225"/>
      <c r="BJ291" s="225">
        <f>540+35.5+68.98+165.75+77.51+56.32+2000+218+44.8+45.35+74.56</f>
        <v>3326.77</v>
      </c>
      <c r="BK291" s="225"/>
      <c r="BL291" s="225"/>
      <c r="BM291" s="225"/>
      <c r="BN291" s="225">
        <f>99.09+68.6+350+425</f>
        <v>942.69</v>
      </c>
      <c r="BO291" s="225">
        <f t="shared" si="24"/>
        <v>4269.46</v>
      </c>
      <c r="BP291" s="230">
        <f t="shared" si="25"/>
        <v>234.8203</v>
      </c>
      <c r="BQ291" s="230">
        <f t="shared" si="26"/>
        <v>4504.2803000000004</v>
      </c>
      <c r="BR291" s="230">
        <v>4504.28</v>
      </c>
      <c r="BS291" s="225" t="s">
        <v>188</v>
      </c>
      <c r="BT291" s="225"/>
      <c r="BU291" s="225"/>
      <c r="BV291" s="301" t="s">
        <v>2325</v>
      </c>
      <c r="BW291" s="301" t="s">
        <v>214</v>
      </c>
      <c r="BX291" s="301" t="s">
        <v>620</v>
      </c>
      <c r="BY291" s="301">
        <v>2021</v>
      </c>
    </row>
    <row r="292" spans="1:77" s="33" customFormat="1" ht="13.5" customHeight="1">
      <c r="A292" s="64">
        <f t="shared" si="27"/>
        <v>2021</v>
      </c>
      <c r="B292" s="64">
        <f t="shared" si="28"/>
        <v>11</v>
      </c>
      <c r="C292" s="125" t="s">
        <v>191</v>
      </c>
      <c r="D292" s="168" t="str">
        <f t="shared" si="29"/>
        <v>non maj</v>
      </c>
      <c r="E292" s="225" t="s">
        <v>670</v>
      </c>
      <c r="F292" s="225" t="s">
        <v>1549</v>
      </c>
      <c r="G292" s="221">
        <v>600</v>
      </c>
      <c r="H292" s="222">
        <v>44507</v>
      </c>
      <c r="I292" s="222">
        <v>44508</v>
      </c>
      <c r="J292" s="223" t="s">
        <v>176</v>
      </c>
      <c r="K292" s="222" t="s">
        <v>176</v>
      </c>
      <c r="L292" s="223">
        <v>44512</v>
      </c>
      <c r="M292" s="223">
        <v>44512</v>
      </c>
      <c r="N292" s="223">
        <v>44519</v>
      </c>
      <c r="O292" s="222"/>
      <c r="P292" s="222"/>
      <c r="Q292" s="222"/>
      <c r="R292" s="222"/>
      <c r="S292" s="222"/>
      <c r="T292" s="222"/>
      <c r="U292" s="222"/>
      <c r="V292" s="224"/>
      <c r="W292" s="222"/>
      <c r="X292" s="225"/>
      <c r="Y292" s="225"/>
      <c r="Z292" s="225"/>
      <c r="AA292" s="225">
        <v>4</v>
      </c>
      <c r="AB292" s="225">
        <v>54761</v>
      </c>
      <c r="AC292" s="225">
        <v>6</v>
      </c>
      <c r="AD292" s="225" t="s">
        <v>2450</v>
      </c>
      <c r="AE292" s="225">
        <v>38430</v>
      </c>
      <c r="AF292" s="225" t="s">
        <v>1893</v>
      </c>
      <c r="AG292" s="226">
        <v>785890868</v>
      </c>
      <c r="AH292" s="295" t="s">
        <v>2942</v>
      </c>
      <c r="AI292" s="225" t="s">
        <v>1168</v>
      </c>
      <c r="AJ292" s="225"/>
      <c r="AK292" s="225"/>
      <c r="AL292" s="225" t="s">
        <v>176</v>
      </c>
      <c r="AM292" s="225" t="s">
        <v>176</v>
      </c>
      <c r="AN292" s="225" t="s">
        <v>176</v>
      </c>
      <c r="AO292" s="225" t="s">
        <v>176</v>
      </c>
      <c r="AP292" s="225" t="s">
        <v>1888</v>
      </c>
      <c r="AQ292" s="225" t="s">
        <v>225</v>
      </c>
      <c r="AR292" s="225" t="s">
        <v>1889</v>
      </c>
      <c r="AS292" s="295" t="s">
        <v>269</v>
      </c>
      <c r="AT292" s="226" t="s">
        <v>600</v>
      </c>
      <c r="AU292" s="225" t="s">
        <v>176</v>
      </c>
      <c r="AV292" s="251" t="s">
        <v>188</v>
      </c>
      <c r="AW292" s="223">
        <v>44868</v>
      </c>
      <c r="AX292" s="225" t="s">
        <v>4113</v>
      </c>
      <c r="AY292" s="225" t="s">
        <v>1912</v>
      </c>
      <c r="AZ292" s="225" t="s">
        <v>1880</v>
      </c>
      <c r="BA292" s="225" t="s">
        <v>380</v>
      </c>
      <c r="BB292" s="225" t="s">
        <v>198</v>
      </c>
      <c r="BC292" s="225" t="s">
        <v>2943</v>
      </c>
      <c r="BD292" s="225">
        <v>36</v>
      </c>
      <c r="BE292" s="225">
        <v>7</v>
      </c>
      <c r="BF292" s="225">
        <v>80</v>
      </c>
      <c r="BG292" s="225">
        <v>9.8000000000000004E-2</v>
      </c>
      <c r="BH292" s="225" t="s">
        <v>1882</v>
      </c>
      <c r="BI292" s="225"/>
      <c r="BJ292" s="225">
        <f>3716.85+450+120+90+45+88+33+68+15</f>
        <v>4625.8500000000004</v>
      </c>
      <c r="BK292" s="225"/>
      <c r="BL292" s="225"/>
      <c r="BM292" s="225"/>
      <c r="BN292" s="225">
        <f>30+450</f>
        <v>480</v>
      </c>
      <c r="BO292" s="225">
        <f t="shared" si="24"/>
        <v>5105.8500000000004</v>
      </c>
      <c r="BP292" s="230">
        <f t="shared" si="25"/>
        <v>280.82175000000001</v>
      </c>
      <c r="BQ292" s="230">
        <f t="shared" si="26"/>
        <v>5386.6717500000004</v>
      </c>
      <c r="BR292" s="230">
        <v>5386.68</v>
      </c>
      <c r="BS292" s="225" t="s">
        <v>188</v>
      </c>
      <c r="BT292" s="225"/>
      <c r="BU292" s="225"/>
      <c r="BV292" s="225" t="s">
        <v>2325</v>
      </c>
      <c r="BW292" s="301" t="s">
        <v>214</v>
      </c>
      <c r="BX292" s="301" t="s">
        <v>620</v>
      </c>
      <c r="BY292" s="225">
        <v>2021</v>
      </c>
    </row>
    <row r="293" spans="1:77" s="33" customFormat="1" ht="13.5" customHeight="1">
      <c r="A293" s="64">
        <f t="shared" si="27"/>
        <v>2021</v>
      </c>
      <c r="B293" s="64">
        <f t="shared" si="28"/>
        <v>11</v>
      </c>
      <c r="C293" s="125" t="s">
        <v>191</v>
      </c>
      <c r="D293" s="168" t="str">
        <f t="shared" si="29"/>
        <v>maj</v>
      </c>
      <c r="E293" s="232" t="s">
        <v>670</v>
      </c>
      <c r="F293" s="232" t="s">
        <v>1551</v>
      </c>
      <c r="G293" s="221">
        <v>1000</v>
      </c>
      <c r="H293" s="222">
        <v>44508</v>
      </c>
      <c r="I293" s="222">
        <v>44509</v>
      </c>
      <c r="J293" s="223" t="s">
        <v>176</v>
      </c>
      <c r="K293" s="222" t="s">
        <v>176</v>
      </c>
      <c r="L293" s="223">
        <v>44512</v>
      </c>
      <c r="M293" s="223">
        <v>44512</v>
      </c>
      <c r="N293" s="223">
        <v>44519</v>
      </c>
      <c r="O293" s="222"/>
      <c r="P293" s="222">
        <v>44706</v>
      </c>
      <c r="Q293" s="222">
        <v>44615</v>
      </c>
      <c r="R293" s="222" t="s">
        <v>1022</v>
      </c>
      <c r="S293" s="222">
        <v>44816</v>
      </c>
      <c r="T293" s="222">
        <v>44816</v>
      </c>
      <c r="U293" s="222">
        <v>44824</v>
      </c>
      <c r="V293" s="224"/>
      <c r="W293" s="222"/>
      <c r="X293" s="225"/>
      <c r="Y293" s="225"/>
      <c r="Z293" s="225"/>
      <c r="AA293" s="225">
        <v>2</v>
      </c>
      <c r="AB293" s="225">
        <v>16652</v>
      </c>
      <c r="AC293" s="225">
        <v>19</v>
      </c>
      <c r="AD293" s="225" t="s">
        <v>852</v>
      </c>
      <c r="AE293" s="225">
        <v>38500</v>
      </c>
      <c r="AF293" s="225" t="s">
        <v>1984</v>
      </c>
      <c r="AG293" s="226">
        <v>680930643</v>
      </c>
      <c r="AH293" s="246" t="s">
        <v>2944</v>
      </c>
      <c r="AI293" s="225" t="s">
        <v>1168</v>
      </c>
      <c r="AJ293" s="225"/>
      <c r="AK293" s="225"/>
      <c r="AL293" s="225" t="s">
        <v>176</v>
      </c>
      <c r="AM293" s="225" t="s">
        <v>176</v>
      </c>
      <c r="AN293" s="225" t="s">
        <v>176</v>
      </c>
      <c r="AO293" s="225" t="s">
        <v>176</v>
      </c>
      <c r="AP293" s="225" t="s">
        <v>2002</v>
      </c>
      <c r="AQ293" s="225" t="s">
        <v>1895</v>
      </c>
      <c r="AR293" s="225" t="s">
        <v>2003</v>
      </c>
      <c r="AS293" s="241" t="s">
        <v>245</v>
      </c>
      <c r="AT293" s="226">
        <v>476452433</v>
      </c>
      <c r="AU293" s="225" t="s">
        <v>176</v>
      </c>
      <c r="AV293" s="241" t="s">
        <v>188</v>
      </c>
      <c r="AW293" s="223">
        <v>44589</v>
      </c>
      <c r="AX293" s="225" t="s">
        <v>1880</v>
      </c>
      <c r="AY293" s="225">
        <v>2001</v>
      </c>
      <c r="AZ293" s="225" t="s">
        <v>1880</v>
      </c>
      <c r="BA293" s="225" t="s">
        <v>267</v>
      </c>
      <c r="BB293" s="225" t="s">
        <v>246</v>
      </c>
      <c r="BC293" s="225" t="s">
        <v>2945</v>
      </c>
      <c r="BD293" s="225">
        <v>25</v>
      </c>
      <c r="BE293" s="225">
        <v>8</v>
      </c>
      <c r="BF293" s="225">
        <v>91</v>
      </c>
      <c r="BG293" s="225">
        <v>5.0000000000000001E-3</v>
      </c>
      <c r="BH293" s="225" t="s">
        <v>1899</v>
      </c>
      <c r="BI293" s="225"/>
      <c r="BJ293" s="225">
        <f>3279.62+1215.94+218.45+87.66+69.78</f>
        <v>4871.4499999999989</v>
      </c>
      <c r="BK293" s="225"/>
      <c r="BL293" s="225"/>
      <c r="BM293" s="225"/>
      <c r="BN293" s="225">
        <f>950+400+85</f>
        <v>1435</v>
      </c>
      <c r="BO293" s="225">
        <f t="shared" si="24"/>
        <v>6306.4499999999989</v>
      </c>
      <c r="BP293" s="230">
        <f t="shared" si="25"/>
        <v>346.85474999999997</v>
      </c>
      <c r="BQ293" s="230">
        <f t="shared" si="26"/>
        <v>6653.3047499999993</v>
      </c>
      <c r="BR293" s="230">
        <v>6653.34</v>
      </c>
      <c r="BS293" s="225" t="s">
        <v>188</v>
      </c>
      <c r="BT293" s="225"/>
      <c r="BU293" s="225"/>
      <c r="BV293" s="301" t="s">
        <v>2325</v>
      </c>
      <c r="BW293" s="301" t="s">
        <v>214</v>
      </c>
      <c r="BX293" s="222" t="s">
        <v>618</v>
      </c>
      <c r="BY293" s="301" t="s">
        <v>176</v>
      </c>
    </row>
    <row r="294" spans="1:77" s="33" customFormat="1" ht="13.5" customHeight="1">
      <c r="A294" s="64">
        <f t="shared" si="27"/>
        <v>2021</v>
      </c>
      <c r="B294" s="64">
        <f t="shared" si="28"/>
        <v>11</v>
      </c>
      <c r="C294" s="125" t="s">
        <v>191</v>
      </c>
      <c r="D294" s="168" t="str">
        <f t="shared" si="29"/>
        <v>non maj</v>
      </c>
      <c r="E294" s="232" t="s">
        <v>670</v>
      </c>
      <c r="F294" s="232" t="s">
        <v>1552</v>
      </c>
      <c r="G294" s="221">
        <v>600</v>
      </c>
      <c r="H294" s="222">
        <v>44508</v>
      </c>
      <c r="I294" s="222">
        <v>44509</v>
      </c>
      <c r="J294" s="223" t="s">
        <v>176</v>
      </c>
      <c r="K294" s="222" t="s">
        <v>176</v>
      </c>
      <c r="L294" s="223">
        <v>44512</v>
      </c>
      <c r="M294" s="223">
        <v>44512</v>
      </c>
      <c r="N294" s="223">
        <v>44519</v>
      </c>
      <c r="O294" s="222"/>
      <c r="P294" s="222">
        <v>44623</v>
      </c>
      <c r="Q294" s="222">
        <v>44621</v>
      </c>
      <c r="R294" s="222" t="s">
        <v>2946</v>
      </c>
      <c r="S294" s="222">
        <v>44623</v>
      </c>
      <c r="T294" s="222">
        <v>44623</v>
      </c>
      <c r="U294" s="222">
        <v>44623</v>
      </c>
      <c r="V294" s="224"/>
      <c r="W294" s="222"/>
      <c r="X294" s="225"/>
      <c r="Y294" s="225"/>
      <c r="Z294" s="225"/>
      <c r="AA294" s="225">
        <v>2</v>
      </c>
      <c r="AB294" s="225">
        <v>47317</v>
      </c>
      <c r="AC294" s="225">
        <v>414</v>
      </c>
      <c r="AD294" s="225" t="s">
        <v>2947</v>
      </c>
      <c r="AE294" s="225">
        <v>38140</v>
      </c>
      <c r="AF294" s="225" t="s">
        <v>1924</v>
      </c>
      <c r="AG294" s="226">
        <v>661299457</v>
      </c>
      <c r="AH294" s="246" t="s">
        <v>2949</v>
      </c>
      <c r="AI294" s="225" t="s">
        <v>1168</v>
      </c>
      <c r="AJ294" s="225"/>
      <c r="AK294" s="225"/>
      <c r="AL294" s="225" t="s">
        <v>176</v>
      </c>
      <c r="AM294" s="225" t="s">
        <v>176</v>
      </c>
      <c r="AN294" s="225" t="s">
        <v>176</v>
      </c>
      <c r="AO294" s="225" t="s">
        <v>176</v>
      </c>
      <c r="AP294" s="222" t="s">
        <v>587</v>
      </c>
      <c r="AQ294" s="225" t="s">
        <v>225</v>
      </c>
      <c r="AR294" s="225" t="s">
        <v>2026</v>
      </c>
      <c r="AS294" s="241" t="s">
        <v>266</v>
      </c>
      <c r="AT294" s="226">
        <v>476069938</v>
      </c>
      <c r="AU294" s="225" t="s">
        <v>176</v>
      </c>
      <c r="AV294" s="241" t="s">
        <v>188</v>
      </c>
      <c r="AW294" s="223">
        <v>44822</v>
      </c>
      <c r="AX294" s="225" t="s">
        <v>1879</v>
      </c>
      <c r="AY294" s="242" t="s">
        <v>2399</v>
      </c>
      <c r="AZ294" s="225" t="s">
        <v>1880</v>
      </c>
      <c r="BA294" s="225" t="s">
        <v>380</v>
      </c>
      <c r="BB294" s="225" t="s">
        <v>676</v>
      </c>
      <c r="BC294" s="225" t="s">
        <v>2184</v>
      </c>
      <c r="BD294" s="242">
        <v>12</v>
      </c>
      <c r="BE294" s="242">
        <v>5</v>
      </c>
      <c r="BF294" s="242">
        <v>81</v>
      </c>
      <c r="BG294" s="242">
        <v>0.1</v>
      </c>
      <c r="BH294" s="225" t="s">
        <v>1882</v>
      </c>
      <c r="BI294" s="225"/>
      <c r="BJ294" s="242">
        <f>2489+290+1350</f>
        <v>4129</v>
      </c>
      <c r="BK294" s="225"/>
      <c r="BL294" s="225"/>
      <c r="BM294" s="225"/>
      <c r="BN294" s="242">
        <f>220+450</f>
        <v>670</v>
      </c>
      <c r="BO294" s="242">
        <f t="shared" si="24"/>
        <v>4799</v>
      </c>
      <c r="BP294" s="242">
        <f t="shared" si="25"/>
        <v>263.94499999999999</v>
      </c>
      <c r="BQ294" s="242">
        <f t="shared" si="26"/>
        <v>5062.9449999999997</v>
      </c>
      <c r="BR294" s="230">
        <v>5062.95</v>
      </c>
      <c r="BS294" s="225" t="s">
        <v>188</v>
      </c>
      <c r="BT294" s="225"/>
      <c r="BU294" s="225"/>
      <c r="BV294" s="301" t="s">
        <v>2325</v>
      </c>
      <c r="BW294" s="301" t="s">
        <v>214</v>
      </c>
      <c r="BX294" s="301" t="s">
        <v>620</v>
      </c>
      <c r="BY294" s="301">
        <v>2021</v>
      </c>
    </row>
    <row r="295" spans="1:77" s="33" customFormat="1" ht="13.5" customHeight="1">
      <c r="A295" s="64">
        <f t="shared" si="27"/>
        <v>2021</v>
      </c>
      <c r="B295" s="64">
        <f t="shared" si="28"/>
        <v>12</v>
      </c>
      <c r="C295" s="125" t="s">
        <v>191</v>
      </c>
      <c r="D295" s="168" t="str">
        <f t="shared" si="29"/>
        <v>non maj</v>
      </c>
      <c r="E295" s="232" t="s">
        <v>670</v>
      </c>
      <c r="F295" s="232" t="s">
        <v>1553</v>
      </c>
      <c r="G295" s="221">
        <v>600</v>
      </c>
      <c r="H295" s="222">
        <v>44509</v>
      </c>
      <c r="I295" s="222">
        <v>44509</v>
      </c>
      <c r="J295" s="223">
        <v>44512</v>
      </c>
      <c r="K295" s="222" t="s">
        <v>2950</v>
      </c>
      <c r="L295" s="223">
        <v>44546</v>
      </c>
      <c r="M295" s="223">
        <v>44546</v>
      </c>
      <c r="N295" s="223">
        <v>44547</v>
      </c>
      <c r="O295" s="222"/>
      <c r="P295" s="222">
        <v>44637</v>
      </c>
      <c r="Q295" s="222">
        <v>44588</v>
      </c>
      <c r="R295" s="222"/>
      <c r="S295" s="222">
        <v>44650</v>
      </c>
      <c r="T295" s="222">
        <v>44650</v>
      </c>
      <c r="U295" s="222">
        <v>44652</v>
      </c>
      <c r="V295" s="224"/>
      <c r="W295" s="222"/>
      <c r="X295" s="225"/>
      <c r="Y295" s="225"/>
      <c r="Z295" s="225"/>
      <c r="AA295" s="225">
        <v>2</v>
      </c>
      <c r="AB295" s="225">
        <v>31527</v>
      </c>
      <c r="AC295" s="225">
        <v>374</v>
      </c>
      <c r="AD295" s="225" t="s">
        <v>2951</v>
      </c>
      <c r="AE295" s="225">
        <v>38340</v>
      </c>
      <c r="AF295" s="225" t="s">
        <v>232</v>
      </c>
      <c r="AG295" s="226">
        <v>643006337</v>
      </c>
      <c r="AH295" s="246" t="s">
        <v>2952</v>
      </c>
      <c r="AI295" s="225" t="s">
        <v>1168</v>
      </c>
      <c r="AJ295" s="225"/>
      <c r="AK295" s="225"/>
      <c r="AL295" s="225" t="s">
        <v>176</v>
      </c>
      <c r="AM295" s="225" t="s">
        <v>176</v>
      </c>
      <c r="AN295" s="225" t="s">
        <v>176</v>
      </c>
      <c r="AO295" s="225" t="s">
        <v>176</v>
      </c>
      <c r="AP295" s="225" t="s">
        <v>222</v>
      </c>
      <c r="AQ295" s="225" t="s">
        <v>2038</v>
      </c>
      <c r="AR295" s="225" t="s">
        <v>1043</v>
      </c>
      <c r="AS295" s="241" t="s">
        <v>224</v>
      </c>
      <c r="AT295" s="226">
        <v>479750979</v>
      </c>
      <c r="AU295" s="225" t="s">
        <v>176</v>
      </c>
      <c r="AV295" s="241" t="s">
        <v>188</v>
      </c>
      <c r="AW295" s="223">
        <v>44798</v>
      </c>
      <c r="AX295" s="225" t="s">
        <v>4113</v>
      </c>
      <c r="AY295" s="225">
        <v>1984</v>
      </c>
      <c r="AZ295" s="225" t="s">
        <v>1880</v>
      </c>
      <c r="BA295" s="225" t="s">
        <v>267</v>
      </c>
      <c r="BB295" s="225" t="s">
        <v>221</v>
      </c>
      <c r="BC295" s="225" t="s">
        <v>2953</v>
      </c>
      <c r="BD295" s="225">
        <v>16</v>
      </c>
      <c r="BE295" s="225">
        <v>8</v>
      </c>
      <c r="BF295" s="225">
        <v>90.4</v>
      </c>
      <c r="BG295" s="225">
        <v>3.0000000000000001E-3</v>
      </c>
      <c r="BH295" s="225" t="s">
        <v>1882</v>
      </c>
      <c r="BI295" s="225"/>
      <c r="BJ295" s="225">
        <f>70+38+105+329+81+116+285+80+2242</f>
        <v>3346</v>
      </c>
      <c r="BK295" s="225"/>
      <c r="BL295" s="225"/>
      <c r="BM295" s="225"/>
      <c r="BN295" s="225">
        <f>760+1.67</f>
        <v>761.67</v>
      </c>
      <c r="BO295" s="225">
        <f t="shared" si="24"/>
        <v>4107.67</v>
      </c>
      <c r="BP295" s="230">
        <f t="shared" si="25"/>
        <v>225.92185000000001</v>
      </c>
      <c r="BQ295" s="230">
        <f t="shared" si="26"/>
        <v>4333.5918499999998</v>
      </c>
      <c r="BR295" s="230">
        <v>4333.59</v>
      </c>
      <c r="BS295" s="225" t="s">
        <v>188</v>
      </c>
      <c r="BT295" s="225"/>
      <c r="BU295" s="225"/>
      <c r="BV295" s="301" t="s">
        <v>2325</v>
      </c>
      <c r="BW295" s="301" t="s">
        <v>214</v>
      </c>
      <c r="BX295" s="301" t="s">
        <v>620</v>
      </c>
      <c r="BY295" s="301" t="s">
        <v>176</v>
      </c>
    </row>
    <row r="296" spans="1:77" s="33" customFormat="1" ht="13.5" customHeight="1">
      <c r="A296" s="64">
        <f t="shared" si="27"/>
        <v>2021</v>
      </c>
      <c r="B296" s="64">
        <f t="shared" si="28"/>
        <v>12</v>
      </c>
      <c r="C296" s="125" t="s">
        <v>191</v>
      </c>
      <c r="D296" s="168" t="str">
        <f t="shared" si="29"/>
        <v>non maj</v>
      </c>
      <c r="E296" s="232" t="s">
        <v>670</v>
      </c>
      <c r="F296" s="232" t="s">
        <v>1554</v>
      </c>
      <c r="G296" s="221">
        <v>600</v>
      </c>
      <c r="H296" s="222">
        <v>44512</v>
      </c>
      <c r="I296" s="222">
        <v>44515</v>
      </c>
      <c r="J296" s="223">
        <v>44525</v>
      </c>
      <c r="K296" s="222" t="s">
        <v>2281</v>
      </c>
      <c r="L296" s="223">
        <v>44539</v>
      </c>
      <c r="M296" s="223">
        <v>44539</v>
      </c>
      <c r="N296" s="223">
        <v>44540</v>
      </c>
      <c r="O296" s="222"/>
      <c r="P296" s="222">
        <v>44816</v>
      </c>
      <c r="Q296" s="222">
        <v>44763</v>
      </c>
      <c r="R296" s="222" t="s">
        <v>176</v>
      </c>
      <c r="S296" s="222">
        <v>44833</v>
      </c>
      <c r="T296" s="222">
        <v>44833</v>
      </c>
      <c r="U296" s="222">
        <v>44833</v>
      </c>
      <c r="V296" s="224"/>
      <c r="W296" s="222"/>
      <c r="X296" s="225"/>
      <c r="Y296" s="225"/>
      <c r="Z296" s="225"/>
      <c r="AA296" s="225">
        <v>4</v>
      </c>
      <c r="AB296" s="225">
        <f>20607+23961</f>
        <v>44568</v>
      </c>
      <c r="AC296" s="225">
        <v>153</v>
      </c>
      <c r="AD296" s="225" t="s">
        <v>2954</v>
      </c>
      <c r="AE296" s="225">
        <v>38340</v>
      </c>
      <c r="AF296" s="225" t="s">
        <v>232</v>
      </c>
      <c r="AG296" s="226">
        <v>681598978</v>
      </c>
      <c r="AH296" s="246" t="s">
        <v>2955</v>
      </c>
      <c r="AI296" s="225" t="s">
        <v>1168</v>
      </c>
      <c r="AJ296" s="225"/>
      <c r="AK296" s="225"/>
      <c r="AL296" s="225" t="s">
        <v>176</v>
      </c>
      <c r="AM296" s="225" t="s">
        <v>176</v>
      </c>
      <c r="AN296" s="225" t="s">
        <v>176</v>
      </c>
      <c r="AO296" s="225" t="s">
        <v>176</v>
      </c>
      <c r="AP296" s="225" t="s">
        <v>778</v>
      </c>
      <c r="AQ296" s="225" t="s">
        <v>1926</v>
      </c>
      <c r="AR296" s="225" t="s">
        <v>779</v>
      </c>
      <c r="AS296" s="241" t="s">
        <v>251</v>
      </c>
      <c r="AT296" s="226">
        <v>438021901</v>
      </c>
      <c r="AU296" s="225" t="s">
        <v>176</v>
      </c>
      <c r="AV296" s="241" t="s">
        <v>188</v>
      </c>
      <c r="AW296" s="223">
        <v>44641</v>
      </c>
      <c r="AX296" s="225" t="s">
        <v>1879</v>
      </c>
      <c r="AY296" s="225">
        <v>1990</v>
      </c>
      <c r="AZ296" s="225" t="s">
        <v>1880</v>
      </c>
      <c r="BA296" s="225" t="s">
        <v>380</v>
      </c>
      <c r="BB296" s="225" t="s">
        <v>244</v>
      </c>
      <c r="BC296" s="225" t="s">
        <v>854</v>
      </c>
      <c r="BD296" s="225">
        <v>28</v>
      </c>
      <c r="BE296" s="225">
        <v>7</v>
      </c>
      <c r="BF296" s="225">
        <v>76</v>
      </c>
      <c r="BG296" s="225">
        <v>0.12</v>
      </c>
      <c r="BH296" s="225" t="s">
        <v>1882</v>
      </c>
      <c r="BI296" s="225"/>
      <c r="BJ296" s="225">
        <f>1248+1632+332</f>
        <v>3212</v>
      </c>
      <c r="BK296" s="225"/>
      <c r="BL296" s="225"/>
      <c r="BM296" s="225"/>
      <c r="BN296" s="225">
        <v>891</v>
      </c>
      <c r="BO296" s="225">
        <f t="shared" si="24"/>
        <v>4103</v>
      </c>
      <c r="BP296" s="230">
        <f t="shared" si="25"/>
        <v>225.66499999999999</v>
      </c>
      <c r="BQ296" s="230">
        <f t="shared" si="26"/>
        <v>4328.665</v>
      </c>
      <c r="BR296" s="230">
        <v>4100</v>
      </c>
      <c r="BS296" s="225" t="s">
        <v>191</v>
      </c>
      <c r="BT296" s="225"/>
      <c r="BU296" s="225"/>
      <c r="BV296" s="301" t="s">
        <v>2325</v>
      </c>
      <c r="BW296" s="301" t="s">
        <v>214</v>
      </c>
      <c r="BX296" s="301" t="s">
        <v>620</v>
      </c>
      <c r="BY296" s="301">
        <v>2022</v>
      </c>
    </row>
    <row r="297" spans="1:77" s="33" customFormat="1" ht="13.5" customHeight="1">
      <c r="A297" s="64">
        <f t="shared" si="27"/>
        <v>2022</v>
      </c>
      <c r="B297" s="64">
        <f t="shared" si="28"/>
        <v>4</v>
      </c>
      <c r="C297" s="125" t="s">
        <v>191</v>
      </c>
      <c r="D297" s="168" t="str">
        <f t="shared" si="29"/>
        <v>maj</v>
      </c>
      <c r="E297" s="232" t="s">
        <v>670</v>
      </c>
      <c r="F297" s="232" t="s">
        <v>1555</v>
      </c>
      <c r="G297" s="221">
        <v>1000</v>
      </c>
      <c r="H297" s="222">
        <v>44512</v>
      </c>
      <c r="I297" s="222">
        <v>44515</v>
      </c>
      <c r="J297" s="223">
        <v>44525</v>
      </c>
      <c r="K297" s="222" t="s">
        <v>2956</v>
      </c>
      <c r="L297" s="223">
        <v>44662</v>
      </c>
      <c r="M297" s="223">
        <v>44662</v>
      </c>
      <c r="N297" s="223">
        <v>44664</v>
      </c>
      <c r="O297" s="222"/>
      <c r="P297" s="222">
        <v>44760</v>
      </c>
      <c r="Q297" s="222">
        <v>44719</v>
      </c>
      <c r="R297" s="222" t="s">
        <v>2957</v>
      </c>
      <c r="S297" s="222">
        <v>44830</v>
      </c>
      <c r="T297" s="222">
        <v>44830</v>
      </c>
      <c r="U297" s="222">
        <v>44830</v>
      </c>
      <c r="V297" s="224"/>
      <c r="W297" s="222"/>
      <c r="X297" s="225"/>
      <c r="Y297" s="225"/>
      <c r="Z297" s="225"/>
      <c r="AA297" s="225">
        <v>4</v>
      </c>
      <c r="AB297" s="225">
        <v>28951</v>
      </c>
      <c r="AC297" s="225">
        <v>24</v>
      </c>
      <c r="AD297" s="225" t="s">
        <v>2958</v>
      </c>
      <c r="AE297" s="225">
        <v>38430</v>
      </c>
      <c r="AF297" s="225" t="s">
        <v>1893</v>
      </c>
      <c r="AG297" s="226">
        <v>678141651</v>
      </c>
      <c r="AH297" s="246" t="s">
        <v>2959</v>
      </c>
      <c r="AI297" s="225" t="s">
        <v>1168</v>
      </c>
      <c r="AJ297" s="225"/>
      <c r="AK297" s="225"/>
      <c r="AL297" s="225" t="s">
        <v>176</v>
      </c>
      <c r="AM297" s="225" t="s">
        <v>176</v>
      </c>
      <c r="AN297" s="225" t="s">
        <v>176</v>
      </c>
      <c r="AO297" s="225" t="s">
        <v>176</v>
      </c>
      <c r="AP297" s="225" t="s">
        <v>749</v>
      </c>
      <c r="AQ297" s="225" t="s">
        <v>209</v>
      </c>
      <c r="AR297" s="225" t="s">
        <v>1013</v>
      </c>
      <c r="AS297" s="241" t="s">
        <v>2557</v>
      </c>
      <c r="AT297" s="226">
        <v>476042368</v>
      </c>
      <c r="AU297" s="225" t="s">
        <v>176</v>
      </c>
      <c r="AV297" s="241" t="s">
        <v>188</v>
      </c>
      <c r="AW297" s="223">
        <v>44708</v>
      </c>
      <c r="AX297" s="225" t="s">
        <v>1879</v>
      </c>
      <c r="AY297" s="225">
        <v>1960</v>
      </c>
      <c r="AZ297" s="225" t="s">
        <v>1880</v>
      </c>
      <c r="BA297" s="225" t="s">
        <v>267</v>
      </c>
      <c r="BB297" s="225" t="s">
        <v>2960</v>
      </c>
      <c r="BC297" s="225" t="s">
        <v>2961</v>
      </c>
      <c r="BD297" s="225">
        <v>22</v>
      </c>
      <c r="BE297" s="225">
        <v>6.5</v>
      </c>
      <c r="BF297" s="225">
        <v>95.4</v>
      </c>
      <c r="BG297" s="225">
        <v>8.2400000000000008E-3</v>
      </c>
      <c r="BH297" s="225" t="s">
        <v>1882</v>
      </c>
      <c r="BI297" s="225"/>
      <c r="BJ297" s="225">
        <f>1573.71+72.61+58.24+10.09+40.77+(82.29*2)+(70.3*2)+(56.21*2)+103.3+(89.27*2)+175.76+114.12+12.75+49.99+57.97+149.58</f>
        <v>3015.0299999999993</v>
      </c>
      <c r="BK297" s="225"/>
      <c r="BL297" s="225"/>
      <c r="BM297" s="225"/>
      <c r="BN297" s="225">
        <f>940+91.86</f>
        <v>1031.8599999999999</v>
      </c>
      <c r="BO297" s="225">
        <f t="shared" si="24"/>
        <v>4046.8899999999994</v>
      </c>
      <c r="BP297" s="230">
        <f t="shared" si="25"/>
        <v>222.57894999999996</v>
      </c>
      <c r="BQ297" s="230">
        <f t="shared" si="26"/>
        <v>4269.4689499999995</v>
      </c>
      <c r="BR297" s="230">
        <v>4047.42</v>
      </c>
      <c r="BS297" s="225" t="s">
        <v>191</v>
      </c>
      <c r="BT297" s="225"/>
      <c r="BU297" s="225"/>
      <c r="BV297" s="231" t="s">
        <v>4045</v>
      </c>
      <c r="BW297" s="225" t="s">
        <v>968</v>
      </c>
      <c r="BX297" s="222" t="s">
        <v>618</v>
      </c>
      <c r="BY297" s="301" t="s">
        <v>176</v>
      </c>
    </row>
    <row r="298" spans="1:77" s="33" customFormat="1" ht="13.5" customHeight="1">
      <c r="A298" s="64">
        <f t="shared" si="27"/>
        <v>2021</v>
      </c>
      <c r="B298" s="64">
        <f t="shared" si="28"/>
        <v>12</v>
      </c>
      <c r="C298" s="125" t="s">
        <v>191</v>
      </c>
      <c r="D298" s="168" t="str">
        <f t="shared" si="29"/>
        <v>non maj</v>
      </c>
      <c r="E298" s="232" t="s">
        <v>670</v>
      </c>
      <c r="F298" s="232" t="s">
        <v>1557</v>
      </c>
      <c r="G298" s="221">
        <v>600</v>
      </c>
      <c r="H298" s="222">
        <v>44515</v>
      </c>
      <c r="I298" s="222">
        <v>44515</v>
      </c>
      <c r="J298" s="223">
        <v>44525</v>
      </c>
      <c r="K298" s="222" t="s">
        <v>2281</v>
      </c>
      <c r="L298" s="223">
        <v>44539</v>
      </c>
      <c r="M298" s="223">
        <v>44539</v>
      </c>
      <c r="N298" s="223">
        <v>44540</v>
      </c>
      <c r="O298" s="222"/>
      <c r="P298" s="222">
        <v>44872</v>
      </c>
      <c r="Q298" s="222">
        <v>44834</v>
      </c>
      <c r="R298" s="222" t="s">
        <v>176</v>
      </c>
      <c r="S298" s="222">
        <v>44874</v>
      </c>
      <c r="T298" s="222">
        <v>44874</v>
      </c>
      <c r="U298" s="222">
        <v>44879</v>
      </c>
      <c r="V298" s="224"/>
      <c r="W298" s="222"/>
      <c r="X298" s="225"/>
      <c r="Y298" s="225"/>
      <c r="Z298" s="225"/>
      <c r="AA298" s="225">
        <v>4</v>
      </c>
      <c r="AB298" s="225">
        <v>59185</v>
      </c>
      <c r="AC298" s="225">
        <v>1578</v>
      </c>
      <c r="AD298" s="225" t="s">
        <v>2842</v>
      </c>
      <c r="AE298" s="225">
        <v>38850</v>
      </c>
      <c r="AF298" s="225" t="s">
        <v>1916</v>
      </c>
      <c r="AG298" s="226">
        <v>622423638</v>
      </c>
      <c r="AH298" s="246" t="s">
        <v>2962</v>
      </c>
      <c r="AI298" s="225" t="s">
        <v>1168</v>
      </c>
      <c r="AJ298" s="225"/>
      <c r="AK298" s="225"/>
      <c r="AL298" s="225" t="s">
        <v>176</v>
      </c>
      <c r="AM298" s="225" t="s">
        <v>176</v>
      </c>
      <c r="AN298" s="225" t="s">
        <v>176</v>
      </c>
      <c r="AO298" s="225" t="s">
        <v>176</v>
      </c>
      <c r="AP298" s="222" t="s">
        <v>587</v>
      </c>
      <c r="AQ298" s="225" t="s">
        <v>225</v>
      </c>
      <c r="AR298" s="225" t="s">
        <v>2026</v>
      </c>
      <c r="AS298" s="241" t="s">
        <v>266</v>
      </c>
      <c r="AT298" s="226">
        <v>476069938</v>
      </c>
      <c r="AU298" s="225" t="s">
        <v>176</v>
      </c>
      <c r="AV298" s="241" t="s">
        <v>188</v>
      </c>
      <c r="AW298" s="223">
        <v>44822</v>
      </c>
      <c r="AX298" s="225" t="s">
        <v>1879</v>
      </c>
      <c r="AY298" s="242">
        <v>1968</v>
      </c>
      <c r="AZ298" s="225" t="s">
        <v>1880</v>
      </c>
      <c r="BA298" s="225" t="s">
        <v>380</v>
      </c>
      <c r="BB298" s="225" t="s">
        <v>280</v>
      </c>
      <c r="BC298" s="225" t="s">
        <v>2963</v>
      </c>
      <c r="BD298" s="242">
        <v>28</v>
      </c>
      <c r="BE298" s="242">
        <v>7.5</v>
      </c>
      <c r="BF298" s="242">
        <v>82.7</v>
      </c>
      <c r="BG298" s="242">
        <v>0.05</v>
      </c>
      <c r="BH298" s="225" t="s">
        <v>1882</v>
      </c>
      <c r="BI298" s="225"/>
      <c r="BJ298" s="242">
        <f>460+250+3320+89</f>
        <v>4119</v>
      </c>
      <c r="BK298" s="225"/>
      <c r="BL298" s="225"/>
      <c r="BM298" s="225"/>
      <c r="BN298" s="242">
        <f>390+450+300</f>
        <v>1140</v>
      </c>
      <c r="BO298" s="242">
        <f t="shared" si="24"/>
        <v>5259</v>
      </c>
      <c r="BP298" s="242">
        <f t="shared" si="25"/>
        <v>289.245</v>
      </c>
      <c r="BQ298" s="242">
        <f t="shared" si="26"/>
        <v>5548.2449999999999</v>
      </c>
      <c r="BR298" s="230">
        <v>7558.03</v>
      </c>
      <c r="BS298" s="225" t="s">
        <v>188</v>
      </c>
      <c r="BT298" s="225"/>
      <c r="BU298" s="225"/>
      <c r="BV298" s="301" t="s">
        <v>2325</v>
      </c>
      <c r="BW298" s="301" t="s">
        <v>214</v>
      </c>
      <c r="BX298" s="301" t="s">
        <v>620</v>
      </c>
      <c r="BY298" s="301">
        <v>2022</v>
      </c>
    </row>
    <row r="299" spans="1:77" s="33" customFormat="1" ht="13.5" customHeight="1">
      <c r="A299" s="64">
        <f t="shared" si="27"/>
        <v>2022</v>
      </c>
      <c r="B299" s="64">
        <f t="shared" si="28"/>
        <v>2</v>
      </c>
      <c r="C299" s="125" t="s">
        <v>191</v>
      </c>
      <c r="D299" s="168" t="str">
        <f t="shared" si="29"/>
        <v>non maj</v>
      </c>
      <c r="E299" s="232" t="s">
        <v>670</v>
      </c>
      <c r="F299" s="232" t="s">
        <v>1558</v>
      </c>
      <c r="G299" s="221">
        <v>600</v>
      </c>
      <c r="H299" s="222">
        <v>44515</v>
      </c>
      <c r="I299" s="222">
        <v>44519</v>
      </c>
      <c r="J299" s="223">
        <v>44525</v>
      </c>
      <c r="K299" s="222" t="s">
        <v>2964</v>
      </c>
      <c r="L299" s="223">
        <v>44601</v>
      </c>
      <c r="M299" s="223">
        <v>44601</v>
      </c>
      <c r="N299" s="223">
        <v>44606</v>
      </c>
      <c r="O299" s="222"/>
      <c r="P299" s="222">
        <v>44750</v>
      </c>
      <c r="Q299" s="222">
        <v>44676</v>
      </c>
      <c r="R299" s="222" t="s">
        <v>176</v>
      </c>
      <c r="S299" s="222">
        <v>44769</v>
      </c>
      <c r="T299" s="222">
        <v>44769</v>
      </c>
      <c r="U299" s="222">
        <v>44770</v>
      </c>
      <c r="V299" s="224"/>
      <c r="W299" s="222"/>
      <c r="X299" s="225"/>
      <c r="Y299" s="225"/>
      <c r="Z299" s="225"/>
      <c r="AA299" s="225">
        <v>2</v>
      </c>
      <c r="AB299" s="225">
        <v>40717</v>
      </c>
      <c r="AC299" s="225">
        <v>3</v>
      </c>
      <c r="AD299" s="225" t="s">
        <v>2965</v>
      </c>
      <c r="AE299" s="225">
        <v>38500</v>
      </c>
      <c r="AF299" s="225" t="s">
        <v>225</v>
      </c>
      <c r="AG299" s="226">
        <v>641122760</v>
      </c>
      <c r="AH299" s="295" t="s">
        <v>2966</v>
      </c>
      <c r="AI299" s="225" t="s">
        <v>1168</v>
      </c>
      <c r="AJ299" s="225"/>
      <c r="AK299" s="225"/>
      <c r="AL299" s="225" t="s">
        <v>176</v>
      </c>
      <c r="AM299" s="225" t="s">
        <v>176</v>
      </c>
      <c r="AN299" s="225" t="s">
        <v>176</v>
      </c>
      <c r="AO299" s="225" t="s">
        <v>176</v>
      </c>
      <c r="AP299" s="225" t="s">
        <v>1888</v>
      </c>
      <c r="AQ299" s="225" t="s">
        <v>225</v>
      </c>
      <c r="AR299" s="225" t="s">
        <v>1889</v>
      </c>
      <c r="AS299" s="295" t="s">
        <v>269</v>
      </c>
      <c r="AT299" s="226" t="s">
        <v>600</v>
      </c>
      <c r="AU299" s="225" t="s">
        <v>176</v>
      </c>
      <c r="AV299" s="251" t="s">
        <v>188</v>
      </c>
      <c r="AW299" s="223">
        <v>44868</v>
      </c>
      <c r="AX299" s="225" t="s">
        <v>1879</v>
      </c>
      <c r="AY299" s="225">
        <v>1985</v>
      </c>
      <c r="AZ299" s="225" t="s">
        <v>1880</v>
      </c>
      <c r="BA299" s="225" t="s">
        <v>267</v>
      </c>
      <c r="BB299" s="225" t="s">
        <v>2967</v>
      </c>
      <c r="BC299" s="225" t="s">
        <v>2968</v>
      </c>
      <c r="BD299" s="225">
        <v>14</v>
      </c>
      <c r="BE299" s="225">
        <v>11.9</v>
      </c>
      <c r="BF299" s="225">
        <v>90.8</v>
      </c>
      <c r="BG299" s="225">
        <v>0.01</v>
      </c>
      <c r="BH299" s="225" t="s">
        <v>1882</v>
      </c>
      <c r="BI299" s="225"/>
      <c r="BJ299" s="225">
        <f>3770+390+88+101+90+274+168+150+25</f>
        <v>5056</v>
      </c>
      <c r="BK299" s="225"/>
      <c r="BL299" s="225"/>
      <c r="BM299" s="225"/>
      <c r="BN299" s="225">
        <f>500+35+480</f>
        <v>1015</v>
      </c>
      <c r="BO299" s="225">
        <f t="shared" si="24"/>
        <v>6071</v>
      </c>
      <c r="BP299" s="230">
        <f t="shared" si="25"/>
        <v>333.90500000000003</v>
      </c>
      <c r="BQ299" s="230">
        <f t="shared" si="26"/>
        <v>6404.9049999999997</v>
      </c>
      <c r="BR299" s="230">
        <v>6404.91</v>
      </c>
      <c r="BS299" s="225" t="s">
        <v>188</v>
      </c>
      <c r="BT299" s="225"/>
      <c r="BU299" s="225"/>
      <c r="BV299" s="231" t="s">
        <v>4045</v>
      </c>
      <c r="BW299" s="225" t="s">
        <v>968</v>
      </c>
      <c r="BX299" s="301" t="s">
        <v>620</v>
      </c>
      <c r="BY299" s="301" t="s">
        <v>176</v>
      </c>
    </row>
    <row r="300" spans="1:77" s="33" customFormat="1" ht="13.5" customHeight="1">
      <c r="A300" s="64">
        <f t="shared" si="27"/>
        <v>2021</v>
      </c>
      <c r="B300" s="64">
        <f t="shared" si="28"/>
        <v>11</v>
      </c>
      <c r="C300" s="125" t="s">
        <v>191</v>
      </c>
      <c r="D300" s="168" t="str">
        <f t="shared" si="29"/>
        <v>non maj</v>
      </c>
      <c r="E300" s="232" t="s">
        <v>670</v>
      </c>
      <c r="F300" s="232" t="s">
        <v>1559</v>
      </c>
      <c r="G300" s="221">
        <v>600</v>
      </c>
      <c r="H300" s="222">
        <v>44515</v>
      </c>
      <c r="I300" s="222">
        <v>44519</v>
      </c>
      <c r="J300" s="223" t="s">
        <v>176</v>
      </c>
      <c r="K300" s="222" t="s">
        <v>176</v>
      </c>
      <c r="L300" s="223">
        <v>44525</v>
      </c>
      <c r="M300" s="223">
        <v>44525</v>
      </c>
      <c r="N300" s="223">
        <v>44539</v>
      </c>
      <c r="O300" s="222"/>
      <c r="P300" s="222">
        <v>44712</v>
      </c>
      <c r="Q300" s="222">
        <v>44595</v>
      </c>
      <c r="R300" s="222" t="s">
        <v>176</v>
      </c>
      <c r="S300" s="222">
        <v>44768</v>
      </c>
      <c r="T300" s="222">
        <v>44768</v>
      </c>
      <c r="U300" s="222">
        <v>44769</v>
      </c>
      <c r="V300" s="224"/>
      <c r="W300" s="222"/>
      <c r="X300" s="225"/>
      <c r="Y300" s="225"/>
      <c r="Z300" s="225"/>
      <c r="AA300" s="225">
        <v>3</v>
      </c>
      <c r="AB300" s="225">
        <v>76480</v>
      </c>
      <c r="AC300" s="225">
        <v>412</v>
      </c>
      <c r="AD300" s="225" t="s">
        <v>2969</v>
      </c>
      <c r="AE300" s="225">
        <v>38730</v>
      </c>
      <c r="AF300" s="225" t="s">
        <v>1916</v>
      </c>
      <c r="AG300" s="226">
        <v>648695056</v>
      </c>
      <c r="AH300" s="246" t="s">
        <v>2970</v>
      </c>
      <c r="AI300" s="225" t="s">
        <v>1168</v>
      </c>
      <c r="AJ300" s="225"/>
      <c r="AK300" s="225"/>
      <c r="AL300" s="225" t="s">
        <v>176</v>
      </c>
      <c r="AM300" s="225" t="s">
        <v>176</v>
      </c>
      <c r="AN300" s="225" t="s">
        <v>176</v>
      </c>
      <c r="AO300" s="225" t="s">
        <v>176</v>
      </c>
      <c r="AP300" s="225" t="s">
        <v>1909</v>
      </c>
      <c r="AQ300" s="225" t="s">
        <v>1910</v>
      </c>
      <c r="AR300" s="225" t="s">
        <v>781</v>
      </c>
      <c r="AS300" s="246" t="s">
        <v>1911</v>
      </c>
      <c r="AT300" s="226">
        <v>474937373</v>
      </c>
      <c r="AU300" s="225" t="s">
        <v>176</v>
      </c>
      <c r="AV300" s="241" t="s">
        <v>188</v>
      </c>
      <c r="AW300" s="223">
        <v>44774</v>
      </c>
      <c r="AX300" s="225" t="s">
        <v>4113</v>
      </c>
      <c r="AY300" s="225">
        <v>1990</v>
      </c>
      <c r="AZ300" s="225" t="s">
        <v>1880</v>
      </c>
      <c r="BA300" s="225" t="s">
        <v>267</v>
      </c>
      <c r="BB300" s="225" t="s">
        <v>279</v>
      </c>
      <c r="BC300" s="225" t="s">
        <v>2971</v>
      </c>
      <c r="BD300" s="225">
        <v>14.3</v>
      </c>
      <c r="BE300" s="225">
        <v>8.1999999999999993</v>
      </c>
      <c r="BF300" s="225">
        <v>91.1</v>
      </c>
      <c r="BG300" s="225">
        <v>1.0999999999999999E-2</v>
      </c>
      <c r="BH300" s="225" t="s">
        <v>1899</v>
      </c>
      <c r="BI300" s="225"/>
      <c r="BJ300" s="225">
        <f>4030+120</f>
        <v>4150</v>
      </c>
      <c r="BK300" s="225"/>
      <c r="BL300" s="225"/>
      <c r="BM300" s="225"/>
      <c r="BN300" s="225">
        <v>730</v>
      </c>
      <c r="BO300" s="225">
        <f t="shared" si="24"/>
        <v>4880</v>
      </c>
      <c r="BP300" s="230">
        <f t="shared" si="25"/>
        <v>268.39999999999998</v>
      </c>
      <c r="BQ300" s="230">
        <f t="shared" si="26"/>
        <v>5148.3999999999996</v>
      </c>
      <c r="BR300" s="230">
        <v>5148.3999999999996</v>
      </c>
      <c r="BS300" s="225" t="s">
        <v>188</v>
      </c>
      <c r="BT300" s="225"/>
      <c r="BU300" s="225"/>
      <c r="BV300" s="301" t="s">
        <v>2325</v>
      </c>
      <c r="BW300" s="301" t="s">
        <v>214</v>
      </c>
      <c r="BX300" s="301" t="s">
        <v>620</v>
      </c>
      <c r="BY300" s="301" t="s">
        <v>176</v>
      </c>
    </row>
    <row r="301" spans="1:77" s="33" customFormat="1" ht="13.5" customHeight="1">
      <c r="A301" s="64">
        <f t="shared" si="27"/>
        <v>2021</v>
      </c>
      <c r="B301" s="64">
        <f t="shared" si="28"/>
        <v>12</v>
      </c>
      <c r="C301" s="125" t="s">
        <v>191</v>
      </c>
      <c r="D301" s="168" t="str">
        <f t="shared" si="29"/>
        <v>maj</v>
      </c>
      <c r="E301" s="232" t="s">
        <v>670</v>
      </c>
      <c r="F301" s="232" t="s">
        <v>1561</v>
      </c>
      <c r="G301" s="221">
        <v>1000</v>
      </c>
      <c r="H301" s="222">
        <v>44516</v>
      </c>
      <c r="I301" s="222">
        <v>44519</v>
      </c>
      <c r="J301" s="223">
        <v>44525</v>
      </c>
      <c r="K301" s="222" t="s">
        <v>2972</v>
      </c>
      <c r="L301" s="223">
        <v>44539</v>
      </c>
      <c r="M301" s="223">
        <v>44539</v>
      </c>
      <c r="N301" s="223">
        <v>44540</v>
      </c>
      <c r="O301" s="222"/>
      <c r="P301" s="222">
        <v>44666</v>
      </c>
      <c r="Q301" s="222">
        <v>44616</v>
      </c>
      <c r="R301" s="222" t="s">
        <v>2973</v>
      </c>
      <c r="S301" s="222">
        <v>44768</v>
      </c>
      <c r="T301" s="222">
        <v>44768</v>
      </c>
      <c r="U301" s="222">
        <v>44769</v>
      </c>
      <c r="V301" s="224"/>
      <c r="W301" s="222"/>
      <c r="X301" s="225"/>
      <c r="Y301" s="225"/>
      <c r="Z301" s="225"/>
      <c r="AA301" s="225">
        <v>1</v>
      </c>
      <c r="AB301" s="225">
        <v>10896</v>
      </c>
      <c r="AC301" s="225">
        <v>46</v>
      </c>
      <c r="AD301" s="225" t="s">
        <v>885</v>
      </c>
      <c r="AE301" s="225">
        <v>38500</v>
      </c>
      <c r="AF301" s="225" t="s">
        <v>271</v>
      </c>
      <c r="AG301" s="226">
        <v>476053307</v>
      </c>
      <c r="AH301" s="246" t="s">
        <v>2974</v>
      </c>
      <c r="AI301" s="225" t="s">
        <v>1168</v>
      </c>
      <c r="AJ301" s="225"/>
      <c r="AK301" s="225"/>
      <c r="AL301" s="225" t="s">
        <v>176</v>
      </c>
      <c r="AM301" s="225" t="s">
        <v>176</v>
      </c>
      <c r="AN301" s="225" t="s">
        <v>176</v>
      </c>
      <c r="AO301" s="225" t="s">
        <v>176</v>
      </c>
      <c r="AP301" s="225" t="s">
        <v>2018</v>
      </c>
      <c r="AQ301" s="225" t="s">
        <v>225</v>
      </c>
      <c r="AR301" s="225" t="s">
        <v>2019</v>
      </c>
      <c r="AS301" s="241" t="s">
        <v>273</v>
      </c>
      <c r="AT301" s="226">
        <v>476059444</v>
      </c>
      <c r="AU301" s="225" t="s">
        <v>176</v>
      </c>
      <c r="AV301" s="241" t="s">
        <v>188</v>
      </c>
      <c r="AW301" s="223">
        <v>44789</v>
      </c>
      <c r="AX301" s="225" t="s">
        <v>1880</v>
      </c>
      <c r="AY301" s="225">
        <v>1990</v>
      </c>
      <c r="AZ301" s="225" t="s">
        <v>1880</v>
      </c>
      <c r="BA301" s="225" t="s">
        <v>380</v>
      </c>
      <c r="BB301" s="225" t="s">
        <v>208</v>
      </c>
      <c r="BC301" s="225" t="s">
        <v>2975</v>
      </c>
      <c r="BD301" s="225">
        <v>24.5</v>
      </c>
      <c r="BE301" s="225">
        <v>8</v>
      </c>
      <c r="BF301" s="225">
        <v>83.9</v>
      </c>
      <c r="BG301" s="225">
        <v>5.3999999999999999E-2</v>
      </c>
      <c r="BH301" s="225" t="s">
        <v>1899</v>
      </c>
      <c r="BI301" s="225"/>
      <c r="BJ301" s="225">
        <f>4976+811</f>
        <v>5787</v>
      </c>
      <c r="BK301" s="225"/>
      <c r="BL301" s="225"/>
      <c r="BM301" s="225"/>
      <c r="BN301" s="225">
        <f>944+35</f>
        <v>979</v>
      </c>
      <c r="BO301" s="225">
        <f t="shared" si="24"/>
        <v>6766</v>
      </c>
      <c r="BP301" s="230">
        <f t="shared" si="25"/>
        <v>372.13</v>
      </c>
      <c r="BQ301" s="230">
        <f t="shared" si="26"/>
        <v>7138.13</v>
      </c>
      <c r="BR301" s="230">
        <v>7138.13</v>
      </c>
      <c r="BS301" s="225" t="s">
        <v>191</v>
      </c>
      <c r="BT301" s="225"/>
      <c r="BU301" s="225"/>
      <c r="BV301" s="301" t="s">
        <v>2325</v>
      </c>
      <c r="BW301" s="301" t="s">
        <v>214</v>
      </c>
      <c r="BX301" s="222" t="s">
        <v>618</v>
      </c>
      <c r="BY301" s="301">
        <v>2022</v>
      </c>
    </row>
    <row r="302" spans="1:77" s="33" customFormat="1" ht="13.5" customHeight="1">
      <c r="A302" s="64">
        <f t="shared" si="27"/>
        <v>2021</v>
      </c>
      <c r="B302" s="64">
        <f t="shared" si="28"/>
        <v>12</v>
      </c>
      <c r="C302" s="125" t="s">
        <v>191</v>
      </c>
      <c r="D302" s="168" t="str">
        <f t="shared" si="29"/>
        <v>non maj</v>
      </c>
      <c r="E302" s="232" t="s">
        <v>670</v>
      </c>
      <c r="F302" s="232" t="s">
        <v>1562</v>
      </c>
      <c r="G302" s="221">
        <v>600</v>
      </c>
      <c r="H302" s="222">
        <v>44519</v>
      </c>
      <c r="I302" s="222">
        <v>44519</v>
      </c>
      <c r="J302" s="223">
        <v>44525</v>
      </c>
      <c r="K302" s="222" t="s">
        <v>2976</v>
      </c>
      <c r="L302" s="223">
        <v>44539</v>
      </c>
      <c r="M302" s="223">
        <v>44539</v>
      </c>
      <c r="N302" s="223">
        <v>44546</v>
      </c>
      <c r="O302" s="222"/>
      <c r="P302" s="222">
        <v>44620</v>
      </c>
      <c r="Q302" s="222">
        <v>44614</v>
      </c>
      <c r="R302" s="222"/>
      <c r="S302" s="222">
        <v>44622</v>
      </c>
      <c r="T302" s="222">
        <v>44622</v>
      </c>
      <c r="U302" s="222">
        <v>44623</v>
      </c>
      <c r="V302" s="224"/>
      <c r="W302" s="222"/>
      <c r="X302" s="225"/>
      <c r="Y302" s="225"/>
      <c r="Z302" s="225"/>
      <c r="AA302" s="225">
        <v>1</v>
      </c>
      <c r="AB302" s="225">
        <v>26038</v>
      </c>
      <c r="AC302" s="225">
        <v>38</v>
      </c>
      <c r="AD302" s="225" t="s">
        <v>989</v>
      </c>
      <c r="AE302" s="225">
        <v>38620</v>
      </c>
      <c r="AF302" s="225" t="s">
        <v>2540</v>
      </c>
      <c r="AG302" s="226">
        <v>672157557</v>
      </c>
      <c r="AH302" s="246" t="s">
        <v>2977</v>
      </c>
      <c r="AI302" s="225" t="s">
        <v>1168</v>
      </c>
      <c r="AJ302" s="225"/>
      <c r="AK302" s="225"/>
      <c r="AL302" s="225" t="s">
        <v>176</v>
      </c>
      <c r="AM302" s="225" t="s">
        <v>176</v>
      </c>
      <c r="AN302" s="225" t="s">
        <v>176</v>
      </c>
      <c r="AO302" s="225" t="s">
        <v>176</v>
      </c>
      <c r="AP302" s="225" t="s">
        <v>268</v>
      </c>
      <c r="AQ302" s="225" t="s">
        <v>1893</v>
      </c>
      <c r="AR302" s="225" t="s">
        <v>1933</v>
      </c>
      <c r="AS302" s="246" t="s">
        <v>1934</v>
      </c>
      <c r="AT302" s="226">
        <v>476355605</v>
      </c>
      <c r="AU302" s="225" t="s">
        <v>176</v>
      </c>
      <c r="AV302" s="241" t="s">
        <v>188</v>
      </c>
      <c r="AW302" s="223">
        <v>44860</v>
      </c>
      <c r="AX302" s="225" t="s">
        <v>1179</v>
      </c>
      <c r="AY302" s="225">
        <v>2000</v>
      </c>
      <c r="AZ302" s="225" t="s">
        <v>1880</v>
      </c>
      <c r="BA302" s="225" t="s">
        <v>380</v>
      </c>
      <c r="BB302" s="225" t="s">
        <v>2978</v>
      </c>
      <c r="BC302" s="225" t="s">
        <v>2979</v>
      </c>
      <c r="BD302" s="225">
        <v>30</v>
      </c>
      <c r="BE302" s="225">
        <v>7.9</v>
      </c>
      <c r="BF302" s="225">
        <v>80</v>
      </c>
      <c r="BG302" s="225">
        <v>6.6000000000000003E-2</v>
      </c>
      <c r="BH302" s="225" t="s">
        <v>1882</v>
      </c>
      <c r="BI302" s="225"/>
      <c r="BJ302" s="225">
        <f>540+48.5+35.5+65.36+78.65+177.6+2770+178+45.35</f>
        <v>3938.96</v>
      </c>
      <c r="BK302" s="225"/>
      <c r="BL302" s="225"/>
      <c r="BM302" s="225"/>
      <c r="BN302" s="225">
        <f>350+425</f>
        <v>775</v>
      </c>
      <c r="BO302" s="225">
        <f t="shared" si="24"/>
        <v>4713.96</v>
      </c>
      <c r="BP302" s="230">
        <f t="shared" si="25"/>
        <v>259.26780000000002</v>
      </c>
      <c r="BQ302" s="230">
        <f t="shared" si="26"/>
        <v>4973.2277999999997</v>
      </c>
      <c r="BR302" s="230">
        <v>4973.1099999999997</v>
      </c>
      <c r="BS302" s="225" t="s">
        <v>188</v>
      </c>
      <c r="BT302" s="225"/>
      <c r="BU302" s="225"/>
      <c r="BV302" s="301" t="s">
        <v>2325</v>
      </c>
      <c r="BW302" s="301" t="s">
        <v>214</v>
      </c>
      <c r="BX302" s="301" t="s">
        <v>620</v>
      </c>
      <c r="BY302" s="301">
        <v>2022</v>
      </c>
    </row>
    <row r="303" spans="1:77" s="33" customFormat="1" ht="13.5" customHeight="1">
      <c r="A303" s="64">
        <f t="shared" si="27"/>
        <v>2021</v>
      </c>
      <c r="B303" s="64">
        <f t="shared" si="28"/>
        <v>12</v>
      </c>
      <c r="C303" s="125" t="s">
        <v>191</v>
      </c>
      <c r="D303" s="168" t="str">
        <f t="shared" si="29"/>
        <v>non maj</v>
      </c>
      <c r="E303" s="232" t="s">
        <v>670</v>
      </c>
      <c r="F303" s="232" t="s">
        <v>1563</v>
      </c>
      <c r="G303" s="221">
        <v>600</v>
      </c>
      <c r="H303" s="222">
        <v>44523</v>
      </c>
      <c r="I303" s="222">
        <v>44525</v>
      </c>
      <c r="J303" s="223">
        <v>44525</v>
      </c>
      <c r="K303" s="222" t="s">
        <v>2980</v>
      </c>
      <c r="L303" s="223">
        <v>44539</v>
      </c>
      <c r="M303" s="223">
        <v>44539</v>
      </c>
      <c r="N303" s="223">
        <v>44540</v>
      </c>
      <c r="O303" s="222"/>
      <c r="P303" s="222">
        <v>44694</v>
      </c>
      <c r="Q303" s="222">
        <v>44589</v>
      </c>
      <c r="R303" s="222" t="s">
        <v>176</v>
      </c>
      <c r="S303" s="222">
        <v>44769</v>
      </c>
      <c r="T303" s="222">
        <v>44769</v>
      </c>
      <c r="U303" s="222">
        <v>44770</v>
      </c>
      <c r="V303" s="224"/>
      <c r="W303" s="222"/>
      <c r="X303" s="225"/>
      <c r="Y303" s="225"/>
      <c r="Z303" s="225"/>
      <c r="AA303" s="225">
        <v>4</v>
      </c>
      <c r="AB303" s="225">
        <v>121339</v>
      </c>
      <c r="AC303" s="225">
        <v>694</v>
      </c>
      <c r="AD303" s="225" t="s">
        <v>2981</v>
      </c>
      <c r="AE303" s="225">
        <v>38432</v>
      </c>
      <c r="AF303" s="225" t="s">
        <v>1893</v>
      </c>
      <c r="AG303" s="226">
        <v>782068422</v>
      </c>
      <c r="AH303" s="246" t="s">
        <v>2982</v>
      </c>
      <c r="AI303" s="225" t="s">
        <v>1168</v>
      </c>
      <c r="AJ303" s="225"/>
      <c r="AK303" s="225"/>
      <c r="AL303" s="225" t="s">
        <v>176</v>
      </c>
      <c r="AM303" s="225" t="s">
        <v>176</v>
      </c>
      <c r="AN303" s="225" t="s">
        <v>176</v>
      </c>
      <c r="AO303" s="225" t="s">
        <v>176</v>
      </c>
      <c r="AP303" s="222" t="s">
        <v>818</v>
      </c>
      <c r="AQ303" s="225" t="s">
        <v>225</v>
      </c>
      <c r="AR303" s="225" t="s">
        <v>1973</v>
      </c>
      <c r="AS303" s="241" t="s">
        <v>1974</v>
      </c>
      <c r="AT303" s="226">
        <v>476323235</v>
      </c>
      <c r="AU303" s="225" t="s">
        <v>176</v>
      </c>
      <c r="AV303" s="241" t="s">
        <v>188</v>
      </c>
      <c r="AW303" s="223">
        <v>44789</v>
      </c>
      <c r="AX303" s="225" t="s">
        <v>1879</v>
      </c>
      <c r="AY303" s="225">
        <v>1996</v>
      </c>
      <c r="AZ303" s="225" t="s">
        <v>1880</v>
      </c>
      <c r="BA303" s="225" t="s">
        <v>380</v>
      </c>
      <c r="BB303" s="225" t="s">
        <v>277</v>
      </c>
      <c r="BC303" s="225" t="s">
        <v>2983</v>
      </c>
      <c r="BD303" s="225">
        <v>29</v>
      </c>
      <c r="BE303" s="225">
        <v>8.3000000000000007</v>
      </c>
      <c r="BF303" s="225">
        <v>81</v>
      </c>
      <c r="BG303" s="225">
        <v>0.09</v>
      </c>
      <c r="BH303" s="225" t="s">
        <v>1882</v>
      </c>
      <c r="BI303" s="225"/>
      <c r="BJ303" s="225">
        <f>2890+48+48+75+55+32+30+110+440+410+320+42+42+42</f>
        <v>4584</v>
      </c>
      <c r="BK303" s="225"/>
      <c r="BL303" s="225"/>
      <c r="BM303" s="225"/>
      <c r="BN303" s="225">
        <f>20+30+430+70</f>
        <v>550</v>
      </c>
      <c r="BO303" s="225">
        <f t="shared" si="24"/>
        <v>5134</v>
      </c>
      <c r="BP303" s="230">
        <f t="shared" si="25"/>
        <v>282.37</v>
      </c>
      <c r="BQ303" s="230">
        <f t="shared" si="26"/>
        <v>5416.37</v>
      </c>
      <c r="BR303" s="230">
        <f>3500+4462.85</f>
        <v>7962.85</v>
      </c>
      <c r="BS303" s="225" t="s">
        <v>191</v>
      </c>
      <c r="BT303" s="225"/>
      <c r="BU303" s="225"/>
      <c r="BV303" s="301" t="s">
        <v>2325</v>
      </c>
      <c r="BW303" s="301" t="s">
        <v>214</v>
      </c>
      <c r="BX303" s="301" t="s">
        <v>620</v>
      </c>
      <c r="BY303" s="301">
        <v>2022</v>
      </c>
    </row>
    <row r="304" spans="1:77" s="33" customFormat="1" ht="13.5" customHeight="1">
      <c r="A304" s="64">
        <f t="shared" si="27"/>
        <v>1900</v>
      </c>
      <c r="B304" s="64">
        <f t="shared" si="28"/>
        <v>1</v>
      </c>
      <c r="C304" s="125" t="s">
        <v>188</v>
      </c>
      <c r="D304" s="168" t="str">
        <f t="shared" si="29"/>
        <v>NC</v>
      </c>
      <c r="E304" s="294" t="s">
        <v>187</v>
      </c>
      <c r="F304" s="294" t="s">
        <v>1564</v>
      </c>
      <c r="G304" s="221" t="s">
        <v>2588</v>
      </c>
      <c r="H304" s="222">
        <v>44526</v>
      </c>
      <c r="I304" s="222">
        <v>44530</v>
      </c>
      <c r="J304" s="223">
        <v>44530</v>
      </c>
      <c r="K304" s="222" t="s">
        <v>1031</v>
      </c>
      <c r="L304" s="223"/>
      <c r="M304" s="223"/>
      <c r="N304" s="223"/>
      <c r="O304" s="222"/>
      <c r="P304" s="222"/>
      <c r="Q304" s="222"/>
      <c r="R304" s="222"/>
      <c r="S304" s="222"/>
      <c r="T304" s="222"/>
      <c r="U304" s="222"/>
      <c r="V304" s="224"/>
      <c r="W304" s="222">
        <v>44930</v>
      </c>
      <c r="X304" s="225" t="s">
        <v>2590</v>
      </c>
      <c r="Y304" s="225"/>
      <c r="Z304" s="225"/>
      <c r="AA304" s="225">
        <v>2</v>
      </c>
      <c r="AB304" s="225">
        <v>31543</v>
      </c>
      <c r="AC304" s="225">
        <v>40</v>
      </c>
      <c r="AD304" s="225" t="s">
        <v>2984</v>
      </c>
      <c r="AE304" s="225">
        <v>38210</v>
      </c>
      <c r="AF304" s="225" t="s">
        <v>1903</v>
      </c>
      <c r="AG304" s="226">
        <v>681082502</v>
      </c>
      <c r="AH304" s="246" t="s">
        <v>2985</v>
      </c>
      <c r="AI304" s="225" t="s">
        <v>1168</v>
      </c>
      <c r="AJ304" s="225"/>
      <c r="AK304" s="225"/>
      <c r="AL304" s="225" t="s">
        <v>176</v>
      </c>
      <c r="AM304" s="225" t="s">
        <v>176</v>
      </c>
      <c r="AN304" s="225" t="s">
        <v>176</v>
      </c>
      <c r="AO304" s="225" t="s">
        <v>176</v>
      </c>
      <c r="AP304" s="225" t="s">
        <v>385</v>
      </c>
      <c r="AQ304" s="225" t="s">
        <v>265</v>
      </c>
      <c r="AR304" s="225" t="s">
        <v>1959</v>
      </c>
      <c r="AS304" s="241" t="s">
        <v>1960</v>
      </c>
      <c r="AT304" s="226">
        <v>476065876</v>
      </c>
      <c r="AU304" s="225" t="s">
        <v>176</v>
      </c>
      <c r="AV304" s="241" t="s">
        <v>188</v>
      </c>
      <c r="AW304" s="223">
        <v>44770</v>
      </c>
      <c r="AX304" s="225" t="s">
        <v>1880</v>
      </c>
      <c r="AY304" s="225">
        <v>2000</v>
      </c>
      <c r="AZ304" s="225" t="s">
        <v>1880</v>
      </c>
      <c r="BA304" s="225" t="s">
        <v>267</v>
      </c>
      <c r="BB304" s="225" t="s">
        <v>190</v>
      </c>
      <c r="BC304" s="225" t="s">
        <v>2986</v>
      </c>
      <c r="BD304" s="225">
        <v>11</v>
      </c>
      <c r="BE304" s="225">
        <v>12</v>
      </c>
      <c r="BF304" s="225">
        <v>88.5</v>
      </c>
      <c r="BG304" s="225">
        <v>0.01</v>
      </c>
      <c r="BH304" s="225" t="s">
        <v>1882</v>
      </c>
      <c r="BI304" s="225"/>
      <c r="BJ304" s="225">
        <f>3187+586+487.21+703.66+175.31</f>
        <v>5139.18</v>
      </c>
      <c r="BK304" s="225"/>
      <c r="BL304" s="225"/>
      <c r="BM304" s="225"/>
      <c r="BN304" s="225">
        <v>800</v>
      </c>
      <c r="BO304" s="225">
        <f t="shared" si="24"/>
        <v>5939.18</v>
      </c>
      <c r="BP304" s="230">
        <f t="shared" si="25"/>
        <v>326.6549</v>
      </c>
      <c r="BQ304" s="230">
        <f t="shared" si="26"/>
        <v>6265.8348999999998</v>
      </c>
      <c r="BR304" s="230"/>
      <c r="BS304" s="225" t="s">
        <v>191</v>
      </c>
      <c r="BT304" s="225"/>
      <c r="BU304" s="225"/>
      <c r="BV304" s="231">
        <v>0</v>
      </c>
      <c r="BW304" s="301" t="s">
        <v>214</v>
      </c>
      <c r="BX304" s="301" t="s">
        <v>214</v>
      </c>
      <c r="BY304" s="301"/>
    </row>
    <row r="305" spans="1:77" s="33" customFormat="1" ht="13.5" customHeight="1">
      <c r="A305" s="64">
        <f t="shared" si="27"/>
        <v>2021</v>
      </c>
      <c r="B305" s="64">
        <f t="shared" si="28"/>
        <v>12</v>
      </c>
      <c r="C305" s="125" t="s">
        <v>191</v>
      </c>
      <c r="D305" s="168" t="str">
        <f t="shared" si="29"/>
        <v>non maj</v>
      </c>
      <c r="E305" s="232" t="s">
        <v>2987</v>
      </c>
      <c r="F305" s="232" t="s">
        <v>1565</v>
      </c>
      <c r="G305" s="221">
        <v>600</v>
      </c>
      <c r="H305" s="222">
        <v>44529</v>
      </c>
      <c r="I305" s="222">
        <v>44530</v>
      </c>
      <c r="J305" s="223" t="s">
        <v>176</v>
      </c>
      <c r="K305" s="222" t="s">
        <v>176</v>
      </c>
      <c r="L305" s="223">
        <v>44533</v>
      </c>
      <c r="M305" s="223">
        <v>44533</v>
      </c>
      <c r="N305" s="223">
        <v>44539</v>
      </c>
      <c r="O305" s="222"/>
      <c r="P305" s="222"/>
      <c r="Q305" s="222"/>
      <c r="R305" s="222">
        <v>44599</v>
      </c>
      <c r="S305" s="222"/>
      <c r="T305" s="222">
        <v>44599</v>
      </c>
      <c r="U305" s="222">
        <v>44599</v>
      </c>
      <c r="V305" s="224"/>
      <c r="W305" s="222"/>
      <c r="X305" s="225"/>
      <c r="Y305" s="225"/>
      <c r="Z305" s="225"/>
      <c r="AA305" s="225">
        <v>2</v>
      </c>
      <c r="AB305" s="225">
        <v>33698</v>
      </c>
      <c r="AC305" s="225">
        <v>112</v>
      </c>
      <c r="AD305" s="225" t="s">
        <v>2988</v>
      </c>
      <c r="AE305" s="225">
        <v>38500</v>
      </c>
      <c r="AF305" s="225" t="s">
        <v>1907</v>
      </c>
      <c r="AG305" s="226">
        <v>679778950</v>
      </c>
      <c r="AH305" s="246" t="s">
        <v>2989</v>
      </c>
      <c r="AI305" s="225" t="s">
        <v>1168</v>
      </c>
      <c r="AJ305" s="225"/>
      <c r="AK305" s="225"/>
      <c r="AL305" s="225" t="s">
        <v>176</v>
      </c>
      <c r="AM305" s="225" t="s">
        <v>176</v>
      </c>
      <c r="AN305" s="225" t="s">
        <v>176</v>
      </c>
      <c r="AO305" s="225" t="s">
        <v>176</v>
      </c>
      <c r="AP305" s="222" t="s">
        <v>587</v>
      </c>
      <c r="AQ305" s="225" t="s">
        <v>225</v>
      </c>
      <c r="AR305" s="225" t="s">
        <v>2026</v>
      </c>
      <c r="AS305" s="241" t="s">
        <v>266</v>
      </c>
      <c r="AT305" s="226">
        <v>476069938</v>
      </c>
      <c r="AU305" s="225"/>
      <c r="AV305" s="241" t="s">
        <v>188</v>
      </c>
      <c r="AW305" s="223">
        <v>44822</v>
      </c>
      <c r="AX305" s="225" t="s">
        <v>4113</v>
      </c>
      <c r="AY305" s="242">
        <v>1980</v>
      </c>
      <c r="AZ305" s="225" t="s">
        <v>1880</v>
      </c>
      <c r="BA305" s="225" t="s">
        <v>267</v>
      </c>
      <c r="BB305" s="225" t="s">
        <v>433</v>
      </c>
      <c r="BC305" s="225" t="s">
        <v>855</v>
      </c>
      <c r="BD305" s="242">
        <v>15</v>
      </c>
      <c r="BE305" s="242">
        <v>7.4</v>
      </c>
      <c r="BF305" s="242">
        <v>92.5</v>
      </c>
      <c r="BG305" s="242">
        <v>1.2E-2</v>
      </c>
      <c r="BH305" s="225" t="s">
        <v>1899</v>
      </c>
      <c r="BI305" s="225"/>
      <c r="BJ305" s="242">
        <f>470 + 250.01+89+3180</f>
        <v>3989.01</v>
      </c>
      <c r="BK305" s="225"/>
      <c r="BL305" s="225"/>
      <c r="BM305" s="225"/>
      <c r="BN305" s="242">
        <f>450+63.36+236.97</f>
        <v>750.33</v>
      </c>
      <c r="BO305" s="242">
        <f t="shared" si="24"/>
        <v>4739.34</v>
      </c>
      <c r="BP305" s="242">
        <f t="shared" si="25"/>
        <v>260.66370000000001</v>
      </c>
      <c r="BQ305" s="242">
        <f t="shared" si="26"/>
        <v>5000.0037000000002</v>
      </c>
      <c r="BR305" s="230">
        <v>5000</v>
      </c>
      <c r="BS305" s="225" t="s">
        <v>188</v>
      </c>
      <c r="BT305" s="225"/>
      <c r="BU305" s="225"/>
      <c r="BV305" s="301" t="s">
        <v>2325</v>
      </c>
      <c r="BW305" s="301" t="s">
        <v>214</v>
      </c>
      <c r="BX305" s="301" t="s">
        <v>620</v>
      </c>
      <c r="BY305" s="301" t="s">
        <v>176</v>
      </c>
    </row>
    <row r="306" spans="1:77" s="33" customFormat="1" ht="13.5" customHeight="1">
      <c r="A306" s="64">
        <f t="shared" si="27"/>
        <v>2021</v>
      </c>
      <c r="B306" s="64">
        <f t="shared" si="28"/>
        <v>12</v>
      </c>
      <c r="C306" s="125" t="s">
        <v>191</v>
      </c>
      <c r="D306" s="168" t="str">
        <f t="shared" si="29"/>
        <v>non maj</v>
      </c>
      <c r="E306" s="232" t="s">
        <v>2987</v>
      </c>
      <c r="F306" s="232" t="s">
        <v>1566</v>
      </c>
      <c r="G306" s="221">
        <v>600</v>
      </c>
      <c r="H306" s="222">
        <v>44529</v>
      </c>
      <c r="I306" s="222">
        <v>44530</v>
      </c>
      <c r="J306" s="223">
        <v>44533</v>
      </c>
      <c r="K306" s="222" t="s">
        <v>176</v>
      </c>
      <c r="L306" s="223">
        <v>44543</v>
      </c>
      <c r="M306" s="223">
        <v>44543</v>
      </c>
      <c r="N306" s="223">
        <v>44544</v>
      </c>
      <c r="O306" s="222"/>
      <c r="P306" s="222">
        <v>44697</v>
      </c>
      <c r="Q306" s="222">
        <v>44641</v>
      </c>
      <c r="R306" s="222" t="s">
        <v>176</v>
      </c>
      <c r="S306" s="222">
        <v>44768</v>
      </c>
      <c r="T306" s="222">
        <v>44768</v>
      </c>
      <c r="U306" s="222">
        <v>44769</v>
      </c>
      <c r="V306" s="224"/>
      <c r="W306" s="222"/>
      <c r="X306" s="225"/>
      <c r="Y306" s="225"/>
      <c r="Z306" s="225"/>
      <c r="AA306" s="225">
        <v>2</v>
      </c>
      <c r="AB306" s="225">
        <v>57333</v>
      </c>
      <c r="AC306" s="225">
        <v>774</v>
      </c>
      <c r="AD306" s="225" t="s">
        <v>2990</v>
      </c>
      <c r="AE306" s="225">
        <v>38430</v>
      </c>
      <c r="AF306" s="225" t="s">
        <v>2081</v>
      </c>
      <c r="AG306" s="226">
        <v>476550654</v>
      </c>
      <c r="AH306" s="246" t="s">
        <v>2991</v>
      </c>
      <c r="AI306" s="225" t="s">
        <v>1168</v>
      </c>
      <c r="AJ306" s="225"/>
      <c r="AK306" s="225"/>
      <c r="AL306" s="225" t="s">
        <v>176</v>
      </c>
      <c r="AM306" s="225" t="s">
        <v>176</v>
      </c>
      <c r="AN306" s="225" t="s">
        <v>176</v>
      </c>
      <c r="AO306" s="225" t="s">
        <v>176</v>
      </c>
      <c r="AP306" s="222" t="s">
        <v>587</v>
      </c>
      <c r="AQ306" s="225" t="s">
        <v>225</v>
      </c>
      <c r="AR306" s="225" t="s">
        <v>2026</v>
      </c>
      <c r="AS306" s="241" t="s">
        <v>266</v>
      </c>
      <c r="AT306" s="226">
        <v>476069938</v>
      </c>
      <c r="AU306" s="225"/>
      <c r="AV306" s="241" t="s">
        <v>188</v>
      </c>
      <c r="AW306" s="223">
        <v>44822</v>
      </c>
      <c r="AX306" s="225" t="s">
        <v>1879</v>
      </c>
      <c r="AY306" s="242">
        <v>1973</v>
      </c>
      <c r="AZ306" s="225" t="s">
        <v>1880</v>
      </c>
      <c r="BA306" s="225" t="s">
        <v>267</v>
      </c>
      <c r="BB306" s="225" t="s">
        <v>853</v>
      </c>
      <c r="BC306" s="225" t="s">
        <v>2992</v>
      </c>
      <c r="BD306" s="242">
        <v>14</v>
      </c>
      <c r="BE306" s="242">
        <v>9.1</v>
      </c>
      <c r="BF306" s="242">
        <v>90.2</v>
      </c>
      <c r="BG306" s="242">
        <v>4.0000000000000001E-3</v>
      </c>
      <c r="BH306" s="225" t="s">
        <v>1882</v>
      </c>
      <c r="BI306" s="225"/>
      <c r="BJ306" s="242">
        <f>3555+250+805</f>
        <v>4610</v>
      </c>
      <c r="BK306" s="225"/>
      <c r="BL306" s="225"/>
      <c r="BM306" s="225"/>
      <c r="BN306" s="242">
        <f>390+450</f>
        <v>840</v>
      </c>
      <c r="BO306" s="242">
        <f t="shared" si="24"/>
        <v>5450</v>
      </c>
      <c r="BP306" s="242">
        <f t="shared" si="25"/>
        <v>299.75</v>
      </c>
      <c r="BQ306" s="242">
        <f t="shared" si="26"/>
        <v>5749.75</v>
      </c>
      <c r="BR306" s="230">
        <v>5749.76</v>
      </c>
      <c r="BS306" s="225" t="s">
        <v>191</v>
      </c>
      <c r="BT306" s="225"/>
      <c r="BU306" s="225"/>
      <c r="BV306" s="301" t="s">
        <v>2325</v>
      </c>
      <c r="BW306" s="301" t="s">
        <v>214</v>
      </c>
      <c r="BX306" s="301" t="s">
        <v>620</v>
      </c>
      <c r="BY306" s="301" t="s">
        <v>176</v>
      </c>
    </row>
    <row r="307" spans="1:77" s="33" customFormat="1" ht="13.5" customHeight="1">
      <c r="A307" s="64">
        <f t="shared" si="27"/>
        <v>2021</v>
      </c>
      <c r="B307" s="64">
        <f t="shared" si="28"/>
        <v>12</v>
      </c>
      <c r="C307" s="125" t="s">
        <v>191</v>
      </c>
      <c r="D307" s="168" t="str">
        <f t="shared" si="29"/>
        <v>non maj</v>
      </c>
      <c r="E307" s="232" t="s">
        <v>2987</v>
      </c>
      <c r="F307" s="232" t="s">
        <v>1567</v>
      </c>
      <c r="G307" s="221">
        <v>600</v>
      </c>
      <c r="H307" s="222">
        <v>44530</v>
      </c>
      <c r="I307" s="222">
        <v>44530</v>
      </c>
      <c r="J307" s="223">
        <v>44533</v>
      </c>
      <c r="K307" s="222" t="s">
        <v>176</v>
      </c>
      <c r="L307" s="223">
        <v>44543</v>
      </c>
      <c r="M307" s="223">
        <v>44543</v>
      </c>
      <c r="N307" s="223">
        <v>44544</v>
      </c>
      <c r="O307" s="222"/>
      <c r="P307" s="222">
        <v>44636</v>
      </c>
      <c r="Q307" s="222">
        <v>44603</v>
      </c>
      <c r="R307" s="222"/>
      <c r="S307" s="222">
        <v>44650</v>
      </c>
      <c r="T307" s="222">
        <v>44650</v>
      </c>
      <c r="U307" s="222">
        <v>44652</v>
      </c>
      <c r="V307" s="224"/>
      <c r="W307" s="222"/>
      <c r="X307" s="225"/>
      <c r="Y307" s="225"/>
      <c r="Z307" s="225"/>
      <c r="AA307" s="225">
        <v>2</v>
      </c>
      <c r="AB307" s="225">
        <v>49440</v>
      </c>
      <c r="AC307" s="225">
        <v>94</v>
      </c>
      <c r="AD307" s="225" t="s">
        <v>2993</v>
      </c>
      <c r="AE307" s="225">
        <v>38430</v>
      </c>
      <c r="AF307" s="225" t="s">
        <v>2081</v>
      </c>
      <c r="AG307" s="226">
        <v>476353909</v>
      </c>
      <c r="AH307" s="246" t="s">
        <v>2994</v>
      </c>
      <c r="AI307" s="225" t="s">
        <v>1168</v>
      </c>
      <c r="AJ307" s="225"/>
      <c r="AK307" s="225"/>
      <c r="AL307" s="225" t="s">
        <v>176</v>
      </c>
      <c r="AM307" s="225" t="s">
        <v>176</v>
      </c>
      <c r="AN307" s="225" t="s">
        <v>176</v>
      </c>
      <c r="AO307" s="225" t="s">
        <v>176</v>
      </c>
      <c r="AP307" s="225" t="s">
        <v>3294</v>
      </c>
      <c r="AQ307" s="225" t="s">
        <v>231</v>
      </c>
      <c r="AR307" s="225" t="s">
        <v>1036</v>
      </c>
      <c r="AS307" s="241" t="s">
        <v>798</v>
      </c>
      <c r="AT307" s="226">
        <v>479524432</v>
      </c>
      <c r="AU307" s="225" t="s">
        <v>2995</v>
      </c>
      <c r="AV307" s="241" t="s">
        <v>188</v>
      </c>
      <c r="AW307" s="223">
        <v>44742</v>
      </c>
      <c r="AX307" s="225" t="s">
        <v>1179</v>
      </c>
      <c r="AY307" s="225">
        <v>1995</v>
      </c>
      <c r="AZ307" s="225" t="s">
        <v>1880</v>
      </c>
      <c r="BA307" s="225" t="s">
        <v>380</v>
      </c>
      <c r="BB307" s="225" t="s">
        <v>876</v>
      </c>
      <c r="BC307" s="225" t="s">
        <v>2996</v>
      </c>
      <c r="BD307" s="225">
        <v>30</v>
      </c>
      <c r="BE307" s="225">
        <v>7</v>
      </c>
      <c r="BF307" s="225">
        <v>77</v>
      </c>
      <c r="BG307" s="225">
        <v>0.1</v>
      </c>
      <c r="BH307" s="225" t="s">
        <v>1882</v>
      </c>
      <c r="BI307" s="225"/>
      <c r="BJ307" s="225">
        <f>3300+372+78+83+856+120</f>
        <v>4809</v>
      </c>
      <c r="BK307" s="225"/>
      <c r="BL307" s="225"/>
      <c r="BM307" s="225"/>
      <c r="BN307" s="225">
        <f>540+120</f>
        <v>660</v>
      </c>
      <c r="BO307" s="225">
        <f t="shared" si="24"/>
        <v>5469</v>
      </c>
      <c r="BP307" s="230">
        <f t="shared" si="25"/>
        <v>300.79500000000002</v>
      </c>
      <c r="BQ307" s="230">
        <f t="shared" si="26"/>
        <v>5769.7950000000001</v>
      </c>
      <c r="BR307" s="230">
        <v>4980</v>
      </c>
      <c r="BS307" s="225" t="s">
        <v>191</v>
      </c>
      <c r="BT307" s="225"/>
      <c r="BU307" s="225"/>
      <c r="BV307" s="301" t="s">
        <v>2325</v>
      </c>
      <c r="BW307" s="301" t="s">
        <v>214</v>
      </c>
      <c r="BX307" s="301" t="s">
        <v>620</v>
      </c>
      <c r="BY307" s="301">
        <v>2022</v>
      </c>
    </row>
    <row r="308" spans="1:77" s="33" customFormat="1" ht="13.5" customHeight="1">
      <c r="A308" s="64">
        <f t="shared" si="27"/>
        <v>2021</v>
      </c>
      <c r="B308" s="64">
        <f t="shared" si="28"/>
        <v>12</v>
      </c>
      <c r="C308" s="125" t="s">
        <v>191</v>
      </c>
      <c r="D308" s="168" t="str">
        <f t="shared" si="29"/>
        <v>non maj</v>
      </c>
      <c r="E308" s="232" t="s">
        <v>2987</v>
      </c>
      <c r="F308" s="232" t="s">
        <v>1568</v>
      </c>
      <c r="G308" s="221">
        <v>600</v>
      </c>
      <c r="H308" s="222">
        <v>44532</v>
      </c>
      <c r="I308" s="222">
        <v>44533</v>
      </c>
      <c r="J308" s="223">
        <v>44533</v>
      </c>
      <c r="K308" s="222" t="s">
        <v>176</v>
      </c>
      <c r="L308" s="223">
        <v>44543</v>
      </c>
      <c r="M308" s="223">
        <v>44543</v>
      </c>
      <c r="N308" s="223">
        <v>44544</v>
      </c>
      <c r="O308" s="222"/>
      <c r="P308" s="222">
        <v>44686</v>
      </c>
      <c r="Q308" s="222">
        <v>44592</v>
      </c>
      <c r="R308" s="222" t="s">
        <v>176</v>
      </c>
      <c r="S308" s="222">
        <v>44768</v>
      </c>
      <c r="T308" s="222">
        <v>44768</v>
      </c>
      <c r="U308" s="222">
        <v>44769</v>
      </c>
      <c r="V308" s="224"/>
      <c r="W308" s="222"/>
      <c r="X308" s="225"/>
      <c r="Y308" s="225"/>
      <c r="Z308" s="225"/>
      <c r="AA308" s="225">
        <v>2</v>
      </c>
      <c r="AB308" s="225">
        <v>82081</v>
      </c>
      <c r="AC308" s="225">
        <v>3113</v>
      </c>
      <c r="AD308" s="225" t="s">
        <v>2997</v>
      </c>
      <c r="AE308" s="225">
        <v>38210</v>
      </c>
      <c r="AF308" s="225" t="s">
        <v>265</v>
      </c>
      <c r="AG308" s="226">
        <v>678446231</v>
      </c>
      <c r="AH308" s="246" t="s">
        <v>2998</v>
      </c>
      <c r="AI308" s="225" t="s">
        <v>1168</v>
      </c>
      <c r="AJ308" s="225"/>
      <c r="AK308" s="225"/>
      <c r="AL308" s="225" t="s">
        <v>176</v>
      </c>
      <c r="AM308" s="225" t="s">
        <v>176</v>
      </c>
      <c r="AN308" s="225" t="s">
        <v>176</v>
      </c>
      <c r="AO308" s="225" t="s">
        <v>176</v>
      </c>
      <c r="AP308" s="225" t="s">
        <v>624</v>
      </c>
      <c r="AQ308" s="225" t="s">
        <v>2999</v>
      </c>
      <c r="AR308" s="225" t="s">
        <v>3000</v>
      </c>
      <c r="AS308" s="241" t="s">
        <v>3001</v>
      </c>
      <c r="AT308" s="226">
        <v>476389584</v>
      </c>
      <c r="AU308" s="225"/>
      <c r="AV308" s="241" t="s">
        <v>188</v>
      </c>
      <c r="AW308" s="223">
        <v>44867</v>
      </c>
      <c r="AX308" s="225" t="s">
        <v>4113</v>
      </c>
      <c r="AY308" s="225">
        <v>1989</v>
      </c>
      <c r="AZ308" s="225" t="s">
        <v>1880</v>
      </c>
      <c r="BA308" s="225" t="s">
        <v>380</v>
      </c>
      <c r="BB308" s="225" t="s">
        <v>196</v>
      </c>
      <c r="BC308" s="225" t="s">
        <v>3002</v>
      </c>
      <c r="BD308" s="225">
        <v>11</v>
      </c>
      <c r="BE308" s="225">
        <v>6</v>
      </c>
      <c r="BF308" s="225">
        <v>86</v>
      </c>
      <c r="BG308" s="225">
        <v>0.08</v>
      </c>
      <c r="BH308" s="225" t="s">
        <v>1882</v>
      </c>
      <c r="BI308" s="225"/>
      <c r="BJ308" s="225">
        <f>3544+256.8+327+1134.02+203.7</f>
        <v>5465.5199999999995</v>
      </c>
      <c r="BK308" s="225"/>
      <c r="BL308" s="225"/>
      <c r="BM308" s="225"/>
      <c r="BN308" s="225">
        <f>385+134+665</f>
        <v>1184</v>
      </c>
      <c r="BO308" s="225">
        <f t="shared" si="24"/>
        <v>6649.5199999999995</v>
      </c>
      <c r="BP308" s="230">
        <f t="shared" si="25"/>
        <v>365.72359999999998</v>
      </c>
      <c r="BQ308" s="230">
        <f t="shared" si="26"/>
        <v>7015.2435999999998</v>
      </c>
      <c r="BR308" s="230">
        <v>7015.24</v>
      </c>
      <c r="BS308" s="225" t="s">
        <v>214</v>
      </c>
      <c r="BT308" s="225"/>
      <c r="BU308" s="225"/>
      <c r="BV308" s="301" t="s">
        <v>2325</v>
      </c>
      <c r="BW308" s="301" t="s">
        <v>214</v>
      </c>
      <c r="BX308" s="301" t="s">
        <v>620</v>
      </c>
      <c r="BY308" s="301">
        <v>2022</v>
      </c>
    </row>
    <row r="309" spans="1:77" s="33" customFormat="1" ht="13.5" customHeight="1">
      <c r="A309" s="64">
        <f t="shared" si="27"/>
        <v>2021</v>
      </c>
      <c r="B309" s="64">
        <f t="shared" si="28"/>
        <v>12</v>
      </c>
      <c r="C309" s="125" t="s">
        <v>191</v>
      </c>
      <c r="D309" s="168" t="str">
        <f t="shared" si="29"/>
        <v>maj</v>
      </c>
      <c r="E309" s="292" t="s">
        <v>2987</v>
      </c>
      <c r="F309" s="292" t="s">
        <v>1569</v>
      </c>
      <c r="G309" s="221">
        <v>1000</v>
      </c>
      <c r="H309" s="222">
        <v>44532</v>
      </c>
      <c r="I309" s="222">
        <v>44533</v>
      </c>
      <c r="J309" s="223">
        <v>44533</v>
      </c>
      <c r="K309" s="222" t="s">
        <v>176</v>
      </c>
      <c r="L309" s="223">
        <v>44543</v>
      </c>
      <c r="M309" s="223">
        <v>44543</v>
      </c>
      <c r="N309" s="223">
        <v>44544</v>
      </c>
      <c r="O309" s="222"/>
      <c r="P309" s="222">
        <v>44575</v>
      </c>
      <c r="Q309" s="222">
        <v>44553</v>
      </c>
      <c r="R309" s="222" t="s">
        <v>176</v>
      </c>
      <c r="S309" s="222">
        <v>44580</v>
      </c>
      <c r="T309" s="222">
        <v>44580</v>
      </c>
      <c r="U309" s="222">
        <v>44581</v>
      </c>
      <c r="V309" s="224"/>
      <c r="W309" s="222"/>
      <c r="X309" s="225"/>
      <c r="Y309" s="225"/>
      <c r="Z309" s="225"/>
      <c r="AA309" s="225">
        <v>4</v>
      </c>
      <c r="AB309" s="225">
        <v>29180</v>
      </c>
      <c r="AC309" s="225">
        <v>540</v>
      </c>
      <c r="AD309" s="225" t="s">
        <v>3003</v>
      </c>
      <c r="AE309" s="225">
        <v>38620</v>
      </c>
      <c r="AF309" s="225" t="s">
        <v>2888</v>
      </c>
      <c r="AG309" s="226">
        <v>669902309</v>
      </c>
      <c r="AH309" s="246" t="s">
        <v>3004</v>
      </c>
      <c r="AI309" s="225" t="s">
        <v>1168</v>
      </c>
      <c r="AJ309" s="225"/>
      <c r="AK309" s="225"/>
      <c r="AL309" s="225" t="s">
        <v>176</v>
      </c>
      <c r="AM309" s="225" t="s">
        <v>176</v>
      </c>
      <c r="AN309" s="225" t="s">
        <v>176</v>
      </c>
      <c r="AO309" s="225" t="s">
        <v>176</v>
      </c>
      <c r="AP309" s="225" t="s">
        <v>821</v>
      </c>
      <c r="AQ309" s="225" t="s">
        <v>2216</v>
      </c>
      <c r="AR309" s="225" t="s">
        <v>410</v>
      </c>
      <c r="AS309" s="241" t="s">
        <v>411</v>
      </c>
      <c r="AT309" s="226">
        <v>476063661</v>
      </c>
      <c r="AU309" s="225"/>
      <c r="AV309" s="300" t="s">
        <v>191</v>
      </c>
      <c r="AW309" s="223">
        <v>44715</v>
      </c>
      <c r="AX309" s="225" t="s">
        <v>1880</v>
      </c>
      <c r="AY309" s="225">
        <v>1997</v>
      </c>
      <c r="AZ309" s="225" t="s">
        <v>1880</v>
      </c>
      <c r="BA309" s="225" t="s">
        <v>380</v>
      </c>
      <c r="BB309" s="225" t="s">
        <v>244</v>
      </c>
      <c r="BC309" s="225" t="s">
        <v>3005</v>
      </c>
      <c r="BD309" s="225">
        <v>28</v>
      </c>
      <c r="BE309" s="225">
        <v>10.5</v>
      </c>
      <c r="BF309" s="225">
        <v>75.599999999999994</v>
      </c>
      <c r="BG309" s="225">
        <v>0.12</v>
      </c>
      <c r="BH309" s="225" t="s">
        <v>1882</v>
      </c>
      <c r="BI309" s="225"/>
      <c r="BJ309" s="225">
        <f>1919.46+1806</f>
        <v>3725.46</v>
      </c>
      <c r="BK309" s="225"/>
      <c r="BL309" s="225"/>
      <c r="BM309" s="225"/>
      <c r="BN309" s="225">
        <f>981+225</f>
        <v>1206</v>
      </c>
      <c r="BO309" s="225">
        <f t="shared" si="24"/>
        <v>4931.46</v>
      </c>
      <c r="BP309" s="230">
        <f t="shared" si="25"/>
        <v>271.2303</v>
      </c>
      <c r="BQ309" s="230">
        <f t="shared" si="26"/>
        <v>5202.6903000000002</v>
      </c>
      <c r="BR309" s="230">
        <v>5202.6899999999996</v>
      </c>
      <c r="BS309" s="225" t="s">
        <v>191</v>
      </c>
      <c r="BT309" s="225"/>
      <c r="BU309" s="225"/>
      <c r="BV309" s="301" t="s">
        <v>2325</v>
      </c>
      <c r="BW309" s="301" t="s">
        <v>214</v>
      </c>
      <c r="BX309" s="222" t="s">
        <v>618</v>
      </c>
      <c r="BY309" s="301">
        <v>2022</v>
      </c>
    </row>
    <row r="310" spans="1:77" s="33" customFormat="1" ht="13.5" customHeight="1">
      <c r="A310" s="64" t="e">
        <f t="shared" si="27"/>
        <v>#VALUE!</v>
      </c>
      <c r="B310" s="64" t="e">
        <f t="shared" si="28"/>
        <v>#VALUE!</v>
      </c>
      <c r="C310" s="125" t="s">
        <v>188</v>
      </c>
      <c r="D310" s="168" t="str">
        <f t="shared" si="29"/>
        <v>NC</v>
      </c>
      <c r="E310" s="291" t="s">
        <v>670</v>
      </c>
      <c r="F310" s="291" t="s">
        <v>1570</v>
      </c>
      <c r="G310" s="221" t="s">
        <v>176</v>
      </c>
      <c r="H310" s="222">
        <v>44536</v>
      </c>
      <c r="I310" s="222">
        <v>44537</v>
      </c>
      <c r="J310" s="223" t="s">
        <v>176</v>
      </c>
      <c r="K310" s="222" t="s">
        <v>176</v>
      </c>
      <c r="L310" s="223" t="s">
        <v>176</v>
      </c>
      <c r="M310" s="223" t="s">
        <v>176</v>
      </c>
      <c r="N310" s="223" t="s">
        <v>176</v>
      </c>
      <c r="O310" s="222"/>
      <c r="P310" s="222" t="s">
        <v>176</v>
      </c>
      <c r="Q310" s="222" t="s">
        <v>176</v>
      </c>
      <c r="R310" s="222" t="s">
        <v>176</v>
      </c>
      <c r="S310" s="222" t="s">
        <v>176</v>
      </c>
      <c r="T310" s="222" t="s">
        <v>176</v>
      </c>
      <c r="U310" s="222" t="s">
        <v>176</v>
      </c>
      <c r="V310" s="224"/>
      <c r="W310" s="222">
        <v>44539</v>
      </c>
      <c r="X310" s="225" t="s">
        <v>2191</v>
      </c>
      <c r="Y310" s="225"/>
      <c r="Z310" s="225"/>
      <c r="AA310" s="225">
        <v>4</v>
      </c>
      <c r="AB310" s="225">
        <v>43422</v>
      </c>
      <c r="AC310" s="225">
        <v>74</v>
      </c>
      <c r="AD310" s="225" t="s">
        <v>3006</v>
      </c>
      <c r="AE310" s="225">
        <v>38850</v>
      </c>
      <c r="AF310" s="225" t="s">
        <v>1931</v>
      </c>
      <c r="AG310" s="226">
        <v>677814880</v>
      </c>
      <c r="AH310" s="246" t="s">
        <v>3007</v>
      </c>
      <c r="AI310" s="225" t="s">
        <v>1168</v>
      </c>
      <c r="AJ310" s="225"/>
      <c r="AK310" s="225"/>
      <c r="AL310" s="225" t="s">
        <v>176</v>
      </c>
      <c r="AM310" s="225" t="s">
        <v>176</v>
      </c>
      <c r="AN310" s="225" t="s">
        <v>176</v>
      </c>
      <c r="AO310" s="225" t="s">
        <v>176</v>
      </c>
      <c r="AP310" s="225" t="s">
        <v>2690</v>
      </c>
      <c r="AQ310" s="225" t="s">
        <v>2691</v>
      </c>
      <c r="AR310" s="225" t="s">
        <v>2692</v>
      </c>
      <c r="AS310" s="241" t="s">
        <v>2693</v>
      </c>
      <c r="AT310" s="226">
        <v>652624373</v>
      </c>
      <c r="AU310" s="225" t="s">
        <v>176</v>
      </c>
      <c r="AV310" s="241" t="s">
        <v>188</v>
      </c>
      <c r="AW310" s="223">
        <v>44811</v>
      </c>
      <c r="AX310" s="225" t="s">
        <v>1879</v>
      </c>
      <c r="AY310" s="225">
        <v>1980</v>
      </c>
      <c r="AZ310" s="225" t="s">
        <v>1880</v>
      </c>
      <c r="BA310" s="225" t="s">
        <v>267</v>
      </c>
      <c r="BB310" s="225" t="s">
        <v>229</v>
      </c>
      <c r="BC310" s="225" t="s">
        <v>793</v>
      </c>
      <c r="BD310" s="225">
        <v>20</v>
      </c>
      <c r="BE310" s="225">
        <v>9.3000000000000007</v>
      </c>
      <c r="BF310" s="225">
        <v>89</v>
      </c>
      <c r="BG310" s="225">
        <v>1.7999999999999999E-2</v>
      </c>
      <c r="BH310" s="225" t="s">
        <v>1882</v>
      </c>
      <c r="BI310" s="225"/>
      <c r="BJ310" s="225">
        <f>5090+918.45</f>
        <v>6008.45</v>
      </c>
      <c r="BK310" s="225"/>
      <c r="BL310" s="225"/>
      <c r="BM310" s="225"/>
      <c r="BN310" s="225">
        <v>550</v>
      </c>
      <c r="BO310" s="225">
        <f t="shared" si="24"/>
        <v>6558.45</v>
      </c>
      <c r="BP310" s="230">
        <f t="shared" si="25"/>
        <v>360.71474999999998</v>
      </c>
      <c r="BQ310" s="230">
        <f t="shared" si="26"/>
        <v>6919.1647499999999</v>
      </c>
      <c r="BR310" s="230">
        <v>6919.16</v>
      </c>
      <c r="BS310" s="225" t="s">
        <v>188</v>
      </c>
      <c r="BT310" s="225"/>
      <c r="BU310" s="225"/>
      <c r="BV310" s="301">
        <v>0</v>
      </c>
      <c r="BW310" s="301" t="s">
        <v>214</v>
      </c>
      <c r="BX310" s="301" t="s">
        <v>214</v>
      </c>
      <c r="BY310" s="301" t="s">
        <v>176</v>
      </c>
    </row>
    <row r="311" spans="1:77" s="33" customFormat="1" ht="13.5" customHeight="1">
      <c r="A311" s="64">
        <f t="shared" si="27"/>
        <v>2021</v>
      </c>
      <c r="B311" s="64">
        <f t="shared" si="28"/>
        <v>12</v>
      </c>
      <c r="C311" s="125" t="s">
        <v>191</v>
      </c>
      <c r="D311" s="168" t="str">
        <f t="shared" si="29"/>
        <v>non maj</v>
      </c>
      <c r="E311" s="232" t="s">
        <v>670</v>
      </c>
      <c r="F311" s="232" t="s">
        <v>1571</v>
      </c>
      <c r="G311" s="221">
        <v>600</v>
      </c>
      <c r="H311" s="222">
        <v>44535</v>
      </c>
      <c r="I311" s="222">
        <v>44537</v>
      </c>
      <c r="J311" s="223">
        <v>44539</v>
      </c>
      <c r="K311" s="222" t="s">
        <v>2281</v>
      </c>
      <c r="L311" s="223">
        <v>44539</v>
      </c>
      <c r="M311" s="223">
        <v>44539</v>
      </c>
      <c r="N311" s="223">
        <v>44540</v>
      </c>
      <c r="O311" s="222"/>
      <c r="P311" s="222">
        <v>44852</v>
      </c>
      <c r="Q311" s="222">
        <v>44847</v>
      </c>
      <c r="R311" s="222" t="s">
        <v>176</v>
      </c>
      <c r="S311" s="222">
        <v>44874</v>
      </c>
      <c r="T311" s="222">
        <v>44874</v>
      </c>
      <c r="U311" s="222">
        <v>44879</v>
      </c>
      <c r="V311" s="224"/>
      <c r="W311" s="222"/>
      <c r="X311" s="225"/>
      <c r="Y311" s="225"/>
      <c r="Z311" s="225"/>
      <c r="AA311" s="225">
        <v>3</v>
      </c>
      <c r="AB311" s="225">
        <v>53868</v>
      </c>
      <c r="AC311" s="225">
        <v>2787</v>
      </c>
      <c r="AD311" s="225" t="s">
        <v>3008</v>
      </c>
      <c r="AE311" s="225">
        <v>38210</v>
      </c>
      <c r="AF311" s="225" t="s">
        <v>265</v>
      </c>
      <c r="AG311" s="226">
        <v>680434572</v>
      </c>
      <c r="AH311" s="246" t="s">
        <v>3009</v>
      </c>
      <c r="AI311" s="225" t="s">
        <v>1168</v>
      </c>
      <c r="AJ311" s="225"/>
      <c r="AK311" s="225"/>
      <c r="AL311" s="225" t="s">
        <v>176</v>
      </c>
      <c r="AM311" s="225" t="s">
        <v>176</v>
      </c>
      <c r="AN311" s="225" t="s">
        <v>176</v>
      </c>
      <c r="AO311" s="225" t="s">
        <v>176</v>
      </c>
      <c r="AP311" s="225" t="s">
        <v>845</v>
      </c>
      <c r="AQ311" s="225" t="s">
        <v>1910</v>
      </c>
      <c r="AR311" s="225" t="s">
        <v>1966</v>
      </c>
      <c r="AS311" s="241" t="s">
        <v>430</v>
      </c>
      <c r="AT311" s="226">
        <v>474432868</v>
      </c>
      <c r="AU311" s="225" t="s">
        <v>176</v>
      </c>
      <c r="AV311" s="241" t="s">
        <v>188</v>
      </c>
      <c r="AW311" s="223">
        <v>44514</v>
      </c>
      <c r="AX311" s="225" t="s">
        <v>4113</v>
      </c>
      <c r="AY311" s="225">
        <v>1985</v>
      </c>
      <c r="AZ311" s="225" t="s">
        <v>1880</v>
      </c>
      <c r="BA311" s="225" t="s">
        <v>380</v>
      </c>
      <c r="BB311" s="225" t="s">
        <v>2105</v>
      </c>
      <c r="BC311" s="225" t="s">
        <v>2573</v>
      </c>
      <c r="BD311" s="225">
        <v>18</v>
      </c>
      <c r="BE311" s="225">
        <v>9.4</v>
      </c>
      <c r="BF311" s="225">
        <v>90</v>
      </c>
      <c r="BG311" s="225">
        <v>8.0000000000000002E-3</v>
      </c>
      <c r="BH311" s="225" t="s">
        <v>1882</v>
      </c>
      <c r="BI311" s="225"/>
      <c r="BJ311" s="225">
        <f>6783.33+320+256+589.84</f>
        <v>7949.17</v>
      </c>
      <c r="BK311" s="225"/>
      <c r="BL311" s="225"/>
      <c r="BM311" s="225"/>
      <c r="BN311" s="225">
        <v>800</v>
      </c>
      <c r="BO311" s="225">
        <f t="shared" si="24"/>
        <v>8749.17</v>
      </c>
      <c r="BP311" s="230">
        <f t="shared" si="25"/>
        <v>481.20435000000003</v>
      </c>
      <c r="BQ311" s="230">
        <f t="shared" si="26"/>
        <v>9230.37435</v>
      </c>
      <c r="BR311" s="230">
        <v>9276.77</v>
      </c>
      <c r="BS311" s="225" t="s">
        <v>188</v>
      </c>
      <c r="BT311" s="225"/>
      <c r="BU311" s="225"/>
      <c r="BV311" s="301" t="s">
        <v>2325</v>
      </c>
      <c r="BW311" s="301" t="s">
        <v>214</v>
      </c>
      <c r="BX311" s="301" t="s">
        <v>620</v>
      </c>
      <c r="BY311" s="301">
        <v>2022</v>
      </c>
    </row>
    <row r="312" spans="1:77" s="33" customFormat="1" ht="13.5" customHeight="1">
      <c r="A312" s="64">
        <f t="shared" si="27"/>
        <v>1900</v>
      </c>
      <c r="B312" s="64">
        <f t="shared" si="28"/>
        <v>1</v>
      </c>
      <c r="C312" s="125" t="s">
        <v>188</v>
      </c>
      <c r="D312" s="168" t="str">
        <f t="shared" si="29"/>
        <v>NC</v>
      </c>
      <c r="E312" s="294" t="s">
        <v>670</v>
      </c>
      <c r="F312" s="294" t="s">
        <v>1572</v>
      </c>
      <c r="G312" s="221" t="s">
        <v>2870</v>
      </c>
      <c r="H312" s="222">
        <v>44535</v>
      </c>
      <c r="I312" s="222">
        <v>44537</v>
      </c>
      <c r="J312" s="223">
        <v>44539</v>
      </c>
      <c r="K312" s="222" t="s">
        <v>3010</v>
      </c>
      <c r="L312" s="223"/>
      <c r="M312" s="223"/>
      <c r="N312" s="223"/>
      <c r="O312" s="222"/>
      <c r="P312" s="222"/>
      <c r="Q312" s="222"/>
      <c r="R312" s="222"/>
      <c r="S312" s="222"/>
      <c r="T312" s="222"/>
      <c r="U312" s="222"/>
      <c r="V312" s="224"/>
      <c r="W312" s="222">
        <v>44930</v>
      </c>
      <c r="X312" s="225" t="s">
        <v>2590</v>
      </c>
      <c r="Y312" s="225"/>
      <c r="Z312" s="225"/>
      <c r="AA312" s="225">
        <v>1</v>
      </c>
      <c r="AB312" s="225">
        <v>16797</v>
      </c>
      <c r="AC312" s="225">
        <v>896</v>
      </c>
      <c r="AD312" s="225" t="s">
        <v>2951</v>
      </c>
      <c r="AE312" s="225">
        <v>38340</v>
      </c>
      <c r="AF312" s="225" t="s">
        <v>232</v>
      </c>
      <c r="AG312" s="226">
        <v>476474243</v>
      </c>
      <c r="AH312" s="246" t="s">
        <v>3011</v>
      </c>
      <c r="AI312" s="225" t="s">
        <v>1168</v>
      </c>
      <c r="AJ312" s="225"/>
      <c r="AK312" s="225"/>
      <c r="AL312" s="225" t="s">
        <v>176</v>
      </c>
      <c r="AM312" s="225" t="s">
        <v>176</v>
      </c>
      <c r="AN312" s="225" t="s">
        <v>176</v>
      </c>
      <c r="AO312" s="225" t="s">
        <v>176</v>
      </c>
      <c r="AP312" s="225" t="s">
        <v>2002</v>
      </c>
      <c r="AQ312" s="225" t="s">
        <v>1895</v>
      </c>
      <c r="AR312" s="225" t="s">
        <v>2003</v>
      </c>
      <c r="AS312" s="241" t="s">
        <v>245</v>
      </c>
      <c r="AT312" s="226">
        <v>476452433</v>
      </c>
      <c r="AU312" s="225" t="s">
        <v>176</v>
      </c>
      <c r="AV312" s="241" t="s">
        <v>188</v>
      </c>
      <c r="AW312" s="223">
        <v>44620</v>
      </c>
      <c r="AX312" s="225" t="s">
        <v>1879</v>
      </c>
      <c r="AY312" s="225">
        <v>1880</v>
      </c>
      <c r="AZ312" s="225" t="s">
        <v>4113</v>
      </c>
      <c r="BA312" s="225" t="s">
        <v>380</v>
      </c>
      <c r="BB312" s="225" t="s">
        <v>3012</v>
      </c>
      <c r="BC312" s="225" t="s">
        <v>3013</v>
      </c>
      <c r="BD312" s="225">
        <v>38</v>
      </c>
      <c r="BE312" s="225">
        <v>6.9</v>
      </c>
      <c r="BF312" s="225">
        <v>80.2</v>
      </c>
      <c r="BG312" s="225">
        <v>9.8000000000000004E-2</v>
      </c>
      <c r="BH312" s="225" t="s">
        <v>1882</v>
      </c>
      <c r="BI312" s="225"/>
      <c r="BJ312" s="225">
        <f>3354+1504.27+175.33+169.78+85+1142.54</f>
        <v>6430.92</v>
      </c>
      <c r="BK312" s="225"/>
      <c r="BL312" s="225"/>
      <c r="BM312" s="225"/>
      <c r="BN312" s="225">
        <f>750+400+350.9</f>
        <v>1500.9</v>
      </c>
      <c r="BO312" s="225">
        <f t="shared" si="24"/>
        <v>7931.82</v>
      </c>
      <c r="BP312" s="230">
        <f t="shared" si="25"/>
        <v>436.25009999999997</v>
      </c>
      <c r="BQ312" s="230">
        <f t="shared" si="26"/>
        <v>8368.070099999999</v>
      </c>
      <c r="BR312" s="230">
        <v>8368.07</v>
      </c>
      <c r="BS312" s="225" t="s">
        <v>188</v>
      </c>
      <c r="BT312" s="225"/>
      <c r="BU312" s="225"/>
      <c r="BV312" s="231">
        <v>0</v>
      </c>
      <c r="BW312" s="301" t="s">
        <v>214</v>
      </c>
      <c r="BX312" s="301" t="s">
        <v>214</v>
      </c>
      <c r="BY312" s="301"/>
    </row>
    <row r="313" spans="1:77" s="33" customFormat="1" ht="13.5" customHeight="1">
      <c r="A313" s="64">
        <f t="shared" si="27"/>
        <v>2021</v>
      </c>
      <c r="B313" s="64">
        <f t="shared" si="28"/>
        <v>12</v>
      </c>
      <c r="C313" s="125" t="s">
        <v>191</v>
      </c>
      <c r="D313" s="168" t="str">
        <f t="shared" si="29"/>
        <v>maj</v>
      </c>
      <c r="E313" s="232" t="s">
        <v>670</v>
      </c>
      <c r="F313" s="232" t="s">
        <v>1573</v>
      </c>
      <c r="G313" s="221">
        <v>1000</v>
      </c>
      <c r="H313" s="222">
        <v>44538</v>
      </c>
      <c r="I313" s="222">
        <v>44539</v>
      </c>
      <c r="J313" s="223">
        <v>44539</v>
      </c>
      <c r="K313" s="222" t="s">
        <v>2281</v>
      </c>
      <c r="L313" s="223">
        <v>44540</v>
      </c>
      <c r="M313" s="223">
        <v>44540</v>
      </c>
      <c r="N313" s="223">
        <v>44540</v>
      </c>
      <c r="O313" s="222"/>
      <c r="P313" s="222">
        <v>44641</v>
      </c>
      <c r="Q313" s="222">
        <v>44620</v>
      </c>
      <c r="R313" s="222"/>
      <c r="S313" s="222">
        <v>44650</v>
      </c>
      <c r="T313" s="222">
        <v>44650</v>
      </c>
      <c r="U313" s="222">
        <v>44652</v>
      </c>
      <c r="V313" s="224"/>
      <c r="W313" s="222"/>
      <c r="X313" s="225"/>
      <c r="Y313" s="225"/>
      <c r="Z313" s="225"/>
      <c r="AA313" s="225">
        <v>4</v>
      </c>
      <c r="AB313" s="225">
        <v>28566</v>
      </c>
      <c r="AC313" s="225">
        <v>236</v>
      </c>
      <c r="AD313" s="225" t="s">
        <v>982</v>
      </c>
      <c r="AE313" s="225">
        <v>38340</v>
      </c>
      <c r="AF313" s="225" t="s">
        <v>232</v>
      </c>
      <c r="AG313" s="226">
        <v>676064433</v>
      </c>
      <c r="AH313" s="246" t="s">
        <v>3014</v>
      </c>
      <c r="AI313" s="225" t="s">
        <v>1168</v>
      </c>
      <c r="AJ313" s="225"/>
      <c r="AK313" s="225"/>
      <c r="AL313" s="225" t="s">
        <v>176</v>
      </c>
      <c r="AM313" s="225" t="s">
        <v>176</v>
      </c>
      <c r="AN313" s="225" t="s">
        <v>176</v>
      </c>
      <c r="AO313" s="225" t="s">
        <v>176</v>
      </c>
      <c r="AP313" s="222" t="s">
        <v>818</v>
      </c>
      <c r="AQ313" s="225" t="s">
        <v>225</v>
      </c>
      <c r="AR313" s="225" t="s">
        <v>1973</v>
      </c>
      <c r="AS313" s="241" t="s">
        <v>1974</v>
      </c>
      <c r="AT313" s="226">
        <v>476323235</v>
      </c>
      <c r="AU313" s="225" t="s">
        <v>176</v>
      </c>
      <c r="AV313" s="241" t="s">
        <v>188</v>
      </c>
      <c r="AW313" s="223">
        <v>44789</v>
      </c>
      <c r="AX313" s="225" t="s">
        <v>1879</v>
      </c>
      <c r="AY313" s="225">
        <v>1976</v>
      </c>
      <c r="AZ313" s="225" t="s">
        <v>1880</v>
      </c>
      <c r="BA313" s="225" t="s">
        <v>380</v>
      </c>
      <c r="BB313" s="225" t="s">
        <v>256</v>
      </c>
      <c r="BC313" s="225" t="s">
        <v>389</v>
      </c>
      <c r="BD313" s="225">
        <v>12</v>
      </c>
      <c r="BE313" s="225">
        <v>9.1999999999999993</v>
      </c>
      <c r="BF313" s="225">
        <v>77</v>
      </c>
      <c r="BG313" s="225">
        <v>0.04</v>
      </c>
      <c r="BH313" s="225" t="s">
        <v>1882</v>
      </c>
      <c r="BI313" s="225"/>
      <c r="BJ313" s="225">
        <f>2310.45+94.95+97.06+79.13+34.82+31.65+116.05</f>
        <v>2764.11</v>
      </c>
      <c r="BK313" s="225"/>
      <c r="BL313" s="225"/>
      <c r="BM313" s="225"/>
      <c r="BN313" s="225">
        <f>52.8+1815+66+44+460+42.2+305.95</f>
        <v>2785.95</v>
      </c>
      <c r="BO313" s="225">
        <f t="shared" si="24"/>
        <v>5550.0599999999995</v>
      </c>
      <c r="BP313" s="230">
        <f t="shared" si="25"/>
        <v>305.25329999999997</v>
      </c>
      <c r="BQ313" s="230">
        <f t="shared" si="26"/>
        <v>5855.3132999999998</v>
      </c>
      <c r="BR313" s="230">
        <v>5400.25</v>
      </c>
      <c r="BS313" s="225" t="s">
        <v>188</v>
      </c>
      <c r="BT313" s="225"/>
      <c r="BU313" s="225"/>
      <c r="BV313" s="301" t="s">
        <v>2325</v>
      </c>
      <c r="BW313" s="301" t="s">
        <v>214</v>
      </c>
      <c r="BX313" s="222" t="s">
        <v>618</v>
      </c>
      <c r="BY313" s="301">
        <v>2022</v>
      </c>
    </row>
    <row r="314" spans="1:77" s="33" customFormat="1" ht="13.5" customHeight="1">
      <c r="A314" s="64" t="e">
        <f t="shared" si="27"/>
        <v>#VALUE!</v>
      </c>
      <c r="B314" s="64" t="e">
        <f t="shared" si="28"/>
        <v>#VALUE!</v>
      </c>
      <c r="C314" s="125" t="s">
        <v>188</v>
      </c>
      <c r="D314" s="168" t="str">
        <f t="shared" si="29"/>
        <v>NC</v>
      </c>
      <c r="E314" s="291" t="s">
        <v>2987</v>
      </c>
      <c r="F314" s="291" t="s">
        <v>1574</v>
      </c>
      <c r="G314" s="221" t="s">
        <v>176</v>
      </c>
      <c r="H314" s="222">
        <v>44539</v>
      </c>
      <c r="I314" s="222">
        <v>44540</v>
      </c>
      <c r="J314" s="223">
        <v>44543</v>
      </c>
      <c r="K314" s="222" t="s">
        <v>176</v>
      </c>
      <c r="L314" s="223" t="s">
        <v>176</v>
      </c>
      <c r="M314" s="223" t="s">
        <v>176</v>
      </c>
      <c r="N314" s="223" t="s">
        <v>176</v>
      </c>
      <c r="O314" s="222"/>
      <c r="P314" s="222" t="s">
        <v>176</v>
      </c>
      <c r="Q314" s="222" t="s">
        <v>176</v>
      </c>
      <c r="R314" s="222" t="s">
        <v>176</v>
      </c>
      <c r="S314" s="222" t="s">
        <v>176</v>
      </c>
      <c r="T314" s="222" t="s">
        <v>176</v>
      </c>
      <c r="U314" s="222" t="s">
        <v>176</v>
      </c>
      <c r="V314" s="224"/>
      <c r="W314" s="222">
        <v>44550</v>
      </c>
      <c r="X314" s="225" t="s">
        <v>2191</v>
      </c>
      <c r="Y314" s="225"/>
      <c r="Z314" s="225"/>
      <c r="AA314" s="225">
        <v>2</v>
      </c>
      <c r="AB314" s="225">
        <v>21558</v>
      </c>
      <c r="AC314" s="225">
        <v>651</v>
      </c>
      <c r="AD314" s="225" t="s">
        <v>2098</v>
      </c>
      <c r="AE314" s="225">
        <v>38850</v>
      </c>
      <c r="AF314" s="225" t="s">
        <v>1931</v>
      </c>
      <c r="AG314" s="226">
        <v>689237486</v>
      </c>
      <c r="AH314" s="246" t="s">
        <v>3015</v>
      </c>
      <c r="AI314" s="225"/>
      <c r="AJ314" s="225"/>
      <c r="AK314" s="225"/>
      <c r="AL314" s="225"/>
      <c r="AM314" s="225"/>
      <c r="AN314" s="225"/>
      <c r="AO314" s="225"/>
      <c r="AP314" s="225" t="s">
        <v>778</v>
      </c>
      <c r="AQ314" s="225" t="s">
        <v>1926</v>
      </c>
      <c r="AR314" s="225" t="s">
        <v>698</v>
      </c>
      <c r="AS314" s="241" t="s">
        <v>251</v>
      </c>
      <c r="AT314" s="226" t="s">
        <v>581</v>
      </c>
      <c r="AU314" s="225" t="s">
        <v>176</v>
      </c>
      <c r="AV314" s="241" t="s">
        <v>188</v>
      </c>
      <c r="AW314" s="223">
        <v>44641</v>
      </c>
      <c r="AX314" s="225" t="s">
        <v>4113</v>
      </c>
      <c r="AY314" s="225">
        <v>1990</v>
      </c>
      <c r="AZ314" s="225" t="s">
        <v>1880</v>
      </c>
      <c r="BA314" s="225" t="s">
        <v>380</v>
      </c>
      <c r="BB314" s="225" t="s">
        <v>244</v>
      </c>
      <c r="BC314" s="225" t="s">
        <v>3016</v>
      </c>
      <c r="BD314" s="225">
        <v>29</v>
      </c>
      <c r="BE314" s="225">
        <v>7.5</v>
      </c>
      <c r="BF314" s="225">
        <v>75</v>
      </c>
      <c r="BG314" s="225">
        <v>7.4999999999999997E-2</v>
      </c>
      <c r="BH314" s="225" t="s">
        <v>1882</v>
      </c>
      <c r="BI314" s="225"/>
      <c r="BJ314" s="225">
        <f>4615+1445+394</f>
        <v>6454</v>
      </c>
      <c r="BK314" s="225"/>
      <c r="BL314" s="225"/>
      <c r="BM314" s="225"/>
      <c r="BN314" s="225">
        <f>600</f>
        <v>600</v>
      </c>
      <c r="BO314" s="225">
        <f t="shared" si="24"/>
        <v>7054</v>
      </c>
      <c r="BP314" s="230">
        <f t="shared" si="25"/>
        <v>387.97</v>
      </c>
      <c r="BQ314" s="230">
        <f t="shared" si="26"/>
        <v>7441.97</v>
      </c>
      <c r="BR314" s="230"/>
      <c r="BS314" s="225" t="s">
        <v>519</v>
      </c>
      <c r="BT314" s="225"/>
      <c r="BU314" s="225"/>
      <c r="BV314" s="301">
        <v>0</v>
      </c>
      <c r="BW314" s="301" t="s">
        <v>214</v>
      </c>
      <c r="BX314" s="301" t="s">
        <v>214</v>
      </c>
      <c r="BY314" s="301" t="s">
        <v>176</v>
      </c>
    </row>
    <row r="315" spans="1:77" s="33" customFormat="1" ht="13.5" customHeight="1">
      <c r="A315" s="64">
        <f t="shared" si="27"/>
        <v>2021</v>
      </c>
      <c r="B315" s="64">
        <f t="shared" si="28"/>
        <v>12</v>
      </c>
      <c r="C315" s="125" t="s">
        <v>191</v>
      </c>
      <c r="D315" s="168" t="str">
        <f t="shared" si="29"/>
        <v>maj</v>
      </c>
      <c r="E315" s="232" t="s">
        <v>2987</v>
      </c>
      <c r="F315" s="232" t="s">
        <v>1575</v>
      </c>
      <c r="G315" s="221">
        <v>1000</v>
      </c>
      <c r="H315" s="222">
        <v>44537</v>
      </c>
      <c r="I315" s="222">
        <v>44540</v>
      </c>
      <c r="J315" s="223"/>
      <c r="K315" s="222"/>
      <c r="L315" s="223">
        <v>44543</v>
      </c>
      <c r="M315" s="223">
        <v>44543</v>
      </c>
      <c r="N315" s="223">
        <v>44544</v>
      </c>
      <c r="O315" s="222"/>
      <c r="P315" s="222">
        <v>44712</v>
      </c>
      <c r="Q315" s="222">
        <v>44679</v>
      </c>
      <c r="R315" s="222" t="s">
        <v>176</v>
      </c>
      <c r="S315" s="222">
        <v>44768</v>
      </c>
      <c r="T315" s="222">
        <v>44768</v>
      </c>
      <c r="U315" s="222">
        <v>44769</v>
      </c>
      <c r="V315" s="224"/>
      <c r="W315" s="222"/>
      <c r="X315" s="225"/>
      <c r="Y315" s="225"/>
      <c r="Z315" s="225"/>
      <c r="AA315" s="225">
        <v>4</v>
      </c>
      <c r="AB315" s="225">
        <v>32849</v>
      </c>
      <c r="AC315" s="225">
        <v>509</v>
      </c>
      <c r="AD315" s="225" t="s">
        <v>3006</v>
      </c>
      <c r="AE315" s="225">
        <v>38500</v>
      </c>
      <c r="AF315" s="225" t="s">
        <v>271</v>
      </c>
      <c r="AG315" s="226">
        <v>674175760</v>
      </c>
      <c r="AH315" s="246" t="s">
        <v>3017</v>
      </c>
      <c r="AI315" s="225" t="s">
        <v>1168</v>
      </c>
      <c r="AJ315" s="225"/>
      <c r="AK315" s="225"/>
      <c r="AL315" s="225"/>
      <c r="AM315" s="225"/>
      <c r="AN315" s="225"/>
      <c r="AO315" s="225"/>
      <c r="AP315" s="225" t="s">
        <v>3018</v>
      </c>
      <c r="AQ315" s="225" t="s">
        <v>864</v>
      </c>
      <c r="AR315" s="225" t="s">
        <v>782</v>
      </c>
      <c r="AS315" s="241" t="s">
        <v>673</v>
      </c>
      <c r="AT315" s="226" t="s">
        <v>626</v>
      </c>
      <c r="AU315" s="225"/>
      <c r="AV315" s="229" t="s">
        <v>388</v>
      </c>
      <c r="AW315" s="223">
        <v>44798</v>
      </c>
      <c r="AX315" s="225" t="s">
        <v>4113</v>
      </c>
      <c r="AY315" s="225">
        <v>1975</v>
      </c>
      <c r="AZ315" s="225" t="s">
        <v>1880</v>
      </c>
      <c r="BA315" s="225" t="s">
        <v>380</v>
      </c>
      <c r="BB315" s="225" t="s">
        <v>2174</v>
      </c>
      <c r="BC315" s="225" t="s">
        <v>2175</v>
      </c>
      <c r="BD315" s="225">
        <v>18</v>
      </c>
      <c r="BE315" s="225">
        <v>4.9000000000000004</v>
      </c>
      <c r="BF315" s="225">
        <v>78</v>
      </c>
      <c r="BG315" s="225">
        <v>0.09</v>
      </c>
      <c r="BH315" s="225" t="s">
        <v>1882</v>
      </c>
      <c r="BI315" s="225"/>
      <c r="BJ315" s="225">
        <f>2130+340.5+369.3+222.5+125-176.5</f>
        <v>3010.8</v>
      </c>
      <c r="BK315" s="225"/>
      <c r="BL315" s="225"/>
      <c r="BM315" s="225"/>
      <c r="BN315" s="225">
        <v>630</v>
      </c>
      <c r="BO315" s="225">
        <f t="shared" si="24"/>
        <v>3640.8</v>
      </c>
      <c r="BP315" s="230">
        <f t="shared" si="25"/>
        <v>200.244</v>
      </c>
      <c r="BQ315" s="230">
        <f t="shared" si="26"/>
        <v>3841.0440000000003</v>
      </c>
      <c r="BR315" s="230">
        <v>3841.04</v>
      </c>
      <c r="BS315" s="225" t="s">
        <v>388</v>
      </c>
      <c r="BT315" s="225"/>
      <c r="BU315" s="225"/>
      <c r="BV315" s="301" t="s">
        <v>2325</v>
      </c>
      <c r="BW315" s="301" t="s">
        <v>214</v>
      </c>
      <c r="BX315" s="222" t="s">
        <v>618</v>
      </c>
      <c r="BY315" s="301">
        <v>2022</v>
      </c>
    </row>
    <row r="316" spans="1:77" s="33" customFormat="1" ht="13.5" customHeight="1">
      <c r="A316" s="64">
        <f t="shared" si="27"/>
        <v>2021</v>
      </c>
      <c r="B316" s="64">
        <f t="shared" si="28"/>
        <v>12</v>
      </c>
      <c r="C316" s="125" t="s">
        <v>191</v>
      </c>
      <c r="D316" s="168" t="str">
        <f t="shared" si="29"/>
        <v>non maj</v>
      </c>
      <c r="E316" s="232" t="s">
        <v>2987</v>
      </c>
      <c r="F316" s="232" t="s">
        <v>1576</v>
      </c>
      <c r="G316" s="221">
        <v>600</v>
      </c>
      <c r="H316" s="222">
        <v>44537</v>
      </c>
      <c r="I316" s="222">
        <v>44540</v>
      </c>
      <c r="J316" s="223"/>
      <c r="K316" s="222"/>
      <c r="L316" s="223">
        <v>44543</v>
      </c>
      <c r="M316" s="223">
        <v>44543</v>
      </c>
      <c r="N316" s="223">
        <v>44544</v>
      </c>
      <c r="O316" s="222"/>
      <c r="P316" s="222">
        <v>44767</v>
      </c>
      <c r="Q316" s="222">
        <v>44764</v>
      </c>
      <c r="R316" s="222">
        <v>44798</v>
      </c>
      <c r="S316" s="222">
        <v>44798</v>
      </c>
      <c r="T316" s="222">
        <v>44798</v>
      </c>
      <c r="U316" s="222">
        <v>44798</v>
      </c>
      <c r="V316" s="224"/>
      <c r="W316" s="222"/>
      <c r="X316" s="225"/>
      <c r="Y316" s="225"/>
      <c r="Z316" s="225"/>
      <c r="AA316" s="225">
        <v>2</v>
      </c>
      <c r="AB316" s="225">
        <v>59852</v>
      </c>
      <c r="AC316" s="225">
        <v>139</v>
      </c>
      <c r="AD316" s="225" t="s">
        <v>3019</v>
      </c>
      <c r="AE316" s="225">
        <v>38500</v>
      </c>
      <c r="AF316" s="225" t="s">
        <v>225</v>
      </c>
      <c r="AG316" s="226">
        <v>608474365</v>
      </c>
      <c r="AH316" s="246" t="s">
        <v>3020</v>
      </c>
      <c r="AI316" s="225" t="s">
        <v>1168</v>
      </c>
      <c r="AJ316" s="225"/>
      <c r="AK316" s="225"/>
      <c r="AL316" s="225"/>
      <c r="AM316" s="225"/>
      <c r="AN316" s="225"/>
      <c r="AO316" s="225"/>
      <c r="AP316" s="225" t="s">
        <v>2018</v>
      </c>
      <c r="AQ316" s="225" t="s">
        <v>225</v>
      </c>
      <c r="AR316" s="225" t="s">
        <v>390</v>
      </c>
      <c r="AS316" s="241" t="s">
        <v>273</v>
      </c>
      <c r="AT316" s="226" t="s">
        <v>671</v>
      </c>
      <c r="AU316" s="225"/>
      <c r="AV316" s="217" t="s">
        <v>388</v>
      </c>
      <c r="AW316" s="223">
        <v>44789</v>
      </c>
      <c r="AX316" s="225" t="s">
        <v>1879</v>
      </c>
      <c r="AY316" s="225">
        <v>1982</v>
      </c>
      <c r="AZ316" s="225" t="s">
        <v>1880</v>
      </c>
      <c r="BA316" s="225" t="s">
        <v>267</v>
      </c>
      <c r="BB316" s="225" t="s">
        <v>3021</v>
      </c>
      <c r="BC316" s="225" t="s">
        <v>3022</v>
      </c>
      <c r="BD316" s="225">
        <v>17.5</v>
      </c>
      <c r="BE316" s="225">
        <v>10</v>
      </c>
      <c r="BF316" s="225">
        <v>92.7</v>
      </c>
      <c r="BG316" s="225">
        <v>4.0000000000000001E-3</v>
      </c>
      <c r="BH316" s="225" t="s">
        <v>3023</v>
      </c>
      <c r="BI316" s="225"/>
      <c r="BJ316" s="225">
        <f>6171+179+229+732+216</f>
        <v>7527</v>
      </c>
      <c r="BK316" s="225"/>
      <c r="BL316" s="225"/>
      <c r="BM316" s="225"/>
      <c r="BN316" s="225">
        <f>944+944+51</f>
        <v>1939</v>
      </c>
      <c r="BO316" s="225">
        <f t="shared" si="24"/>
        <v>9466</v>
      </c>
      <c r="BP316" s="230">
        <f t="shared" si="25"/>
        <v>520.63</v>
      </c>
      <c r="BQ316" s="230">
        <f t="shared" si="26"/>
        <v>9986.6299999999992</v>
      </c>
      <c r="BR316" s="271"/>
      <c r="BS316" s="225" t="s">
        <v>519</v>
      </c>
      <c r="BT316" s="225"/>
      <c r="BU316" s="225"/>
      <c r="BV316" s="301" t="s">
        <v>2325</v>
      </c>
      <c r="BW316" s="301" t="s">
        <v>214</v>
      </c>
      <c r="BX316" s="301" t="s">
        <v>620</v>
      </c>
      <c r="BY316" s="301" t="s">
        <v>176</v>
      </c>
    </row>
    <row r="317" spans="1:77" s="33" customFormat="1" ht="13.5" customHeight="1">
      <c r="A317" s="64">
        <f t="shared" si="27"/>
        <v>1900</v>
      </c>
      <c r="B317" s="64">
        <f t="shared" si="28"/>
        <v>1</v>
      </c>
      <c r="C317" s="125" t="s">
        <v>188</v>
      </c>
      <c r="D317" s="168" t="str">
        <f t="shared" si="29"/>
        <v>NC</v>
      </c>
      <c r="E317" s="294" t="s">
        <v>2987</v>
      </c>
      <c r="F317" s="294" t="s">
        <v>1577</v>
      </c>
      <c r="G317" s="221" t="s">
        <v>2588</v>
      </c>
      <c r="H317" s="222">
        <v>44537</v>
      </c>
      <c r="I317" s="222">
        <v>44540</v>
      </c>
      <c r="J317" s="223">
        <v>44543</v>
      </c>
      <c r="K317" s="222" t="s">
        <v>2950</v>
      </c>
      <c r="L317" s="223"/>
      <c r="M317" s="223"/>
      <c r="N317" s="223"/>
      <c r="O317" s="222"/>
      <c r="P317" s="222"/>
      <c r="Q317" s="222"/>
      <c r="R317" s="222"/>
      <c r="S317" s="222"/>
      <c r="T317" s="222"/>
      <c r="U317" s="222"/>
      <c r="V317" s="224"/>
      <c r="W317" s="222">
        <v>44930</v>
      </c>
      <c r="X317" s="225" t="s">
        <v>2590</v>
      </c>
      <c r="Y317" s="225"/>
      <c r="Z317" s="225"/>
      <c r="AA317" s="225">
        <v>3</v>
      </c>
      <c r="AB317" s="225">
        <v>53378</v>
      </c>
      <c r="AC317" s="225">
        <v>1</v>
      </c>
      <c r="AD317" s="225" t="s">
        <v>3024</v>
      </c>
      <c r="AE317" s="225">
        <v>38430</v>
      </c>
      <c r="AF317" s="225" t="s">
        <v>1893</v>
      </c>
      <c r="AG317" s="226">
        <v>476356998</v>
      </c>
      <c r="AH317" s="246" t="s">
        <v>3025</v>
      </c>
      <c r="AI317" s="225" t="s">
        <v>1168</v>
      </c>
      <c r="AJ317" s="225"/>
      <c r="AK317" s="225"/>
      <c r="AL317" s="225"/>
      <c r="AM317" s="225"/>
      <c r="AN317" s="225"/>
      <c r="AO317" s="225"/>
      <c r="AP317" s="225" t="s">
        <v>268</v>
      </c>
      <c r="AQ317" s="225" t="s">
        <v>1893</v>
      </c>
      <c r="AR317" s="225" t="s">
        <v>398</v>
      </c>
      <c r="AS317" s="241" t="s">
        <v>3026</v>
      </c>
      <c r="AT317" s="226" t="s">
        <v>3027</v>
      </c>
      <c r="AU317" s="225"/>
      <c r="AV317" s="241" t="s">
        <v>388</v>
      </c>
      <c r="AW317" s="223">
        <v>44883</v>
      </c>
      <c r="AX317" s="225" t="s">
        <v>4113</v>
      </c>
      <c r="AY317" s="225">
        <v>1991</v>
      </c>
      <c r="AZ317" s="225" t="s">
        <v>1880</v>
      </c>
      <c r="BA317" s="225" t="s">
        <v>380</v>
      </c>
      <c r="BB317" s="225" t="s">
        <v>2007</v>
      </c>
      <c r="BC317" s="225" t="s">
        <v>3028</v>
      </c>
      <c r="BD317" s="225">
        <v>18</v>
      </c>
      <c r="BE317" s="225">
        <v>10.6</v>
      </c>
      <c r="BF317" s="225">
        <v>88</v>
      </c>
      <c r="BG317" s="225">
        <v>6.5000000000000002E-2</v>
      </c>
      <c r="BH317" s="225" t="s">
        <v>1882</v>
      </c>
      <c r="BI317" s="225"/>
      <c r="BJ317" s="225">
        <f>360+35.5+48.5+47.5+74.48+3100+218+89.6+45.35</f>
        <v>4018.93</v>
      </c>
      <c r="BK317" s="225"/>
      <c r="BL317" s="225"/>
      <c r="BM317" s="225"/>
      <c r="BN317" s="225">
        <f>250+425</f>
        <v>675</v>
      </c>
      <c r="BO317" s="225">
        <f t="shared" si="24"/>
        <v>4693.93</v>
      </c>
      <c r="BP317" s="230">
        <v>258.17</v>
      </c>
      <c r="BQ317" s="230">
        <f t="shared" si="26"/>
        <v>4952.1000000000004</v>
      </c>
      <c r="BR317" s="230"/>
      <c r="BS317" s="225" t="s">
        <v>519</v>
      </c>
      <c r="BT317" s="225"/>
      <c r="BU317" s="225"/>
      <c r="BV317" s="231">
        <v>0</v>
      </c>
      <c r="BW317" s="301" t="s">
        <v>214</v>
      </c>
      <c r="BX317" s="301" t="s">
        <v>214</v>
      </c>
      <c r="BY317" s="301"/>
    </row>
    <row r="318" spans="1:77" s="33" customFormat="1" ht="13.5" customHeight="1">
      <c r="A318" s="64">
        <f t="shared" si="27"/>
        <v>2021</v>
      </c>
      <c r="B318" s="64">
        <f t="shared" si="28"/>
        <v>12</v>
      </c>
      <c r="C318" s="125" t="s">
        <v>191</v>
      </c>
      <c r="D318" s="168" t="str">
        <f t="shared" si="29"/>
        <v>maj</v>
      </c>
      <c r="E318" s="232" t="s">
        <v>2987</v>
      </c>
      <c r="F318" s="232" t="s">
        <v>1578</v>
      </c>
      <c r="G318" s="221">
        <v>1000</v>
      </c>
      <c r="H318" s="222">
        <v>44539</v>
      </c>
      <c r="I318" s="222">
        <v>44540</v>
      </c>
      <c r="J318" s="223">
        <v>44550</v>
      </c>
      <c r="K318" s="222" t="s">
        <v>176</v>
      </c>
      <c r="L318" s="223">
        <v>44558</v>
      </c>
      <c r="M318" s="223">
        <v>44558</v>
      </c>
      <c r="N318" s="223">
        <v>44560</v>
      </c>
      <c r="O318" s="222"/>
      <c r="P318" s="222">
        <v>44819</v>
      </c>
      <c r="Q318" s="222">
        <v>44681</v>
      </c>
      <c r="R318" s="222" t="s">
        <v>176</v>
      </c>
      <c r="S318" s="222">
        <v>44833</v>
      </c>
      <c r="T318" s="222">
        <v>44833</v>
      </c>
      <c r="U318" s="222">
        <v>44833</v>
      </c>
      <c r="V318" s="224"/>
      <c r="W318" s="222"/>
      <c r="X318" s="225"/>
      <c r="Y318" s="225"/>
      <c r="Z318" s="225"/>
      <c r="AA318" s="225">
        <v>1</v>
      </c>
      <c r="AB318" s="225">
        <v>10685</v>
      </c>
      <c r="AC318" s="225">
        <v>47</v>
      </c>
      <c r="AD318" s="225" t="s">
        <v>3029</v>
      </c>
      <c r="AE318" s="225">
        <v>38500</v>
      </c>
      <c r="AF318" s="225" t="s">
        <v>225</v>
      </c>
      <c r="AG318" s="226">
        <v>682001162</v>
      </c>
      <c r="AH318" s="246" t="s">
        <v>3030</v>
      </c>
      <c r="AI318" s="225" t="s">
        <v>1168</v>
      </c>
      <c r="AJ318" s="225"/>
      <c r="AK318" s="225"/>
      <c r="AL318" s="225"/>
      <c r="AM318" s="225"/>
      <c r="AN318" s="225"/>
      <c r="AO318" s="225"/>
      <c r="AP318" s="225" t="s">
        <v>821</v>
      </c>
      <c r="AQ318" s="225" t="s">
        <v>2216</v>
      </c>
      <c r="AR318" s="225" t="s">
        <v>410</v>
      </c>
      <c r="AS318" s="241" t="s">
        <v>411</v>
      </c>
      <c r="AT318" s="226" t="s">
        <v>3031</v>
      </c>
      <c r="AU318" s="225"/>
      <c r="AV318" s="241" t="s">
        <v>188</v>
      </c>
      <c r="AW318" s="223">
        <v>44715</v>
      </c>
      <c r="AX318" s="225" t="s">
        <v>1880</v>
      </c>
      <c r="AY318" s="225">
        <v>2000</v>
      </c>
      <c r="AZ318" s="225" t="s">
        <v>1880</v>
      </c>
      <c r="BA318" s="225" t="s">
        <v>380</v>
      </c>
      <c r="BB318" s="225" t="s">
        <v>244</v>
      </c>
      <c r="BC318" s="225" t="s">
        <v>1024</v>
      </c>
      <c r="BD318" s="225">
        <v>28</v>
      </c>
      <c r="BE318" s="225">
        <v>10.5</v>
      </c>
      <c r="BF318" s="225">
        <v>75.599999999999994</v>
      </c>
      <c r="BG318" s="225">
        <v>0.12</v>
      </c>
      <c r="BH318" s="225" t="s">
        <v>1882</v>
      </c>
      <c r="BI318" s="225"/>
      <c r="BJ318" s="225">
        <f>1806+1919.46</f>
        <v>3725.46</v>
      </c>
      <c r="BK318" s="225"/>
      <c r="BL318" s="225"/>
      <c r="BM318" s="225"/>
      <c r="BN318" s="225">
        <f>981+225</f>
        <v>1206</v>
      </c>
      <c r="BO318" s="225">
        <f t="shared" si="24"/>
        <v>4931.46</v>
      </c>
      <c r="BP318" s="230">
        <f t="shared" ref="BP318:BP336" si="30">BO318*0.055</f>
        <v>271.2303</v>
      </c>
      <c r="BQ318" s="230">
        <f t="shared" si="26"/>
        <v>5202.6903000000002</v>
      </c>
      <c r="BR318" s="230">
        <v>5202.6899999999996</v>
      </c>
      <c r="BS318" s="225" t="s">
        <v>519</v>
      </c>
      <c r="BT318" s="225"/>
      <c r="BU318" s="225"/>
      <c r="BV318" s="301" t="s">
        <v>2325</v>
      </c>
      <c r="BW318" s="301" t="s">
        <v>214</v>
      </c>
      <c r="BX318" s="222" t="s">
        <v>618</v>
      </c>
      <c r="BY318" s="301">
        <v>2022</v>
      </c>
    </row>
    <row r="319" spans="1:77" s="33" customFormat="1" ht="13.5" customHeight="1">
      <c r="A319" s="64">
        <f t="shared" si="27"/>
        <v>2021</v>
      </c>
      <c r="B319" s="64">
        <f t="shared" si="28"/>
        <v>12</v>
      </c>
      <c r="C319" s="125" t="s">
        <v>191</v>
      </c>
      <c r="D319" s="168" t="str">
        <f t="shared" si="29"/>
        <v>non maj</v>
      </c>
      <c r="E319" s="292" t="s">
        <v>2987</v>
      </c>
      <c r="F319" s="292" t="s">
        <v>1579</v>
      </c>
      <c r="G319" s="221">
        <v>600</v>
      </c>
      <c r="H319" s="222">
        <v>44539</v>
      </c>
      <c r="I319" s="222">
        <v>44540</v>
      </c>
      <c r="J319" s="223">
        <v>44543</v>
      </c>
      <c r="K319" s="222"/>
      <c r="L319" s="223">
        <v>44551</v>
      </c>
      <c r="M319" s="223">
        <v>44551</v>
      </c>
      <c r="N319" s="223">
        <v>44553</v>
      </c>
      <c r="O319" s="222"/>
      <c r="P319" s="222">
        <v>44580</v>
      </c>
      <c r="Q319" s="222">
        <v>44575</v>
      </c>
      <c r="R319" s="222">
        <v>44593</v>
      </c>
      <c r="S319" s="222">
        <v>44606</v>
      </c>
      <c r="T319" s="222">
        <v>44606</v>
      </c>
      <c r="U319" s="222">
        <v>44607</v>
      </c>
      <c r="V319" s="224"/>
      <c r="W319" s="222"/>
      <c r="X319" s="225"/>
      <c r="Y319" s="225"/>
      <c r="Z319" s="225"/>
      <c r="AA319" s="225">
        <v>2</v>
      </c>
      <c r="AB319" s="225">
        <v>37262</v>
      </c>
      <c r="AC319" s="225">
        <v>125</v>
      </c>
      <c r="AD319" s="225" t="s">
        <v>3032</v>
      </c>
      <c r="AE319" s="225">
        <v>38850</v>
      </c>
      <c r="AF319" s="225" t="s">
        <v>1951</v>
      </c>
      <c r="AG319" s="226">
        <v>637948651</v>
      </c>
      <c r="AH319" s="246" t="s">
        <v>3033</v>
      </c>
      <c r="AI319" s="225" t="s">
        <v>1168</v>
      </c>
      <c r="AJ319" s="225"/>
      <c r="AK319" s="225"/>
      <c r="AL319" s="225"/>
      <c r="AM319" s="225"/>
      <c r="AN319" s="225"/>
      <c r="AO319" s="225"/>
      <c r="AP319" s="225" t="s">
        <v>3034</v>
      </c>
      <c r="AQ319" s="225" t="s">
        <v>3035</v>
      </c>
      <c r="AR319" s="225" t="s">
        <v>3036</v>
      </c>
      <c r="AS319" s="241" t="s">
        <v>3037</v>
      </c>
      <c r="AT319" s="226">
        <v>620314146</v>
      </c>
      <c r="AU319" s="225" t="s">
        <v>257</v>
      </c>
      <c r="AV319" s="241" t="s">
        <v>388</v>
      </c>
      <c r="AW319" s="223">
        <v>44578</v>
      </c>
      <c r="AX319" s="225" t="s">
        <v>1879</v>
      </c>
      <c r="AY319" s="225">
        <v>1989</v>
      </c>
      <c r="AZ319" s="225" t="s">
        <v>1880</v>
      </c>
      <c r="BA319" s="225" t="s">
        <v>380</v>
      </c>
      <c r="BB319" s="225" t="s">
        <v>218</v>
      </c>
      <c r="BC319" s="225" t="s">
        <v>427</v>
      </c>
      <c r="BD319" s="225">
        <v>40</v>
      </c>
      <c r="BE319" s="225">
        <v>7</v>
      </c>
      <c r="BF319" s="225">
        <v>78</v>
      </c>
      <c r="BG319" s="225">
        <v>0.12</v>
      </c>
      <c r="BH319" s="225" t="s">
        <v>1882</v>
      </c>
      <c r="BI319" s="225"/>
      <c r="BJ319" s="225">
        <f>690+1150+350+160</f>
        <v>2350</v>
      </c>
      <c r="BK319" s="225"/>
      <c r="BL319" s="225"/>
      <c r="BM319" s="225"/>
      <c r="BN319" s="225">
        <f>690</f>
        <v>690</v>
      </c>
      <c r="BO319" s="225">
        <f t="shared" si="24"/>
        <v>3040</v>
      </c>
      <c r="BP319" s="230">
        <f t="shared" si="30"/>
        <v>167.2</v>
      </c>
      <c r="BQ319" s="230">
        <f t="shared" si="26"/>
        <v>3207.2</v>
      </c>
      <c r="BR319" s="230">
        <v>3207.2</v>
      </c>
      <c r="BS319" s="225" t="s">
        <v>388</v>
      </c>
      <c r="BT319" s="225"/>
      <c r="BU319" s="225"/>
      <c r="BV319" s="301" t="s">
        <v>2325</v>
      </c>
      <c r="BW319" s="301" t="s">
        <v>214</v>
      </c>
      <c r="BX319" s="301" t="s">
        <v>620</v>
      </c>
      <c r="BY319" s="301">
        <v>2022</v>
      </c>
    </row>
    <row r="320" spans="1:77" s="33" customFormat="1" ht="13.5" customHeight="1">
      <c r="A320" s="64">
        <f t="shared" si="27"/>
        <v>2022</v>
      </c>
      <c r="B320" s="64">
        <f t="shared" si="28"/>
        <v>1</v>
      </c>
      <c r="C320" s="125" t="s">
        <v>191</v>
      </c>
      <c r="D320" s="168" t="str">
        <f t="shared" si="29"/>
        <v>maj</v>
      </c>
      <c r="E320" s="232" t="s">
        <v>898</v>
      </c>
      <c r="F320" s="232" t="s">
        <v>1580</v>
      </c>
      <c r="G320" s="221">
        <v>1000</v>
      </c>
      <c r="H320" s="222">
        <v>44543</v>
      </c>
      <c r="I320" s="222">
        <v>44546</v>
      </c>
      <c r="J320" s="223"/>
      <c r="K320" s="222"/>
      <c r="L320" s="223">
        <v>44573</v>
      </c>
      <c r="M320" s="223">
        <v>44574</v>
      </c>
      <c r="N320" s="223">
        <v>44575</v>
      </c>
      <c r="O320" s="222"/>
      <c r="P320" s="222">
        <v>44614</v>
      </c>
      <c r="Q320" s="222">
        <v>44561</v>
      </c>
      <c r="R320" s="222"/>
      <c r="S320" s="222">
        <v>44616</v>
      </c>
      <c r="T320" s="222">
        <v>44616</v>
      </c>
      <c r="U320" s="222">
        <v>44617</v>
      </c>
      <c r="V320" s="224"/>
      <c r="W320" s="222"/>
      <c r="X320" s="225"/>
      <c r="Y320" s="225"/>
      <c r="Z320" s="225"/>
      <c r="AA320" s="225">
        <v>4</v>
      </c>
      <c r="AB320" s="225">
        <v>33581</v>
      </c>
      <c r="AC320" s="225">
        <v>878</v>
      </c>
      <c r="AD320" s="225" t="s">
        <v>3038</v>
      </c>
      <c r="AE320" s="225">
        <v>38620</v>
      </c>
      <c r="AF320" s="225" t="s">
        <v>2540</v>
      </c>
      <c r="AG320" s="226">
        <v>630311544</v>
      </c>
      <c r="AH320" s="246" t="s">
        <v>3039</v>
      </c>
      <c r="AI320" s="225" t="s">
        <v>1168</v>
      </c>
      <c r="AJ320" s="225"/>
      <c r="AK320" s="225"/>
      <c r="AL320" s="225"/>
      <c r="AM320" s="225"/>
      <c r="AN320" s="225"/>
      <c r="AO320" s="225"/>
      <c r="AP320" s="225" t="s">
        <v>1874</v>
      </c>
      <c r="AQ320" s="225" t="s">
        <v>1875</v>
      </c>
      <c r="AR320" s="225" t="s">
        <v>1876</v>
      </c>
      <c r="AS320" s="246" t="s">
        <v>1877</v>
      </c>
      <c r="AT320" s="226" t="s">
        <v>434</v>
      </c>
      <c r="AU320" s="225" t="s">
        <v>176</v>
      </c>
      <c r="AV320" s="241" t="s">
        <v>1878</v>
      </c>
      <c r="AW320" s="223">
        <v>44821</v>
      </c>
      <c r="AX320" s="225" t="s">
        <v>1880</v>
      </c>
      <c r="AY320" s="225">
        <v>1990</v>
      </c>
      <c r="AZ320" s="225" t="s">
        <v>1880</v>
      </c>
      <c r="BA320" s="225" t="s">
        <v>267</v>
      </c>
      <c r="BB320" s="225" t="s">
        <v>190</v>
      </c>
      <c r="BC320" s="225" t="s">
        <v>3040</v>
      </c>
      <c r="BD320" s="225">
        <v>11</v>
      </c>
      <c r="BE320" s="225">
        <v>12</v>
      </c>
      <c r="BF320" s="225">
        <v>89</v>
      </c>
      <c r="BG320" s="225">
        <v>9.0399999999999994E-3</v>
      </c>
      <c r="BH320" s="225" t="s">
        <v>1882</v>
      </c>
      <c r="BI320" s="225"/>
      <c r="BJ320" s="225">
        <f>3900+1145+185+193+265+150</f>
        <v>5838</v>
      </c>
      <c r="BK320" s="225"/>
      <c r="BL320" s="225"/>
      <c r="BM320" s="225"/>
      <c r="BN320" s="225">
        <f>790</f>
        <v>790</v>
      </c>
      <c r="BO320" s="225">
        <f t="shared" si="24"/>
        <v>6628</v>
      </c>
      <c r="BP320" s="230">
        <f t="shared" si="30"/>
        <v>364.54</v>
      </c>
      <c r="BQ320" s="230">
        <f t="shared" si="26"/>
        <v>6992.54</v>
      </c>
      <c r="BR320" s="230">
        <v>6992.54</v>
      </c>
      <c r="BS320" s="225" t="s">
        <v>388</v>
      </c>
      <c r="BT320" s="225"/>
      <c r="BU320" s="225"/>
      <c r="BV320" s="231" t="s">
        <v>4045</v>
      </c>
      <c r="BW320" s="225" t="s">
        <v>968</v>
      </c>
      <c r="BX320" s="222" t="s">
        <v>618</v>
      </c>
      <c r="BY320" s="301" t="s">
        <v>176</v>
      </c>
    </row>
    <row r="321" spans="1:77" s="33" customFormat="1" ht="13.5" customHeight="1">
      <c r="A321" s="64">
        <f t="shared" si="27"/>
        <v>2022</v>
      </c>
      <c r="B321" s="64">
        <f t="shared" si="28"/>
        <v>3</v>
      </c>
      <c r="C321" s="125" t="s">
        <v>191</v>
      </c>
      <c r="D321" s="168" t="str">
        <f t="shared" si="29"/>
        <v>non maj</v>
      </c>
      <c r="E321" s="232" t="s">
        <v>898</v>
      </c>
      <c r="F321" s="232" t="s">
        <v>1581</v>
      </c>
      <c r="G321" s="221">
        <v>600</v>
      </c>
      <c r="H321" s="222">
        <v>44545</v>
      </c>
      <c r="I321" s="222">
        <v>44546</v>
      </c>
      <c r="J321" s="223">
        <v>44573</v>
      </c>
      <c r="K321" s="222" t="s">
        <v>3041</v>
      </c>
      <c r="L321" s="223">
        <v>44630</v>
      </c>
      <c r="M321" s="223">
        <v>44630</v>
      </c>
      <c r="N321" s="223">
        <v>44635</v>
      </c>
      <c r="O321" s="222"/>
      <c r="P321" s="222">
        <v>44750</v>
      </c>
      <c r="Q321" s="222">
        <v>44715</v>
      </c>
      <c r="R321" s="222" t="s">
        <v>176</v>
      </c>
      <c r="S321" s="222">
        <v>44769</v>
      </c>
      <c r="T321" s="222">
        <v>44769</v>
      </c>
      <c r="U321" s="222">
        <v>44770</v>
      </c>
      <c r="V321" s="224"/>
      <c r="W321" s="222"/>
      <c r="X321" s="225"/>
      <c r="Y321" s="225"/>
      <c r="Z321" s="225"/>
      <c r="AA321" s="225">
        <v>2</v>
      </c>
      <c r="AB321" s="225">
        <v>96462</v>
      </c>
      <c r="AC321" s="225">
        <v>448</v>
      </c>
      <c r="AD321" s="225" t="s">
        <v>2045</v>
      </c>
      <c r="AE321" s="225">
        <v>38460</v>
      </c>
      <c r="AF321" s="225" t="s">
        <v>232</v>
      </c>
      <c r="AG321" s="226">
        <v>637377161</v>
      </c>
      <c r="AH321" s="246" t="s">
        <v>3042</v>
      </c>
      <c r="AI321" s="225" t="s">
        <v>1168</v>
      </c>
      <c r="AJ321" s="225"/>
      <c r="AK321" s="225"/>
      <c r="AL321" s="225"/>
      <c r="AM321" s="225"/>
      <c r="AN321" s="225"/>
      <c r="AO321" s="225"/>
      <c r="AP321" s="225" t="s">
        <v>2002</v>
      </c>
      <c r="AQ321" s="225" t="s">
        <v>1895</v>
      </c>
      <c r="AR321" s="225" t="s">
        <v>2003</v>
      </c>
      <c r="AS321" s="241" t="s">
        <v>245</v>
      </c>
      <c r="AT321" s="226">
        <v>476452433</v>
      </c>
      <c r="AU321" s="225" t="s">
        <v>176</v>
      </c>
      <c r="AV321" s="241" t="s">
        <v>188</v>
      </c>
      <c r="AW321" s="223">
        <v>44620</v>
      </c>
      <c r="AX321" s="225" t="s">
        <v>1879</v>
      </c>
      <c r="AY321" s="225">
        <v>1986</v>
      </c>
      <c r="AZ321" s="225" t="s">
        <v>1880</v>
      </c>
      <c r="BA321" s="225" t="s">
        <v>267</v>
      </c>
      <c r="BB321" s="225" t="s">
        <v>796</v>
      </c>
      <c r="BC321" s="225" t="s">
        <v>3043</v>
      </c>
      <c r="BD321" s="225">
        <v>13</v>
      </c>
      <c r="BE321" s="225">
        <v>9.6300000000000008</v>
      </c>
      <c r="BF321" s="225">
        <v>84.5</v>
      </c>
      <c r="BG321" s="225">
        <v>111</v>
      </c>
      <c r="BH321" s="225" t="s">
        <v>1899</v>
      </c>
      <c r="BI321" s="225"/>
      <c r="BJ321" s="225">
        <f>3444+276+107+238+526.06+218.45+87.66</f>
        <v>4897.1699999999992</v>
      </c>
      <c r="BK321" s="225"/>
      <c r="BL321" s="225"/>
      <c r="BM321" s="225"/>
      <c r="BN321" s="225">
        <f>450+369+85</f>
        <v>904</v>
      </c>
      <c r="BO321" s="225">
        <f t="shared" si="24"/>
        <v>5801.1699999999992</v>
      </c>
      <c r="BP321" s="230">
        <f t="shared" si="30"/>
        <v>319.06434999999993</v>
      </c>
      <c r="BQ321" s="230">
        <f t="shared" si="26"/>
        <v>6120.2343499999988</v>
      </c>
      <c r="BR321" s="230">
        <f>5494.2+(592.45*1.055)</f>
        <v>6119.2347499999996</v>
      </c>
      <c r="BS321" s="225" t="s">
        <v>188</v>
      </c>
      <c r="BT321" s="225"/>
      <c r="BU321" s="225"/>
      <c r="BV321" s="231" t="s">
        <v>4045</v>
      </c>
      <c r="BW321" s="225" t="s">
        <v>968</v>
      </c>
      <c r="BX321" s="301" t="s">
        <v>620</v>
      </c>
      <c r="BY321" s="301" t="s">
        <v>176</v>
      </c>
    </row>
    <row r="322" spans="1:77" s="33" customFormat="1" ht="13.5" customHeight="1">
      <c r="A322" s="64">
        <f t="shared" si="27"/>
        <v>2022</v>
      </c>
      <c r="B322" s="64">
        <f t="shared" si="28"/>
        <v>1</v>
      </c>
      <c r="C322" s="125" t="s">
        <v>191</v>
      </c>
      <c r="D322" s="168" t="str">
        <f t="shared" si="29"/>
        <v>non maj</v>
      </c>
      <c r="E322" s="232" t="s">
        <v>898</v>
      </c>
      <c r="F322" s="232" t="s">
        <v>1582</v>
      </c>
      <c r="G322" s="221">
        <v>600</v>
      </c>
      <c r="H322" s="222">
        <v>44545</v>
      </c>
      <c r="I322" s="222">
        <v>44546</v>
      </c>
      <c r="J322" s="223">
        <v>44573</v>
      </c>
      <c r="K322" s="222" t="s">
        <v>3044</v>
      </c>
      <c r="L322" s="223">
        <v>44585</v>
      </c>
      <c r="M322" s="223">
        <v>44585</v>
      </c>
      <c r="N322" s="223">
        <v>44587</v>
      </c>
      <c r="O322" s="222"/>
      <c r="P322" s="222">
        <v>44832</v>
      </c>
      <c r="Q322" s="222">
        <v>44610</v>
      </c>
      <c r="R322" s="222" t="s">
        <v>176</v>
      </c>
      <c r="S322" s="222">
        <v>44873</v>
      </c>
      <c r="T322" s="222">
        <v>44873</v>
      </c>
      <c r="U322" s="222">
        <v>44879</v>
      </c>
      <c r="V322" s="224"/>
      <c r="W322" s="222"/>
      <c r="X322" s="225"/>
      <c r="Y322" s="225"/>
      <c r="Z322" s="225"/>
      <c r="AA322" s="225">
        <v>3</v>
      </c>
      <c r="AB322" s="225">
        <v>63000</v>
      </c>
      <c r="AC322" s="225" t="s">
        <v>3045</v>
      </c>
      <c r="AD322" s="225" t="s">
        <v>2519</v>
      </c>
      <c r="AE322" s="225">
        <v>38500</v>
      </c>
      <c r="AF322" s="225" t="s">
        <v>1907</v>
      </c>
      <c r="AG322" s="226">
        <v>670130367</v>
      </c>
      <c r="AH322" s="246" t="s">
        <v>3046</v>
      </c>
      <c r="AI322" s="225" t="s">
        <v>1168</v>
      </c>
      <c r="AJ322" s="225"/>
      <c r="AK322" s="225"/>
      <c r="AL322" s="225"/>
      <c r="AM322" s="225"/>
      <c r="AN322" s="225"/>
      <c r="AO322" s="225"/>
      <c r="AP322" s="225" t="s">
        <v>778</v>
      </c>
      <c r="AQ322" s="225" t="s">
        <v>1926</v>
      </c>
      <c r="AR322" s="225" t="s">
        <v>3047</v>
      </c>
      <c r="AS322" s="241" t="s">
        <v>251</v>
      </c>
      <c r="AT322" s="226" t="s">
        <v>581</v>
      </c>
      <c r="AU322" s="225" t="s">
        <v>176</v>
      </c>
      <c r="AV322" s="241" t="s">
        <v>188</v>
      </c>
      <c r="AW322" s="223">
        <v>44641</v>
      </c>
      <c r="AX322" s="225" t="s">
        <v>4113</v>
      </c>
      <c r="AY322" s="225">
        <v>1980</v>
      </c>
      <c r="AZ322" s="225" t="s">
        <v>1880</v>
      </c>
      <c r="BA322" s="225" t="s">
        <v>380</v>
      </c>
      <c r="BB322" s="225" t="s">
        <v>3048</v>
      </c>
      <c r="BC322" s="225" t="s">
        <v>3049</v>
      </c>
      <c r="BD322" s="225">
        <v>29</v>
      </c>
      <c r="BE322" s="225">
        <v>7.5</v>
      </c>
      <c r="BF322" s="225">
        <v>75</v>
      </c>
      <c r="BG322" s="225">
        <v>7.5600000000000001E-2</v>
      </c>
      <c r="BH322" s="225" t="s">
        <v>1882</v>
      </c>
      <c r="BI322" s="225"/>
      <c r="BJ322" s="225">
        <f>4983+112.5+141+91+625+341+195+166+391+137.5+575+2050</f>
        <v>9808</v>
      </c>
      <c r="BK322" s="225"/>
      <c r="BL322" s="225"/>
      <c r="BM322" s="225"/>
      <c r="BN322" s="225">
        <f>891+350</f>
        <v>1241</v>
      </c>
      <c r="BO322" s="225">
        <f t="shared" ref="BO322:BO340" si="31">BJ322+BN322</f>
        <v>11049</v>
      </c>
      <c r="BP322" s="230">
        <f t="shared" si="30"/>
        <v>607.69500000000005</v>
      </c>
      <c r="BQ322" s="230">
        <f t="shared" ref="BQ322:BQ328" si="32">BO322+BP322</f>
        <v>11656.695</v>
      </c>
      <c r="BR322" s="230">
        <v>11656</v>
      </c>
      <c r="BS322" s="225" t="s">
        <v>519</v>
      </c>
      <c r="BT322" s="225"/>
      <c r="BU322" s="225"/>
      <c r="BV322" s="231" t="s">
        <v>4045</v>
      </c>
      <c r="BW322" s="225" t="s">
        <v>968</v>
      </c>
      <c r="BX322" s="301" t="s">
        <v>620</v>
      </c>
      <c r="BY322" s="301">
        <v>2022</v>
      </c>
    </row>
    <row r="323" spans="1:77" s="33" customFormat="1" ht="13.5" customHeight="1">
      <c r="A323" s="64">
        <f t="shared" ref="A323:A386" si="33">YEAR(L323)</f>
        <v>2022</v>
      </c>
      <c r="B323" s="64">
        <f t="shared" ref="B323:B386" si="34">MONTH(L323)</f>
        <v>1</v>
      </c>
      <c r="C323" s="125" t="s">
        <v>191</v>
      </c>
      <c r="D323" s="168" t="str">
        <f t="shared" ref="D323:D386" si="35">BX323</f>
        <v>non maj</v>
      </c>
      <c r="E323" s="239" t="s">
        <v>898</v>
      </c>
      <c r="F323" s="239" t="s">
        <v>1583</v>
      </c>
      <c r="G323" s="221">
        <v>600</v>
      </c>
      <c r="H323" s="222">
        <v>44546</v>
      </c>
      <c r="I323" s="222">
        <v>44546</v>
      </c>
      <c r="J323" s="223">
        <v>44573</v>
      </c>
      <c r="K323" s="222" t="s">
        <v>3050</v>
      </c>
      <c r="L323" s="223">
        <v>44574</v>
      </c>
      <c r="M323" s="223">
        <v>44574</v>
      </c>
      <c r="N323" s="223">
        <v>44575</v>
      </c>
      <c r="O323" s="222"/>
      <c r="P323" s="222">
        <v>44901</v>
      </c>
      <c r="Q323" s="222">
        <v>44889</v>
      </c>
      <c r="R323" s="222" t="s">
        <v>866</v>
      </c>
      <c r="S323" s="222">
        <v>44932</v>
      </c>
      <c r="T323" s="222">
        <v>44932</v>
      </c>
      <c r="U323" s="222"/>
      <c r="V323" s="224"/>
      <c r="W323" s="222"/>
      <c r="X323" s="225"/>
      <c r="Y323" s="225"/>
      <c r="Z323" s="225"/>
      <c r="AA323" s="225">
        <v>2</v>
      </c>
      <c r="AB323" s="225">
        <v>29582</v>
      </c>
      <c r="AC323" s="225">
        <v>2191</v>
      </c>
      <c r="AD323" s="225" t="s">
        <v>3051</v>
      </c>
      <c r="AE323" s="225">
        <v>38620</v>
      </c>
      <c r="AF323" s="225" t="s">
        <v>1871</v>
      </c>
      <c r="AG323" s="226">
        <v>674559419</v>
      </c>
      <c r="AH323" s="246" t="s">
        <v>3052</v>
      </c>
      <c r="AI323" s="225" t="s">
        <v>1168</v>
      </c>
      <c r="AJ323" s="225"/>
      <c r="AK323" s="225"/>
      <c r="AL323" s="225"/>
      <c r="AM323" s="225"/>
      <c r="AN323" s="225"/>
      <c r="AO323" s="225"/>
      <c r="AP323" s="225" t="s">
        <v>845</v>
      </c>
      <c r="AQ323" s="225" t="s">
        <v>3053</v>
      </c>
      <c r="AR323" s="225" t="s">
        <v>1966</v>
      </c>
      <c r="AS323" s="241" t="s">
        <v>3054</v>
      </c>
      <c r="AT323" s="226" t="s">
        <v>906</v>
      </c>
      <c r="AU323" s="225" t="s">
        <v>176</v>
      </c>
      <c r="AV323" s="241" t="s">
        <v>188</v>
      </c>
      <c r="AW323" s="223">
        <v>44687</v>
      </c>
      <c r="AX323" s="225" t="s">
        <v>4113</v>
      </c>
      <c r="AY323" s="225">
        <v>1999</v>
      </c>
      <c r="AZ323" s="225" t="s">
        <v>1880</v>
      </c>
      <c r="BA323" s="225" t="s">
        <v>267</v>
      </c>
      <c r="BB323" s="225" t="s">
        <v>853</v>
      </c>
      <c r="BC323" s="225" t="s">
        <v>3055</v>
      </c>
      <c r="BD323" s="225">
        <v>14</v>
      </c>
      <c r="BE323" s="225">
        <v>9.1</v>
      </c>
      <c r="BF323" s="225">
        <v>90.2</v>
      </c>
      <c r="BG323" s="225" t="s">
        <v>3056</v>
      </c>
      <c r="BH323" s="225" t="s">
        <v>1882</v>
      </c>
      <c r="BI323" s="225"/>
      <c r="BJ323" s="225">
        <f>3980+170+216+535.67+46</f>
        <v>4947.67</v>
      </c>
      <c r="BK323" s="225"/>
      <c r="BL323" s="225"/>
      <c r="BM323" s="225"/>
      <c r="BN323" s="225">
        <f>695</f>
        <v>695</v>
      </c>
      <c r="BO323" s="225">
        <f t="shared" si="31"/>
        <v>5642.67</v>
      </c>
      <c r="BP323" s="230">
        <f t="shared" si="30"/>
        <v>310.34685000000002</v>
      </c>
      <c r="BQ323" s="230">
        <f t="shared" si="32"/>
        <v>5953.01685</v>
      </c>
      <c r="BR323" s="230">
        <v>5953.02</v>
      </c>
      <c r="BS323" s="225" t="s">
        <v>519</v>
      </c>
      <c r="BT323" s="225"/>
      <c r="BU323" s="225"/>
      <c r="BV323" s="301" t="s">
        <v>4045</v>
      </c>
      <c r="BW323" s="225" t="s">
        <v>968</v>
      </c>
      <c r="BX323" s="301" t="s">
        <v>620</v>
      </c>
      <c r="BY323" s="301" t="s">
        <v>176</v>
      </c>
    </row>
    <row r="324" spans="1:77" s="33" customFormat="1" ht="13.5" customHeight="1">
      <c r="A324" s="64">
        <f t="shared" si="33"/>
        <v>2022</v>
      </c>
      <c r="B324" s="64">
        <f t="shared" si="34"/>
        <v>3</v>
      </c>
      <c r="C324" s="125" t="s">
        <v>191</v>
      </c>
      <c r="D324" s="168" t="str">
        <f t="shared" si="35"/>
        <v>non maj</v>
      </c>
      <c r="E324" s="232" t="s">
        <v>898</v>
      </c>
      <c r="F324" s="232" t="s">
        <v>1584</v>
      </c>
      <c r="G324" s="221">
        <v>600</v>
      </c>
      <c r="H324" s="222">
        <v>44546</v>
      </c>
      <c r="I324" s="222">
        <v>44546</v>
      </c>
      <c r="J324" s="223">
        <v>44573</v>
      </c>
      <c r="K324" s="222" t="s">
        <v>3057</v>
      </c>
      <c r="L324" s="223">
        <v>44624</v>
      </c>
      <c r="M324" s="223">
        <v>44624</v>
      </c>
      <c r="N324" s="223">
        <v>44628</v>
      </c>
      <c r="O324" s="222"/>
      <c r="P324" s="222">
        <v>44697</v>
      </c>
      <c r="Q324" s="222">
        <v>44679</v>
      </c>
      <c r="R324" s="222" t="s">
        <v>176</v>
      </c>
      <c r="S324" s="222">
        <v>44769</v>
      </c>
      <c r="T324" s="222">
        <v>44769</v>
      </c>
      <c r="U324" s="222">
        <v>44770</v>
      </c>
      <c r="V324" s="224"/>
      <c r="W324" s="222"/>
      <c r="X324" s="225"/>
      <c r="Y324" s="225"/>
      <c r="Z324" s="225"/>
      <c r="AA324" s="225">
        <v>2</v>
      </c>
      <c r="AB324" s="225">
        <v>49422</v>
      </c>
      <c r="AC324" s="225">
        <v>100</v>
      </c>
      <c r="AD324" s="225" t="s">
        <v>3058</v>
      </c>
      <c r="AE324" s="225">
        <v>38340</v>
      </c>
      <c r="AF324" s="225" t="s">
        <v>232</v>
      </c>
      <c r="AG324" s="226">
        <v>673385187</v>
      </c>
      <c r="AH324" s="246" t="s">
        <v>3059</v>
      </c>
      <c r="AI324" s="225" t="s">
        <v>1168</v>
      </c>
      <c r="AJ324" s="225"/>
      <c r="AK324" s="225"/>
      <c r="AL324" s="225"/>
      <c r="AM324" s="225"/>
      <c r="AN324" s="225"/>
      <c r="AO324" s="225"/>
      <c r="AP324" s="225" t="s">
        <v>263</v>
      </c>
      <c r="AQ324" s="225" t="s">
        <v>1910</v>
      </c>
      <c r="AR324" s="225" t="s">
        <v>2568</v>
      </c>
      <c r="AS324" s="241" t="s">
        <v>595</v>
      </c>
      <c r="AT324" s="226">
        <v>438920220</v>
      </c>
      <c r="AU324" s="225" t="s">
        <v>176</v>
      </c>
      <c r="AV324" s="241" t="s">
        <v>188</v>
      </c>
      <c r="AW324" s="223">
        <v>44668</v>
      </c>
      <c r="AX324" s="225" t="s">
        <v>4113</v>
      </c>
      <c r="AY324" s="225">
        <v>1993</v>
      </c>
      <c r="AZ324" s="225" t="s">
        <v>1880</v>
      </c>
      <c r="BA324" s="225" t="s">
        <v>380</v>
      </c>
      <c r="BB324" s="225" t="s">
        <v>219</v>
      </c>
      <c r="BC324" s="225" t="s">
        <v>3060</v>
      </c>
      <c r="BD324" s="225">
        <v>4</v>
      </c>
      <c r="BE324" s="225">
        <v>6.8</v>
      </c>
      <c r="BF324" s="225">
        <v>78</v>
      </c>
      <c r="BG324" s="225">
        <v>5.8479999999999997E-2</v>
      </c>
      <c r="BH324" s="225" t="s">
        <v>1882</v>
      </c>
      <c r="BI324" s="225"/>
      <c r="BJ324" s="225">
        <f>3910+187+1663.95+323+51</f>
        <v>6134.95</v>
      </c>
      <c r="BK324" s="225"/>
      <c r="BL324" s="225"/>
      <c r="BM324" s="225"/>
      <c r="BN324" s="225">
        <f>857+178+57+1.67</f>
        <v>1093.67</v>
      </c>
      <c r="BO324" s="225">
        <f t="shared" si="31"/>
        <v>7228.62</v>
      </c>
      <c r="BP324" s="230">
        <f t="shared" si="30"/>
        <v>397.57409999999999</v>
      </c>
      <c r="BQ324" s="230">
        <f t="shared" si="32"/>
        <v>7626.1940999999997</v>
      </c>
      <c r="BR324" s="230">
        <v>7626.19</v>
      </c>
      <c r="BS324" s="225" t="s">
        <v>188</v>
      </c>
      <c r="BT324" s="225"/>
      <c r="BU324" s="225"/>
      <c r="BV324" s="231" t="s">
        <v>4045</v>
      </c>
      <c r="BW324" s="225" t="s">
        <v>968</v>
      </c>
      <c r="BX324" s="301" t="s">
        <v>620</v>
      </c>
      <c r="BY324" s="301">
        <v>2022</v>
      </c>
    </row>
    <row r="325" spans="1:77" s="33" customFormat="1" ht="13.5" customHeight="1">
      <c r="A325" s="64">
        <f t="shared" si="33"/>
        <v>2022</v>
      </c>
      <c r="B325" s="64">
        <f t="shared" si="34"/>
        <v>1</v>
      </c>
      <c r="C325" s="125" t="s">
        <v>191</v>
      </c>
      <c r="D325" s="168" t="str">
        <f t="shared" si="35"/>
        <v>non maj</v>
      </c>
      <c r="E325" s="232" t="s">
        <v>2987</v>
      </c>
      <c r="F325" s="232" t="s">
        <v>3061</v>
      </c>
      <c r="G325" s="221">
        <v>600</v>
      </c>
      <c r="H325" s="222">
        <v>44551</v>
      </c>
      <c r="I325" s="222">
        <v>44552</v>
      </c>
      <c r="J325" s="223">
        <v>44558</v>
      </c>
      <c r="K325" s="222"/>
      <c r="L325" s="223">
        <v>44578</v>
      </c>
      <c r="M325" s="223">
        <v>44578</v>
      </c>
      <c r="N325" s="223">
        <v>44582</v>
      </c>
      <c r="O325" s="222"/>
      <c r="P325" s="222">
        <v>44677</v>
      </c>
      <c r="Q325" s="222">
        <v>44614</v>
      </c>
      <c r="R325" s="222"/>
      <c r="S325" s="222">
        <v>44679</v>
      </c>
      <c r="T325" s="222">
        <v>44679</v>
      </c>
      <c r="U325" s="222">
        <v>44679</v>
      </c>
      <c r="V325" s="224"/>
      <c r="W325" s="222"/>
      <c r="X325" s="225"/>
      <c r="Y325" s="225"/>
      <c r="Z325" s="225"/>
      <c r="AA325" s="225">
        <v>2</v>
      </c>
      <c r="AB325" s="225">
        <f>32045+47352</f>
        <v>79397</v>
      </c>
      <c r="AC325" s="225">
        <v>19</v>
      </c>
      <c r="AD325" s="225" t="s">
        <v>3062</v>
      </c>
      <c r="AE325" s="225">
        <v>38500</v>
      </c>
      <c r="AF325" s="225" t="s">
        <v>1984</v>
      </c>
      <c r="AG325" s="226">
        <v>682430060</v>
      </c>
      <c r="AH325" s="295" t="s">
        <v>3063</v>
      </c>
      <c r="AI325" s="225" t="s">
        <v>1168</v>
      </c>
      <c r="AJ325" s="225"/>
      <c r="AK325" s="225"/>
      <c r="AL325" s="225"/>
      <c r="AM325" s="225"/>
      <c r="AN325" s="225"/>
      <c r="AO325" s="225"/>
      <c r="AP325" s="225" t="s">
        <v>1888</v>
      </c>
      <c r="AQ325" s="225" t="s">
        <v>225</v>
      </c>
      <c r="AR325" s="225" t="s">
        <v>3064</v>
      </c>
      <c r="AS325" s="251" t="s">
        <v>269</v>
      </c>
      <c r="AT325" s="226" t="s">
        <v>600</v>
      </c>
      <c r="AU325" s="225" t="s">
        <v>257</v>
      </c>
      <c r="AV325" s="251" t="s">
        <v>388</v>
      </c>
      <c r="AW325" s="223">
        <v>44868</v>
      </c>
      <c r="AX325" s="225" t="s">
        <v>1879</v>
      </c>
      <c r="AY325" s="225">
        <v>1980</v>
      </c>
      <c r="AZ325" s="225" t="s">
        <v>1880</v>
      </c>
      <c r="BA325" s="225" t="s">
        <v>380</v>
      </c>
      <c r="BB325" s="225" t="s">
        <v>3065</v>
      </c>
      <c r="BC325" s="225" t="s">
        <v>3066</v>
      </c>
      <c r="BD325" s="225">
        <v>15</v>
      </c>
      <c r="BE325" s="225">
        <v>11</v>
      </c>
      <c r="BF325" s="225">
        <v>80</v>
      </c>
      <c r="BG325" s="225">
        <v>8.7999999999999995E-2</v>
      </c>
      <c r="BH325" s="225" t="s">
        <v>1882</v>
      </c>
      <c r="BI325" s="225"/>
      <c r="BJ325" s="225">
        <f>2296.44+245+101+89+88+120+90+62+222+47+15</f>
        <v>3375.44</v>
      </c>
      <c r="BK325" s="225"/>
      <c r="BL325" s="225"/>
      <c r="BM325" s="225"/>
      <c r="BN325" s="225">
        <f>40+420</f>
        <v>460</v>
      </c>
      <c r="BO325" s="225">
        <f t="shared" si="31"/>
        <v>3835.44</v>
      </c>
      <c r="BP325" s="230">
        <f t="shared" si="30"/>
        <v>210.94919999999999</v>
      </c>
      <c r="BQ325" s="230">
        <f t="shared" si="32"/>
        <v>4046.3892000000001</v>
      </c>
      <c r="BR325" s="230">
        <v>4046.39</v>
      </c>
      <c r="BS325" s="225" t="s">
        <v>388</v>
      </c>
      <c r="BT325" s="225"/>
      <c r="BU325" s="225"/>
      <c r="BV325" s="231" t="s">
        <v>4045</v>
      </c>
      <c r="BW325" s="225" t="s">
        <v>968</v>
      </c>
      <c r="BX325" s="301" t="s">
        <v>620</v>
      </c>
      <c r="BY325" s="301">
        <v>2022</v>
      </c>
    </row>
    <row r="326" spans="1:77" s="33" customFormat="1" ht="13.5" customHeight="1">
      <c r="A326" s="64">
        <f t="shared" si="33"/>
        <v>2021</v>
      </c>
      <c r="B326" s="64">
        <f t="shared" si="34"/>
        <v>12</v>
      </c>
      <c r="C326" s="125" t="s">
        <v>191</v>
      </c>
      <c r="D326" s="168" t="str">
        <f t="shared" si="35"/>
        <v>non maj</v>
      </c>
      <c r="E326" s="232" t="s">
        <v>2987</v>
      </c>
      <c r="F326" s="232" t="s">
        <v>3067</v>
      </c>
      <c r="G326" s="221">
        <v>600</v>
      </c>
      <c r="H326" s="222">
        <v>44551</v>
      </c>
      <c r="I326" s="222">
        <v>44552</v>
      </c>
      <c r="J326" s="223">
        <v>44558</v>
      </c>
      <c r="K326" s="222"/>
      <c r="L326" s="223">
        <v>44560</v>
      </c>
      <c r="M326" s="223">
        <v>44560</v>
      </c>
      <c r="N326" s="223">
        <v>44565</v>
      </c>
      <c r="O326" s="222"/>
      <c r="P326" s="222">
        <v>44637</v>
      </c>
      <c r="Q326" s="222">
        <v>44588</v>
      </c>
      <c r="R326" s="222"/>
      <c r="S326" s="222">
        <v>44650</v>
      </c>
      <c r="T326" s="222">
        <v>44650</v>
      </c>
      <c r="U326" s="222">
        <v>44652</v>
      </c>
      <c r="V326" s="224"/>
      <c r="W326" s="222"/>
      <c r="X326" s="225"/>
      <c r="Y326" s="225"/>
      <c r="Z326" s="225"/>
      <c r="AA326" s="225">
        <v>1</v>
      </c>
      <c r="AB326" s="225">
        <v>32719</v>
      </c>
      <c r="AC326" s="225">
        <v>190</v>
      </c>
      <c r="AD326" s="225" t="s">
        <v>3068</v>
      </c>
      <c r="AE326" s="225">
        <v>38730</v>
      </c>
      <c r="AF326" s="225" t="s">
        <v>1916</v>
      </c>
      <c r="AG326" s="226">
        <v>777055592</v>
      </c>
      <c r="AH326" s="246" t="s">
        <v>3069</v>
      </c>
      <c r="AI326" s="225" t="s">
        <v>1168</v>
      </c>
      <c r="AJ326" s="225"/>
      <c r="AK326" s="225"/>
      <c r="AL326" s="225"/>
      <c r="AM326" s="225"/>
      <c r="AN326" s="225"/>
      <c r="AO326" s="225"/>
      <c r="AP326" s="225" t="s">
        <v>2762</v>
      </c>
      <c r="AQ326" s="225" t="s">
        <v>1018</v>
      </c>
      <c r="AR326" s="225" t="s">
        <v>3070</v>
      </c>
      <c r="AS326" s="241" t="s">
        <v>3071</v>
      </c>
      <c r="AT326" s="226" t="s">
        <v>3072</v>
      </c>
      <c r="AU326" s="225"/>
      <c r="AV326" s="229" t="s">
        <v>388</v>
      </c>
      <c r="AW326" s="223">
        <v>44731</v>
      </c>
      <c r="AX326" s="225" t="s">
        <v>4113</v>
      </c>
      <c r="AY326" s="242">
        <v>1980</v>
      </c>
      <c r="AZ326" s="225" t="s">
        <v>1880</v>
      </c>
      <c r="BA326" s="225" t="s">
        <v>267</v>
      </c>
      <c r="BB326" s="225" t="s">
        <v>3073</v>
      </c>
      <c r="BC326" s="225" t="s">
        <v>3073</v>
      </c>
      <c r="BD326" s="230">
        <v>15</v>
      </c>
      <c r="BE326" s="230">
        <v>8</v>
      </c>
      <c r="BF326" s="230">
        <v>90.9</v>
      </c>
      <c r="BG326" s="230">
        <v>0.01</v>
      </c>
      <c r="BH326" s="230" t="s">
        <v>1882</v>
      </c>
      <c r="BI326" s="225"/>
      <c r="BJ326" s="230">
        <f>3517.47+325+947.52+167+325+37.97+225</f>
        <v>5544.96</v>
      </c>
      <c r="BK326" s="225"/>
      <c r="BL326" s="225"/>
      <c r="BM326" s="225"/>
      <c r="BN326" s="230">
        <f>500+285</f>
        <v>785</v>
      </c>
      <c r="BO326" s="230">
        <f t="shared" si="31"/>
        <v>6329.96</v>
      </c>
      <c r="BP326" s="230">
        <f t="shared" si="30"/>
        <v>348.14780000000002</v>
      </c>
      <c r="BQ326" s="230">
        <f t="shared" si="32"/>
        <v>6678.1077999999998</v>
      </c>
      <c r="BR326" s="230">
        <v>6189</v>
      </c>
      <c r="BS326" s="225" t="s">
        <v>388</v>
      </c>
      <c r="BT326" s="225"/>
      <c r="BU326" s="225"/>
      <c r="BV326" s="301" t="s">
        <v>2325</v>
      </c>
      <c r="BW326" s="301" t="s">
        <v>214</v>
      </c>
      <c r="BX326" s="301" t="s">
        <v>620</v>
      </c>
      <c r="BY326" s="301" t="s">
        <v>176</v>
      </c>
    </row>
    <row r="327" spans="1:77" s="33" customFormat="1" ht="13.5" customHeight="1">
      <c r="A327" s="64">
        <f t="shared" si="33"/>
        <v>2022</v>
      </c>
      <c r="B327" s="64">
        <f t="shared" si="34"/>
        <v>1</v>
      </c>
      <c r="C327" s="125" t="s">
        <v>191</v>
      </c>
      <c r="D327" s="168" t="str">
        <f t="shared" si="35"/>
        <v>non maj</v>
      </c>
      <c r="E327" s="232" t="s">
        <v>2987</v>
      </c>
      <c r="F327" s="232" t="s">
        <v>1585</v>
      </c>
      <c r="G327" s="221">
        <v>600</v>
      </c>
      <c r="H327" s="222">
        <v>44551</v>
      </c>
      <c r="I327" s="222">
        <v>44552</v>
      </c>
      <c r="J327" s="223">
        <v>44558</v>
      </c>
      <c r="K327" s="222" t="s">
        <v>176</v>
      </c>
      <c r="L327" s="223">
        <v>44566</v>
      </c>
      <c r="M327" s="223">
        <v>44566</v>
      </c>
      <c r="N327" s="223">
        <v>44572</v>
      </c>
      <c r="O327" s="222"/>
      <c r="P327" s="222">
        <v>44623</v>
      </c>
      <c r="Q327" s="222">
        <v>44592</v>
      </c>
      <c r="R327" s="222" t="s">
        <v>176</v>
      </c>
      <c r="S327" s="222">
        <v>44630</v>
      </c>
      <c r="T327" s="222">
        <v>44630</v>
      </c>
      <c r="U327" s="222">
        <v>44630</v>
      </c>
      <c r="V327" s="224"/>
      <c r="W327" s="222"/>
      <c r="X327" s="225"/>
      <c r="Y327" s="225"/>
      <c r="Z327" s="225"/>
      <c r="AA327" s="225">
        <v>2</v>
      </c>
      <c r="AB327" s="225">
        <v>30234</v>
      </c>
      <c r="AC327" s="225">
        <v>94</v>
      </c>
      <c r="AD327" s="225" t="s">
        <v>3074</v>
      </c>
      <c r="AE327" s="225">
        <v>38620</v>
      </c>
      <c r="AF327" s="225" t="s">
        <v>2382</v>
      </c>
      <c r="AG327" s="226">
        <v>617385935</v>
      </c>
      <c r="AH327" s="246" t="s">
        <v>3075</v>
      </c>
      <c r="AI327" s="225" t="s">
        <v>1168</v>
      </c>
      <c r="AJ327" s="225"/>
      <c r="AK327" s="225"/>
      <c r="AL327" s="225"/>
      <c r="AM327" s="225"/>
      <c r="AN327" s="225"/>
      <c r="AO327" s="225"/>
      <c r="AP327" s="225" t="s">
        <v>1874</v>
      </c>
      <c r="AQ327" s="225" t="s">
        <v>1875</v>
      </c>
      <c r="AR327" s="225" t="s">
        <v>3076</v>
      </c>
      <c r="AS327" s="241" t="s">
        <v>1877</v>
      </c>
      <c r="AT327" s="226" t="s">
        <v>434</v>
      </c>
      <c r="AU327" s="225"/>
      <c r="AV327" s="217" t="s">
        <v>388</v>
      </c>
      <c r="AW327" s="223">
        <v>44821</v>
      </c>
      <c r="AX327" s="225" t="s">
        <v>1179</v>
      </c>
      <c r="AY327" s="225">
        <v>1994</v>
      </c>
      <c r="AZ327" s="225" t="s">
        <v>1880</v>
      </c>
      <c r="BA327" s="225" t="s">
        <v>267</v>
      </c>
      <c r="BB327" s="225" t="s">
        <v>190</v>
      </c>
      <c r="BC327" s="225" t="s">
        <v>3077</v>
      </c>
      <c r="BD327" s="225">
        <v>15</v>
      </c>
      <c r="BE327" s="225">
        <v>9</v>
      </c>
      <c r="BF327" s="225">
        <v>91</v>
      </c>
      <c r="BG327" s="225">
        <v>3.0000000000000001E-3</v>
      </c>
      <c r="BH327" s="225" t="s">
        <v>1882</v>
      </c>
      <c r="BI327" s="225"/>
      <c r="BJ327" s="225">
        <f>2890+695+285.5+163+148</f>
        <v>4181.5</v>
      </c>
      <c r="BK327" s="225"/>
      <c r="BL327" s="225"/>
      <c r="BM327" s="225"/>
      <c r="BN327" s="225">
        <f>790</f>
        <v>790</v>
      </c>
      <c r="BO327" s="225">
        <f t="shared" si="31"/>
        <v>4971.5</v>
      </c>
      <c r="BP327" s="230">
        <f t="shared" si="30"/>
        <v>273.4325</v>
      </c>
      <c r="BQ327" s="230">
        <f t="shared" si="32"/>
        <v>5244.9324999999999</v>
      </c>
      <c r="BR327" s="230">
        <v>5244.93</v>
      </c>
      <c r="BS327" s="225" t="s">
        <v>388</v>
      </c>
      <c r="BT327" s="225"/>
      <c r="BU327" s="225"/>
      <c r="BV327" s="231" t="s">
        <v>4045</v>
      </c>
      <c r="BW327" s="225" t="s">
        <v>968</v>
      </c>
      <c r="BX327" s="301" t="s">
        <v>620</v>
      </c>
      <c r="BY327" s="301" t="s">
        <v>176</v>
      </c>
    </row>
    <row r="328" spans="1:77" s="33" customFormat="1" ht="13.5" customHeight="1">
      <c r="A328" s="64">
        <f t="shared" si="33"/>
        <v>1900</v>
      </c>
      <c r="B328" s="64">
        <f t="shared" si="34"/>
        <v>1</v>
      </c>
      <c r="C328" s="125" t="s">
        <v>188</v>
      </c>
      <c r="D328" s="168" t="str">
        <f t="shared" si="35"/>
        <v>NC</v>
      </c>
      <c r="E328" s="291" t="s">
        <v>2987</v>
      </c>
      <c r="F328" s="291" t="s">
        <v>3078</v>
      </c>
      <c r="G328" s="221" t="s">
        <v>176</v>
      </c>
      <c r="H328" s="222">
        <v>44550</v>
      </c>
      <c r="I328" s="222">
        <v>44560</v>
      </c>
      <c r="J328" s="223"/>
      <c r="K328" s="222"/>
      <c r="L328" s="223"/>
      <c r="M328" s="223"/>
      <c r="N328" s="223"/>
      <c r="O328" s="222"/>
      <c r="P328" s="222"/>
      <c r="Q328" s="222"/>
      <c r="R328" s="222"/>
      <c r="S328" s="222"/>
      <c r="T328" s="222"/>
      <c r="U328" s="222"/>
      <c r="V328" s="224"/>
      <c r="W328" s="222">
        <v>44560</v>
      </c>
      <c r="X328" s="225" t="s">
        <v>3079</v>
      </c>
      <c r="Y328" s="225"/>
      <c r="Z328" s="225"/>
      <c r="AA328" s="225">
        <v>2</v>
      </c>
      <c r="AB328" s="225">
        <v>19476</v>
      </c>
      <c r="AC328" s="225">
        <v>10</v>
      </c>
      <c r="AD328" s="225" t="s">
        <v>3080</v>
      </c>
      <c r="AE328" s="225">
        <v>38210</v>
      </c>
      <c r="AF328" s="225" t="s">
        <v>265</v>
      </c>
      <c r="AG328" s="226" t="s">
        <v>3081</v>
      </c>
      <c r="AH328" s="246" t="s">
        <v>3082</v>
      </c>
      <c r="AI328" s="225" t="s">
        <v>1168</v>
      </c>
      <c r="AJ328" s="225"/>
      <c r="AK328" s="225"/>
      <c r="AL328" s="225"/>
      <c r="AM328" s="225"/>
      <c r="AN328" s="225"/>
      <c r="AO328" s="225"/>
      <c r="AP328" s="225"/>
      <c r="AQ328" s="225"/>
      <c r="AR328" s="225"/>
      <c r="AS328" s="246"/>
      <c r="AT328" s="226"/>
      <c r="AU328" s="225"/>
      <c r="AV328" s="225"/>
      <c r="AW328" s="223"/>
      <c r="AX328" s="225"/>
      <c r="AY328" s="225"/>
      <c r="AZ328" s="225"/>
      <c r="BA328" s="225"/>
      <c r="BB328" s="225"/>
      <c r="BC328" s="225"/>
      <c r="BD328" s="225"/>
      <c r="BE328" s="225"/>
      <c r="BF328" s="225"/>
      <c r="BG328" s="225"/>
      <c r="BH328" s="225"/>
      <c r="BI328" s="225"/>
      <c r="BJ328" s="225"/>
      <c r="BK328" s="225"/>
      <c r="BL328" s="225"/>
      <c r="BM328" s="225"/>
      <c r="BN328" s="225"/>
      <c r="BO328" s="225">
        <f t="shared" si="31"/>
        <v>0</v>
      </c>
      <c r="BP328" s="230">
        <f t="shared" si="30"/>
        <v>0</v>
      </c>
      <c r="BQ328" s="230">
        <f t="shared" si="32"/>
        <v>0</v>
      </c>
      <c r="BR328" s="230"/>
      <c r="BS328" s="225"/>
      <c r="BT328" s="225"/>
      <c r="BU328" s="225"/>
      <c r="BV328" s="301">
        <v>0</v>
      </c>
      <c r="BW328" s="301" t="s">
        <v>214</v>
      </c>
      <c r="BX328" s="301" t="s">
        <v>214</v>
      </c>
      <c r="BY328" s="301"/>
    </row>
    <row r="329" spans="1:77" s="33" customFormat="1" ht="13.5" customHeight="1">
      <c r="A329" s="64" t="e">
        <f t="shared" si="33"/>
        <v>#VALUE!</v>
      </c>
      <c r="B329" s="64" t="e">
        <f t="shared" si="34"/>
        <v>#VALUE!</v>
      </c>
      <c r="C329" s="125" t="s">
        <v>188</v>
      </c>
      <c r="D329" s="168" t="str">
        <f t="shared" si="35"/>
        <v>NC</v>
      </c>
      <c r="E329" s="294" t="s">
        <v>2987</v>
      </c>
      <c r="F329" s="294" t="s">
        <v>1586</v>
      </c>
      <c r="G329" s="221" t="s">
        <v>2588</v>
      </c>
      <c r="H329" s="222">
        <v>44553</v>
      </c>
      <c r="I329" s="222">
        <v>44560</v>
      </c>
      <c r="J329" s="223">
        <v>44560</v>
      </c>
      <c r="K329" s="222" t="s">
        <v>3083</v>
      </c>
      <c r="L329" s="223" t="s">
        <v>176</v>
      </c>
      <c r="M329" s="223" t="s">
        <v>176</v>
      </c>
      <c r="N329" s="223" t="s">
        <v>176</v>
      </c>
      <c r="O329" s="222"/>
      <c r="P329" s="222" t="s">
        <v>176</v>
      </c>
      <c r="Q329" s="222" t="s">
        <v>176</v>
      </c>
      <c r="R329" s="222" t="s">
        <v>176</v>
      </c>
      <c r="S329" s="222" t="s">
        <v>176</v>
      </c>
      <c r="T329" s="222" t="s">
        <v>176</v>
      </c>
      <c r="U329" s="222" t="s">
        <v>176</v>
      </c>
      <c r="V329" s="224"/>
      <c r="W329" s="222">
        <v>44662</v>
      </c>
      <c r="X329" s="225" t="s">
        <v>3084</v>
      </c>
      <c r="Y329" s="225"/>
      <c r="Z329" s="225"/>
      <c r="AA329" s="225">
        <v>4</v>
      </c>
      <c r="AB329" s="225">
        <v>56750</v>
      </c>
      <c r="AC329" s="225">
        <v>1</v>
      </c>
      <c r="AD329" s="225" t="s">
        <v>894</v>
      </c>
      <c r="AE329" s="225">
        <v>38500</v>
      </c>
      <c r="AF329" s="225" t="s">
        <v>1907</v>
      </c>
      <c r="AG329" s="226" t="s">
        <v>3085</v>
      </c>
      <c r="AH329" s="246" t="s">
        <v>3086</v>
      </c>
      <c r="AI329" s="225" t="s">
        <v>1168</v>
      </c>
      <c r="AJ329" s="225"/>
      <c r="AK329" s="225"/>
      <c r="AL329" s="225"/>
      <c r="AM329" s="225"/>
      <c r="AN329" s="225"/>
      <c r="AO329" s="225"/>
      <c r="AP329" s="225" t="s">
        <v>579</v>
      </c>
      <c r="AQ329" s="225" t="s">
        <v>1895</v>
      </c>
      <c r="AR329" s="225" t="s">
        <v>611</v>
      </c>
      <c r="AS329" s="241" t="s">
        <v>201</v>
      </c>
      <c r="AT329" s="226" t="s">
        <v>580</v>
      </c>
      <c r="AU329" s="225"/>
      <c r="AV329" s="217" t="s">
        <v>388</v>
      </c>
      <c r="AW329" s="223">
        <v>44782</v>
      </c>
      <c r="AX329" s="225" t="s">
        <v>1879</v>
      </c>
      <c r="AY329" s="225">
        <v>1990</v>
      </c>
      <c r="AZ329" s="225" t="s">
        <v>1880</v>
      </c>
      <c r="BA329" s="225" t="s">
        <v>380</v>
      </c>
      <c r="BB329" s="225" t="s">
        <v>3087</v>
      </c>
      <c r="BC329" s="225" t="s">
        <v>3088</v>
      </c>
      <c r="BD329" s="225">
        <v>26</v>
      </c>
      <c r="BE329" s="225">
        <v>6.2</v>
      </c>
      <c r="BF329" s="225">
        <v>79</v>
      </c>
      <c r="BG329" s="225">
        <v>0.08</v>
      </c>
      <c r="BH329" s="225" t="s">
        <v>1882</v>
      </c>
      <c r="BI329" s="225"/>
      <c r="BJ329" s="225">
        <f>3024.64+1004.74+278.67+291+345.97+42.65+33.18+70.14+188.63+209.48+211.37</f>
        <v>5700.47</v>
      </c>
      <c r="BK329" s="225"/>
      <c r="BL329" s="225"/>
      <c r="BM329" s="225"/>
      <c r="BN329" s="225">
        <f>949.76</f>
        <v>949.76</v>
      </c>
      <c r="BO329" s="225">
        <f t="shared" si="31"/>
        <v>6650.2300000000005</v>
      </c>
      <c r="BP329" s="230">
        <f t="shared" si="30"/>
        <v>365.76265000000001</v>
      </c>
      <c r="BQ329" s="230">
        <v>7016</v>
      </c>
      <c r="BR329" s="230"/>
      <c r="BS329" s="225" t="s">
        <v>519</v>
      </c>
      <c r="BT329" s="225"/>
      <c r="BU329" s="225"/>
      <c r="BV329" s="301">
        <v>0</v>
      </c>
      <c r="BW329" s="301" t="s">
        <v>214</v>
      </c>
      <c r="BX329" s="301" t="s">
        <v>214</v>
      </c>
      <c r="BY329" s="301"/>
    </row>
    <row r="330" spans="1:77" s="33" customFormat="1" ht="13.5" customHeight="1">
      <c r="A330" s="64">
        <f t="shared" si="33"/>
        <v>2021</v>
      </c>
      <c r="B330" s="64">
        <f t="shared" si="34"/>
        <v>12</v>
      </c>
      <c r="C330" s="125" t="s">
        <v>191</v>
      </c>
      <c r="D330" s="168" t="str">
        <f t="shared" si="35"/>
        <v>non maj</v>
      </c>
      <c r="E330" s="232" t="s">
        <v>2987</v>
      </c>
      <c r="F330" s="232" t="s">
        <v>3089</v>
      </c>
      <c r="G330" s="221">
        <v>600</v>
      </c>
      <c r="H330" s="222">
        <v>44560</v>
      </c>
      <c r="I330" s="222">
        <v>44560</v>
      </c>
      <c r="J330" s="223"/>
      <c r="K330" s="222"/>
      <c r="L330" s="223">
        <v>44560</v>
      </c>
      <c r="M330" s="223">
        <v>44560</v>
      </c>
      <c r="N330" s="223">
        <v>44565</v>
      </c>
      <c r="O330" s="222"/>
      <c r="P330" s="222">
        <v>44657</v>
      </c>
      <c r="Q330" s="222"/>
      <c r="R330" s="222" t="s">
        <v>3090</v>
      </c>
      <c r="S330" s="222">
        <v>44677</v>
      </c>
      <c r="T330" s="222">
        <v>44677</v>
      </c>
      <c r="U330" s="222">
        <v>44677</v>
      </c>
      <c r="V330" s="224"/>
      <c r="W330" s="222"/>
      <c r="X330" s="225"/>
      <c r="Y330" s="225"/>
      <c r="Z330" s="225"/>
      <c r="AA330" s="225">
        <v>3</v>
      </c>
      <c r="AB330" s="225">
        <v>43258</v>
      </c>
      <c r="AC330" s="225">
        <v>34</v>
      </c>
      <c r="AD330" s="225" t="s">
        <v>3091</v>
      </c>
      <c r="AE330" s="225">
        <v>38620</v>
      </c>
      <c r="AF330" s="225" t="s">
        <v>2888</v>
      </c>
      <c r="AG330" s="226" t="s">
        <v>3092</v>
      </c>
      <c r="AH330" s="246" t="s">
        <v>3093</v>
      </c>
      <c r="AI330" s="225" t="s">
        <v>1168</v>
      </c>
      <c r="AJ330" s="225"/>
      <c r="AK330" s="225"/>
      <c r="AL330" s="225"/>
      <c r="AM330" s="225"/>
      <c r="AN330" s="225"/>
      <c r="AO330" s="225"/>
      <c r="AP330" s="225" t="s">
        <v>675</v>
      </c>
      <c r="AQ330" s="225" t="s">
        <v>864</v>
      </c>
      <c r="AR330" s="225" t="s">
        <v>192</v>
      </c>
      <c r="AS330" s="241" t="s">
        <v>673</v>
      </c>
      <c r="AT330" s="226" t="s">
        <v>626</v>
      </c>
      <c r="AU330" s="225"/>
      <c r="AV330" s="229" t="s">
        <v>388</v>
      </c>
      <c r="AW330" s="223">
        <v>44798</v>
      </c>
      <c r="AX330" s="225" t="s">
        <v>4113</v>
      </c>
      <c r="AY330" s="225">
        <v>2001</v>
      </c>
      <c r="AZ330" s="225" t="s">
        <v>1880</v>
      </c>
      <c r="BA330" s="225" t="s">
        <v>267</v>
      </c>
      <c r="BB330" s="225" t="s">
        <v>229</v>
      </c>
      <c r="BC330" s="225" t="s">
        <v>1055</v>
      </c>
      <c r="BD330" s="225">
        <v>20</v>
      </c>
      <c r="BE330" s="225">
        <v>7.9</v>
      </c>
      <c r="BF330" s="225">
        <v>89</v>
      </c>
      <c r="BG330" s="225">
        <v>1.7999999999999999E-2</v>
      </c>
      <c r="BH330" s="225" t="s">
        <v>1882</v>
      </c>
      <c r="BI330" s="225"/>
      <c r="BJ330" s="225">
        <f>6250+269+1699+35</f>
        <v>8253</v>
      </c>
      <c r="BK330" s="225"/>
      <c r="BL330" s="225"/>
      <c r="BM330" s="225"/>
      <c r="BN330" s="225">
        <v>870</v>
      </c>
      <c r="BO330" s="225">
        <f t="shared" si="31"/>
        <v>9123</v>
      </c>
      <c r="BP330" s="230">
        <f t="shared" si="30"/>
        <v>501.76499999999999</v>
      </c>
      <c r="BQ330" s="230">
        <f t="shared" ref="BQ330:BQ340" si="36">BO330+BP330</f>
        <v>9624.7649999999994</v>
      </c>
      <c r="BR330" s="230">
        <v>8965.39</v>
      </c>
      <c r="BS330" s="225" t="s">
        <v>519</v>
      </c>
      <c r="BT330" s="225"/>
      <c r="BU330" s="225"/>
      <c r="BV330" s="301" t="s">
        <v>2325</v>
      </c>
      <c r="BW330" s="301" t="s">
        <v>214</v>
      </c>
      <c r="BX330" s="301" t="s">
        <v>620</v>
      </c>
      <c r="BY330" s="301" t="s">
        <v>176</v>
      </c>
    </row>
    <row r="331" spans="1:77" s="33" customFormat="1" ht="13.5" customHeight="1">
      <c r="A331" s="64">
        <f t="shared" si="33"/>
        <v>2022</v>
      </c>
      <c r="B331" s="64">
        <f t="shared" si="34"/>
        <v>1</v>
      </c>
      <c r="C331" s="125" t="s">
        <v>191</v>
      </c>
      <c r="D331" s="168" t="str">
        <f t="shared" si="35"/>
        <v>maj</v>
      </c>
      <c r="E331" s="232" t="s">
        <v>2987</v>
      </c>
      <c r="F331" s="232" t="s">
        <v>1587</v>
      </c>
      <c r="G331" s="221">
        <v>1000</v>
      </c>
      <c r="H331" s="222">
        <v>44560</v>
      </c>
      <c r="I331" s="222">
        <v>44566</v>
      </c>
      <c r="J331" s="223">
        <v>44560</v>
      </c>
      <c r="K331" s="222"/>
      <c r="L331" s="223">
        <v>44566</v>
      </c>
      <c r="M331" s="223">
        <v>44566</v>
      </c>
      <c r="N331" s="223">
        <v>44572</v>
      </c>
      <c r="O331" s="222"/>
      <c r="P331" s="222">
        <v>44662</v>
      </c>
      <c r="Q331" s="222">
        <v>44645</v>
      </c>
      <c r="R331" s="222"/>
      <c r="S331" s="222">
        <v>44665</v>
      </c>
      <c r="T331" s="222">
        <v>44665</v>
      </c>
      <c r="U331" s="222">
        <v>44666</v>
      </c>
      <c r="V331" s="224"/>
      <c r="W331" s="222"/>
      <c r="X331" s="225"/>
      <c r="Y331" s="225"/>
      <c r="Z331" s="225"/>
      <c r="AA331" s="225">
        <v>1</v>
      </c>
      <c r="AB331" s="225">
        <v>3150</v>
      </c>
      <c r="AC331" s="225">
        <v>30</v>
      </c>
      <c r="AD331" s="225" t="s">
        <v>3094</v>
      </c>
      <c r="AE331" s="225">
        <v>38210</v>
      </c>
      <c r="AF331" s="225" t="s">
        <v>265</v>
      </c>
      <c r="AG331" s="226" t="s">
        <v>3095</v>
      </c>
      <c r="AH331" s="246" t="s">
        <v>3096</v>
      </c>
      <c r="AI331" s="225" t="s">
        <v>1168</v>
      </c>
      <c r="AJ331" s="225"/>
      <c r="AK331" s="225"/>
      <c r="AL331" s="225"/>
      <c r="AM331" s="225"/>
      <c r="AN331" s="225"/>
      <c r="AO331" s="225"/>
      <c r="AP331" s="225" t="s">
        <v>675</v>
      </c>
      <c r="AQ331" s="225" t="s">
        <v>864</v>
      </c>
      <c r="AR331" s="225" t="s">
        <v>192</v>
      </c>
      <c r="AS331" s="241" t="s">
        <v>673</v>
      </c>
      <c r="AT331" s="226" t="s">
        <v>626</v>
      </c>
      <c r="AU331" s="225"/>
      <c r="AV331" s="229" t="s">
        <v>388</v>
      </c>
      <c r="AW331" s="223">
        <v>44798</v>
      </c>
      <c r="AX331" s="225" t="s">
        <v>4113</v>
      </c>
      <c r="AY331" s="225">
        <v>1985</v>
      </c>
      <c r="AZ331" s="225" t="s">
        <v>1880</v>
      </c>
      <c r="BA331" s="225" t="s">
        <v>267</v>
      </c>
      <c r="BB331" s="225" t="s">
        <v>229</v>
      </c>
      <c r="BC331" s="225" t="s">
        <v>3097</v>
      </c>
      <c r="BD331" s="225">
        <v>20</v>
      </c>
      <c r="BE331" s="225">
        <v>8.3000000000000007</v>
      </c>
      <c r="BF331" s="225">
        <v>89</v>
      </c>
      <c r="BG331" s="225">
        <v>1.7999999999999999E-2</v>
      </c>
      <c r="BH331" s="225" t="s">
        <v>1882</v>
      </c>
      <c r="BI331" s="225"/>
      <c r="BJ331" s="225">
        <f>5190+269+404+271.35+267+269.9</f>
        <v>6671.25</v>
      </c>
      <c r="BK331" s="225"/>
      <c r="BL331" s="225"/>
      <c r="BM331" s="225"/>
      <c r="BN331" s="225">
        <v>630</v>
      </c>
      <c r="BO331" s="225">
        <f t="shared" si="31"/>
        <v>7301.25</v>
      </c>
      <c r="BP331" s="230">
        <f t="shared" si="30"/>
        <v>401.56875000000002</v>
      </c>
      <c r="BQ331" s="230">
        <f t="shared" si="36"/>
        <v>7702.8187500000004</v>
      </c>
      <c r="BR331" s="230">
        <v>6700</v>
      </c>
      <c r="BS331" s="225" t="s">
        <v>388</v>
      </c>
      <c r="BT331" s="225"/>
      <c r="BU331" s="225"/>
      <c r="BV331" s="231" t="s">
        <v>4045</v>
      </c>
      <c r="BW331" s="225" t="s">
        <v>968</v>
      </c>
      <c r="BX331" s="222" t="s">
        <v>618</v>
      </c>
      <c r="BY331" s="301" t="s">
        <v>176</v>
      </c>
    </row>
    <row r="332" spans="1:77" s="33" customFormat="1" ht="13.5" customHeight="1">
      <c r="A332" s="64">
        <f t="shared" si="33"/>
        <v>2022</v>
      </c>
      <c r="B332" s="64">
        <f t="shared" si="34"/>
        <v>2</v>
      </c>
      <c r="C332" s="125" t="s">
        <v>191</v>
      </c>
      <c r="D332" s="168" t="str">
        <f t="shared" si="35"/>
        <v>maj</v>
      </c>
      <c r="E332" s="232" t="s">
        <v>2987</v>
      </c>
      <c r="F332" s="232" t="s">
        <v>1588</v>
      </c>
      <c r="G332" s="221">
        <v>1000</v>
      </c>
      <c r="H332" s="222">
        <v>44564</v>
      </c>
      <c r="I332" s="222"/>
      <c r="J332" s="223">
        <v>44566</v>
      </c>
      <c r="K332" s="222" t="s">
        <v>3098</v>
      </c>
      <c r="L332" s="223">
        <v>44601</v>
      </c>
      <c r="M332" s="223">
        <v>44601</v>
      </c>
      <c r="N332" s="223">
        <v>44606</v>
      </c>
      <c r="O332" s="222"/>
      <c r="P332" s="222">
        <v>44624</v>
      </c>
      <c r="Q332" s="222">
        <v>44613</v>
      </c>
      <c r="R332" s="222" t="s">
        <v>176</v>
      </c>
      <c r="S332" s="222">
        <v>44630</v>
      </c>
      <c r="T332" s="222">
        <v>44630</v>
      </c>
      <c r="U332" s="222">
        <v>44630</v>
      </c>
      <c r="V332" s="224"/>
      <c r="W332" s="222"/>
      <c r="X332" s="225"/>
      <c r="Y332" s="225"/>
      <c r="Z332" s="225"/>
      <c r="AA332" s="225">
        <v>1</v>
      </c>
      <c r="AB332" s="225">
        <v>16605</v>
      </c>
      <c r="AC332" s="225">
        <v>71</v>
      </c>
      <c r="AD332" s="225" t="s">
        <v>3099</v>
      </c>
      <c r="AE332" s="225">
        <v>38960</v>
      </c>
      <c r="AF332" s="225" t="s">
        <v>2088</v>
      </c>
      <c r="AG332" s="226" t="s">
        <v>3100</v>
      </c>
      <c r="AH332" s="246" t="s">
        <v>3101</v>
      </c>
      <c r="AI332" s="225" t="s">
        <v>1168</v>
      </c>
      <c r="AJ332" s="225"/>
      <c r="AK332" s="225"/>
      <c r="AL332" s="225"/>
      <c r="AM332" s="225"/>
      <c r="AN332" s="225"/>
      <c r="AO332" s="225"/>
      <c r="AP332" s="225" t="s">
        <v>675</v>
      </c>
      <c r="AQ332" s="225" t="s">
        <v>864</v>
      </c>
      <c r="AR332" s="225" t="s">
        <v>192</v>
      </c>
      <c r="AS332" s="246" t="s">
        <v>673</v>
      </c>
      <c r="AT332" s="226" t="s">
        <v>626</v>
      </c>
      <c r="AU332" s="225"/>
      <c r="AV332" s="229" t="s">
        <v>388</v>
      </c>
      <c r="AW332" s="223">
        <v>44798</v>
      </c>
      <c r="AX332" s="225" t="s">
        <v>4113</v>
      </c>
      <c r="AY332" s="225">
        <v>2001</v>
      </c>
      <c r="AZ332" s="225" t="s">
        <v>1880</v>
      </c>
      <c r="BA332" s="225" t="s">
        <v>267</v>
      </c>
      <c r="BB332" s="225" t="s">
        <v>413</v>
      </c>
      <c r="BC332" s="225" t="s">
        <v>3102</v>
      </c>
      <c r="BD332" s="225">
        <v>15</v>
      </c>
      <c r="BE332" s="225">
        <v>8</v>
      </c>
      <c r="BF332" s="225">
        <v>87.1</v>
      </c>
      <c r="BG332" s="225">
        <v>4.7999999999999996E-3</v>
      </c>
      <c r="BH332" s="225" t="s">
        <v>1882</v>
      </c>
      <c r="BI332" s="225"/>
      <c r="BJ332" s="225">
        <f>3155+340.5+1047.99+647.18+269.9+35</f>
        <v>5495.57</v>
      </c>
      <c r="BK332" s="225"/>
      <c r="BL332" s="225"/>
      <c r="BM332" s="225"/>
      <c r="BN332" s="225">
        <v>1070</v>
      </c>
      <c r="BO332" s="225">
        <f t="shared" si="31"/>
        <v>6565.57</v>
      </c>
      <c r="BP332" s="230">
        <f t="shared" si="30"/>
        <v>361.10634999999996</v>
      </c>
      <c r="BQ332" s="230">
        <f t="shared" si="36"/>
        <v>6926.6763499999997</v>
      </c>
      <c r="BR332" s="230">
        <v>6235.65</v>
      </c>
      <c r="BS332" s="225" t="s">
        <v>388</v>
      </c>
      <c r="BT332" s="225"/>
      <c r="BU332" s="225"/>
      <c r="BV332" s="231" t="s">
        <v>4045</v>
      </c>
      <c r="BW332" s="225" t="s">
        <v>968</v>
      </c>
      <c r="BX332" s="222" t="s">
        <v>618</v>
      </c>
      <c r="BY332" s="301" t="s">
        <v>176</v>
      </c>
    </row>
    <row r="333" spans="1:77" s="33" customFormat="1" ht="13.5" customHeight="1">
      <c r="A333" s="64">
        <f t="shared" si="33"/>
        <v>2022</v>
      </c>
      <c r="B333" s="64">
        <f t="shared" si="34"/>
        <v>1</v>
      </c>
      <c r="C333" s="125" t="s">
        <v>191</v>
      </c>
      <c r="D333" s="168" t="str">
        <f t="shared" si="35"/>
        <v>non maj</v>
      </c>
      <c r="E333" s="232" t="s">
        <v>2987</v>
      </c>
      <c r="F333" s="232" t="s">
        <v>1589</v>
      </c>
      <c r="G333" s="221">
        <v>600</v>
      </c>
      <c r="H333" s="222">
        <v>44565</v>
      </c>
      <c r="I333" s="223" t="s">
        <v>176</v>
      </c>
      <c r="J333" s="223">
        <v>44566</v>
      </c>
      <c r="K333" s="223" t="s">
        <v>176</v>
      </c>
      <c r="L333" s="223">
        <v>44578</v>
      </c>
      <c r="M333" s="223">
        <v>44578</v>
      </c>
      <c r="N333" s="223">
        <v>44582</v>
      </c>
      <c r="O333" s="222"/>
      <c r="P333" s="223">
        <v>44910</v>
      </c>
      <c r="Q333" s="222">
        <v>44907</v>
      </c>
      <c r="R333" s="222" t="s">
        <v>176</v>
      </c>
      <c r="S333" s="222">
        <v>44915</v>
      </c>
      <c r="T333" s="222">
        <v>44915</v>
      </c>
      <c r="U333" s="222">
        <v>44932</v>
      </c>
      <c r="V333" s="224"/>
      <c r="W333" s="222"/>
      <c r="X333" s="225"/>
      <c r="Y333" s="225"/>
      <c r="Z333" s="225"/>
      <c r="AA333" s="225">
        <v>2</v>
      </c>
      <c r="AB333" s="225">
        <v>36252</v>
      </c>
      <c r="AC333" s="225">
        <v>630</v>
      </c>
      <c r="AD333" s="225" t="s">
        <v>3103</v>
      </c>
      <c r="AE333" s="225">
        <v>38490</v>
      </c>
      <c r="AF333" s="225" t="s">
        <v>1018</v>
      </c>
      <c r="AG333" s="226" t="s">
        <v>3104</v>
      </c>
      <c r="AH333" s="246" t="s">
        <v>3105</v>
      </c>
      <c r="AI333" s="225"/>
      <c r="AJ333" s="225"/>
      <c r="AK333" s="225"/>
      <c r="AL333" s="225"/>
      <c r="AM333" s="225"/>
      <c r="AN333" s="225"/>
      <c r="AO333" s="225"/>
      <c r="AP333" s="225" t="s">
        <v>222</v>
      </c>
      <c r="AQ333" s="225" t="s">
        <v>2038</v>
      </c>
      <c r="AR333" s="225" t="s">
        <v>203</v>
      </c>
      <c r="AS333" s="241" t="s">
        <v>224</v>
      </c>
      <c r="AT333" s="226" t="s">
        <v>669</v>
      </c>
      <c r="AU333" s="225"/>
      <c r="AV333" s="217" t="s">
        <v>388</v>
      </c>
      <c r="AW333" s="223">
        <v>44798</v>
      </c>
      <c r="AX333" s="225" t="s">
        <v>4113</v>
      </c>
      <c r="AY333" s="225">
        <v>1996</v>
      </c>
      <c r="AZ333" s="225" t="s">
        <v>1880</v>
      </c>
      <c r="BA333" s="225" t="s">
        <v>380</v>
      </c>
      <c r="BB333" s="225" t="s">
        <v>3106</v>
      </c>
      <c r="BC333" s="225" t="s">
        <v>3107</v>
      </c>
      <c r="BD333" s="225">
        <v>34</v>
      </c>
      <c r="BE333" s="225">
        <v>8</v>
      </c>
      <c r="BF333" s="225">
        <v>80.099999999999994</v>
      </c>
      <c r="BG333" s="225">
        <v>0.09</v>
      </c>
      <c r="BH333" s="225" t="s">
        <v>1882</v>
      </c>
      <c r="BI333" s="225"/>
      <c r="BJ333" s="225">
        <f>70+45+644+85+116+126+126+3125+214.13</f>
        <v>4551.13</v>
      </c>
      <c r="BK333" s="225"/>
      <c r="BL333" s="225"/>
      <c r="BM333" s="225"/>
      <c r="BN333" s="225">
        <v>760</v>
      </c>
      <c r="BO333" s="225">
        <f t="shared" si="31"/>
        <v>5311.13</v>
      </c>
      <c r="BP333" s="230">
        <f t="shared" si="30"/>
        <v>292.11214999999999</v>
      </c>
      <c r="BQ333" s="230">
        <f t="shared" si="36"/>
        <v>5603.24215</v>
      </c>
      <c r="BR333" s="230">
        <f>2350.74+1647+1500+105.5</f>
        <v>5603.24</v>
      </c>
      <c r="BS333" s="225" t="s">
        <v>214</v>
      </c>
      <c r="BT333" s="225"/>
      <c r="BU333" s="225"/>
      <c r="BV333" s="301" t="s">
        <v>4045</v>
      </c>
      <c r="BW333" s="225" t="s">
        <v>968</v>
      </c>
      <c r="BX333" s="301" t="s">
        <v>620</v>
      </c>
      <c r="BY333" s="301">
        <v>2022</v>
      </c>
    </row>
    <row r="334" spans="1:77" s="33" customFormat="1" ht="13.5" customHeight="1">
      <c r="A334" s="64">
        <f t="shared" si="33"/>
        <v>2022</v>
      </c>
      <c r="B334" s="64">
        <f t="shared" si="34"/>
        <v>11</v>
      </c>
      <c r="C334" s="125" t="s">
        <v>191</v>
      </c>
      <c r="D334" s="168" t="str">
        <f t="shared" si="35"/>
        <v>non maj</v>
      </c>
      <c r="E334" s="232" t="s">
        <v>898</v>
      </c>
      <c r="F334" s="232" t="s">
        <v>1591</v>
      </c>
      <c r="G334" s="221">
        <v>600</v>
      </c>
      <c r="H334" s="222">
        <v>44559</v>
      </c>
      <c r="I334" s="222">
        <v>44572</v>
      </c>
      <c r="J334" s="223">
        <v>44574</v>
      </c>
      <c r="K334" s="222" t="s">
        <v>3041</v>
      </c>
      <c r="L334" s="223">
        <v>44873</v>
      </c>
      <c r="M334" s="223">
        <v>44873</v>
      </c>
      <c r="N334" s="223">
        <v>44886</v>
      </c>
      <c r="O334" s="222"/>
      <c r="P334" s="222">
        <v>44915</v>
      </c>
      <c r="Q334" s="222">
        <v>44894</v>
      </c>
      <c r="R334" s="222" t="s">
        <v>176</v>
      </c>
      <c r="S334" s="222">
        <v>44925</v>
      </c>
      <c r="T334" s="222">
        <v>44925</v>
      </c>
      <c r="U334" s="222">
        <v>44932</v>
      </c>
      <c r="V334" s="224"/>
      <c r="W334" s="222"/>
      <c r="X334" s="225"/>
      <c r="Y334" s="225"/>
      <c r="Z334" s="225"/>
      <c r="AA334" s="225">
        <v>2</v>
      </c>
      <c r="AB334" s="225">
        <v>38975</v>
      </c>
      <c r="AC334" s="225">
        <v>488</v>
      </c>
      <c r="AD334" s="225" t="s">
        <v>3108</v>
      </c>
      <c r="AE334" s="225">
        <v>38730</v>
      </c>
      <c r="AF334" s="225" t="s">
        <v>3109</v>
      </c>
      <c r="AG334" s="226">
        <v>609098895</v>
      </c>
      <c r="AH334" s="241" t="s">
        <v>3110</v>
      </c>
      <c r="AI334" s="225" t="s">
        <v>1168</v>
      </c>
      <c r="AJ334" s="225"/>
      <c r="AK334" s="225"/>
      <c r="AL334" s="225"/>
      <c r="AM334" s="225"/>
      <c r="AN334" s="225"/>
      <c r="AO334" s="225"/>
      <c r="AP334" s="225" t="s">
        <v>678</v>
      </c>
      <c r="AQ334" s="225" t="s">
        <v>2014</v>
      </c>
      <c r="AR334" s="225" t="s">
        <v>2015</v>
      </c>
      <c r="AS334" s="241" t="s">
        <v>274</v>
      </c>
      <c r="AT334" s="226" t="s">
        <v>3111</v>
      </c>
      <c r="AU334" s="225"/>
      <c r="AV334" s="241" t="s">
        <v>388</v>
      </c>
      <c r="AW334" s="223">
        <v>44998</v>
      </c>
      <c r="AX334" s="225" t="s">
        <v>4113</v>
      </c>
      <c r="AY334" s="225">
        <v>1991</v>
      </c>
      <c r="AZ334" s="225" t="s">
        <v>1880</v>
      </c>
      <c r="BA334" s="225" t="s">
        <v>380</v>
      </c>
      <c r="BB334" s="225" t="s">
        <v>707</v>
      </c>
      <c r="BC334" s="225" t="s">
        <v>3112</v>
      </c>
      <c r="BD334" s="225">
        <v>25</v>
      </c>
      <c r="BE334" s="225">
        <v>8</v>
      </c>
      <c r="BF334" s="225">
        <v>80.900000000000006</v>
      </c>
      <c r="BG334" s="225">
        <v>0.05</v>
      </c>
      <c r="BH334" s="225" t="s">
        <v>1882</v>
      </c>
      <c r="BI334" s="225"/>
      <c r="BJ334" s="225">
        <f>122.28+151.15+11+175.98+115.27+550.48+86.69+74.87+23.58+60.1+46.54+90+2000+159.9</f>
        <v>3667.8399999999997</v>
      </c>
      <c r="BK334" s="225"/>
      <c r="BL334" s="225"/>
      <c r="BM334" s="225"/>
      <c r="BN334" s="225">
        <f>680+135</f>
        <v>815</v>
      </c>
      <c r="BO334" s="225">
        <f t="shared" si="31"/>
        <v>4482.84</v>
      </c>
      <c r="BP334" s="230">
        <f t="shared" si="30"/>
        <v>246.55620000000002</v>
      </c>
      <c r="BQ334" s="230">
        <f t="shared" si="36"/>
        <v>4729.3962000000001</v>
      </c>
      <c r="BR334" s="230">
        <v>4729.3999999999996</v>
      </c>
      <c r="BS334" s="225" t="s">
        <v>214</v>
      </c>
      <c r="BT334" s="225"/>
      <c r="BU334" s="225"/>
      <c r="BV334" s="301" t="s">
        <v>4045</v>
      </c>
      <c r="BW334" s="225" t="s">
        <v>968</v>
      </c>
      <c r="BX334" s="301" t="s">
        <v>620</v>
      </c>
      <c r="BY334" s="301">
        <v>2022</v>
      </c>
    </row>
    <row r="335" spans="1:77" s="33" customFormat="1" ht="13.5" customHeight="1">
      <c r="A335" s="64">
        <f t="shared" si="33"/>
        <v>1900</v>
      </c>
      <c r="B335" s="64">
        <f t="shared" si="34"/>
        <v>1</v>
      </c>
      <c r="C335" s="125" t="s">
        <v>188</v>
      </c>
      <c r="D335" s="168" t="str">
        <f t="shared" si="35"/>
        <v>NC</v>
      </c>
      <c r="E335" s="291" t="s">
        <v>898</v>
      </c>
      <c r="F335" s="291" t="s">
        <v>3113</v>
      </c>
      <c r="G335" s="221" t="s">
        <v>176</v>
      </c>
      <c r="H335" s="222">
        <v>44558</v>
      </c>
      <c r="I335" s="222">
        <v>44572</v>
      </c>
      <c r="J335" s="223">
        <v>44574</v>
      </c>
      <c r="K335" s="222" t="s">
        <v>3114</v>
      </c>
      <c r="L335" s="223"/>
      <c r="M335" s="223"/>
      <c r="N335" s="223"/>
      <c r="O335" s="222"/>
      <c r="P335" s="222"/>
      <c r="Q335" s="222"/>
      <c r="R335" s="222"/>
      <c r="S335" s="222"/>
      <c r="T335" s="222"/>
      <c r="U335" s="222"/>
      <c r="V335" s="224"/>
      <c r="W335" s="222">
        <v>44574</v>
      </c>
      <c r="X335" s="225" t="s">
        <v>3115</v>
      </c>
      <c r="Y335" s="225"/>
      <c r="Z335" s="225"/>
      <c r="AA335" s="225">
        <v>5</v>
      </c>
      <c r="AB335" s="225">
        <v>26450</v>
      </c>
      <c r="AC335" s="225">
        <v>45</v>
      </c>
      <c r="AD335" s="225" t="s">
        <v>3116</v>
      </c>
      <c r="AE335" s="225">
        <v>38850</v>
      </c>
      <c r="AF335" s="225" t="s">
        <v>1931</v>
      </c>
      <c r="AG335" s="226">
        <v>603483019</v>
      </c>
      <c r="AH335" s="241" t="s">
        <v>3117</v>
      </c>
      <c r="AI335" s="225" t="s">
        <v>1168</v>
      </c>
      <c r="AJ335" s="225"/>
      <c r="AK335" s="225"/>
      <c r="AL335" s="225"/>
      <c r="AM335" s="225"/>
      <c r="AN335" s="225"/>
      <c r="AO335" s="225"/>
      <c r="AP335" s="225"/>
      <c r="AQ335" s="225"/>
      <c r="AR335" s="225"/>
      <c r="AS335" s="246"/>
      <c r="AT335" s="226"/>
      <c r="AU335" s="225"/>
      <c r="AV335" s="225"/>
      <c r="AW335" s="223"/>
      <c r="AX335" s="225"/>
      <c r="AY335" s="225"/>
      <c r="AZ335" s="225"/>
      <c r="BA335" s="225"/>
      <c r="BB335" s="225"/>
      <c r="BC335" s="225"/>
      <c r="BD335" s="225"/>
      <c r="BE335" s="225"/>
      <c r="BF335" s="225"/>
      <c r="BG335" s="225"/>
      <c r="BH335" s="225"/>
      <c r="BI335" s="225"/>
      <c r="BJ335" s="225"/>
      <c r="BK335" s="225"/>
      <c r="BL335" s="225"/>
      <c r="BM335" s="225"/>
      <c r="BN335" s="225"/>
      <c r="BO335" s="225">
        <f t="shared" si="31"/>
        <v>0</v>
      </c>
      <c r="BP335" s="230">
        <f t="shared" si="30"/>
        <v>0</v>
      </c>
      <c r="BQ335" s="230">
        <f t="shared" si="36"/>
        <v>0</v>
      </c>
      <c r="BR335" s="230"/>
      <c r="BS335" s="225"/>
      <c r="BT335" s="225"/>
      <c r="BU335" s="225"/>
      <c r="BV335" s="301">
        <v>0</v>
      </c>
      <c r="BW335" s="301" t="s">
        <v>3118</v>
      </c>
      <c r="BX335" s="301" t="s">
        <v>214</v>
      </c>
      <c r="BY335" s="301"/>
    </row>
    <row r="336" spans="1:77" s="33" customFormat="1" ht="13.5" customHeight="1">
      <c r="A336" s="64">
        <f t="shared" si="33"/>
        <v>2022</v>
      </c>
      <c r="B336" s="64">
        <f t="shared" si="34"/>
        <v>1</v>
      </c>
      <c r="C336" s="125" t="s">
        <v>191</v>
      </c>
      <c r="D336" s="168" t="str">
        <f t="shared" si="35"/>
        <v>non maj</v>
      </c>
      <c r="E336" s="232" t="s">
        <v>898</v>
      </c>
      <c r="F336" s="232" t="s">
        <v>1593</v>
      </c>
      <c r="G336" s="221">
        <v>600</v>
      </c>
      <c r="H336" s="222">
        <v>44565</v>
      </c>
      <c r="I336" s="222">
        <v>44572</v>
      </c>
      <c r="J336" s="223">
        <v>44574</v>
      </c>
      <c r="K336" s="222" t="s">
        <v>1060</v>
      </c>
      <c r="L336" s="223">
        <v>44585</v>
      </c>
      <c r="M336" s="223">
        <v>44585</v>
      </c>
      <c r="N336" s="223">
        <v>44587</v>
      </c>
      <c r="O336" s="222"/>
      <c r="P336" s="222">
        <v>44658</v>
      </c>
      <c r="Q336" s="222">
        <v>44655</v>
      </c>
      <c r="R336" s="222" t="s">
        <v>176</v>
      </c>
      <c r="S336" s="222">
        <v>44768</v>
      </c>
      <c r="T336" s="222">
        <v>44768</v>
      </c>
      <c r="U336" s="222">
        <v>44769</v>
      </c>
      <c r="V336" s="224"/>
      <c r="W336" s="222"/>
      <c r="X336" s="225"/>
      <c r="Y336" s="225"/>
      <c r="Z336" s="225"/>
      <c r="AA336" s="225">
        <v>4</v>
      </c>
      <c r="AB336" s="225">
        <v>120285</v>
      </c>
      <c r="AC336" s="225">
        <v>7</v>
      </c>
      <c r="AD336" s="225" t="s">
        <v>3119</v>
      </c>
      <c r="AE336" s="225">
        <v>38500</v>
      </c>
      <c r="AF336" s="225" t="s">
        <v>225</v>
      </c>
      <c r="AG336" s="226">
        <v>674935643</v>
      </c>
      <c r="AH336" s="241" t="s">
        <v>3120</v>
      </c>
      <c r="AI336" s="225" t="s">
        <v>1168</v>
      </c>
      <c r="AJ336" s="225"/>
      <c r="AK336" s="225"/>
      <c r="AL336" s="225"/>
      <c r="AM336" s="225"/>
      <c r="AN336" s="225"/>
      <c r="AO336" s="225"/>
      <c r="AP336" s="222" t="s">
        <v>587</v>
      </c>
      <c r="AQ336" s="225" t="s">
        <v>225</v>
      </c>
      <c r="AR336" s="225" t="s">
        <v>2026</v>
      </c>
      <c r="AS336" s="241" t="s">
        <v>266</v>
      </c>
      <c r="AT336" s="226">
        <v>476069938</v>
      </c>
      <c r="AU336" s="225"/>
      <c r="AV336" s="241" t="s">
        <v>188</v>
      </c>
      <c r="AW336" s="223">
        <v>44822</v>
      </c>
      <c r="AX336" s="225" t="s">
        <v>1879</v>
      </c>
      <c r="AY336" s="242">
        <v>1970</v>
      </c>
      <c r="AZ336" s="225" t="s">
        <v>1880</v>
      </c>
      <c r="BA336" s="225" t="s">
        <v>380</v>
      </c>
      <c r="BB336" s="225" t="s">
        <v>399</v>
      </c>
      <c r="BC336" s="225" t="s">
        <v>700</v>
      </c>
      <c r="BD336" s="242">
        <v>40</v>
      </c>
      <c r="BE336" s="242">
        <v>5.3</v>
      </c>
      <c r="BF336" s="242">
        <v>75</v>
      </c>
      <c r="BG336" s="242">
        <v>0.1024</v>
      </c>
      <c r="BH336" s="225" t="s">
        <v>1882</v>
      </c>
      <c r="BI336" s="225"/>
      <c r="BJ336" s="242">
        <f>460+450+170+2609+310</f>
        <v>3999</v>
      </c>
      <c r="BK336" s="225"/>
      <c r="BL336" s="225"/>
      <c r="BM336" s="225"/>
      <c r="BN336" s="242">
        <v>270</v>
      </c>
      <c r="BO336" s="242">
        <f t="shared" si="31"/>
        <v>4269</v>
      </c>
      <c r="BP336" s="242">
        <f t="shared" si="30"/>
        <v>234.79499999999999</v>
      </c>
      <c r="BQ336" s="242">
        <f t="shared" si="36"/>
        <v>4503.7950000000001</v>
      </c>
      <c r="BR336" s="230">
        <v>4200</v>
      </c>
      <c r="BS336" s="225" t="s">
        <v>388</v>
      </c>
      <c r="BT336" s="225"/>
      <c r="BU336" s="225"/>
      <c r="BV336" s="231" t="s">
        <v>4045</v>
      </c>
      <c r="BW336" s="225" t="s">
        <v>968</v>
      </c>
      <c r="BX336" s="301" t="s">
        <v>620</v>
      </c>
      <c r="BY336" s="301">
        <v>2022</v>
      </c>
    </row>
    <row r="337" spans="1:77" s="33" customFormat="1" ht="13.5" customHeight="1">
      <c r="A337" s="64">
        <f t="shared" si="33"/>
        <v>2022</v>
      </c>
      <c r="B337" s="64">
        <f t="shared" si="34"/>
        <v>2</v>
      </c>
      <c r="C337" s="125" t="s">
        <v>191</v>
      </c>
      <c r="D337" s="168" t="str">
        <f t="shared" si="35"/>
        <v>non maj</v>
      </c>
      <c r="E337" s="232" t="s">
        <v>898</v>
      </c>
      <c r="F337" s="232" t="s">
        <v>1594</v>
      </c>
      <c r="G337" s="221">
        <v>600</v>
      </c>
      <c r="H337" s="222">
        <v>44568</v>
      </c>
      <c r="I337" s="222">
        <v>44572</v>
      </c>
      <c r="J337" s="223">
        <v>44574</v>
      </c>
      <c r="K337" s="222" t="s">
        <v>3121</v>
      </c>
      <c r="L337" s="223">
        <v>44601</v>
      </c>
      <c r="M337" s="223">
        <v>44601</v>
      </c>
      <c r="N337" s="223">
        <v>44575</v>
      </c>
      <c r="O337" s="222"/>
      <c r="P337" s="222">
        <v>44613</v>
      </c>
      <c r="Q337" s="222">
        <v>44609</v>
      </c>
      <c r="R337" s="222" t="s">
        <v>3122</v>
      </c>
      <c r="S337" s="222">
        <v>44622</v>
      </c>
      <c r="T337" s="222">
        <v>44622</v>
      </c>
      <c r="U337" s="222">
        <v>44623</v>
      </c>
      <c r="V337" s="224"/>
      <c r="W337" s="222"/>
      <c r="X337" s="225"/>
      <c r="Y337" s="225"/>
      <c r="Z337" s="225"/>
      <c r="AA337" s="225">
        <v>1</v>
      </c>
      <c r="AB337" s="225">
        <v>27820</v>
      </c>
      <c r="AC337" s="225">
        <v>147</v>
      </c>
      <c r="AD337" s="225" t="s">
        <v>3123</v>
      </c>
      <c r="AE337" s="225">
        <v>38140</v>
      </c>
      <c r="AF337" s="225" t="s">
        <v>1924</v>
      </c>
      <c r="AG337" s="297">
        <v>632388276</v>
      </c>
      <c r="AH337" s="298" t="s">
        <v>3124</v>
      </c>
      <c r="AI337" s="225" t="s">
        <v>1168</v>
      </c>
      <c r="AJ337" s="225"/>
      <c r="AK337" s="225"/>
      <c r="AL337" s="225"/>
      <c r="AM337" s="225"/>
      <c r="AN337" s="225"/>
      <c r="AO337" s="225"/>
      <c r="AP337" s="225" t="s">
        <v>947</v>
      </c>
      <c r="AQ337" s="225" t="s">
        <v>2545</v>
      </c>
      <c r="AR337" s="225" t="s">
        <v>903</v>
      </c>
      <c r="AS337" s="241" t="s">
        <v>2546</v>
      </c>
      <c r="AT337" s="226">
        <v>676354364</v>
      </c>
      <c r="AU337" s="225" t="s">
        <v>176</v>
      </c>
      <c r="AV337" s="241" t="s">
        <v>188</v>
      </c>
      <c r="AW337" s="223">
        <v>44860</v>
      </c>
      <c r="AX337" s="225" t="s">
        <v>4113</v>
      </c>
      <c r="AY337" s="225" t="s">
        <v>1935</v>
      </c>
      <c r="AZ337" s="225" t="s">
        <v>1880</v>
      </c>
      <c r="BA337" s="225" t="s">
        <v>267</v>
      </c>
      <c r="BB337" s="225" t="s">
        <v>433</v>
      </c>
      <c r="BC337" s="225" t="s">
        <v>892</v>
      </c>
      <c r="BD337" s="225">
        <v>15</v>
      </c>
      <c r="BE337" s="225">
        <v>7.8</v>
      </c>
      <c r="BF337" s="225">
        <v>82</v>
      </c>
      <c r="BG337" s="252"/>
      <c r="BH337" s="225" t="s">
        <v>1899</v>
      </c>
      <c r="BI337" s="225"/>
      <c r="BJ337" s="225">
        <v>4735.29</v>
      </c>
      <c r="BK337" s="225"/>
      <c r="BL337" s="225"/>
      <c r="BM337" s="225"/>
      <c r="BN337" s="225">
        <v>3411.46</v>
      </c>
      <c r="BO337" s="225">
        <f t="shared" si="31"/>
        <v>8146.75</v>
      </c>
      <c r="BP337" s="230">
        <v>431.57</v>
      </c>
      <c r="BQ337" s="230">
        <f t="shared" si="36"/>
        <v>8578.32</v>
      </c>
      <c r="BR337" s="230">
        <v>8278.32</v>
      </c>
      <c r="BS337" s="225" t="s">
        <v>191</v>
      </c>
      <c r="BT337" s="225"/>
      <c r="BU337" s="225"/>
      <c r="BV337" s="231" t="s">
        <v>4045</v>
      </c>
      <c r="BW337" s="225" t="s">
        <v>968</v>
      </c>
      <c r="BX337" s="301" t="s">
        <v>620</v>
      </c>
      <c r="BY337" s="301" t="s">
        <v>176</v>
      </c>
    </row>
    <row r="338" spans="1:77" s="33" customFormat="1" ht="13.5" customHeight="1">
      <c r="A338" s="64">
        <f t="shared" si="33"/>
        <v>2022</v>
      </c>
      <c r="B338" s="64">
        <f t="shared" si="34"/>
        <v>1</v>
      </c>
      <c r="C338" s="125" t="s">
        <v>191</v>
      </c>
      <c r="D338" s="168" t="str">
        <f t="shared" si="35"/>
        <v>maj</v>
      </c>
      <c r="E338" s="232" t="s">
        <v>898</v>
      </c>
      <c r="F338" s="232" t="s">
        <v>1595</v>
      </c>
      <c r="G338" s="221">
        <v>1000</v>
      </c>
      <c r="H338" s="222">
        <v>44567</v>
      </c>
      <c r="I338" s="222">
        <v>44572</v>
      </c>
      <c r="J338" s="223"/>
      <c r="K338" s="222"/>
      <c r="L338" s="223">
        <v>44574</v>
      </c>
      <c r="M338" s="223">
        <v>44574</v>
      </c>
      <c r="N338" s="223">
        <v>44575</v>
      </c>
      <c r="O338" s="222"/>
      <c r="P338" s="222">
        <v>44879</v>
      </c>
      <c r="Q338" s="222">
        <v>44826</v>
      </c>
      <c r="R338" s="222" t="s">
        <v>176</v>
      </c>
      <c r="S338" s="222">
        <v>44895</v>
      </c>
      <c r="T338" s="222">
        <v>44895</v>
      </c>
      <c r="U338" s="222">
        <v>44897</v>
      </c>
      <c r="V338" s="224"/>
      <c r="W338" s="222"/>
      <c r="X338" s="225"/>
      <c r="Y338" s="225"/>
      <c r="Z338" s="225"/>
      <c r="AA338" s="225">
        <v>4</v>
      </c>
      <c r="AB338" s="225">
        <v>33455</v>
      </c>
      <c r="AC338" s="225">
        <v>1119</v>
      </c>
      <c r="AD338" s="225" t="s">
        <v>3125</v>
      </c>
      <c r="AE338" s="225">
        <v>38620</v>
      </c>
      <c r="AF338" s="225" t="s">
        <v>2010</v>
      </c>
      <c r="AG338" s="226">
        <v>607012457</v>
      </c>
      <c r="AH338" s="241" t="s">
        <v>3126</v>
      </c>
      <c r="AI338" s="225" t="s">
        <v>1168</v>
      </c>
      <c r="AJ338" s="225"/>
      <c r="AK338" s="225"/>
      <c r="AL338" s="225"/>
      <c r="AM338" s="225"/>
      <c r="AN338" s="225"/>
      <c r="AO338" s="225"/>
      <c r="AP338" s="225" t="s">
        <v>843</v>
      </c>
      <c r="AQ338" s="225" t="s">
        <v>194</v>
      </c>
      <c r="AR338" s="225" t="s">
        <v>3127</v>
      </c>
      <c r="AS338" s="241" t="s">
        <v>195</v>
      </c>
      <c r="AT338" s="226" t="s">
        <v>3128</v>
      </c>
      <c r="AU338" s="225"/>
      <c r="AV338" s="241" t="s">
        <v>388</v>
      </c>
      <c r="AW338" s="223">
        <v>44643</v>
      </c>
      <c r="AX338" s="225" t="s">
        <v>1880</v>
      </c>
      <c r="AY338" s="225">
        <v>1980</v>
      </c>
      <c r="AZ338" s="225" t="s">
        <v>1880</v>
      </c>
      <c r="BA338" s="225" t="s">
        <v>267</v>
      </c>
      <c r="BB338" s="225" t="s">
        <v>208</v>
      </c>
      <c r="BC338" s="225" t="s">
        <v>3129</v>
      </c>
      <c r="BD338" s="225">
        <v>20</v>
      </c>
      <c r="BE338" s="225">
        <v>8</v>
      </c>
      <c r="BF338" s="225">
        <v>80.8</v>
      </c>
      <c r="BG338" s="225" t="s">
        <v>3130</v>
      </c>
      <c r="BH338" s="225" t="s">
        <v>1899</v>
      </c>
      <c r="BI338" s="225"/>
      <c r="BJ338" s="225">
        <f>7235+183.22+322.94+75.7+78.88-174</f>
        <v>7721.74</v>
      </c>
      <c r="BK338" s="225"/>
      <c r="BL338" s="225"/>
      <c r="BM338" s="225"/>
      <c r="BN338" s="225">
        <v>480</v>
      </c>
      <c r="BO338" s="225">
        <f t="shared" si="31"/>
        <v>8201.74</v>
      </c>
      <c r="BP338" s="230">
        <f>BO338*0.055</f>
        <v>451.09569999999997</v>
      </c>
      <c r="BQ338" s="230">
        <f t="shared" si="36"/>
        <v>8652.8356999999996</v>
      </c>
      <c r="BR338" s="230">
        <f>(7732.88+200)*1.055</f>
        <v>8369.1883999999991</v>
      </c>
      <c r="BS338" s="225" t="s">
        <v>388</v>
      </c>
      <c r="BT338" s="225"/>
      <c r="BU338" s="225"/>
      <c r="BV338" s="231" t="s">
        <v>4045</v>
      </c>
      <c r="BW338" s="225" t="s">
        <v>968</v>
      </c>
      <c r="BX338" s="222" t="s">
        <v>618</v>
      </c>
      <c r="BY338" s="301" t="s">
        <v>176</v>
      </c>
    </row>
    <row r="339" spans="1:77" s="33" customFormat="1" ht="13.5" customHeight="1">
      <c r="A339" s="64">
        <f t="shared" si="33"/>
        <v>2022</v>
      </c>
      <c r="B339" s="64">
        <f t="shared" si="34"/>
        <v>1</v>
      </c>
      <c r="C339" s="125" t="s">
        <v>191</v>
      </c>
      <c r="D339" s="168" t="str">
        <f t="shared" si="35"/>
        <v>maj</v>
      </c>
      <c r="E339" s="232" t="s">
        <v>898</v>
      </c>
      <c r="F339" s="232" t="s">
        <v>1596</v>
      </c>
      <c r="G339" s="221">
        <v>1000</v>
      </c>
      <c r="H339" s="222">
        <v>44571</v>
      </c>
      <c r="I339" s="222">
        <v>44572</v>
      </c>
      <c r="J339" s="223"/>
      <c r="K339" s="222"/>
      <c r="L339" s="223">
        <v>44574</v>
      </c>
      <c r="M339" s="223">
        <v>44574</v>
      </c>
      <c r="N339" s="223">
        <v>44575</v>
      </c>
      <c r="O339" s="222"/>
      <c r="P339" s="222">
        <v>44697</v>
      </c>
      <c r="Q339" s="222">
        <v>44620</v>
      </c>
      <c r="R339" s="222" t="s">
        <v>176</v>
      </c>
      <c r="S339" s="222">
        <v>44768</v>
      </c>
      <c r="T339" s="222">
        <v>44768</v>
      </c>
      <c r="U339" s="222">
        <v>44769</v>
      </c>
      <c r="V339" s="224"/>
      <c r="W339" s="222"/>
      <c r="X339" s="225"/>
      <c r="Y339" s="225"/>
      <c r="Z339" s="225"/>
      <c r="AA339" s="225">
        <v>2</v>
      </c>
      <c r="AB339" s="225">
        <v>12797</v>
      </c>
      <c r="AC339" s="225">
        <v>162</v>
      </c>
      <c r="AD339" s="225" t="s">
        <v>3131</v>
      </c>
      <c r="AE339" s="225">
        <v>38850</v>
      </c>
      <c r="AF339" s="225" t="s">
        <v>1951</v>
      </c>
      <c r="AG339" s="226">
        <v>612608342</v>
      </c>
      <c r="AH339" s="241" t="s">
        <v>3132</v>
      </c>
      <c r="AI339" s="225" t="s">
        <v>1168</v>
      </c>
      <c r="AJ339" s="225"/>
      <c r="AK339" s="225"/>
      <c r="AL339" s="225"/>
      <c r="AM339" s="225"/>
      <c r="AN339" s="225"/>
      <c r="AO339" s="225"/>
      <c r="AP339" s="225" t="s">
        <v>1874</v>
      </c>
      <c r="AQ339" s="225" t="s">
        <v>1875</v>
      </c>
      <c r="AR339" s="225" t="s">
        <v>3076</v>
      </c>
      <c r="AS339" s="241" t="s">
        <v>1877</v>
      </c>
      <c r="AT339" s="226" t="s">
        <v>434</v>
      </c>
      <c r="AU339" s="225"/>
      <c r="AV339" s="217" t="s">
        <v>388</v>
      </c>
      <c r="AW339" s="223">
        <v>44821</v>
      </c>
      <c r="AX339" s="225" t="s">
        <v>1880</v>
      </c>
      <c r="AY339" s="225">
        <v>2000</v>
      </c>
      <c r="AZ339" s="225" t="s">
        <v>1880</v>
      </c>
      <c r="BA339" s="225" t="s">
        <v>267</v>
      </c>
      <c r="BB339" s="225" t="s">
        <v>190</v>
      </c>
      <c r="BC339" s="225" t="s">
        <v>3133</v>
      </c>
      <c r="BD339" s="225">
        <v>14</v>
      </c>
      <c r="BE339" s="225">
        <v>6.1</v>
      </c>
      <c r="BF339" s="225">
        <v>94.3</v>
      </c>
      <c r="BG339" s="225">
        <v>3.0400000000000002E-3</v>
      </c>
      <c r="BH339" s="225" t="s">
        <v>1882</v>
      </c>
      <c r="BI339" s="225"/>
      <c r="BJ339" s="225">
        <f>3600+1295+185+193</f>
        <v>5273</v>
      </c>
      <c r="BK339" s="225"/>
      <c r="BL339" s="225"/>
      <c r="BM339" s="225"/>
      <c r="BN339" s="225">
        <v>790</v>
      </c>
      <c r="BO339" s="225">
        <f t="shared" si="31"/>
        <v>6063</v>
      </c>
      <c r="BP339" s="230">
        <f>BO339*0.055</f>
        <v>333.46499999999997</v>
      </c>
      <c r="BQ339" s="230">
        <f t="shared" si="36"/>
        <v>6396.4650000000001</v>
      </c>
      <c r="BR339" s="230">
        <v>6396.46</v>
      </c>
      <c r="BS339" s="225" t="s">
        <v>388</v>
      </c>
      <c r="BT339" s="225"/>
      <c r="BU339" s="225"/>
      <c r="BV339" s="231" t="s">
        <v>4045</v>
      </c>
      <c r="BW339" s="225" t="s">
        <v>968</v>
      </c>
      <c r="BX339" s="222" t="s">
        <v>618</v>
      </c>
      <c r="BY339" s="301" t="s">
        <v>176</v>
      </c>
    </row>
    <row r="340" spans="1:77" s="33" customFormat="1" ht="13.5" customHeight="1">
      <c r="A340" s="64">
        <f t="shared" si="33"/>
        <v>2022</v>
      </c>
      <c r="B340" s="64">
        <f t="shared" si="34"/>
        <v>1</v>
      </c>
      <c r="C340" s="125" t="s">
        <v>191</v>
      </c>
      <c r="D340" s="168" t="str">
        <f t="shared" si="35"/>
        <v>maj</v>
      </c>
      <c r="E340" s="232" t="s">
        <v>898</v>
      </c>
      <c r="F340" s="232" t="s">
        <v>1597</v>
      </c>
      <c r="G340" s="221">
        <v>1000</v>
      </c>
      <c r="H340" s="222">
        <v>44571</v>
      </c>
      <c r="I340" s="222">
        <v>44572</v>
      </c>
      <c r="J340" s="223"/>
      <c r="K340" s="222"/>
      <c r="L340" s="223">
        <v>44574</v>
      </c>
      <c r="M340" s="223">
        <v>44574</v>
      </c>
      <c r="N340" s="223">
        <v>44578</v>
      </c>
      <c r="O340" s="222"/>
      <c r="P340" s="222">
        <v>44697</v>
      </c>
      <c r="Q340" s="222">
        <v>44645</v>
      </c>
      <c r="R340" s="222" t="s">
        <v>176</v>
      </c>
      <c r="S340" s="222">
        <v>44768</v>
      </c>
      <c r="T340" s="222">
        <v>44768</v>
      </c>
      <c r="U340" s="222">
        <v>44769</v>
      </c>
      <c r="V340" s="224"/>
      <c r="W340" s="222"/>
      <c r="X340" s="225"/>
      <c r="Y340" s="225"/>
      <c r="Z340" s="225"/>
      <c r="AA340" s="225">
        <v>2</v>
      </c>
      <c r="AB340" s="225">
        <v>28413</v>
      </c>
      <c r="AC340" s="225">
        <v>72</v>
      </c>
      <c r="AD340" s="225" t="s">
        <v>3131</v>
      </c>
      <c r="AE340" s="225">
        <v>38850</v>
      </c>
      <c r="AF340" s="225" t="s">
        <v>1951</v>
      </c>
      <c r="AG340" s="226">
        <v>686174298</v>
      </c>
      <c r="AH340" s="241" t="s">
        <v>3134</v>
      </c>
      <c r="AI340" s="225" t="s">
        <v>1168</v>
      </c>
      <c r="AJ340" s="225"/>
      <c r="AK340" s="225"/>
      <c r="AL340" s="225"/>
      <c r="AM340" s="225"/>
      <c r="AN340" s="225"/>
      <c r="AO340" s="225"/>
      <c r="AP340" s="225" t="s">
        <v>1874</v>
      </c>
      <c r="AQ340" s="225" t="s">
        <v>1875</v>
      </c>
      <c r="AR340" s="225" t="s">
        <v>3076</v>
      </c>
      <c r="AS340" s="241" t="s">
        <v>1877</v>
      </c>
      <c r="AT340" s="226" t="s">
        <v>434</v>
      </c>
      <c r="AU340" s="225"/>
      <c r="AV340" s="217" t="s">
        <v>388</v>
      </c>
      <c r="AW340" s="223">
        <v>44821</v>
      </c>
      <c r="AX340" s="225" t="s">
        <v>1880</v>
      </c>
      <c r="AY340" s="225">
        <v>1998</v>
      </c>
      <c r="AZ340" s="225" t="s">
        <v>1880</v>
      </c>
      <c r="BA340" s="225" t="s">
        <v>267</v>
      </c>
      <c r="BB340" s="225" t="s">
        <v>190</v>
      </c>
      <c r="BC340" s="225" t="s">
        <v>3133</v>
      </c>
      <c r="BD340" s="225">
        <v>14</v>
      </c>
      <c r="BE340" s="225">
        <v>6.1</v>
      </c>
      <c r="BF340" s="225">
        <v>94.3</v>
      </c>
      <c r="BG340" s="225">
        <v>3.0400000000000002E-3</v>
      </c>
      <c r="BH340" s="225" t="s">
        <v>1882</v>
      </c>
      <c r="BI340" s="225"/>
      <c r="BJ340" s="225">
        <f>3600+1295+185+193</f>
        <v>5273</v>
      </c>
      <c r="BK340" s="225"/>
      <c r="BL340" s="225"/>
      <c r="BM340" s="225"/>
      <c r="BN340" s="225">
        <v>790</v>
      </c>
      <c r="BO340" s="225">
        <f t="shared" si="31"/>
        <v>6063</v>
      </c>
      <c r="BP340" s="230">
        <f>BO340*0.055</f>
        <v>333.46499999999997</v>
      </c>
      <c r="BQ340" s="230">
        <f t="shared" si="36"/>
        <v>6396.4650000000001</v>
      </c>
      <c r="BR340" s="230">
        <v>6396.46</v>
      </c>
      <c r="BS340" s="225" t="s">
        <v>388</v>
      </c>
      <c r="BT340" s="225"/>
      <c r="BU340" s="225"/>
      <c r="BV340" s="231" t="s">
        <v>4045</v>
      </c>
      <c r="BW340" s="225" t="s">
        <v>968</v>
      </c>
      <c r="BX340" s="222" t="s">
        <v>618</v>
      </c>
      <c r="BY340" s="301" t="s">
        <v>176</v>
      </c>
    </row>
    <row r="341" spans="1:77" s="33" customFormat="1" ht="13.5" customHeight="1">
      <c r="A341" s="64">
        <f t="shared" si="33"/>
        <v>1900</v>
      </c>
      <c r="B341" s="64">
        <f t="shared" si="34"/>
        <v>1</v>
      </c>
      <c r="C341" s="125" t="s">
        <v>188</v>
      </c>
      <c r="D341" s="168" t="str">
        <f t="shared" si="35"/>
        <v>NC</v>
      </c>
      <c r="E341" s="294" t="s">
        <v>898</v>
      </c>
      <c r="F341" s="294" t="s">
        <v>1598</v>
      </c>
      <c r="G341" s="221"/>
      <c r="H341" s="222">
        <v>44571</v>
      </c>
      <c r="I341" s="222">
        <v>44572</v>
      </c>
      <c r="J341" s="223">
        <v>44574</v>
      </c>
      <c r="K341" s="222" t="s">
        <v>1060</v>
      </c>
      <c r="L341" s="223"/>
      <c r="M341" s="223"/>
      <c r="N341" s="223"/>
      <c r="O341" s="222"/>
      <c r="P341" s="222"/>
      <c r="Q341" s="222"/>
      <c r="R341" s="222"/>
      <c r="S341" s="222"/>
      <c r="T341" s="222"/>
      <c r="U341" s="222"/>
      <c r="V341" s="224"/>
      <c r="W341" s="222">
        <v>44930</v>
      </c>
      <c r="X341" s="225" t="s">
        <v>2590</v>
      </c>
      <c r="Y341" s="225"/>
      <c r="Z341" s="225"/>
      <c r="AA341" s="225">
        <v>2</v>
      </c>
      <c r="AB341" s="225">
        <v>32457</v>
      </c>
      <c r="AC341" s="225">
        <v>91</v>
      </c>
      <c r="AD341" s="225" t="s">
        <v>3135</v>
      </c>
      <c r="AE341" s="225">
        <v>38620</v>
      </c>
      <c r="AF341" s="225" t="s">
        <v>2382</v>
      </c>
      <c r="AG341" s="226">
        <v>609793383</v>
      </c>
      <c r="AH341" s="241" t="s">
        <v>3136</v>
      </c>
      <c r="AI341" s="225" t="s">
        <v>1168</v>
      </c>
      <c r="AJ341" s="225"/>
      <c r="AK341" s="225"/>
      <c r="AL341" s="225"/>
      <c r="AM341" s="225"/>
      <c r="AN341" s="225"/>
      <c r="AO341" s="225"/>
      <c r="AP341" s="225"/>
      <c r="AQ341" s="225"/>
      <c r="AR341" s="225"/>
      <c r="AS341" s="246"/>
      <c r="AT341" s="226"/>
      <c r="AU341" s="225"/>
      <c r="AV341" s="225"/>
      <c r="AW341" s="223"/>
      <c r="AX341" s="225"/>
      <c r="AY341" s="225"/>
      <c r="AZ341" s="225"/>
      <c r="BA341" s="225"/>
      <c r="BB341" s="225"/>
      <c r="BC341" s="225"/>
      <c r="BD341" s="225"/>
      <c r="BE341" s="225"/>
      <c r="BF341" s="225"/>
      <c r="BG341" s="225"/>
      <c r="BH341" s="225"/>
      <c r="BI341" s="225"/>
      <c r="BJ341" s="225"/>
      <c r="BK341" s="225"/>
      <c r="BL341" s="225"/>
      <c r="BM341" s="225"/>
      <c r="BN341" s="225"/>
      <c r="BO341" s="225"/>
      <c r="BP341" s="230"/>
      <c r="BQ341" s="230"/>
      <c r="BR341" s="230"/>
      <c r="BS341" s="225"/>
      <c r="BT341" s="225"/>
      <c r="BU341" s="225"/>
      <c r="BV341" s="231">
        <v>0</v>
      </c>
      <c r="BW341" s="301" t="s">
        <v>3118</v>
      </c>
      <c r="BX341" s="301" t="s">
        <v>214</v>
      </c>
      <c r="BY341" s="301"/>
    </row>
    <row r="342" spans="1:77" s="33" customFormat="1" ht="13.5" customHeight="1">
      <c r="A342" s="64">
        <f t="shared" si="33"/>
        <v>2022</v>
      </c>
      <c r="B342" s="64">
        <f t="shared" si="34"/>
        <v>2</v>
      </c>
      <c r="C342" s="125" t="s">
        <v>191</v>
      </c>
      <c r="D342" s="168" t="str">
        <f t="shared" si="35"/>
        <v>maj</v>
      </c>
      <c r="E342" s="232" t="s">
        <v>898</v>
      </c>
      <c r="F342" s="232" t="s">
        <v>1600</v>
      </c>
      <c r="G342" s="221">
        <v>1000</v>
      </c>
      <c r="H342" s="222">
        <v>44558</v>
      </c>
      <c r="I342" s="222">
        <v>44578</v>
      </c>
      <c r="J342" s="223">
        <v>44585</v>
      </c>
      <c r="K342" s="222" t="s">
        <v>3137</v>
      </c>
      <c r="L342" s="223">
        <v>44601</v>
      </c>
      <c r="M342" s="223">
        <v>44601</v>
      </c>
      <c r="N342" s="223">
        <v>44575</v>
      </c>
      <c r="O342" s="222"/>
      <c r="P342" s="222">
        <v>44711</v>
      </c>
      <c r="Q342" s="222">
        <v>44691</v>
      </c>
      <c r="R342" s="222" t="s">
        <v>176</v>
      </c>
      <c r="S342" s="222">
        <v>44768</v>
      </c>
      <c r="T342" s="222">
        <v>44768</v>
      </c>
      <c r="U342" s="222">
        <v>44769</v>
      </c>
      <c r="V342" s="224"/>
      <c r="W342" s="222"/>
      <c r="X342" s="225"/>
      <c r="Y342" s="225"/>
      <c r="Z342" s="225"/>
      <c r="AA342" s="225">
        <v>3</v>
      </c>
      <c r="AB342" s="225">
        <v>29404</v>
      </c>
      <c r="AC342" s="225">
        <v>149</v>
      </c>
      <c r="AD342" s="225" t="s">
        <v>3138</v>
      </c>
      <c r="AE342" s="225">
        <v>38850</v>
      </c>
      <c r="AF342" s="225" t="s">
        <v>1931</v>
      </c>
      <c r="AG342" s="226">
        <v>644200980</v>
      </c>
      <c r="AH342" s="241" t="s">
        <v>3139</v>
      </c>
      <c r="AI342" s="225" t="s">
        <v>1168</v>
      </c>
      <c r="AJ342" s="225"/>
      <c r="AK342" s="225"/>
      <c r="AL342" s="225"/>
      <c r="AM342" s="225"/>
      <c r="AN342" s="225"/>
      <c r="AO342" s="225"/>
      <c r="AP342" s="225" t="s">
        <v>579</v>
      </c>
      <c r="AQ342" s="225" t="s">
        <v>1895</v>
      </c>
      <c r="AR342" s="225" t="s">
        <v>3140</v>
      </c>
      <c r="AS342" s="241" t="s">
        <v>201</v>
      </c>
      <c r="AT342" s="226" t="s">
        <v>1050</v>
      </c>
      <c r="AU342" s="225"/>
      <c r="AV342" s="217" t="s">
        <v>388</v>
      </c>
      <c r="AW342" s="223">
        <v>44782</v>
      </c>
      <c r="AX342" s="225" t="s">
        <v>4113</v>
      </c>
      <c r="AY342" s="225">
        <v>1981</v>
      </c>
      <c r="AZ342" s="225" t="s">
        <v>1880</v>
      </c>
      <c r="BA342" s="225" t="s">
        <v>267</v>
      </c>
      <c r="BB342" s="225" t="s">
        <v>3141</v>
      </c>
      <c r="BC342" s="225" t="s">
        <v>3142</v>
      </c>
      <c r="BD342" s="225">
        <v>30</v>
      </c>
      <c r="BE342" s="225">
        <v>8</v>
      </c>
      <c r="BF342" s="225">
        <v>86.6</v>
      </c>
      <c r="BG342" s="252"/>
      <c r="BH342" s="225" t="s">
        <v>1899</v>
      </c>
      <c r="BI342" s="225"/>
      <c r="BJ342" s="225">
        <v>4530</v>
      </c>
      <c r="BK342" s="225"/>
      <c r="BL342" s="225"/>
      <c r="BM342" s="225"/>
      <c r="BN342" s="225">
        <v>1030</v>
      </c>
      <c r="BO342" s="225">
        <v>4891</v>
      </c>
      <c r="BP342" s="230">
        <v>269</v>
      </c>
      <c r="BQ342" s="230">
        <v>5160</v>
      </c>
      <c r="BR342" s="230">
        <v>5160</v>
      </c>
      <c r="BS342" s="225" t="s">
        <v>188</v>
      </c>
      <c r="BT342" s="225"/>
      <c r="BU342" s="225"/>
      <c r="BV342" s="231" t="s">
        <v>4045</v>
      </c>
      <c r="BW342" s="225" t="s">
        <v>968</v>
      </c>
      <c r="BX342" s="222" t="s">
        <v>618</v>
      </c>
      <c r="BY342" s="301" t="s">
        <v>176</v>
      </c>
    </row>
    <row r="343" spans="1:77" s="33" customFormat="1" ht="13.5" customHeight="1">
      <c r="A343" s="64">
        <f t="shared" si="33"/>
        <v>2022</v>
      </c>
      <c r="B343" s="64">
        <f t="shared" si="34"/>
        <v>3</v>
      </c>
      <c r="C343" s="125" t="s">
        <v>191</v>
      </c>
      <c r="D343" s="168" t="str">
        <f t="shared" si="35"/>
        <v>non maj</v>
      </c>
      <c r="E343" s="232" t="s">
        <v>210</v>
      </c>
      <c r="F343" s="232" t="s">
        <v>1601</v>
      </c>
      <c r="G343" s="221">
        <v>600</v>
      </c>
      <c r="H343" s="222">
        <v>44580</v>
      </c>
      <c r="I343" s="222">
        <v>44593</v>
      </c>
      <c r="J343" s="223"/>
      <c r="K343" s="222" t="s">
        <v>3143</v>
      </c>
      <c r="L343" s="223">
        <v>44623</v>
      </c>
      <c r="M343" s="223">
        <v>44623</v>
      </c>
      <c r="N343" s="223">
        <v>44628</v>
      </c>
      <c r="O343" s="222"/>
      <c r="P343" s="222">
        <v>44767</v>
      </c>
      <c r="Q343" s="222">
        <v>44715</v>
      </c>
      <c r="R343" s="222" t="s">
        <v>176</v>
      </c>
      <c r="S343" s="222">
        <v>44795</v>
      </c>
      <c r="T343" s="222">
        <v>44795</v>
      </c>
      <c r="U343" s="222">
        <v>44796</v>
      </c>
      <c r="V343" s="224"/>
      <c r="W343" s="222"/>
      <c r="X343" s="299"/>
      <c r="Y343" s="225"/>
      <c r="Z343" s="225"/>
      <c r="AA343" s="225">
        <v>1</v>
      </c>
      <c r="AB343" s="225">
        <v>20794</v>
      </c>
      <c r="AC343" s="225">
        <v>737</v>
      </c>
      <c r="AD343" s="225" t="s">
        <v>3144</v>
      </c>
      <c r="AE343" s="225">
        <v>38430</v>
      </c>
      <c r="AF343" s="225" t="s">
        <v>2081</v>
      </c>
      <c r="AG343" s="226">
        <v>685945898</v>
      </c>
      <c r="AH343" s="251" t="s">
        <v>3145</v>
      </c>
      <c r="AI343" s="225"/>
      <c r="AJ343" s="225"/>
      <c r="AK343" s="225"/>
      <c r="AL343" s="225"/>
      <c r="AM343" s="225"/>
      <c r="AN343" s="225"/>
      <c r="AO343" s="225"/>
      <c r="AP343" s="225" t="s">
        <v>1888</v>
      </c>
      <c r="AQ343" s="225" t="s">
        <v>225</v>
      </c>
      <c r="AR343" s="225" t="s">
        <v>1889</v>
      </c>
      <c r="AS343" s="295" t="s">
        <v>269</v>
      </c>
      <c r="AT343" s="226" t="s">
        <v>600</v>
      </c>
      <c r="AU343" s="225" t="s">
        <v>176</v>
      </c>
      <c r="AV343" s="251" t="s">
        <v>188</v>
      </c>
      <c r="AW343" s="223">
        <v>44868</v>
      </c>
      <c r="AX343" s="225" t="s">
        <v>1880</v>
      </c>
      <c r="AY343" s="225">
        <v>1996</v>
      </c>
      <c r="AZ343" s="225" t="s">
        <v>1880</v>
      </c>
      <c r="BA343" s="225" t="s">
        <v>267</v>
      </c>
      <c r="BB343" s="225" t="s">
        <v>221</v>
      </c>
      <c r="BC343" s="225" t="s">
        <v>3146</v>
      </c>
      <c r="BD343" s="225">
        <v>18</v>
      </c>
      <c r="BE343" s="225">
        <v>10</v>
      </c>
      <c r="BF343" s="225">
        <v>90.4</v>
      </c>
      <c r="BG343" s="225">
        <v>3.0400000000000002E-3</v>
      </c>
      <c r="BH343" s="225" t="s">
        <v>1882</v>
      </c>
      <c r="BI343" s="225"/>
      <c r="BJ343" s="225">
        <v>4015</v>
      </c>
      <c r="BK343" s="225"/>
      <c r="BL343" s="225"/>
      <c r="BM343" s="225"/>
      <c r="BN343" s="225">
        <v>485</v>
      </c>
      <c r="BO343" s="225">
        <v>4500</v>
      </c>
      <c r="BP343" s="230">
        <v>2470.5</v>
      </c>
      <c r="BQ343" s="230">
        <v>4747.5</v>
      </c>
      <c r="BR343" s="230">
        <v>4747.5</v>
      </c>
      <c r="BS343" s="225" t="s">
        <v>191</v>
      </c>
      <c r="BT343" s="225"/>
      <c r="BU343" s="225"/>
      <c r="BV343" s="231" t="s">
        <v>4045</v>
      </c>
      <c r="BW343" s="225" t="s">
        <v>968</v>
      </c>
      <c r="BX343" s="301" t="s">
        <v>620</v>
      </c>
      <c r="BY343" s="301" t="s">
        <v>176</v>
      </c>
    </row>
    <row r="344" spans="1:77" s="33" customFormat="1" ht="13.5" customHeight="1">
      <c r="A344" s="64">
        <f t="shared" si="33"/>
        <v>2022</v>
      </c>
      <c r="B344" s="64">
        <f t="shared" si="34"/>
        <v>2</v>
      </c>
      <c r="C344" s="125" t="s">
        <v>191</v>
      </c>
      <c r="D344" s="168" t="str">
        <f t="shared" si="35"/>
        <v>non maj</v>
      </c>
      <c r="E344" s="232" t="s">
        <v>898</v>
      </c>
      <c r="F344" s="232" t="s">
        <v>1602</v>
      </c>
      <c r="G344" s="221">
        <v>600</v>
      </c>
      <c r="H344" s="222">
        <v>44574</v>
      </c>
      <c r="I344" s="222">
        <v>44578</v>
      </c>
      <c r="J344" s="223">
        <v>44585</v>
      </c>
      <c r="K344" s="222" t="s">
        <v>3147</v>
      </c>
      <c r="L344" s="223">
        <v>44606</v>
      </c>
      <c r="M344" s="223">
        <v>44606</v>
      </c>
      <c r="N344" s="223">
        <v>44614</v>
      </c>
      <c r="O344" s="222"/>
      <c r="P344" s="222">
        <v>44662</v>
      </c>
      <c r="Q344" s="222">
        <v>44637</v>
      </c>
      <c r="R344" s="222"/>
      <c r="S344" s="222">
        <v>44679</v>
      </c>
      <c r="T344" s="222">
        <v>44679</v>
      </c>
      <c r="U344" s="222">
        <v>44679</v>
      </c>
      <c r="V344" s="224"/>
      <c r="W344" s="222"/>
      <c r="X344" s="225"/>
      <c r="Y344" s="225"/>
      <c r="Z344" s="225"/>
      <c r="AA344" s="225">
        <v>3</v>
      </c>
      <c r="AB344" s="225">
        <f>21798+22293</f>
        <v>44091</v>
      </c>
      <c r="AC344" s="218">
        <v>2091</v>
      </c>
      <c r="AD344" s="225" t="s">
        <v>3148</v>
      </c>
      <c r="AE344" s="225">
        <v>38430</v>
      </c>
      <c r="AF344" s="225" t="s">
        <v>1893</v>
      </c>
      <c r="AG344" s="225" t="s">
        <v>3149</v>
      </c>
      <c r="AH344" s="241" t="s">
        <v>3150</v>
      </c>
      <c r="AI344" s="225" t="s">
        <v>1168</v>
      </c>
      <c r="AJ344" s="225"/>
      <c r="AK344" s="225"/>
      <c r="AL344" s="225"/>
      <c r="AM344" s="225"/>
      <c r="AN344" s="225"/>
      <c r="AO344" s="225"/>
      <c r="AP344" s="225" t="s">
        <v>778</v>
      </c>
      <c r="AQ344" s="225" t="s">
        <v>1926</v>
      </c>
      <c r="AR344" s="225" t="s">
        <v>3047</v>
      </c>
      <c r="AS344" s="241" t="s">
        <v>251</v>
      </c>
      <c r="AT344" s="226" t="s">
        <v>581</v>
      </c>
      <c r="AU344" s="225" t="s">
        <v>176</v>
      </c>
      <c r="AV344" s="241" t="s">
        <v>188</v>
      </c>
      <c r="AW344" s="223">
        <v>44641</v>
      </c>
      <c r="AX344" s="225" t="s">
        <v>1879</v>
      </c>
      <c r="AY344" s="225">
        <v>1975</v>
      </c>
      <c r="AZ344" s="225" t="s">
        <v>4113</v>
      </c>
      <c r="BA344" s="225" t="s">
        <v>380</v>
      </c>
      <c r="BB344" s="225" t="s">
        <v>3048</v>
      </c>
      <c r="BC344" s="225" t="s">
        <v>3151</v>
      </c>
      <c r="BD344" s="225">
        <v>34</v>
      </c>
      <c r="BE344" s="225">
        <v>8.8000000000000007</v>
      </c>
      <c r="BF344" s="225">
        <v>78.2</v>
      </c>
      <c r="BG344" s="225">
        <v>0.1</v>
      </c>
      <c r="BH344" s="225" t="s">
        <v>1882</v>
      </c>
      <c r="BI344" s="225"/>
      <c r="BJ344" s="225">
        <f>115+2563+1109+920</f>
        <v>4707</v>
      </c>
      <c r="BK344" s="225"/>
      <c r="BL344" s="225"/>
      <c r="BM344" s="225"/>
      <c r="BN344" s="225">
        <v>891</v>
      </c>
      <c r="BO344" s="225">
        <f>BJ344+BN344</f>
        <v>5598</v>
      </c>
      <c r="BP344" s="230">
        <f>BO344*0.055</f>
        <v>307.89</v>
      </c>
      <c r="BQ344" s="230">
        <f>BO344*1.055</f>
        <v>5905.8899999999994</v>
      </c>
      <c r="BR344" s="230">
        <v>6050</v>
      </c>
      <c r="BS344" s="225"/>
      <c r="BT344" s="225"/>
      <c r="BU344" s="225"/>
      <c r="BV344" s="231" t="s">
        <v>4045</v>
      </c>
      <c r="BW344" s="225" t="s">
        <v>968</v>
      </c>
      <c r="BX344" s="301" t="s">
        <v>620</v>
      </c>
      <c r="BY344" s="301">
        <v>2022</v>
      </c>
    </row>
    <row r="345" spans="1:77" s="33" customFormat="1" ht="13.5" customHeight="1">
      <c r="A345" s="64">
        <f t="shared" si="33"/>
        <v>2022</v>
      </c>
      <c r="B345" s="64">
        <f t="shared" si="34"/>
        <v>2</v>
      </c>
      <c r="C345" s="125" t="s">
        <v>191</v>
      </c>
      <c r="D345" s="168" t="str">
        <f t="shared" si="35"/>
        <v>non maj</v>
      </c>
      <c r="E345" s="232" t="s">
        <v>898</v>
      </c>
      <c r="F345" s="232" t="s">
        <v>1603</v>
      </c>
      <c r="G345" s="221">
        <v>600</v>
      </c>
      <c r="H345" s="222">
        <v>44578</v>
      </c>
      <c r="I345" s="222">
        <v>44578</v>
      </c>
      <c r="J345" s="223">
        <v>44585</v>
      </c>
      <c r="K345" s="222" t="s">
        <v>3152</v>
      </c>
      <c r="L345" s="223">
        <v>44615</v>
      </c>
      <c r="M345" s="223">
        <v>44615</v>
      </c>
      <c r="N345" s="223">
        <v>44617</v>
      </c>
      <c r="O345" s="222"/>
      <c r="P345" s="222">
        <v>44896</v>
      </c>
      <c r="Q345" s="222">
        <v>44887</v>
      </c>
      <c r="R345" s="222" t="s">
        <v>176</v>
      </c>
      <c r="S345" s="222">
        <v>44915</v>
      </c>
      <c r="T345" s="222">
        <v>44915</v>
      </c>
      <c r="U345" s="222">
        <v>44932</v>
      </c>
      <c r="V345" s="224"/>
      <c r="W345" s="222"/>
      <c r="X345" s="225"/>
      <c r="Y345" s="225"/>
      <c r="Z345" s="225"/>
      <c r="AA345" s="225">
        <v>2</v>
      </c>
      <c r="AB345" s="225">
        <f>12527+23458</f>
        <v>35985</v>
      </c>
      <c r="AC345" s="225">
        <v>120</v>
      </c>
      <c r="AD345" s="225" t="s">
        <v>880</v>
      </c>
      <c r="AE345" s="225">
        <v>38430</v>
      </c>
      <c r="AF345" s="225" t="s">
        <v>1893</v>
      </c>
      <c r="AG345" s="226">
        <v>661859497</v>
      </c>
      <c r="AH345" s="241" t="s">
        <v>3153</v>
      </c>
      <c r="AI345" s="225" t="s">
        <v>1168</v>
      </c>
      <c r="AJ345" s="225"/>
      <c r="AK345" s="225"/>
      <c r="AL345" s="225"/>
      <c r="AM345" s="225"/>
      <c r="AN345" s="225"/>
      <c r="AO345" s="225"/>
      <c r="AP345" s="225" t="s">
        <v>579</v>
      </c>
      <c r="AQ345" s="225" t="s">
        <v>1895</v>
      </c>
      <c r="AR345" s="225" t="s">
        <v>3140</v>
      </c>
      <c r="AS345" s="241" t="s">
        <v>201</v>
      </c>
      <c r="AT345" s="226" t="s">
        <v>1050</v>
      </c>
      <c r="AU345" s="225"/>
      <c r="AV345" s="217" t="s">
        <v>388</v>
      </c>
      <c r="AW345" s="223">
        <v>44782</v>
      </c>
      <c r="AX345" s="225" t="s">
        <v>1880</v>
      </c>
      <c r="AY345" s="225">
        <v>2001</v>
      </c>
      <c r="AZ345" s="225" t="s">
        <v>1880</v>
      </c>
      <c r="BA345" s="225" t="s">
        <v>267</v>
      </c>
      <c r="BB345" s="225" t="s">
        <v>997</v>
      </c>
      <c r="BC345" s="225" t="s">
        <v>3154</v>
      </c>
      <c r="BD345" s="225">
        <v>15</v>
      </c>
      <c r="BE345" s="225">
        <v>10.4</v>
      </c>
      <c r="BF345" s="225">
        <v>79.8</v>
      </c>
      <c r="BG345" s="225">
        <v>145</v>
      </c>
      <c r="BH345" s="225" t="s">
        <v>1899</v>
      </c>
      <c r="BI345" s="225"/>
      <c r="BJ345" s="225">
        <f>3851+138+274+255+105+332+110</f>
        <v>5065</v>
      </c>
      <c r="BK345" s="225"/>
      <c r="BL345" s="225"/>
      <c r="BM345" s="225"/>
      <c r="BN345" s="225">
        <v>617</v>
      </c>
      <c r="BO345" s="225">
        <f>BJ345+BN345</f>
        <v>5682</v>
      </c>
      <c r="BP345" s="230">
        <f>BO345*0.055</f>
        <v>312.51</v>
      </c>
      <c r="BQ345" s="230">
        <f>BO345+BP345</f>
        <v>5994.51</v>
      </c>
      <c r="BR345" s="230">
        <v>5994.51</v>
      </c>
      <c r="BS345" s="225" t="s">
        <v>188</v>
      </c>
      <c r="BT345" s="225"/>
      <c r="BU345" s="225"/>
      <c r="BV345" s="231"/>
      <c r="BW345" s="225" t="s">
        <v>968</v>
      </c>
      <c r="BX345" s="301" t="s">
        <v>620</v>
      </c>
      <c r="BY345" s="301" t="s">
        <v>176</v>
      </c>
    </row>
    <row r="346" spans="1:77" s="33" customFormat="1" ht="13.5" customHeight="1">
      <c r="A346" s="64">
        <f t="shared" si="33"/>
        <v>2022</v>
      </c>
      <c r="B346" s="64">
        <f t="shared" si="34"/>
        <v>1</v>
      </c>
      <c r="C346" s="125" t="s">
        <v>191</v>
      </c>
      <c r="D346" s="168" t="str">
        <f t="shared" si="35"/>
        <v>maj</v>
      </c>
      <c r="E346" s="232" t="s">
        <v>898</v>
      </c>
      <c r="F346" s="232" t="s">
        <v>1604</v>
      </c>
      <c r="G346" s="221">
        <v>1000</v>
      </c>
      <c r="H346" s="222">
        <v>44579</v>
      </c>
      <c r="I346" s="222">
        <v>44579</v>
      </c>
      <c r="J346" s="223">
        <v>44585</v>
      </c>
      <c r="K346" s="222" t="s">
        <v>1028</v>
      </c>
      <c r="L346" s="223">
        <v>44585</v>
      </c>
      <c r="M346" s="223">
        <v>44585</v>
      </c>
      <c r="N346" s="223">
        <v>44587</v>
      </c>
      <c r="O346" s="222"/>
      <c r="P346" s="222">
        <v>44837</v>
      </c>
      <c r="Q346" s="222">
        <v>44813</v>
      </c>
      <c r="R346" s="222" t="s">
        <v>176</v>
      </c>
      <c r="S346" s="222">
        <v>44873</v>
      </c>
      <c r="T346" s="222">
        <v>44873</v>
      </c>
      <c r="U346" s="222">
        <v>44879</v>
      </c>
      <c r="V346" s="224"/>
      <c r="W346" s="222"/>
      <c r="X346" s="225"/>
      <c r="Y346" s="225"/>
      <c r="Z346" s="225"/>
      <c r="AA346" s="225">
        <v>3</v>
      </c>
      <c r="AB346" s="225">
        <v>27515</v>
      </c>
      <c r="AC346" s="225">
        <v>22</v>
      </c>
      <c r="AD346" s="225" t="s">
        <v>3155</v>
      </c>
      <c r="AE346" s="225">
        <v>38430</v>
      </c>
      <c r="AF346" s="225" t="s">
        <v>1893</v>
      </c>
      <c r="AG346" s="226">
        <v>678408031</v>
      </c>
      <c r="AH346" s="241" t="s">
        <v>3156</v>
      </c>
      <c r="AI346" s="225" t="s">
        <v>1168</v>
      </c>
      <c r="AJ346" s="225"/>
      <c r="AK346" s="225"/>
      <c r="AL346" s="225"/>
      <c r="AM346" s="225"/>
      <c r="AN346" s="225"/>
      <c r="AO346" s="225"/>
      <c r="AP346" s="225" t="s">
        <v>820</v>
      </c>
      <c r="AQ346" s="225" t="s">
        <v>225</v>
      </c>
      <c r="AR346" s="225" t="s">
        <v>2895</v>
      </c>
      <c r="AS346" s="241" t="s">
        <v>281</v>
      </c>
      <c r="AT346" s="226" t="s">
        <v>3157</v>
      </c>
      <c r="AU346" s="225"/>
      <c r="AV346" s="241" t="s">
        <v>388</v>
      </c>
      <c r="AW346" s="223">
        <v>44582</v>
      </c>
      <c r="AX346" s="225" t="s">
        <v>1879</v>
      </c>
      <c r="AY346" s="225">
        <v>1972</v>
      </c>
      <c r="AZ346" s="225" t="s">
        <v>1880</v>
      </c>
      <c r="BA346" s="225" t="s">
        <v>267</v>
      </c>
      <c r="BB346" s="225" t="s">
        <v>394</v>
      </c>
      <c r="BC346" s="225" t="s">
        <v>899</v>
      </c>
      <c r="BD346" s="225">
        <v>12</v>
      </c>
      <c r="BE346" s="225">
        <v>9.1</v>
      </c>
      <c r="BF346" s="225">
        <v>88.7</v>
      </c>
      <c r="BG346" s="225">
        <v>9.0399999999999994E-3</v>
      </c>
      <c r="BH346" s="225" t="s">
        <v>1882</v>
      </c>
      <c r="BI346" s="225"/>
      <c r="BJ346" s="225">
        <f>3700+145+115+650+125+245+25+75</f>
        <v>5080</v>
      </c>
      <c r="BK346" s="225"/>
      <c r="BL346" s="225"/>
      <c r="BM346" s="225"/>
      <c r="BN346" s="225">
        <v>1365.5</v>
      </c>
      <c r="BO346" s="225">
        <f>BJ346+BN346</f>
        <v>6445.5</v>
      </c>
      <c r="BP346" s="230">
        <f>BO346*0.055</f>
        <v>354.5025</v>
      </c>
      <c r="BQ346" s="230">
        <f>BO346*1.055</f>
        <v>6800.0024999999996</v>
      </c>
      <c r="BR346" s="230">
        <v>6800</v>
      </c>
      <c r="BS346" s="225" t="s">
        <v>388</v>
      </c>
      <c r="BT346" s="225"/>
      <c r="BU346" s="225"/>
      <c r="BV346" s="231" t="s">
        <v>4045</v>
      </c>
      <c r="BW346" s="225" t="s">
        <v>968</v>
      </c>
      <c r="BX346" s="222" t="s">
        <v>618</v>
      </c>
      <c r="BY346" s="301" t="s">
        <v>176</v>
      </c>
    </row>
    <row r="347" spans="1:77" s="33" customFormat="1" ht="13.5" customHeight="1">
      <c r="A347" s="64">
        <f t="shared" si="33"/>
        <v>2022</v>
      </c>
      <c r="B347" s="64">
        <f t="shared" si="34"/>
        <v>2</v>
      </c>
      <c r="C347" s="125" t="s">
        <v>191</v>
      </c>
      <c r="D347" s="168" t="str">
        <f t="shared" si="35"/>
        <v>non maj</v>
      </c>
      <c r="E347" s="232" t="s">
        <v>210</v>
      </c>
      <c r="F347" s="232" t="s">
        <v>1605</v>
      </c>
      <c r="G347" s="221">
        <v>600</v>
      </c>
      <c r="H347" s="222">
        <v>44582</v>
      </c>
      <c r="I347" s="222">
        <v>44593</v>
      </c>
      <c r="J347" s="223">
        <v>44594</v>
      </c>
      <c r="K347" s="222" t="s">
        <v>3158</v>
      </c>
      <c r="L347" s="223">
        <v>44616</v>
      </c>
      <c r="M347" s="223">
        <v>44616</v>
      </c>
      <c r="N347" s="223">
        <v>44620</v>
      </c>
      <c r="O347" s="222"/>
      <c r="P347" s="222">
        <v>44704</v>
      </c>
      <c r="Q347" s="222">
        <v>44672</v>
      </c>
      <c r="R347" s="222" t="s">
        <v>176</v>
      </c>
      <c r="S347" s="222">
        <v>44768</v>
      </c>
      <c r="T347" s="222">
        <v>44768</v>
      </c>
      <c r="U347" s="222">
        <v>44769</v>
      </c>
      <c r="V347" s="224"/>
      <c r="W347" s="222"/>
      <c r="X347" s="225"/>
      <c r="Y347" s="225"/>
      <c r="Z347" s="225"/>
      <c r="AA347" s="225">
        <v>2</v>
      </c>
      <c r="AB347" s="225">
        <v>40192</v>
      </c>
      <c r="AC347" s="225">
        <v>1020</v>
      </c>
      <c r="AD347" s="225" t="s">
        <v>865</v>
      </c>
      <c r="AE347" s="225">
        <v>38140</v>
      </c>
      <c r="AF347" s="225" t="s">
        <v>2216</v>
      </c>
      <c r="AG347" s="226">
        <v>677989335</v>
      </c>
      <c r="AH347" s="241" t="s">
        <v>3159</v>
      </c>
      <c r="AI347" s="225" t="s">
        <v>1168</v>
      </c>
      <c r="AJ347" s="225"/>
      <c r="AK347" s="225"/>
      <c r="AL347" s="225"/>
      <c r="AM347" s="225"/>
      <c r="AN347" s="225"/>
      <c r="AO347" s="225"/>
      <c r="AP347" s="225" t="s">
        <v>749</v>
      </c>
      <c r="AQ347" s="225" t="s">
        <v>209</v>
      </c>
      <c r="AR347" s="225" t="s">
        <v>1013</v>
      </c>
      <c r="AS347" s="241" t="s">
        <v>2557</v>
      </c>
      <c r="AT347" s="226">
        <v>476042368</v>
      </c>
      <c r="AU347" s="225" t="s">
        <v>176</v>
      </c>
      <c r="AV347" s="241" t="s">
        <v>188</v>
      </c>
      <c r="AW347" s="223">
        <v>44708</v>
      </c>
      <c r="AX347" s="225" t="s">
        <v>1880</v>
      </c>
      <c r="AY347" s="225" t="s">
        <v>1935</v>
      </c>
      <c r="AZ347" s="225" t="s">
        <v>1880</v>
      </c>
      <c r="BA347" s="225" t="s">
        <v>380</v>
      </c>
      <c r="BB347" s="225" t="s">
        <v>432</v>
      </c>
      <c r="BC347" s="225" t="s">
        <v>3160</v>
      </c>
      <c r="BD347" s="225">
        <v>30</v>
      </c>
      <c r="BE347" s="225">
        <v>8</v>
      </c>
      <c r="BF347" s="225">
        <v>78</v>
      </c>
      <c r="BG347" s="225">
        <v>0.1</v>
      </c>
      <c r="BH347" s="225" t="s">
        <v>1882</v>
      </c>
      <c r="BI347" s="225"/>
      <c r="BJ347" s="225">
        <v>1828.39</v>
      </c>
      <c r="BK347" s="225"/>
      <c r="BL347" s="225"/>
      <c r="BM347" s="225"/>
      <c r="BN347" s="225">
        <v>1039.5</v>
      </c>
      <c r="BO347" s="225">
        <v>2867.89</v>
      </c>
      <c r="BP347" s="230">
        <v>157.72999999999999</v>
      </c>
      <c r="BQ347" s="230">
        <v>3025.62</v>
      </c>
      <c r="BR347" s="230">
        <v>3025.62</v>
      </c>
      <c r="BS347" s="225" t="s">
        <v>191</v>
      </c>
      <c r="BT347" s="225"/>
      <c r="BU347" s="225"/>
      <c r="BV347" s="231" t="s">
        <v>4045</v>
      </c>
      <c r="BW347" s="225" t="s">
        <v>968</v>
      </c>
      <c r="BX347" s="301" t="s">
        <v>620</v>
      </c>
      <c r="BY347" s="301">
        <v>2022</v>
      </c>
    </row>
    <row r="348" spans="1:77" s="33" customFormat="1" ht="13.5" customHeight="1">
      <c r="A348" s="64">
        <f t="shared" si="33"/>
        <v>1900</v>
      </c>
      <c r="B348" s="64">
        <f t="shared" si="34"/>
        <v>1</v>
      </c>
      <c r="C348" s="125" t="s">
        <v>188</v>
      </c>
      <c r="D348" s="168" t="str">
        <f t="shared" si="35"/>
        <v>NC</v>
      </c>
      <c r="E348" s="293" t="s">
        <v>210</v>
      </c>
      <c r="F348" s="293" t="s">
        <v>3161</v>
      </c>
      <c r="G348" s="221">
        <v>600</v>
      </c>
      <c r="H348" s="222">
        <v>44585</v>
      </c>
      <c r="I348" s="222">
        <v>44593</v>
      </c>
      <c r="J348" s="223">
        <v>44594</v>
      </c>
      <c r="K348" s="222" t="s">
        <v>3162</v>
      </c>
      <c r="L348" s="223"/>
      <c r="M348" s="223"/>
      <c r="N348" s="223"/>
      <c r="O348" s="222"/>
      <c r="P348" s="222"/>
      <c r="Q348" s="222"/>
      <c r="R348" s="222"/>
      <c r="S348" s="222"/>
      <c r="T348" s="222"/>
      <c r="U348" s="222"/>
      <c r="V348" s="224"/>
      <c r="W348" s="222">
        <v>44601</v>
      </c>
      <c r="X348" s="225" t="s">
        <v>3163</v>
      </c>
      <c r="Y348" s="225"/>
      <c r="Z348" s="225"/>
      <c r="AA348" s="225">
        <v>2</v>
      </c>
      <c r="AB348" s="225">
        <v>65722</v>
      </c>
      <c r="AC348" s="225">
        <v>63</v>
      </c>
      <c r="AD348" s="225" t="s">
        <v>2597</v>
      </c>
      <c r="AE348" s="225">
        <v>38500</v>
      </c>
      <c r="AF348" s="225" t="s">
        <v>225</v>
      </c>
      <c r="AG348" s="226">
        <v>681049053</v>
      </c>
      <c r="AH348" s="241" t="s">
        <v>3164</v>
      </c>
      <c r="AI348" s="225" t="s">
        <v>1168</v>
      </c>
      <c r="AJ348" s="225"/>
      <c r="AK348" s="225"/>
      <c r="AL348" s="225"/>
      <c r="AM348" s="225"/>
      <c r="AN348" s="225"/>
      <c r="AO348" s="225"/>
      <c r="AP348" s="225" t="s">
        <v>3165</v>
      </c>
      <c r="AQ348" s="225" t="s">
        <v>1893</v>
      </c>
      <c r="AR348" s="225"/>
      <c r="AS348" s="241" t="s">
        <v>3166</v>
      </c>
      <c r="AT348" s="226" t="s">
        <v>3167</v>
      </c>
      <c r="AU348" s="225"/>
      <c r="AV348" s="225"/>
      <c r="AW348" s="223"/>
      <c r="AX348" s="225"/>
      <c r="AY348" s="225" t="s">
        <v>1935</v>
      </c>
      <c r="AZ348" s="225" t="s">
        <v>1880</v>
      </c>
      <c r="BA348" s="225" t="s">
        <v>380</v>
      </c>
      <c r="BB348" s="225" t="s">
        <v>212</v>
      </c>
      <c r="BC348" s="225" t="s">
        <v>3168</v>
      </c>
      <c r="BD348" s="225">
        <v>24</v>
      </c>
      <c r="BE348" s="225">
        <v>8</v>
      </c>
      <c r="BF348" s="225">
        <v>77</v>
      </c>
      <c r="BG348" s="225">
        <v>0.09</v>
      </c>
      <c r="BH348" s="225" t="s">
        <v>1882</v>
      </c>
      <c r="BI348" s="225"/>
      <c r="BJ348" s="225">
        <v>2350</v>
      </c>
      <c r="BK348" s="225"/>
      <c r="BL348" s="225"/>
      <c r="BM348" s="225"/>
      <c r="BN348" s="225">
        <v>800</v>
      </c>
      <c r="BO348" s="225">
        <v>3150</v>
      </c>
      <c r="BP348" s="230">
        <v>173.25</v>
      </c>
      <c r="BQ348" s="230">
        <v>3323.25</v>
      </c>
      <c r="BR348" s="230"/>
      <c r="BS348" s="225" t="s">
        <v>188</v>
      </c>
      <c r="BT348" s="225"/>
      <c r="BU348" s="225"/>
      <c r="BV348" s="301">
        <v>0</v>
      </c>
      <c r="BW348" s="301" t="s">
        <v>3118</v>
      </c>
      <c r="BX348" s="301" t="s">
        <v>214</v>
      </c>
      <c r="BY348" s="301"/>
    </row>
    <row r="349" spans="1:77" s="33" customFormat="1" ht="13.5" customHeight="1">
      <c r="A349" s="64">
        <f t="shared" si="33"/>
        <v>2022</v>
      </c>
      <c r="B349" s="64">
        <f t="shared" si="34"/>
        <v>3</v>
      </c>
      <c r="C349" s="125" t="s">
        <v>191</v>
      </c>
      <c r="D349" s="168" t="str">
        <f t="shared" si="35"/>
        <v>non maj</v>
      </c>
      <c r="E349" s="225" t="s">
        <v>210</v>
      </c>
      <c r="F349" s="225" t="s">
        <v>1607</v>
      </c>
      <c r="G349" s="221">
        <v>600</v>
      </c>
      <c r="H349" s="222">
        <v>44586</v>
      </c>
      <c r="I349" s="222">
        <v>44593</v>
      </c>
      <c r="J349" s="223">
        <v>44594</v>
      </c>
      <c r="K349" s="222" t="s">
        <v>3169</v>
      </c>
      <c r="L349" s="223">
        <v>44650</v>
      </c>
      <c r="M349" s="223">
        <v>44650</v>
      </c>
      <c r="N349" s="223">
        <v>44655</v>
      </c>
      <c r="O349" s="222"/>
      <c r="P349" s="222"/>
      <c r="Q349" s="222"/>
      <c r="R349" s="222"/>
      <c r="S349" s="222"/>
      <c r="T349" s="222"/>
      <c r="U349" s="222"/>
      <c r="V349" s="224"/>
      <c r="W349" s="222"/>
      <c r="X349" s="225"/>
      <c r="Y349" s="225"/>
      <c r="Z349" s="225"/>
      <c r="AA349" s="225">
        <v>4</v>
      </c>
      <c r="AB349" s="225">
        <v>48553</v>
      </c>
      <c r="AC349" s="225">
        <v>325</v>
      </c>
      <c r="AD349" s="225" t="s">
        <v>3170</v>
      </c>
      <c r="AE349" s="219">
        <v>38850</v>
      </c>
      <c r="AF349" s="225" t="s">
        <v>2151</v>
      </c>
      <c r="AG349" s="226">
        <v>664699866</v>
      </c>
      <c r="AH349" s="241" t="s">
        <v>3171</v>
      </c>
      <c r="AI349" s="225" t="s">
        <v>1168</v>
      </c>
      <c r="AJ349" s="225"/>
      <c r="AK349" s="225"/>
      <c r="AL349" s="225"/>
      <c r="AM349" s="225"/>
      <c r="AN349" s="225"/>
      <c r="AO349" s="225"/>
      <c r="AP349" s="225" t="s">
        <v>678</v>
      </c>
      <c r="AQ349" s="225" t="s">
        <v>1007</v>
      </c>
      <c r="AR349" s="225" t="s">
        <v>3172</v>
      </c>
      <c r="AS349" s="241" t="s">
        <v>274</v>
      </c>
      <c r="AT349" s="226" t="s">
        <v>3111</v>
      </c>
      <c r="AU349" s="225"/>
      <c r="AV349" s="241" t="s">
        <v>388</v>
      </c>
      <c r="AW349" s="223">
        <v>44633</v>
      </c>
      <c r="AX349" s="225" t="s">
        <v>4113</v>
      </c>
      <c r="AY349" s="225">
        <v>1985</v>
      </c>
      <c r="AZ349" s="225" t="s">
        <v>1880</v>
      </c>
      <c r="BA349" s="225" t="s">
        <v>267</v>
      </c>
      <c r="BB349" s="225" t="s">
        <v>243</v>
      </c>
      <c r="BC349" s="225" t="s">
        <v>3173</v>
      </c>
      <c r="BD349" s="225">
        <v>12</v>
      </c>
      <c r="BE349" s="225">
        <v>10.199999999999999</v>
      </c>
      <c r="BF349" s="225">
        <v>90.8</v>
      </c>
      <c r="BG349" s="225">
        <v>7.7600000000000004E-3</v>
      </c>
      <c r="BH349" s="225" t="s">
        <v>1882</v>
      </c>
      <c r="BI349" s="225"/>
      <c r="BJ349" s="225">
        <v>4276.6899999999996</v>
      </c>
      <c r="BK349" s="225"/>
      <c r="BL349" s="225"/>
      <c r="BM349" s="225"/>
      <c r="BN349" s="225">
        <v>926</v>
      </c>
      <c r="BO349" s="225">
        <v>4942.5600000000004</v>
      </c>
      <c r="BP349" s="230">
        <v>260.13</v>
      </c>
      <c r="BQ349" s="230">
        <v>5214.3999999999996</v>
      </c>
      <c r="BR349" s="230"/>
      <c r="BS349" s="225" t="s">
        <v>188</v>
      </c>
      <c r="BT349" s="225"/>
      <c r="BU349" s="225"/>
      <c r="BV349" s="301" t="s">
        <v>4045</v>
      </c>
      <c r="BW349" s="225" t="s">
        <v>968</v>
      </c>
      <c r="BX349" s="301" t="s">
        <v>620</v>
      </c>
      <c r="BY349" s="301" t="s">
        <v>176</v>
      </c>
    </row>
    <row r="350" spans="1:77" s="33" customFormat="1" ht="13.5" customHeight="1">
      <c r="A350" s="64">
        <f t="shared" si="33"/>
        <v>2022</v>
      </c>
      <c r="B350" s="64">
        <f t="shared" si="34"/>
        <v>2</v>
      </c>
      <c r="C350" s="125" t="s">
        <v>191</v>
      </c>
      <c r="D350" s="168" t="str">
        <f t="shared" si="35"/>
        <v>non maj</v>
      </c>
      <c r="E350" s="232" t="s">
        <v>210</v>
      </c>
      <c r="F350" s="232" t="s">
        <v>3174</v>
      </c>
      <c r="G350" s="221">
        <v>600</v>
      </c>
      <c r="H350" s="222">
        <v>44587</v>
      </c>
      <c r="I350" s="222">
        <v>44593</v>
      </c>
      <c r="J350" s="223"/>
      <c r="K350" s="222"/>
      <c r="L350" s="223">
        <v>44594</v>
      </c>
      <c r="M350" s="223">
        <v>44594</v>
      </c>
      <c r="N350" s="223">
        <v>44575</v>
      </c>
      <c r="O350" s="222"/>
      <c r="P350" s="222">
        <v>44663</v>
      </c>
      <c r="Q350" s="222">
        <v>44657</v>
      </c>
      <c r="R350" s="222"/>
      <c r="S350" s="222">
        <v>44665</v>
      </c>
      <c r="T350" s="222">
        <v>44665</v>
      </c>
      <c r="U350" s="222">
        <v>44666</v>
      </c>
      <c r="V350" s="224"/>
      <c r="W350" s="222"/>
      <c r="X350" s="225"/>
      <c r="Y350" s="225"/>
      <c r="Z350" s="225"/>
      <c r="AA350" s="225">
        <v>2</v>
      </c>
      <c r="AB350" s="225">
        <v>35380</v>
      </c>
      <c r="AC350" s="225">
        <v>469</v>
      </c>
      <c r="AD350" s="225" t="s">
        <v>3175</v>
      </c>
      <c r="AE350" s="225">
        <v>38850</v>
      </c>
      <c r="AF350" s="225" t="s">
        <v>216</v>
      </c>
      <c r="AG350" s="226">
        <v>680360801</v>
      </c>
      <c r="AH350" s="241" t="s">
        <v>3176</v>
      </c>
      <c r="AI350" s="225" t="s">
        <v>1168</v>
      </c>
      <c r="AJ350" s="225"/>
      <c r="AK350" s="225"/>
      <c r="AL350" s="225"/>
      <c r="AM350" s="225"/>
      <c r="AN350" s="225"/>
      <c r="AO350" s="225"/>
      <c r="AP350" s="225" t="s">
        <v>222</v>
      </c>
      <c r="AQ350" s="225" t="s">
        <v>2038</v>
      </c>
      <c r="AR350" s="225" t="s">
        <v>203</v>
      </c>
      <c r="AS350" s="241" t="s">
        <v>224</v>
      </c>
      <c r="AT350" s="226" t="s">
        <v>669</v>
      </c>
      <c r="AU350" s="225"/>
      <c r="AV350" s="217" t="s">
        <v>388</v>
      </c>
      <c r="AW350" s="223">
        <v>44798</v>
      </c>
      <c r="AX350" s="225" t="s">
        <v>1880</v>
      </c>
      <c r="AY350" s="225" t="s">
        <v>3177</v>
      </c>
      <c r="AZ350" s="225" t="s">
        <v>1880</v>
      </c>
      <c r="BA350" s="225" t="s">
        <v>267</v>
      </c>
      <c r="BB350" s="225" t="s">
        <v>394</v>
      </c>
      <c r="BC350" s="225" t="s">
        <v>3178</v>
      </c>
      <c r="BD350" s="225">
        <v>17</v>
      </c>
      <c r="BE350" s="225">
        <v>5.2</v>
      </c>
      <c r="BF350" s="225">
        <v>89.5</v>
      </c>
      <c r="BG350" s="225">
        <v>9.0399999999999994E-3</v>
      </c>
      <c r="BH350" s="225" t="s">
        <v>1882</v>
      </c>
      <c r="BI350" s="225"/>
      <c r="BJ350" s="225">
        <v>2716</v>
      </c>
      <c r="BK350" s="225"/>
      <c r="BL350" s="225"/>
      <c r="BM350" s="225"/>
      <c r="BN350" s="225">
        <v>877</v>
      </c>
      <c r="BO350" s="225">
        <v>3593</v>
      </c>
      <c r="BP350" s="230">
        <v>197.62</v>
      </c>
      <c r="BQ350" s="230">
        <v>3790.62</v>
      </c>
      <c r="BR350" s="230">
        <v>3790.62</v>
      </c>
      <c r="BS350" s="225" t="s">
        <v>188</v>
      </c>
      <c r="BT350" s="225"/>
      <c r="BU350" s="225"/>
      <c r="BV350" s="231" t="s">
        <v>4045</v>
      </c>
      <c r="BW350" s="225" t="s">
        <v>968</v>
      </c>
      <c r="BX350" s="301" t="s">
        <v>620</v>
      </c>
      <c r="BY350" s="301" t="s">
        <v>176</v>
      </c>
    </row>
    <row r="351" spans="1:77" s="33" customFormat="1" ht="13.5" customHeight="1">
      <c r="A351" s="64">
        <f t="shared" si="33"/>
        <v>2022</v>
      </c>
      <c r="B351" s="64">
        <f t="shared" si="34"/>
        <v>2</v>
      </c>
      <c r="C351" s="125" t="s">
        <v>191</v>
      </c>
      <c r="D351" s="168" t="str">
        <f t="shared" si="35"/>
        <v>non maj</v>
      </c>
      <c r="E351" s="232" t="s">
        <v>210</v>
      </c>
      <c r="F351" s="232" t="s">
        <v>1608</v>
      </c>
      <c r="G351" s="221">
        <v>600</v>
      </c>
      <c r="H351" s="222">
        <v>44589</v>
      </c>
      <c r="I351" s="222">
        <v>44593</v>
      </c>
      <c r="J351" s="223">
        <v>44594</v>
      </c>
      <c r="K351" s="222" t="s">
        <v>3179</v>
      </c>
      <c r="L351" s="223">
        <v>44609</v>
      </c>
      <c r="M351" s="223">
        <v>44609</v>
      </c>
      <c r="N351" s="223">
        <v>44614</v>
      </c>
      <c r="O351" s="222"/>
      <c r="P351" s="222">
        <v>44719</v>
      </c>
      <c r="Q351" s="222">
        <v>44656</v>
      </c>
      <c r="R351" s="222" t="s">
        <v>176</v>
      </c>
      <c r="S351" s="222">
        <v>44769</v>
      </c>
      <c r="T351" s="222">
        <v>44769</v>
      </c>
      <c r="U351" s="222">
        <v>44770</v>
      </c>
      <c r="V351" s="224"/>
      <c r="W351" s="222"/>
      <c r="X351" s="225"/>
      <c r="Y351" s="225"/>
      <c r="Z351" s="225"/>
      <c r="AA351" s="225">
        <v>2</v>
      </c>
      <c r="AB351" s="225">
        <v>63338</v>
      </c>
      <c r="AC351" s="225">
        <v>20</v>
      </c>
      <c r="AD351" s="225" t="s">
        <v>3180</v>
      </c>
      <c r="AE351" s="225">
        <v>38500</v>
      </c>
      <c r="AF351" s="225" t="s">
        <v>225</v>
      </c>
      <c r="AG351" s="226">
        <v>651854611</v>
      </c>
      <c r="AH351" s="241" t="s">
        <v>3181</v>
      </c>
      <c r="AI351" s="225" t="s">
        <v>1168</v>
      </c>
      <c r="AJ351" s="225"/>
      <c r="AK351" s="225"/>
      <c r="AL351" s="225"/>
      <c r="AM351" s="225"/>
      <c r="AN351" s="225"/>
      <c r="AO351" s="225"/>
      <c r="AP351" s="222" t="s">
        <v>587</v>
      </c>
      <c r="AQ351" s="225" t="s">
        <v>225</v>
      </c>
      <c r="AR351" s="225" t="s">
        <v>2026</v>
      </c>
      <c r="AS351" s="241" t="s">
        <v>266</v>
      </c>
      <c r="AT351" s="226">
        <v>476069938</v>
      </c>
      <c r="AU351" s="225"/>
      <c r="AV351" s="241" t="s">
        <v>188</v>
      </c>
      <c r="AW351" s="223">
        <v>44822</v>
      </c>
      <c r="AX351" s="225" t="s">
        <v>1880</v>
      </c>
      <c r="AY351" s="242" t="s">
        <v>1986</v>
      </c>
      <c r="AZ351" s="225" t="s">
        <v>1880</v>
      </c>
      <c r="BA351" s="225" t="s">
        <v>380</v>
      </c>
      <c r="BB351" s="225" t="s">
        <v>676</v>
      </c>
      <c r="BC351" s="225" t="s">
        <v>3182</v>
      </c>
      <c r="BD351" s="242">
        <v>30</v>
      </c>
      <c r="BE351" s="242">
        <v>5</v>
      </c>
      <c r="BF351" s="242">
        <v>82</v>
      </c>
      <c r="BG351" s="242">
        <v>0.06</v>
      </c>
      <c r="BH351" s="225" t="s">
        <v>1882</v>
      </c>
      <c r="BI351" s="225"/>
      <c r="BJ351" s="242">
        <v>3590</v>
      </c>
      <c r="BK351" s="225"/>
      <c r="BL351" s="225"/>
      <c r="BM351" s="225"/>
      <c r="BN351" s="242">
        <v>1140</v>
      </c>
      <c r="BO351" s="242">
        <v>4730</v>
      </c>
      <c r="BP351" s="242">
        <v>260.17</v>
      </c>
      <c r="BQ351" s="242">
        <v>4990.17</v>
      </c>
      <c r="BR351" s="230">
        <v>4990.17</v>
      </c>
      <c r="BS351" s="225" t="s">
        <v>188</v>
      </c>
      <c r="BT351" s="225"/>
      <c r="BU351" s="225"/>
      <c r="BV351" s="231" t="s">
        <v>4045</v>
      </c>
      <c r="BW351" s="225" t="s">
        <v>968</v>
      </c>
      <c r="BX351" s="301" t="s">
        <v>620</v>
      </c>
      <c r="BY351" s="301">
        <v>2022</v>
      </c>
    </row>
    <row r="352" spans="1:77" s="33" customFormat="1" ht="13.5" customHeight="1">
      <c r="A352" s="64">
        <f t="shared" si="33"/>
        <v>2022</v>
      </c>
      <c r="B352" s="64">
        <f t="shared" si="34"/>
        <v>2</v>
      </c>
      <c r="C352" s="125" t="s">
        <v>191</v>
      </c>
      <c r="D352" s="168" t="str">
        <f t="shared" si="35"/>
        <v>non maj</v>
      </c>
      <c r="E352" s="232" t="s">
        <v>210</v>
      </c>
      <c r="F352" s="232" t="s">
        <v>1609</v>
      </c>
      <c r="G352" s="221">
        <v>600</v>
      </c>
      <c r="H352" s="222">
        <v>44592</v>
      </c>
      <c r="I352" s="222">
        <v>44593</v>
      </c>
      <c r="J352" s="223"/>
      <c r="K352" s="222"/>
      <c r="L352" s="223">
        <v>44594</v>
      </c>
      <c r="M352" s="223">
        <v>44594</v>
      </c>
      <c r="N352" s="223">
        <v>44575</v>
      </c>
      <c r="O352" s="222"/>
      <c r="P352" s="222">
        <v>44736</v>
      </c>
      <c r="Q352" s="222">
        <v>44715</v>
      </c>
      <c r="R352" s="222" t="s">
        <v>3183</v>
      </c>
      <c r="S352" s="222">
        <v>44816</v>
      </c>
      <c r="T352" s="222">
        <v>44816</v>
      </c>
      <c r="U352" s="222">
        <v>44824</v>
      </c>
      <c r="V352" s="224"/>
      <c r="W352" s="222"/>
      <c r="X352" s="225"/>
      <c r="Y352" s="225"/>
      <c r="Z352" s="225"/>
      <c r="AA352" s="225">
        <v>2</v>
      </c>
      <c r="AB352" s="225">
        <v>43950</v>
      </c>
      <c r="AC352" s="225">
        <v>1253</v>
      </c>
      <c r="AD352" s="225" t="s">
        <v>1930</v>
      </c>
      <c r="AE352" s="225">
        <v>38850</v>
      </c>
      <c r="AF352" s="225" t="s">
        <v>1931</v>
      </c>
      <c r="AG352" s="226">
        <v>643702473</v>
      </c>
      <c r="AH352" s="241" t="s">
        <v>3184</v>
      </c>
      <c r="AI352" s="225" t="s">
        <v>1168</v>
      </c>
      <c r="AJ352" s="225"/>
      <c r="AK352" s="225"/>
      <c r="AL352" s="225"/>
      <c r="AM352" s="225"/>
      <c r="AN352" s="225"/>
      <c r="AO352" s="225"/>
      <c r="AP352" s="225" t="s">
        <v>1909</v>
      </c>
      <c r="AQ352" s="225" t="s">
        <v>1910</v>
      </c>
      <c r="AR352" s="225" t="s">
        <v>781</v>
      </c>
      <c r="AS352" s="246" t="s">
        <v>1911</v>
      </c>
      <c r="AT352" s="226" t="s">
        <v>573</v>
      </c>
      <c r="AU352" s="225" t="s">
        <v>176</v>
      </c>
      <c r="AV352" s="241" t="s">
        <v>188</v>
      </c>
      <c r="AW352" s="223">
        <v>44774</v>
      </c>
      <c r="AX352" s="225" t="s">
        <v>4113</v>
      </c>
      <c r="AY352" s="225">
        <v>1980</v>
      </c>
      <c r="AZ352" s="225" t="s">
        <v>1880</v>
      </c>
      <c r="BA352" s="225" t="s">
        <v>267</v>
      </c>
      <c r="BB352" s="225" t="s">
        <v>279</v>
      </c>
      <c r="BC352" s="225" t="s">
        <v>3185</v>
      </c>
      <c r="BD352" s="225">
        <v>11</v>
      </c>
      <c r="BE352" s="225">
        <v>10</v>
      </c>
      <c r="BF352" s="225">
        <v>91.2</v>
      </c>
      <c r="BG352" s="225">
        <v>0.01</v>
      </c>
      <c r="BH352" s="225" t="s">
        <v>1899</v>
      </c>
      <c r="BI352" s="225"/>
      <c r="BJ352" s="225">
        <v>4030</v>
      </c>
      <c r="BK352" s="225"/>
      <c r="BL352" s="225"/>
      <c r="BM352" s="225"/>
      <c r="BN352" s="225">
        <v>1213.25</v>
      </c>
      <c r="BO352" s="225">
        <v>5180</v>
      </c>
      <c r="BP352" s="230">
        <v>284.89999999999998</v>
      </c>
      <c r="BQ352" s="230">
        <v>5464.9</v>
      </c>
      <c r="BR352" s="230">
        <v>5464.9</v>
      </c>
      <c r="BS352" s="225" t="s">
        <v>188</v>
      </c>
      <c r="BT352" s="225"/>
      <c r="BU352" s="225"/>
      <c r="BV352" s="231" t="s">
        <v>4045</v>
      </c>
      <c r="BW352" s="225" t="s">
        <v>968</v>
      </c>
      <c r="BX352" s="301" t="s">
        <v>620</v>
      </c>
      <c r="BY352" s="301" t="s">
        <v>176</v>
      </c>
    </row>
    <row r="353" spans="1:77" s="33" customFormat="1" ht="13.5" customHeight="1">
      <c r="A353" s="64">
        <f t="shared" si="33"/>
        <v>2022</v>
      </c>
      <c r="B353" s="64">
        <f t="shared" si="34"/>
        <v>2</v>
      </c>
      <c r="C353" s="125" t="s">
        <v>191</v>
      </c>
      <c r="D353" s="168" t="str">
        <f t="shared" si="35"/>
        <v>maj</v>
      </c>
      <c r="E353" s="232" t="s">
        <v>210</v>
      </c>
      <c r="F353" s="232" t="s">
        <v>1610</v>
      </c>
      <c r="G353" s="221">
        <v>1000</v>
      </c>
      <c r="H353" s="222">
        <v>44581</v>
      </c>
      <c r="I353" s="222">
        <v>44593</v>
      </c>
      <c r="J353" s="223"/>
      <c r="K353" s="222"/>
      <c r="L353" s="223">
        <v>44599</v>
      </c>
      <c r="M353" s="223">
        <v>44599</v>
      </c>
      <c r="N353" s="223">
        <v>44575</v>
      </c>
      <c r="O353" s="222"/>
      <c r="P353" s="222">
        <v>44679</v>
      </c>
      <c r="Q353" s="222">
        <v>44670</v>
      </c>
      <c r="R353" s="222"/>
      <c r="S353" s="222">
        <v>44685</v>
      </c>
      <c r="T353" s="222">
        <v>44685</v>
      </c>
      <c r="U353" s="222">
        <v>44717</v>
      </c>
      <c r="V353" s="224"/>
      <c r="W353" s="222"/>
      <c r="X353" s="225"/>
      <c r="Y353" s="225"/>
      <c r="Z353" s="225"/>
      <c r="AA353" s="225">
        <v>1</v>
      </c>
      <c r="AB353" s="225">
        <v>6684</v>
      </c>
      <c r="AC353" s="225">
        <v>375</v>
      </c>
      <c r="AD353" s="225" t="s">
        <v>2900</v>
      </c>
      <c r="AE353" s="225">
        <v>38850</v>
      </c>
      <c r="AF353" s="225" t="s">
        <v>2151</v>
      </c>
      <c r="AG353" s="226">
        <v>659217504</v>
      </c>
      <c r="AH353" s="241" t="s">
        <v>3186</v>
      </c>
      <c r="AI353" s="225" t="s">
        <v>1168</v>
      </c>
      <c r="AJ353" s="225"/>
      <c r="AK353" s="225"/>
      <c r="AL353" s="225"/>
      <c r="AM353" s="225"/>
      <c r="AN353" s="225"/>
      <c r="AO353" s="225"/>
      <c r="AP353" s="222" t="s">
        <v>587</v>
      </c>
      <c r="AQ353" s="225" t="s">
        <v>225</v>
      </c>
      <c r="AR353" s="225" t="s">
        <v>2026</v>
      </c>
      <c r="AS353" s="241" t="s">
        <v>266</v>
      </c>
      <c r="AT353" s="226">
        <v>476069938</v>
      </c>
      <c r="AU353" s="225"/>
      <c r="AV353" s="241" t="s">
        <v>188</v>
      </c>
      <c r="AW353" s="223">
        <v>44822</v>
      </c>
      <c r="AX353" s="225" t="s">
        <v>1879</v>
      </c>
      <c r="AY353" s="242">
        <v>1930</v>
      </c>
      <c r="AZ353" s="225" t="s">
        <v>1880</v>
      </c>
      <c r="BA353" s="225" t="s">
        <v>267</v>
      </c>
      <c r="BB353" s="225" t="s">
        <v>3187</v>
      </c>
      <c r="BC353" s="225" t="s">
        <v>3188</v>
      </c>
      <c r="BD353" s="242">
        <v>14</v>
      </c>
      <c r="BE353" s="242">
        <v>6</v>
      </c>
      <c r="BF353" s="242">
        <v>88</v>
      </c>
      <c r="BG353" s="242">
        <v>5.6000000000000001E-2</v>
      </c>
      <c r="BH353" s="225" t="s">
        <v>1882</v>
      </c>
      <c r="BI353" s="225"/>
      <c r="BJ353" s="242">
        <v>5788</v>
      </c>
      <c r="BK353" s="225"/>
      <c r="BL353" s="225"/>
      <c r="BM353" s="225"/>
      <c r="BN353" s="242">
        <v>840</v>
      </c>
      <c r="BO353" s="242">
        <v>6628</v>
      </c>
      <c r="BP353" s="242">
        <v>364.56</v>
      </c>
      <c r="BQ353" s="242">
        <v>6771</v>
      </c>
      <c r="BR353" s="230">
        <v>6992.56</v>
      </c>
      <c r="BS353" s="225" t="s">
        <v>188</v>
      </c>
      <c r="BT353" s="225"/>
      <c r="BU353" s="225"/>
      <c r="BV353" s="231" t="s">
        <v>4045</v>
      </c>
      <c r="BW353" s="225" t="s">
        <v>968</v>
      </c>
      <c r="BX353" s="222" t="s">
        <v>618</v>
      </c>
      <c r="BY353" s="301" t="s">
        <v>176</v>
      </c>
    </row>
    <row r="354" spans="1:77" s="33" customFormat="1" ht="13.5" customHeight="1">
      <c r="A354" s="64">
        <f t="shared" si="33"/>
        <v>1900</v>
      </c>
      <c r="B354" s="64">
        <f t="shared" si="34"/>
        <v>1</v>
      </c>
      <c r="C354" s="125" t="s">
        <v>188</v>
      </c>
      <c r="D354" s="168" t="str">
        <f t="shared" si="35"/>
        <v>NC</v>
      </c>
      <c r="E354" s="293" t="s">
        <v>210</v>
      </c>
      <c r="F354" s="293" t="s">
        <v>3189</v>
      </c>
      <c r="G354" s="221">
        <v>600</v>
      </c>
      <c r="H354" s="222">
        <v>44585</v>
      </c>
      <c r="I354" s="222">
        <v>44593</v>
      </c>
      <c r="J354" s="223"/>
      <c r="K354" s="222" t="s">
        <v>3190</v>
      </c>
      <c r="L354" s="223"/>
      <c r="M354" s="223"/>
      <c r="N354" s="223"/>
      <c r="O354" s="222"/>
      <c r="P354" s="222"/>
      <c r="Q354" s="222"/>
      <c r="R354" s="222"/>
      <c r="S354" s="222"/>
      <c r="T354" s="222"/>
      <c r="U354" s="222"/>
      <c r="V354" s="224"/>
      <c r="W354" s="222">
        <v>44601</v>
      </c>
      <c r="X354" s="225" t="s">
        <v>3191</v>
      </c>
      <c r="Y354" s="225"/>
      <c r="Z354" s="225"/>
      <c r="AA354" s="225">
        <v>3</v>
      </c>
      <c r="AB354" s="225">
        <v>41960</v>
      </c>
      <c r="AC354" s="225" t="s">
        <v>3192</v>
      </c>
      <c r="AD354" s="225" t="s">
        <v>3193</v>
      </c>
      <c r="AE354" s="225">
        <v>38340</v>
      </c>
      <c r="AF354" s="225" t="s">
        <v>232</v>
      </c>
      <c r="AG354" s="226">
        <v>664755971</v>
      </c>
      <c r="AH354" s="241" t="s">
        <v>257</v>
      </c>
      <c r="AI354" s="225" t="s">
        <v>1168</v>
      </c>
      <c r="AJ354" s="225"/>
      <c r="AK354" s="225"/>
      <c r="AL354" s="225"/>
      <c r="AM354" s="225"/>
      <c r="AN354" s="225"/>
      <c r="AO354" s="225"/>
      <c r="AP354" s="225"/>
      <c r="AQ354" s="225"/>
      <c r="AR354" s="225"/>
      <c r="AS354" s="246"/>
      <c r="AT354" s="226"/>
      <c r="AU354" s="225"/>
      <c r="AV354" s="225"/>
      <c r="AW354" s="223"/>
      <c r="AX354" s="225"/>
      <c r="AY354" s="225"/>
      <c r="AZ354" s="225"/>
      <c r="BA354" s="225"/>
      <c r="BB354" s="225"/>
      <c r="BC354" s="225"/>
      <c r="BD354" s="225"/>
      <c r="BE354" s="225"/>
      <c r="BF354" s="225"/>
      <c r="BG354" s="225"/>
      <c r="BH354" s="225"/>
      <c r="BI354" s="225"/>
      <c r="BJ354" s="225"/>
      <c r="BK354" s="225"/>
      <c r="BL354" s="225"/>
      <c r="BM354" s="225"/>
      <c r="BN354" s="225"/>
      <c r="BO354" s="225"/>
      <c r="BP354" s="230"/>
      <c r="BQ354" s="230"/>
      <c r="BR354" s="230"/>
      <c r="BS354" s="225"/>
      <c r="BT354" s="225"/>
      <c r="BU354" s="225"/>
      <c r="BV354" s="301">
        <v>0</v>
      </c>
      <c r="BW354" s="301" t="s">
        <v>3118</v>
      </c>
      <c r="BX354" s="301" t="s">
        <v>214</v>
      </c>
      <c r="BY354" s="301"/>
    </row>
    <row r="355" spans="1:77" s="33" customFormat="1" ht="13.5" customHeight="1">
      <c r="A355" s="64">
        <f t="shared" si="33"/>
        <v>2022</v>
      </c>
      <c r="B355" s="64">
        <f t="shared" si="34"/>
        <v>3</v>
      </c>
      <c r="C355" s="125" t="s">
        <v>191</v>
      </c>
      <c r="D355" s="168" t="str">
        <f t="shared" si="35"/>
        <v>maj</v>
      </c>
      <c r="E355" s="232" t="s">
        <v>210</v>
      </c>
      <c r="F355" s="232" t="s">
        <v>1612</v>
      </c>
      <c r="G355" s="221">
        <v>1000</v>
      </c>
      <c r="H355" s="222">
        <v>44585</v>
      </c>
      <c r="I355" s="222">
        <v>44593</v>
      </c>
      <c r="J355" s="223">
        <v>44599</v>
      </c>
      <c r="K355" s="222" t="s">
        <v>3194</v>
      </c>
      <c r="L355" s="223">
        <v>44635</v>
      </c>
      <c r="M355" s="223">
        <v>44635</v>
      </c>
      <c r="N355" s="223">
        <v>44655</v>
      </c>
      <c r="O355" s="222"/>
      <c r="P355" s="222">
        <v>44742</v>
      </c>
      <c r="Q355" s="222">
        <v>44655</v>
      </c>
      <c r="R355" s="222" t="s">
        <v>1061</v>
      </c>
      <c r="S355" s="222">
        <v>44823</v>
      </c>
      <c r="T355" s="222">
        <v>44823</v>
      </c>
      <c r="U355" s="222">
        <v>44824</v>
      </c>
      <c r="V355" s="224"/>
      <c r="W355" s="222"/>
      <c r="X355" s="225"/>
      <c r="Y355" s="225"/>
      <c r="Z355" s="225"/>
      <c r="AA355" s="225">
        <v>2</v>
      </c>
      <c r="AB355" s="225">
        <v>17226</v>
      </c>
      <c r="AC355" s="225">
        <v>15</v>
      </c>
      <c r="AD355" s="225" t="s">
        <v>3195</v>
      </c>
      <c r="AE355" s="225">
        <v>38500</v>
      </c>
      <c r="AF355" s="225" t="s">
        <v>225</v>
      </c>
      <c r="AG355" s="226">
        <v>659212286</v>
      </c>
      <c r="AH355" s="241" t="s">
        <v>3196</v>
      </c>
      <c r="AI355" s="225" t="s">
        <v>1169</v>
      </c>
      <c r="AJ355" s="225"/>
      <c r="AK355" s="225"/>
      <c r="AL355" s="225">
        <v>2</v>
      </c>
      <c r="AM355" s="225" t="s">
        <v>3197</v>
      </c>
      <c r="AN355" s="225">
        <v>38500</v>
      </c>
      <c r="AO355" s="225" t="s">
        <v>225</v>
      </c>
      <c r="AP355" s="225" t="s">
        <v>2785</v>
      </c>
      <c r="AQ355" s="225" t="s">
        <v>403</v>
      </c>
      <c r="AR355" s="225" t="s">
        <v>404</v>
      </c>
      <c r="AS355" s="241" t="s">
        <v>2786</v>
      </c>
      <c r="AT355" s="226">
        <v>476725701</v>
      </c>
      <c r="AU355" s="225" t="s">
        <v>176</v>
      </c>
      <c r="AV355" s="241" t="s">
        <v>188</v>
      </c>
      <c r="AW355" s="223">
        <v>44958</v>
      </c>
      <c r="AX355" s="225"/>
      <c r="AY355" s="225">
        <v>1890</v>
      </c>
      <c r="AZ355" s="225" t="s">
        <v>1880</v>
      </c>
      <c r="BA355" s="225" t="s">
        <v>380</v>
      </c>
      <c r="BB355" s="225" t="s">
        <v>212</v>
      </c>
      <c r="BC355" s="225" t="s">
        <v>3198</v>
      </c>
      <c r="BD355" s="225">
        <v>30</v>
      </c>
      <c r="BE355" s="225">
        <v>8</v>
      </c>
      <c r="BF355" s="225">
        <v>77</v>
      </c>
      <c r="BG355" s="225">
        <v>0.1</v>
      </c>
      <c r="BH355" s="225" t="s">
        <v>1882</v>
      </c>
      <c r="BI355" s="225"/>
      <c r="BJ355" s="225">
        <v>1250</v>
      </c>
      <c r="BK355" s="225"/>
      <c r="BL355" s="225"/>
      <c r="BM355" s="225"/>
      <c r="BN355" s="225">
        <v>800</v>
      </c>
      <c r="BO355" s="225">
        <v>2050</v>
      </c>
      <c r="BP355" s="230">
        <v>112.75</v>
      </c>
      <c r="BQ355" s="230">
        <v>2162.75</v>
      </c>
      <c r="BR355" s="230">
        <v>2162.75</v>
      </c>
      <c r="BS355" s="225" t="s">
        <v>188</v>
      </c>
      <c r="BT355" s="225"/>
      <c r="BU355" s="225"/>
      <c r="BV355" s="231" t="s">
        <v>4045</v>
      </c>
      <c r="BW355" s="225" t="s">
        <v>968</v>
      </c>
      <c r="BX355" s="222" t="s">
        <v>618</v>
      </c>
      <c r="BY355" s="301">
        <v>2022</v>
      </c>
    </row>
    <row r="356" spans="1:77" s="33" customFormat="1" ht="13.5" customHeight="1">
      <c r="A356" s="64">
        <f t="shared" si="33"/>
        <v>2022</v>
      </c>
      <c r="B356" s="64">
        <f t="shared" si="34"/>
        <v>2</v>
      </c>
      <c r="C356" s="125" t="s">
        <v>191</v>
      </c>
      <c r="D356" s="168" t="str">
        <f t="shared" si="35"/>
        <v>non maj</v>
      </c>
      <c r="E356" s="232" t="s">
        <v>210</v>
      </c>
      <c r="F356" s="232" t="s">
        <v>1613</v>
      </c>
      <c r="G356" s="221">
        <v>600</v>
      </c>
      <c r="H356" s="222">
        <v>44586</v>
      </c>
      <c r="I356" s="222">
        <v>44593</v>
      </c>
      <c r="J356" s="223">
        <v>44599</v>
      </c>
      <c r="K356" s="222" t="s">
        <v>3199</v>
      </c>
      <c r="L356" s="223">
        <v>44609</v>
      </c>
      <c r="M356" s="223">
        <v>44609</v>
      </c>
      <c r="N356" s="223">
        <v>44614</v>
      </c>
      <c r="O356" s="222"/>
      <c r="P356" s="222">
        <v>44859</v>
      </c>
      <c r="Q356" s="222">
        <v>44853</v>
      </c>
      <c r="R356" s="222" t="s">
        <v>3200</v>
      </c>
      <c r="S356" s="222">
        <v>44875</v>
      </c>
      <c r="T356" s="222">
        <v>44875</v>
      </c>
      <c r="U356" s="222">
        <v>44880</v>
      </c>
      <c r="V356" s="224"/>
      <c r="W356" s="222"/>
      <c r="X356" s="225"/>
      <c r="Y356" s="225"/>
      <c r="Z356" s="225"/>
      <c r="AA356" s="225">
        <v>3</v>
      </c>
      <c r="AB356" s="225">
        <v>51669</v>
      </c>
      <c r="AC356" s="225">
        <v>197</v>
      </c>
      <c r="AD356" s="225" t="s">
        <v>3201</v>
      </c>
      <c r="AE356" s="225">
        <v>38340</v>
      </c>
      <c r="AF356" s="225" t="s">
        <v>232</v>
      </c>
      <c r="AG356" s="226">
        <v>601223453</v>
      </c>
      <c r="AH356" s="241" t="s">
        <v>3202</v>
      </c>
      <c r="AI356" s="225" t="s">
        <v>1168</v>
      </c>
      <c r="AJ356" s="225"/>
      <c r="AK356" s="225"/>
      <c r="AL356" s="225"/>
      <c r="AM356" s="225"/>
      <c r="AN356" s="225"/>
      <c r="AO356" s="225"/>
      <c r="AP356" s="225" t="s">
        <v>2052</v>
      </c>
      <c r="AQ356" s="225" t="s">
        <v>232</v>
      </c>
      <c r="AR356" s="225" t="s">
        <v>233</v>
      </c>
      <c r="AS356" s="241" t="s">
        <v>234</v>
      </c>
      <c r="AT356" s="226">
        <v>476500550</v>
      </c>
      <c r="AU356" s="225" t="s">
        <v>176</v>
      </c>
      <c r="AV356" s="241" t="s">
        <v>188</v>
      </c>
      <c r="AW356" s="223">
        <v>44740</v>
      </c>
      <c r="AX356" s="225" t="s">
        <v>1879</v>
      </c>
      <c r="AY356" s="225">
        <v>1965</v>
      </c>
      <c r="AZ356" s="225" t="s">
        <v>1880</v>
      </c>
      <c r="BA356" s="225" t="s">
        <v>380</v>
      </c>
      <c r="BB356" s="225" t="s">
        <v>270</v>
      </c>
      <c r="BC356" s="225" t="s">
        <v>2918</v>
      </c>
      <c r="BD356" s="225">
        <v>32</v>
      </c>
      <c r="BE356" s="225">
        <v>7</v>
      </c>
      <c r="BF356" s="225">
        <v>77.8</v>
      </c>
      <c r="BG356" s="225">
        <v>0.08</v>
      </c>
      <c r="BH356" s="225" t="s">
        <v>1882</v>
      </c>
      <c r="BI356" s="225"/>
      <c r="BJ356" s="225">
        <v>3713.91</v>
      </c>
      <c r="BK356" s="225"/>
      <c r="BL356" s="225"/>
      <c r="BM356" s="225"/>
      <c r="BN356" s="225">
        <v>900</v>
      </c>
      <c r="BO356" s="225">
        <v>4493.91</v>
      </c>
      <c r="BP356" s="230">
        <v>247.17</v>
      </c>
      <c r="BQ356" s="230">
        <v>4741.08</v>
      </c>
      <c r="BR356" s="230">
        <v>4741.08</v>
      </c>
      <c r="BS356" s="225" t="s">
        <v>191</v>
      </c>
      <c r="BT356" s="225"/>
      <c r="BU356" s="225"/>
      <c r="BV356" s="231" t="s">
        <v>4045</v>
      </c>
      <c r="BW356" s="225" t="s">
        <v>968</v>
      </c>
      <c r="BX356" s="301" t="s">
        <v>620</v>
      </c>
      <c r="BY356" s="301">
        <v>2022</v>
      </c>
    </row>
    <row r="357" spans="1:77" s="33" customFormat="1" ht="13.5" customHeight="1">
      <c r="A357" s="64">
        <f t="shared" si="33"/>
        <v>1900</v>
      </c>
      <c r="B357" s="64">
        <f t="shared" si="34"/>
        <v>1</v>
      </c>
      <c r="C357" s="125" t="s">
        <v>188</v>
      </c>
      <c r="D357" s="168" t="str">
        <f t="shared" si="35"/>
        <v>NC</v>
      </c>
      <c r="E357" s="293" t="s">
        <v>210</v>
      </c>
      <c r="F357" s="293" t="s">
        <v>3203</v>
      </c>
      <c r="G357" s="221" t="s">
        <v>3204</v>
      </c>
      <c r="H357" s="222"/>
      <c r="I357" s="222"/>
      <c r="J357" s="223"/>
      <c r="K357" s="222"/>
      <c r="L357" s="223"/>
      <c r="M357" s="223"/>
      <c r="N357" s="223"/>
      <c r="O357" s="222"/>
      <c r="P357" s="222"/>
      <c r="Q357" s="222"/>
      <c r="R357" s="222"/>
      <c r="S357" s="222"/>
      <c r="T357" s="222"/>
      <c r="U357" s="222"/>
      <c r="V357" s="224"/>
      <c r="W357" s="222">
        <v>1</v>
      </c>
      <c r="X357" s="225"/>
      <c r="Y357" s="225"/>
      <c r="Z357" s="225"/>
      <c r="AA357" s="225"/>
      <c r="AB357" s="225"/>
      <c r="AC357" s="225"/>
      <c r="AD357" s="225"/>
      <c r="AE357" s="225"/>
      <c r="AF357" s="225"/>
      <c r="AG357" s="226"/>
      <c r="AH357" s="241"/>
      <c r="AI357" s="225"/>
      <c r="AJ357" s="225"/>
      <c r="AK357" s="225"/>
      <c r="AL357" s="225"/>
      <c r="AM357" s="225"/>
      <c r="AN357" s="225"/>
      <c r="AO357" s="225"/>
      <c r="AP357" s="225"/>
      <c r="AQ357" s="225"/>
      <c r="AR357" s="225"/>
      <c r="AS357" s="246"/>
      <c r="AT357" s="226"/>
      <c r="AU357" s="225"/>
      <c r="AV357" s="225"/>
      <c r="AW357" s="223"/>
      <c r="AX357" s="225"/>
      <c r="AY357" s="225"/>
      <c r="AZ357" s="225"/>
      <c r="BA357" s="225"/>
      <c r="BB357" s="225"/>
      <c r="BC357" s="225"/>
      <c r="BD357" s="225"/>
      <c r="BE357" s="225"/>
      <c r="BF357" s="225"/>
      <c r="BG357" s="225"/>
      <c r="BH357" s="225"/>
      <c r="BI357" s="225"/>
      <c r="BJ357" s="225"/>
      <c r="BK357" s="225"/>
      <c r="BL357" s="225"/>
      <c r="BM357" s="225"/>
      <c r="BN357" s="225"/>
      <c r="BO357" s="225"/>
      <c r="BP357" s="230"/>
      <c r="BQ357" s="230"/>
      <c r="BR357" s="230"/>
      <c r="BS357" s="225"/>
      <c r="BT357" s="225"/>
      <c r="BU357" s="225"/>
      <c r="BV357" s="301">
        <v>0</v>
      </c>
      <c r="BW357" s="301" t="s">
        <v>3118</v>
      </c>
      <c r="BX357" s="301" t="s">
        <v>214</v>
      </c>
      <c r="BY357" s="301"/>
    </row>
    <row r="358" spans="1:77" s="33" customFormat="1" ht="13.5" customHeight="1">
      <c r="A358" s="64">
        <f t="shared" si="33"/>
        <v>2022</v>
      </c>
      <c r="B358" s="64">
        <f t="shared" si="34"/>
        <v>2</v>
      </c>
      <c r="C358" s="125" t="s">
        <v>191</v>
      </c>
      <c r="D358" s="168" t="str">
        <f t="shared" si="35"/>
        <v>non maj</v>
      </c>
      <c r="E358" s="232" t="s">
        <v>210</v>
      </c>
      <c r="F358" s="232" t="s">
        <v>1614</v>
      </c>
      <c r="G358" s="221">
        <v>600</v>
      </c>
      <c r="H358" s="222">
        <v>44593</v>
      </c>
      <c r="I358" s="222">
        <v>44593</v>
      </c>
      <c r="J358" s="223"/>
      <c r="K358" s="222"/>
      <c r="L358" s="223">
        <v>44599</v>
      </c>
      <c r="M358" s="223">
        <v>44599</v>
      </c>
      <c r="N358" s="223">
        <v>44575</v>
      </c>
      <c r="O358" s="222"/>
      <c r="P358" s="222">
        <v>44725</v>
      </c>
      <c r="Q358" s="222">
        <v>44719</v>
      </c>
      <c r="R358" s="222" t="s">
        <v>1061</v>
      </c>
      <c r="S358" s="268">
        <v>44795</v>
      </c>
      <c r="T358" s="268">
        <v>44795</v>
      </c>
      <c r="U358" s="222">
        <v>44796</v>
      </c>
      <c r="V358" s="224"/>
      <c r="W358" s="222"/>
      <c r="X358" s="225"/>
      <c r="Y358" s="225"/>
      <c r="Z358" s="225"/>
      <c r="AA358" s="225">
        <v>2</v>
      </c>
      <c r="AB358" s="225">
        <v>72722</v>
      </c>
      <c r="AC358" s="225">
        <v>8</v>
      </c>
      <c r="AD358" s="225" t="s">
        <v>2965</v>
      </c>
      <c r="AE358" s="225">
        <v>38500</v>
      </c>
      <c r="AF358" s="225" t="s">
        <v>225</v>
      </c>
      <c r="AG358" s="226">
        <v>684315357</v>
      </c>
      <c r="AH358" s="241" t="s">
        <v>3205</v>
      </c>
      <c r="AI358" s="225"/>
      <c r="AJ358" s="225"/>
      <c r="AK358" s="225"/>
      <c r="AL358" s="225"/>
      <c r="AM358" s="225"/>
      <c r="AN358" s="225"/>
      <c r="AO358" s="225"/>
      <c r="AP358" s="222" t="s">
        <v>587</v>
      </c>
      <c r="AQ358" s="225" t="s">
        <v>225</v>
      </c>
      <c r="AR358" s="225" t="s">
        <v>2026</v>
      </c>
      <c r="AS358" s="241" t="s">
        <v>266</v>
      </c>
      <c r="AT358" s="226">
        <v>476069938</v>
      </c>
      <c r="AU358" s="225"/>
      <c r="AV358" s="241" t="s">
        <v>188</v>
      </c>
      <c r="AW358" s="223">
        <v>44822</v>
      </c>
      <c r="AX358" s="225" t="s">
        <v>1880</v>
      </c>
      <c r="AY358" s="242" t="s">
        <v>1935</v>
      </c>
      <c r="AZ358" s="225" t="s">
        <v>1880</v>
      </c>
      <c r="BA358" s="225" t="s">
        <v>380</v>
      </c>
      <c r="BB358" s="225" t="s">
        <v>280</v>
      </c>
      <c r="BC358" s="225" t="s">
        <v>3206</v>
      </c>
      <c r="BD358" s="242">
        <v>40</v>
      </c>
      <c r="BE358" s="242">
        <v>6</v>
      </c>
      <c r="BF358" s="242">
        <v>83</v>
      </c>
      <c r="BG358" s="242">
        <v>7.0000000000000007E-2</v>
      </c>
      <c r="BH358" s="225" t="s">
        <v>1882</v>
      </c>
      <c r="BI358" s="225"/>
      <c r="BJ358" s="242">
        <v>3686.6</v>
      </c>
      <c r="BK358" s="225"/>
      <c r="BL358" s="225"/>
      <c r="BM358" s="225"/>
      <c r="BN358" s="242">
        <v>720.97</v>
      </c>
      <c r="BO358" s="242">
        <v>4407.57</v>
      </c>
      <c r="BP358" s="242">
        <v>242.43</v>
      </c>
      <c r="BQ358" s="242">
        <v>4650</v>
      </c>
      <c r="BR358" s="230">
        <v>4650</v>
      </c>
      <c r="BS358" s="225" t="s">
        <v>188</v>
      </c>
      <c r="BT358" s="225"/>
      <c r="BU358" s="225"/>
      <c r="BV358" s="231" t="s">
        <v>4045</v>
      </c>
      <c r="BW358" s="225" t="s">
        <v>968</v>
      </c>
      <c r="BX358" s="301" t="s">
        <v>620</v>
      </c>
      <c r="BY358" s="301">
        <v>2022</v>
      </c>
    </row>
    <row r="359" spans="1:77" s="33" customFormat="1" ht="13.5" customHeight="1">
      <c r="A359" s="64">
        <f t="shared" si="33"/>
        <v>2022</v>
      </c>
      <c r="B359" s="64">
        <f t="shared" si="34"/>
        <v>2</v>
      </c>
      <c r="C359" s="125" t="s">
        <v>191</v>
      </c>
      <c r="D359" s="168" t="str">
        <f t="shared" si="35"/>
        <v>non maj</v>
      </c>
      <c r="E359" s="232" t="s">
        <v>210</v>
      </c>
      <c r="F359" s="232" t="s">
        <v>1615</v>
      </c>
      <c r="G359" s="221">
        <v>600</v>
      </c>
      <c r="H359" s="222">
        <v>44594</v>
      </c>
      <c r="I359" s="222">
        <v>44595</v>
      </c>
      <c r="J359" s="223"/>
      <c r="K359" s="222"/>
      <c r="L359" s="223">
        <v>44601</v>
      </c>
      <c r="M359" s="223">
        <v>44601</v>
      </c>
      <c r="N359" s="223">
        <v>44575</v>
      </c>
      <c r="O359" s="222"/>
      <c r="P359" s="222">
        <v>44697</v>
      </c>
      <c r="Q359" s="222">
        <v>44684</v>
      </c>
      <c r="R359" s="222" t="s">
        <v>176</v>
      </c>
      <c r="S359" s="222">
        <v>44768</v>
      </c>
      <c r="T359" s="222">
        <v>44768</v>
      </c>
      <c r="U359" s="222">
        <v>44769</v>
      </c>
      <c r="V359" s="224"/>
      <c r="W359" s="222"/>
      <c r="X359" s="225"/>
      <c r="Y359" s="225"/>
      <c r="Z359" s="225"/>
      <c r="AA359" s="225">
        <v>2</v>
      </c>
      <c r="AB359" s="225">
        <v>40069</v>
      </c>
      <c r="AC359" s="225">
        <v>35</v>
      </c>
      <c r="AD359" s="225" t="s">
        <v>2453</v>
      </c>
      <c r="AE359" s="225">
        <v>38960</v>
      </c>
      <c r="AF359" s="225" t="s">
        <v>2088</v>
      </c>
      <c r="AG359" s="226">
        <v>685320083</v>
      </c>
      <c r="AH359" s="241" t="s">
        <v>3207</v>
      </c>
      <c r="AI359" s="225" t="s">
        <v>1168</v>
      </c>
      <c r="AJ359" s="225"/>
      <c r="AK359" s="225"/>
      <c r="AL359" s="225"/>
      <c r="AM359" s="225"/>
      <c r="AN359" s="225"/>
      <c r="AO359" s="225"/>
      <c r="AP359" s="225" t="s">
        <v>2002</v>
      </c>
      <c r="AQ359" s="225" t="s">
        <v>1895</v>
      </c>
      <c r="AR359" s="225" t="s">
        <v>2003</v>
      </c>
      <c r="AS359" s="241" t="s">
        <v>245</v>
      </c>
      <c r="AT359" s="226">
        <v>476452433</v>
      </c>
      <c r="AU359" s="225" t="s">
        <v>176</v>
      </c>
      <c r="AV359" s="241" t="s">
        <v>188</v>
      </c>
      <c r="AW359" s="223">
        <v>44620</v>
      </c>
      <c r="AX359" s="225" t="s">
        <v>4113</v>
      </c>
      <c r="AY359" s="225">
        <v>1988</v>
      </c>
      <c r="AZ359" s="225" t="s">
        <v>1880</v>
      </c>
      <c r="BA359" s="225" t="s">
        <v>380</v>
      </c>
      <c r="BB359" s="225" t="s">
        <v>246</v>
      </c>
      <c r="BC359" s="225" t="s">
        <v>418</v>
      </c>
      <c r="BD359" s="225">
        <v>25</v>
      </c>
      <c r="BE359" s="225">
        <v>6</v>
      </c>
      <c r="BF359" s="225">
        <v>83</v>
      </c>
      <c r="BG359" s="225">
        <v>7.0000000000000007E-2</v>
      </c>
      <c r="BH359" s="225" t="s">
        <v>1882</v>
      </c>
      <c r="BI359" s="225"/>
      <c r="BJ359" s="225">
        <v>6259.19</v>
      </c>
      <c r="BK359" s="225"/>
      <c r="BL359" s="225"/>
      <c r="BM359" s="225"/>
      <c r="BN359" s="225">
        <v>1014.78</v>
      </c>
      <c r="BO359" s="225">
        <v>6813.97</v>
      </c>
      <c r="BP359" s="230">
        <v>374.77</v>
      </c>
      <c r="BQ359" s="230">
        <v>7188.74</v>
      </c>
      <c r="BR359" s="230">
        <v>7188.74</v>
      </c>
      <c r="BS359" s="225" t="s">
        <v>188</v>
      </c>
      <c r="BT359" s="225"/>
      <c r="BU359" s="225"/>
      <c r="BV359" s="231" t="s">
        <v>4045</v>
      </c>
      <c r="BW359" s="225" t="s">
        <v>968</v>
      </c>
      <c r="BX359" s="301" t="s">
        <v>620</v>
      </c>
      <c r="BY359" s="301">
        <v>2022</v>
      </c>
    </row>
    <row r="360" spans="1:77" s="33" customFormat="1" ht="13.5" customHeight="1">
      <c r="A360" s="64">
        <f t="shared" si="33"/>
        <v>2022</v>
      </c>
      <c r="B360" s="64">
        <f t="shared" si="34"/>
        <v>2</v>
      </c>
      <c r="C360" s="125" t="s">
        <v>191</v>
      </c>
      <c r="D360" s="168" t="str">
        <f t="shared" si="35"/>
        <v>maj</v>
      </c>
      <c r="E360" s="232" t="s">
        <v>210</v>
      </c>
      <c r="F360" s="232" t="s">
        <v>1617</v>
      </c>
      <c r="G360" s="221">
        <v>1000</v>
      </c>
      <c r="H360" s="222">
        <v>44594</v>
      </c>
      <c r="I360" s="222">
        <v>44595</v>
      </c>
      <c r="J360" s="223"/>
      <c r="K360" s="222"/>
      <c r="L360" s="223">
        <v>44616</v>
      </c>
      <c r="M360" s="223">
        <v>44616</v>
      </c>
      <c r="N360" s="223">
        <v>44620</v>
      </c>
      <c r="O360" s="222"/>
      <c r="P360" s="222">
        <v>44739</v>
      </c>
      <c r="Q360" s="222">
        <v>44712</v>
      </c>
      <c r="R360" s="222" t="s">
        <v>176</v>
      </c>
      <c r="S360" s="222">
        <v>44769</v>
      </c>
      <c r="T360" s="222">
        <v>44769</v>
      </c>
      <c r="U360" s="222">
        <v>44770</v>
      </c>
      <c r="V360" s="224"/>
      <c r="W360" s="222"/>
      <c r="X360" s="225"/>
      <c r="Y360" s="225"/>
      <c r="Z360" s="225"/>
      <c r="AA360" s="225">
        <v>2</v>
      </c>
      <c r="AB360" s="225">
        <v>27745</v>
      </c>
      <c r="AC360" s="225">
        <v>110</v>
      </c>
      <c r="AD360" s="225" t="s">
        <v>3208</v>
      </c>
      <c r="AE360" s="225">
        <v>38140</v>
      </c>
      <c r="AF360" s="225" t="s">
        <v>1971</v>
      </c>
      <c r="AG360" s="226">
        <v>782674624</v>
      </c>
      <c r="AH360" s="241" t="s">
        <v>3209</v>
      </c>
      <c r="AI360" s="225"/>
      <c r="AJ360" s="225"/>
      <c r="AK360" s="225"/>
      <c r="AL360" s="225"/>
      <c r="AM360" s="225"/>
      <c r="AN360" s="225"/>
      <c r="AO360" s="225"/>
      <c r="AP360" s="222" t="s">
        <v>587</v>
      </c>
      <c r="AQ360" s="225" t="s">
        <v>225</v>
      </c>
      <c r="AR360" s="225" t="s">
        <v>2026</v>
      </c>
      <c r="AS360" s="241" t="s">
        <v>266</v>
      </c>
      <c r="AT360" s="226">
        <v>476069938</v>
      </c>
      <c r="AU360" s="225"/>
      <c r="AV360" s="241" t="s">
        <v>188</v>
      </c>
      <c r="AW360" s="223">
        <v>44822</v>
      </c>
      <c r="AX360" s="225" t="s">
        <v>1181</v>
      </c>
      <c r="AY360" s="242" t="s">
        <v>1935</v>
      </c>
      <c r="AZ360" s="225" t="s">
        <v>1880</v>
      </c>
      <c r="BA360" s="225" t="s">
        <v>380</v>
      </c>
      <c r="BB360" s="225" t="s">
        <v>280</v>
      </c>
      <c r="BC360" s="225" t="s">
        <v>3210</v>
      </c>
      <c r="BD360" s="242">
        <v>17</v>
      </c>
      <c r="BE360" s="242">
        <v>9</v>
      </c>
      <c r="BF360" s="242">
        <v>79.5</v>
      </c>
      <c r="BG360" s="242">
        <v>8.4080000000000002E-2</v>
      </c>
      <c r="BH360" s="225" t="s">
        <v>1882</v>
      </c>
      <c r="BI360" s="225"/>
      <c r="BJ360" s="242">
        <v>6582.95</v>
      </c>
      <c r="BK360" s="225"/>
      <c r="BL360" s="225"/>
      <c r="BM360" s="225"/>
      <c r="BN360" s="242">
        <v>300</v>
      </c>
      <c r="BO360" s="242">
        <v>6882.95</v>
      </c>
      <c r="BP360" s="242">
        <v>390.21</v>
      </c>
      <c r="BQ360" s="242">
        <v>7273.16</v>
      </c>
      <c r="BR360" s="230">
        <v>7261.54</v>
      </c>
      <c r="BS360" s="225" t="s">
        <v>191</v>
      </c>
      <c r="BT360" s="225"/>
      <c r="BU360" s="225"/>
      <c r="BV360" s="231" t="s">
        <v>4045</v>
      </c>
      <c r="BW360" s="225" t="s">
        <v>968</v>
      </c>
      <c r="BX360" s="222" t="s">
        <v>618</v>
      </c>
      <c r="BY360" s="301">
        <v>2022</v>
      </c>
    </row>
    <row r="361" spans="1:77" s="33" customFormat="1" ht="13.5" customHeight="1">
      <c r="A361" s="64">
        <f t="shared" si="33"/>
        <v>2022</v>
      </c>
      <c r="B361" s="64">
        <f t="shared" si="34"/>
        <v>2</v>
      </c>
      <c r="C361" s="125" t="s">
        <v>191</v>
      </c>
      <c r="D361" s="168" t="str">
        <f t="shared" si="35"/>
        <v>non maj</v>
      </c>
      <c r="E361" s="232" t="s">
        <v>210</v>
      </c>
      <c r="F361" s="232" t="s">
        <v>1620</v>
      </c>
      <c r="G361" s="221">
        <v>600</v>
      </c>
      <c r="H361" s="222">
        <v>44594</v>
      </c>
      <c r="I361" s="222">
        <v>44595</v>
      </c>
      <c r="J361" s="223" t="s">
        <v>687</v>
      </c>
      <c r="K361" s="222"/>
      <c r="L361" s="223">
        <v>44601</v>
      </c>
      <c r="M361" s="223">
        <v>44601</v>
      </c>
      <c r="N361" s="223">
        <v>44575</v>
      </c>
      <c r="O361" s="222"/>
      <c r="P361" s="222">
        <v>44750</v>
      </c>
      <c r="Q361" s="222">
        <v>44740</v>
      </c>
      <c r="R361" s="222" t="s">
        <v>176</v>
      </c>
      <c r="S361" s="222">
        <v>44769</v>
      </c>
      <c r="T361" s="222">
        <v>44769</v>
      </c>
      <c r="U361" s="222">
        <v>44770</v>
      </c>
      <c r="V361" s="224"/>
      <c r="W361" s="222"/>
      <c r="X361" s="225"/>
      <c r="Y361" s="225"/>
      <c r="Z361" s="225"/>
      <c r="AA361" s="225">
        <v>2</v>
      </c>
      <c r="AB361" s="225">
        <v>40271</v>
      </c>
      <c r="AC361" s="225">
        <v>127</v>
      </c>
      <c r="AD361" s="225" t="s">
        <v>3211</v>
      </c>
      <c r="AE361" s="225">
        <v>38850</v>
      </c>
      <c r="AF361" s="225" t="s">
        <v>1931</v>
      </c>
      <c r="AG361" s="226">
        <v>670991193</v>
      </c>
      <c r="AH361" s="241" t="s">
        <v>3212</v>
      </c>
      <c r="AI361" s="225" t="s">
        <v>1168</v>
      </c>
      <c r="AJ361" s="225"/>
      <c r="AK361" s="225"/>
      <c r="AL361" s="225"/>
      <c r="AM361" s="225"/>
      <c r="AN361" s="225"/>
      <c r="AO361" s="225"/>
      <c r="AP361" s="222" t="s">
        <v>587</v>
      </c>
      <c r="AQ361" s="225" t="s">
        <v>225</v>
      </c>
      <c r="AR361" s="225" t="s">
        <v>2026</v>
      </c>
      <c r="AS361" s="241" t="s">
        <v>266</v>
      </c>
      <c r="AT361" s="226">
        <v>476069938</v>
      </c>
      <c r="AU361" s="225"/>
      <c r="AV361" s="241" t="s">
        <v>188</v>
      </c>
      <c r="AW361" s="223">
        <v>44822</v>
      </c>
      <c r="AX361" s="225" t="s">
        <v>4113</v>
      </c>
      <c r="AY361" s="242">
        <v>1989</v>
      </c>
      <c r="AZ361" s="225" t="s">
        <v>1880</v>
      </c>
      <c r="BA361" s="225" t="s">
        <v>267</v>
      </c>
      <c r="BB361" s="225" t="s">
        <v>853</v>
      </c>
      <c r="BC361" s="225" t="s">
        <v>3213</v>
      </c>
      <c r="BD361" s="242">
        <v>15</v>
      </c>
      <c r="BE361" s="242">
        <v>7.3</v>
      </c>
      <c r="BF361" s="242">
        <v>91.9</v>
      </c>
      <c r="BG361" s="242">
        <v>5.4400000000000004E-3</v>
      </c>
      <c r="BH361" s="225" t="s">
        <v>1882</v>
      </c>
      <c r="BI361" s="225"/>
      <c r="BJ361" s="242">
        <v>5105</v>
      </c>
      <c r="BK361" s="225"/>
      <c r="BL361" s="225"/>
      <c r="BM361" s="225"/>
      <c r="BN361" s="242">
        <v>591</v>
      </c>
      <c r="BO361" s="242">
        <v>5696</v>
      </c>
      <c r="BP361" s="242">
        <v>313.29000000000002</v>
      </c>
      <c r="BQ361" s="242">
        <v>6009.29</v>
      </c>
      <c r="BR361" s="230">
        <v>6009.29</v>
      </c>
      <c r="BS361" s="225" t="s">
        <v>191</v>
      </c>
      <c r="BT361" s="225"/>
      <c r="BU361" s="225"/>
      <c r="BV361" s="231" t="s">
        <v>4045</v>
      </c>
      <c r="BW361" s="225" t="s">
        <v>968</v>
      </c>
      <c r="BX361" s="301" t="s">
        <v>620</v>
      </c>
      <c r="BY361" s="301" t="s">
        <v>176</v>
      </c>
    </row>
    <row r="362" spans="1:77" s="33" customFormat="1" ht="13.5" customHeight="1">
      <c r="A362" s="64">
        <f t="shared" si="33"/>
        <v>1900</v>
      </c>
      <c r="B362" s="64">
        <f t="shared" si="34"/>
        <v>1</v>
      </c>
      <c r="C362" s="125" t="s">
        <v>188</v>
      </c>
      <c r="D362" s="168" t="str">
        <f t="shared" si="35"/>
        <v>NC</v>
      </c>
      <c r="E362" s="294" t="s">
        <v>210</v>
      </c>
      <c r="F362" s="294" t="s">
        <v>3214</v>
      </c>
      <c r="G362" s="221" t="s">
        <v>3204</v>
      </c>
      <c r="H362" s="222"/>
      <c r="I362" s="222"/>
      <c r="J362" s="223"/>
      <c r="K362" s="222"/>
      <c r="L362" s="223"/>
      <c r="M362" s="223"/>
      <c r="N362" s="223"/>
      <c r="O362" s="222"/>
      <c r="P362" s="222"/>
      <c r="Q362" s="222"/>
      <c r="R362" s="222"/>
      <c r="S362" s="222"/>
      <c r="T362" s="222"/>
      <c r="U362" s="222"/>
      <c r="V362" s="224"/>
      <c r="W362" s="222">
        <v>1</v>
      </c>
      <c r="X362" s="225"/>
      <c r="Y362" s="225"/>
      <c r="Z362" s="225"/>
      <c r="AA362" s="225"/>
      <c r="AB362" s="225"/>
      <c r="AC362" s="225"/>
      <c r="AD362" s="225"/>
      <c r="AE362" s="225"/>
      <c r="AF362" s="225"/>
      <c r="AG362" s="226"/>
      <c r="AH362" s="241"/>
      <c r="AI362" s="225"/>
      <c r="AJ362" s="225"/>
      <c r="AK362" s="225"/>
      <c r="AL362" s="225"/>
      <c r="AM362" s="225"/>
      <c r="AN362" s="225"/>
      <c r="AO362" s="225"/>
      <c r="AP362" s="225"/>
      <c r="AQ362" s="225"/>
      <c r="AR362" s="225"/>
      <c r="AS362" s="246"/>
      <c r="AT362" s="226"/>
      <c r="AU362" s="225"/>
      <c r="AV362" s="225"/>
      <c r="AW362" s="223"/>
      <c r="AX362" s="225"/>
      <c r="AY362" s="225"/>
      <c r="AZ362" s="225"/>
      <c r="BA362" s="225"/>
      <c r="BB362" s="225"/>
      <c r="BC362" s="225"/>
      <c r="BD362" s="225"/>
      <c r="BE362" s="225"/>
      <c r="BF362" s="225"/>
      <c r="BG362" s="225"/>
      <c r="BH362" s="225"/>
      <c r="BI362" s="225"/>
      <c r="BJ362" s="225"/>
      <c r="BK362" s="225"/>
      <c r="BL362" s="225"/>
      <c r="BM362" s="225"/>
      <c r="BN362" s="225"/>
      <c r="BO362" s="225"/>
      <c r="BP362" s="230"/>
      <c r="BQ362" s="230"/>
      <c r="BR362" s="230"/>
      <c r="BS362" s="225"/>
      <c r="BT362" s="225"/>
      <c r="BU362" s="225"/>
      <c r="BV362" s="231">
        <v>0</v>
      </c>
      <c r="BW362" s="301" t="s">
        <v>3118</v>
      </c>
      <c r="BX362" s="301" t="s">
        <v>214</v>
      </c>
      <c r="BY362" s="301"/>
    </row>
    <row r="363" spans="1:77" s="33" customFormat="1" ht="13.5" customHeight="1">
      <c r="A363" s="64">
        <f t="shared" si="33"/>
        <v>1900</v>
      </c>
      <c r="B363" s="64">
        <f t="shared" si="34"/>
        <v>1</v>
      </c>
      <c r="C363" s="125" t="s">
        <v>188</v>
      </c>
      <c r="D363" s="168" t="str">
        <f t="shared" si="35"/>
        <v>NC</v>
      </c>
      <c r="E363" s="294" t="s">
        <v>898</v>
      </c>
      <c r="F363" s="294" t="s">
        <v>1621</v>
      </c>
      <c r="G363" s="221">
        <v>1000</v>
      </c>
      <c r="H363" s="222">
        <v>44599</v>
      </c>
      <c r="I363" s="222">
        <v>44603</v>
      </c>
      <c r="J363" s="223"/>
      <c r="K363" s="222" t="s">
        <v>3215</v>
      </c>
      <c r="L363" s="223"/>
      <c r="M363" s="223"/>
      <c r="N363" s="223"/>
      <c r="O363" s="222"/>
      <c r="P363" s="222"/>
      <c r="Q363" s="222"/>
      <c r="R363" s="222"/>
      <c r="S363" s="222"/>
      <c r="T363" s="222"/>
      <c r="U363" s="222"/>
      <c r="V363" s="224"/>
      <c r="W363" s="222">
        <v>44930</v>
      </c>
      <c r="X363" s="225" t="s">
        <v>3216</v>
      </c>
      <c r="Y363" s="225"/>
      <c r="Z363" s="225"/>
      <c r="AA363" s="225">
        <v>4</v>
      </c>
      <c r="AB363" s="225">
        <v>35077</v>
      </c>
      <c r="AC363" s="225">
        <v>55</v>
      </c>
      <c r="AD363" s="225" t="s">
        <v>2111</v>
      </c>
      <c r="AE363" s="225">
        <v>38340</v>
      </c>
      <c r="AF363" s="225" t="s">
        <v>232</v>
      </c>
      <c r="AG363" s="226">
        <v>675419207</v>
      </c>
      <c r="AH363" s="241" t="s">
        <v>3217</v>
      </c>
      <c r="AI363" s="225" t="s">
        <v>1168</v>
      </c>
      <c r="AJ363" s="225"/>
      <c r="AK363" s="225"/>
      <c r="AL363" s="225"/>
      <c r="AM363" s="225"/>
      <c r="AN363" s="225"/>
      <c r="AO363" s="225"/>
      <c r="AP363" s="225" t="s">
        <v>3218</v>
      </c>
      <c r="AQ363" s="225" t="s">
        <v>3219</v>
      </c>
      <c r="AR363" s="225" t="s">
        <v>3220</v>
      </c>
      <c r="AS363" s="246" t="s">
        <v>3221</v>
      </c>
      <c r="AT363" s="226" t="s">
        <v>870</v>
      </c>
      <c r="AU363" s="225" t="s">
        <v>1049</v>
      </c>
      <c r="AV363" s="225" t="s">
        <v>191</v>
      </c>
      <c r="AW363" s="223">
        <v>44848</v>
      </c>
      <c r="AX363" s="225"/>
      <c r="AY363" s="225"/>
      <c r="AZ363" s="225"/>
      <c r="BA363" s="225"/>
      <c r="BB363" s="225"/>
      <c r="BC363" s="225"/>
      <c r="BD363" s="225"/>
      <c r="BE363" s="225"/>
      <c r="BF363" s="225"/>
      <c r="BG363" s="225"/>
      <c r="BH363" s="225"/>
      <c r="BI363" s="225"/>
      <c r="BJ363" s="225"/>
      <c r="BK363" s="225"/>
      <c r="BL363" s="225"/>
      <c r="BM363" s="225"/>
      <c r="BN363" s="225"/>
      <c r="BO363" s="225"/>
      <c r="BP363" s="230"/>
      <c r="BQ363" s="230"/>
      <c r="BR363" s="230"/>
      <c r="BS363" s="225"/>
      <c r="BT363" s="225"/>
      <c r="BU363" s="225"/>
      <c r="BV363" s="301">
        <v>0</v>
      </c>
      <c r="BW363" s="301" t="s">
        <v>3118</v>
      </c>
      <c r="BX363" s="301" t="s">
        <v>214</v>
      </c>
      <c r="BY363" s="301"/>
    </row>
    <row r="364" spans="1:77" s="33" customFormat="1" ht="13.5" customHeight="1">
      <c r="A364" s="64">
        <f t="shared" si="33"/>
        <v>2022</v>
      </c>
      <c r="B364" s="64">
        <f t="shared" si="34"/>
        <v>2</v>
      </c>
      <c r="C364" s="125" t="s">
        <v>191</v>
      </c>
      <c r="D364" s="168" t="str">
        <f t="shared" si="35"/>
        <v>non maj</v>
      </c>
      <c r="E364" s="232" t="s">
        <v>898</v>
      </c>
      <c r="F364" s="232" t="s">
        <v>1623</v>
      </c>
      <c r="G364" s="221">
        <v>600</v>
      </c>
      <c r="H364" s="222">
        <v>44600</v>
      </c>
      <c r="I364" s="222">
        <v>44603</v>
      </c>
      <c r="J364" s="223" t="s">
        <v>176</v>
      </c>
      <c r="K364" s="222" t="s">
        <v>176</v>
      </c>
      <c r="L364" s="223">
        <v>44606</v>
      </c>
      <c r="M364" s="223">
        <v>44606</v>
      </c>
      <c r="N364" s="223">
        <v>44614</v>
      </c>
      <c r="O364" s="222"/>
      <c r="P364" s="222">
        <v>44824</v>
      </c>
      <c r="Q364" s="222">
        <v>44813</v>
      </c>
      <c r="R364" s="222" t="s">
        <v>176</v>
      </c>
      <c r="S364" s="222">
        <v>44873</v>
      </c>
      <c r="T364" s="222">
        <v>44873</v>
      </c>
      <c r="U364" s="222">
        <v>44879</v>
      </c>
      <c r="V364" s="224"/>
      <c r="W364" s="222"/>
      <c r="X364" s="225"/>
      <c r="Y364" s="225"/>
      <c r="Z364" s="225"/>
      <c r="AA364" s="225">
        <v>3</v>
      </c>
      <c r="AB364" s="225">
        <v>66831</v>
      </c>
      <c r="AC364" s="225">
        <v>87</v>
      </c>
      <c r="AD364" s="225" t="s">
        <v>3222</v>
      </c>
      <c r="AE364" s="225">
        <v>38430</v>
      </c>
      <c r="AF364" s="225" t="s">
        <v>1893</v>
      </c>
      <c r="AG364" s="226">
        <v>476932468</v>
      </c>
      <c r="AH364" s="241" t="s">
        <v>3223</v>
      </c>
      <c r="AI364" s="225" t="s">
        <v>1168</v>
      </c>
      <c r="AJ364" s="225"/>
      <c r="AK364" s="225"/>
      <c r="AL364" s="225"/>
      <c r="AM364" s="225"/>
      <c r="AN364" s="225"/>
      <c r="AO364" s="225"/>
      <c r="AP364" s="225" t="s">
        <v>268</v>
      </c>
      <c r="AQ364" s="225" t="s">
        <v>1893</v>
      </c>
      <c r="AR364" s="225" t="s">
        <v>1933</v>
      </c>
      <c r="AS364" s="246" t="s">
        <v>1934</v>
      </c>
      <c r="AT364" s="226">
        <v>476355605</v>
      </c>
      <c r="AU364" s="225" t="s">
        <v>176</v>
      </c>
      <c r="AV364" s="241" t="s">
        <v>188</v>
      </c>
      <c r="AW364" s="223">
        <v>44860</v>
      </c>
      <c r="AX364" s="225" t="s">
        <v>4113</v>
      </c>
      <c r="AY364" s="225">
        <v>1995</v>
      </c>
      <c r="AZ364" s="225" t="s">
        <v>1880</v>
      </c>
      <c r="BA364" s="225" t="s">
        <v>380</v>
      </c>
      <c r="BB364" s="225" t="s">
        <v>1936</v>
      </c>
      <c r="BC364" s="225" t="s">
        <v>407</v>
      </c>
      <c r="BD364" s="225">
        <v>17</v>
      </c>
      <c r="BE364" s="225">
        <v>8.1999999999999993</v>
      </c>
      <c r="BF364" s="225">
        <v>81.5</v>
      </c>
      <c r="BG364" s="225">
        <v>0.1</v>
      </c>
      <c r="BH364" s="225" t="s">
        <v>1882</v>
      </c>
      <c r="BI364" s="225"/>
      <c r="BJ364" s="225">
        <f>704.52+43.52+226.13+737.16+110.12+69.05+107.68+70.86+68.69+145.5+609.8+3050+218+89.6+45.35</f>
        <v>6295.9800000000005</v>
      </c>
      <c r="BK364" s="225"/>
      <c r="BL364" s="225"/>
      <c r="BM364" s="225"/>
      <c r="BN364" s="225">
        <f>525+412.45</f>
        <v>937.45</v>
      </c>
      <c r="BO364" s="225">
        <f>BJ364+BN364</f>
        <v>7233.43</v>
      </c>
      <c r="BP364" s="230">
        <f>BO364*0.055</f>
        <v>397.83865000000003</v>
      </c>
      <c r="BQ364" s="230">
        <f>BO364*1.055</f>
        <v>7631.26865</v>
      </c>
      <c r="BR364" s="230">
        <v>7631.27</v>
      </c>
      <c r="BS364" s="225" t="s">
        <v>191</v>
      </c>
      <c r="BT364" s="225"/>
      <c r="BU364" s="225"/>
      <c r="BV364" s="231" t="s">
        <v>4045</v>
      </c>
      <c r="BW364" s="225" t="s">
        <v>968</v>
      </c>
      <c r="BX364" s="301" t="s">
        <v>620</v>
      </c>
      <c r="BY364" s="301">
        <v>2022</v>
      </c>
    </row>
    <row r="365" spans="1:77" s="33" customFormat="1" ht="13.5" customHeight="1">
      <c r="A365" s="64">
        <f t="shared" si="33"/>
        <v>2022</v>
      </c>
      <c r="B365" s="64">
        <f t="shared" si="34"/>
        <v>2</v>
      </c>
      <c r="C365" s="125" t="s">
        <v>191</v>
      </c>
      <c r="D365" s="168" t="str">
        <f t="shared" si="35"/>
        <v>maj</v>
      </c>
      <c r="E365" s="225" t="s">
        <v>898</v>
      </c>
      <c r="F365" s="225" t="s">
        <v>1626</v>
      </c>
      <c r="G365" s="221">
        <v>1000</v>
      </c>
      <c r="H365" s="222">
        <v>44601</v>
      </c>
      <c r="I365" s="222">
        <v>44603</v>
      </c>
      <c r="J365" s="223" t="s">
        <v>176</v>
      </c>
      <c r="K365" s="222" t="s">
        <v>176</v>
      </c>
      <c r="L365" s="223">
        <v>44606</v>
      </c>
      <c r="M365" s="223">
        <v>44606</v>
      </c>
      <c r="N365" s="223">
        <v>44614</v>
      </c>
      <c r="O365" s="222"/>
      <c r="P365" s="222"/>
      <c r="Q365" s="222"/>
      <c r="R365" s="222"/>
      <c r="S365" s="222"/>
      <c r="T365" s="222"/>
      <c r="U365" s="222"/>
      <c r="V365" s="224"/>
      <c r="W365" s="222"/>
      <c r="X365" s="225"/>
      <c r="Y365" s="225"/>
      <c r="Z365" s="225"/>
      <c r="AA365" s="225">
        <v>1</v>
      </c>
      <c r="AB365" s="225">
        <v>11636</v>
      </c>
      <c r="AC365" s="225">
        <v>81</v>
      </c>
      <c r="AD365" s="225" t="s">
        <v>3224</v>
      </c>
      <c r="AE365" s="225">
        <v>38620</v>
      </c>
      <c r="AF365" s="225" t="s">
        <v>2010</v>
      </c>
      <c r="AG365" s="226">
        <v>636829576</v>
      </c>
      <c r="AH365" s="241" t="s">
        <v>3225</v>
      </c>
      <c r="AI365" s="225" t="s">
        <v>1168</v>
      </c>
      <c r="AJ365" s="225"/>
      <c r="AK365" s="225"/>
      <c r="AL365" s="225"/>
      <c r="AM365" s="225"/>
      <c r="AN365" s="225"/>
      <c r="AO365" s="225"/>
      <c r="AP365" s="225" t="s">
        <v>1874</v>
      </c>
      <c r="AQ365" s="225" t="s">
        <v>1875</v>
      </c>
      <c r="AR365" s="225" t="s">
        <v>3076</v>
      </c>
      <c r="AS365" s="241" t="s">
        <v>1877</v>
      </c>
      <c r="AT365" s="226" t="s">
        <v>434</v>
      </c>
      <c r="AU365" s="225" t="s">
        <v>176</v>
      </c>
      <c r="AV365" s="217" t="s">
        <v>188</v>
      </c>
      <c r="AW365" s="223">
        <v>44821</v>
      </c>
      <c r="AX365" s="225" t="s">
        <v>1179</v>
      </c>
      <c r="AY365" s="225">
        <v>1985</v>
      </c>
      <c r="AZ365" s="225" t="s">
        <v>1880</v>
      </c>
      <c r="BA365" s="225" t="s">
        <v>267</v>
      </c>
      <c r="BB365" s="225" t="s">
        <v>190</v>
      </c>
      <c r="BC365" s="225" t="s">
        <v>3226</v>
      </c>
      <c r="BD365" s="225">
        <v>17</v>
      </c>
      <c r="BE365" s="225">
        <v>12</v>
      </c>
      <c r="BF365" s="225">
        <v>93</v>
      </c>
      <c r="BG365" s="225">
        <v>0.01</v>
      </c>
      <c r="BH365" s="225" t="s">
        <v>1882</v>
      </c>
      <c r="BI365" s="225"/>
      <c r="BJ365" s="225">
        <f>4700+795+95+193+397+228</f>
        <v>6408</v>
      </c>
      <c r="BK365" s="225"/>
      <c r="BL365" s="225"/>
      <c r="BM365" s="225"/>
      <c r="BN365" s="225">
        <v>980</v>
      </c>
      <c r="BO365" s="225">
        <f>BJ365+BN365</f>
        <v>7388</v>
      </c>
      <c r="BP365" s="230">
        <f>BO365*0.055</f>
        <v>406.34</v>
      </c>
      <c r="BQ365" s="230">
        <f>BO365*1.055</f>
        <v>7794.3399999999992</v>
      </c>
      <c r="BR365" s="230"/>
      <c r="BS365" s="225" t="s">
        <v>188</v>
      </c>
      <c r="BT365" s="225"/>
      <c r="BU365" s="225"/>
      <c r="BV365" s="301" t="s">
        <v>4045</v>
      </c>
      <c r="BW365" s="225" t="s">
        <v>968</v>
      </c>
      <c r="BX365" s="222" t="s">
        <v>618</v>
      </c>
      <c r="BY365" s="301" t="s">
        <v>176</v>
      </c>
    </row>
    <row r="366" spans="1:77" s="33" customFormat="1" ht="13.5" customHeight="1">
      <c r="A366" s="64">
        <f t="shared" si="33"/>
        <v>1900</v>
      </c>
      <c r="B366" s="64">
        <f t="shared" si="34"/>
        <v>1</v>
      </c>
      <c r="C366" s="125" t="s">
        <v>191</v>
      </c>
      <c r="D366" s="168" t="str">
        <f t="shared" si="35"/>
        <v>non maj</v>
      </c>
      <c r="E366" s="225" t="s">
        <v>898</v>
      </c>
      <c r="F366" s="225" t="s">
        <v>1627</v>
      </c>
      <c r="G366" s="221">
        <v>600</v>
      </c>
      <c r="H366" s="222">
        <v>44603</v>
      </c>
      <c r="I366" s="222">
        <v>44607</v>
      </c>
      <c r="J366" s="223">
        <v>44615</v>
      </c>
      <c r="K366" s="222" t="s">
        <v>3227</v>
      </c>
      <c r="L366" s="223"/>
      <c r="M366" s="223"/>
      <c r="N366" s="223"/>
      <c r="O366" s="222"/>
      <c r="P366" s="222"/>
      <c r="Q366" s="222"/>
      <c r="R366" s="222"/>
      <c r="S366" s="222"/>
      <c r="T366" s="222"/>
      <c r="U366" s="222"/>
      <c r="V366" s="224"/>
      <c r="W366" s="222"/>
      <c r="X366" s="225"/>
      <c r="Y366" s="225"/>
      <c r="Z366" s="225"/>
      <c r="AA366" s="225">
        <v>2</v>
      </c>
      <c r="AB366" s="225">
        <f>30661+13164</f>
        <v>43825</v>
      </c>
      <c r="AC366" s="225">
        <v>17</v>
      </c>
      <c r="AD366" s="225" t="s">
        <v>3228</v>
      </c>
      <c r="AE366" s="225">
        <v>38500</v>
      </c>
      <c r="AF366" s="225" t="s">
        <v>225</v>
      </c>
      <c r="AG366" s="226">
        <v>607088131</v>
      </c>
      <c r="AH366" s="241" t="s">
        <v>3229</v>
      </c>
      <c r="AI366" s="225" t="s">
        <v>1168</v>
      </c>
      <c r="AJ366" s="225"/>
      <c r="AK366" s="225"/>
      <c r="AL366" s="225"/>
      <c r="AM366" s="225"/>
      <c r="AN366" s="225"/>
      <c r="AO366" s="225"/>
      <c r="AP366" s="225" t="s">
        <v>805</v>
      </c>
      <c r="AQ366" s="225" t="s">
        <v>193</v>
      </c>
      <c r="AR366" s="225" t="s">
        <v>785</v>
      </c>
      <c r="AS366" s="241" t="s">
        <v>253</v>
      </c>
      <c r="AT366" s="226" t="s">
        <v>571</v>
      </c>
      <c r="AU366" s="225" t="s">
        <v>176</v>
      </c>
      <c r="AV366" s="241" t="s">
        <v>188</v>
      </c>
      <c r="AW366" s="223">
        <v>44763</v>
      </c>
      <c r="AX366" s="225" t="s">
        <v>1880</v>
      </c>
      <c r="AY366" s="225" t="s">
        <v>1935</v>
      </c>
      <c r="AZ366" s="225" t="s">
        <v>1880</v>
      </c>
      <c r="BA366" s="225"/>
      <c r="BB366" s="225"/>
      <c r="BC366" s="225"/>
      <c r="BD366" s="225"/>
      <c r="BE366" s="225"/>
      <c r="BF366" s="225"/>
      <c r="BG366" s="225"/>
      <c r="BH366" s="225"/>
      <c r="BI366" s="225"/>
      <c r="BJ366" s="225"/>
      <c r="BK366" s="225"/>
      <c r="BL366" s="225"/>
      <c r="BM366" s="225"/>
      <c r="BN366" s="225"/>
      <c r="BO366" s="225"/>
      <c r="BP366" s="230"/>
      <c r="BQ366" s="230"/>
      <c r="BR366" s="230"/>
      <c r="BS366" s="225"/>
      <c r="BT366" s="225"/>
      <c r="BU366" s="225"/>
      <c r="BV366" s="231"/>
      <c r="BW366" s="301"/>
      <c r="BX366" s="301" t="s">
        <v>620</v>
      </c>
      <c r="BY366" s="301"/>
    </row>
    <row r="367" spans="1:77" s="33" customFormat="1" ht="13.5" customHeight="1">
      <c r="A367" s="64">
        <f t="shared" si="33"/>
        <v>2022</v>
      </c>
      <c r="B367" s="64">
        <f t="shared" si="34"/>
        <v>2</v>
      </c>
      <c r="C367" s="125" t="s">
        <v>191</v>
      </c>
      <c r="D367" s="168" t="str">
        <f t="shared" si="35"/>
        <v>maj</v>
      </c>
      <c r="E367" s="232" t="s">
        <v>898</v>
      </c>
      <c r="F367" s="232" t="s">
        <v>1629</v>
      </c>
      <c r="G367" s="221">
        <v>1000</v>
      </c>
      <c r="H367" s="222">
        <v>44603</v>
      </c>
      <c r="I367" s="222">
        <v>44607</v>
      </c>
      <c r="J367" s="223" t="s">
        <v>176</v>
      </c>
      <c r="K367" s="222" t="s">
        <v>176</v>
      </c>
      <c r="L367" s="223">
        <v>44615</v>
      </c>
      <c r="M367" s="223">
        <v>44615</v>
      </c>
      <c r="N367" s="223">
        <v>44617</v>
      </c>
      <c r="O367" s="222"/>
      <c r="P367" s="222">
        <v>44656</v>
      </c>
      <c r="Q367" s="222">
        <v>44653</v>
      </c>
      <c r="R367" s="222"/>
      <c r="S367" s="222">
        <v>44665</v>
      </c>
      <c r="T367" s="222">
        <v>44665</v>
      </c>
      <c r="U367" s="222">
        <v>44666</v>
      </c>
      <c r="V367" s="224"/>
      <c r="W367" s="222"/>
      <c r="X367" s="225"/>
      <c r="Y367" s="225"/>
      <c r="Z367" s="225"/>
      <c r="AA367" s="225">
        <v>2</v>
      </c>
      <c r="AB367" s="225">
        <v>8876</v>
      </c>
      <c r="AC367" s="225">
        <v>100</v>
      </c>
      <c r="AD367" s="225" t="s">
        <v>3230</v>
      </c>
      <c r="AE367" s="225">
        <v>38730</v>
      </c>
      <c r="AF367" s="225" t="s">
        <v>1916</v>
      </c>
      <c r="AG367" s="226">
        <v>766131436</v>
      </c>
      <c r="AH367" s="241" t="s">
        <v>3231</v>
      </c>
      <c r="AI367" s="225" t="s">
        <v>1168</v>
      </c>
      <c r="AJ367" s="225"/>
      <c r="AK367" s="225"/>
      <c r="AL367" s="225"/>
      <c r="AM367" s="225"/>
      <c r="AN367" s="225"/>
      <c r="AO367" s="225"/>
      <c r="AP367" s="225" t="s">
        <v>222</v>
      </c>
      <c r="AQ367" s="225" t="s">
        <v>2038</v>
      </c>
      <c r="AR367" s="225" t="s">
        <v>1043</v>
      </c>
      <c r="AS367" s="241" t="s">
        <v>224</v>
      </c>
      <c r="AT367" s="226" t="s">
        <v>669</v>
      </c>
      <c r="AU367" s="225" t="s">
        <v>176</v>
      </c>
      <c r="AV367" s="217" t="s">
        <v>388</v>
      </c>
      <c r="AW367" s="223">
        <v>44798</v>
      </c>
      <c r="AX367" s="225" t="s">
        <v>1880</v>
      </c>
      <c r="AY367" s="225">
        <v>2000</v>
      </c>
      <c r="AZ367" s="225" t="s">
        <v>1880</v>
      </c>
      <c r="BA367" s="225" t="s">
        <v>267</v>
      </c>
      <c r="BB367" s="225" t="s">
        <v>221</v>
      </c>
      <c r="BC367" s="225" t="s">
        <v>3232</v>
      </c>
      <c r="BD367" s="225">
        <v>11</v>
      </c>
      <c r="BE367" s="225">
        <v>7.8</v>
      </c>
      <c r="BF367" s="225">
        <v>90.2</v>
      </c>
      <c r="BG367" s="225">
        <v>6.0000000000000001E-3</v>
      </c>
      <c r="BH367" s="225" t="s">
        <v>1882</v>
      </c>
      <c r="BI367" s="225"/>
      <c r="BJ367" s="225">
        <f>1163+3746</f>
        <v>4909</v>
      </c>
      <c r="BK367" s="225"/>
      <c r="BL367" s="225"/>
      <c r="BM367" s="225"/>
      <c r="BN367" s="225">
        <v>806.67</v>
      </c>
      <c r="BO367" s="225">
        <f t="shared" ref="BO367:BO373" si="37">BJ367+BN367</f>
        <v>5715.67</v>
      </c>
      <c r="BP367" s="230">
        <f t="shared" ref="BP367:BP373" si="38">BO367*0.055</f>
        <v>314.36185</v>
      </c>
      <c r="BQ367" s="230">
        <f>BO367+BP367</f>
        <v>6030.0318500000003</v>
      </c>
      <c r="BR367" s="230">
        <v>6030.03</v>
      </c>
      <c r="BS367" s="225" t="s">
        <v>188</v>
      </c>
      <c r="BT367" s="225"/>
      <c r="BU367" s="225"/>
      <c r="BV367" s="231" t="s">
        <v>4045</v>
      </c>
      <c r="BW367" s="225" t="s">
        <v>968</v>
      </c>
      <c r="BX367" s="222" t="s">
        <v>618</v>
      </c>
      <c r="BY367" s="301" t="s">
        <v>176</v>
      </c>
    </row>
    <row r="368" spans="1:77" s="33" customFormat="1" ht="13.5" customHeight="1">
      <c r="A368" s="64">
        <f t="shared" si="33"/>
        <v>2022</v>
      </c>
      <c r="B368" s="64">
        <f t="shared" si="34"/>
        <v>3</v>
      </c>
      <c r="C368" s="125" t="s">
        <v>191</v>
      </c>
      <c r="D368" s="168" t="str">
        <f t="shared" si="35"/>
        <v>non maj</v>
      </c>
      <c r="E368" s="232" t="s">
        <v>898</v>
      </c>
      <c r="F368" s="232" t="s">
        <v>3233</v>
      </c>
      <c r="G368" s="221">
        <v>600</v>
      </c>
      <c r="H368" s="222">
        <v>44607</v>
      </c>
      <c r="I368" s="222">
        <v>44607</v>
      </c>
      <c r="J368" s="223">
        <v>44615</v>
      </c>
      <c r="K368" s="222" t="s">
        <v>3234</v>
      </c>
      <c r="L368" s="223">
        <v>44624</v>
      </c>
      <c r="M368" s="223">
        <v>44624</v>
      </c>
      <c r="N368" s="223">
        <v>44628</v>
      </c>
      <c r="O368" s="222"/>
      <c r="P368" s="222">
        <v>44711</v>
      </c>
      <c r="Q368" s="222">
        <v>44705</v>
      </c>
      <c r="R368" s="222" t="s">
        <v>176</v>
      </c>
      <c r="S368" s="222">
        <v>44768</v>
      </c>
      <c r="T368" s="222">
        <v>44768</v>
      </c>
      <c r="U368" s="222">
        <v>44769</v>
      </c>
      <c r="V368" s="224"/>
      <c r="W368" s="222"/>
      <c r="X368" s="225"/>
      <c r="Y368" s="225"/>
      <c r="Z368" s="225"/>
      <c r="AA368" s="225">
        <v>2</v>
      </c>
      <c r="AB368" s="225">
        <v>33847</v>
      </c>
      <c r="AC368" s="225">
        <v>230</v>
      </c>
      <c r="AD368" s="225" t="s">
        <v>2591</v>
      </c>
      <c r="AE368" s="225">
        <v>38340</v>
      </c>
      <c r="AF368" s="225" t="s">
        <v>2134</v>
      </c>
      <c r="AG368" s="226">
        <v>618827199</v>
      </c>
      <c r="AH368" s="241" t="s">
        <v>3235</v>
      </c>
      <c r="AI368" s="225" t="s">
        <v>1168</v>
      </c>
      <c r="AJ368" s="225"/>
      <c r="AK368" s="225"/>
      <c r="AL368" s="225"/>
      <c r="AM368" s="225"/>
      <c r="AN368" s="225"/>
      <c r="AO368" s="225"/>
      <c r="AP368" s="225" t="s">
        <v>2052</v>
      </c>
      <c r="AQ368" s="225" t="s">
        <v>232</v>
      </c>
      <c r="AR368" s="225" t="s">
        <v>233</v>
      </c>
      <c r="AS368" s="241" t="s">
        <v>234</v>
      </c>
      <c r="AT368" s="226">
        <v>476500550</v>
      </c>
      <c r="AU368" s="225" t="s">
        <v>176</v>
      </c>
      <c r="AV368" s="241" t="s">
        <v>188</v>
      </c>
      <c r="AW368" s="223">
        <v>44740</v>
      </c>
      <c r="AX368" s="225" t="s">
        <v>1880</v>
      </c>
      <c r="AY368" s="225" t="s">
        <v>1967</v>
      </c>
      <c r="AZ368" s="225" t="s">
        <v>1880</v>
      </c>
      <c r="BA368" s="225" t="s">
        <v>380</v>
      </c>
      <c r="BB368" s="225" t="s">
        <v>981</v>
      </c>
      <c r="BC368" s="225">
        <v>800</v>
      </c>
      <c r="BD368" s="225">
        <v>30</v>
      </c>
      <c r="BE368" s="225">
        <v>7</v>
      </c>
      <c r="BF368" s="225">
        <v>75</v>
      </c>
      <c r="BG368" s="225">
        <v>0.12</v>
      </c>
      <c r="BH368" s="225" t="s">
        <v>1882</v>
      </c>
      <c r="BI368" s="225"/>
      <c r="BJ368" s="225">
        <f>49.38+22.13+79.48+2625+245.2</f>
        <v>3021.1899999999996</v>
      </c>
      <c r="BK368" s="225"/>
      <c r="BL368" s="225"/>
      <c r="BM368" s="225"/>
      <c r="BN368" s="225">
        <f>73.76+900</f>
        <v>973.76</v>
      </c>
      <c r="BO368" s="225">
        <f t="shared" si="37"/>
        <v>3994.95</v>
      </c>
      <c r="BP368" s="230">
        <f t="shared" si="38"/>
        <v>219.72225</v>
      </c>
      <c r="BQ368" s="230">
        <f>BO368*1.055</f>
        <v>4214.6722499999996</v>
      </c>
      <c r="BR368" s="230">
        <v>4113.51</v>
      </c>
      <c r="BS368" s="225" t="s">
        <v>188</v>
      </c>
      <c r="BT368" s="225"/>
      <c r="BU368" s="225"/>
      <c r="BV368" s="231" t="s">
        <v>4045</v>
      </c>
      <c r="BW368" s="225" t="s">
        <v>968</v>
      </c>
      <c r="BX368" s="301" t="s">
        <v>620</v>
      </c>
      <c r="BY368" s="301">
        <v>2022</v>
      </c>
    </row>
    <row r="369" spans="1:77" s="33" customFormat="1" ht="13.5" customHeight="1">
      <c r="A369" s="64">
        <f t="shared" si="33"/>
        <v>2022</v>
      </c>
      <c r="B369" s="64">
        <f t="shared" si="34"/>
        <v>3</v>
      </c>
      <c r="C369" s="125" t="s">
        <v>191</v>
      </c>
      <c r="D369" s="168" t="str">
        <f t="shared" si="35"/>
        <v>non maj</v>
      </c>
      <c r="E369" s="232" t="s">
        <v>898</v>
      </c>
      <c r="F369" s="232" t="s">
        <v>3236</v>
      </c>
      <c r="G369" s="221">
        <v>600</v>
      </c>
      <c r="H369" s="222">
        <v>44607</v>
      </c>
      <c r="I369" s="222">
        <v>44608</v>
      </c>
      <c r="J369" s="223">
        <v>44615</v>
      </c>
      <c r="K369" s="222" t="s">
        <v>1060</v>
      </c>
      <c r="L369" s="223">
        <v>44624</v>
      </c>
      <c r="M369" s="223">
        <v>44624</v>
      </c>
      <c r="N369" s="223">
        <v>44628</v>
      </c>
      <c r="O369" s="222"/>
      <c r="P369" s="222">
        <v>44820</v>
      </c>
      <c r="Q369" s="222">
        <v>44757</v>
      </c>
      <c r="R369" s="222" t="s">
        <v>176</v>
      </c>
      <c r="S369" s="222">
        <v>44833</v>
      </c>
      <c r="T369" s="222">
        <v>44833</v>
      </c>
      <c r="U369" s="222">
        <v>44833</v>
      </c>
      <c r="V369" s="224"/>
      <c r="W369" s="222"/>
      <c r="X369" s="225"/>
      <c r="Y369" s="225"/>
      <c r="Z369" s="225"/>
      <c r="AA369" s="225">
        <v>2</v>
      </c>
      <c r="AB369" s="225">
        <v>54714</v>
      </c>
      <c r="AC369" s="225">
        <v>34</v>
      </c>
      <c r="AD369" s="225" t="s">
        <v>3237</v>
      </c>
      <c r="AE369" s="225">
        <v>38500</v>
      </c>
      <c r="AF369" s="225" t="s">
        <v>1907</v>
      </c>
      <c r="AG369" s="226">
        <v>476550176</v>
      </c>
      <c r="AH369" s="241" t="s">
        <v>3238</v>
      </c>
      <c r="AI369" s="225" t="s">
        <v>1168</v>
      </c>
      <c r="AJ369" s="225"/>
      <c r="AK369" s="225"/>
      <c r="AL369" s="225"/>
      <c r="AM369" s="225"/>
      <c r="AN369" s="225"/>
      <c r="AO369" s="225"/>
      <c r="AP369" s="225" t="s">
        <v>579</v>
      </c>
      <c r="AQ369" s="225" t="s">
        <v>1895</v>
      </c>
      <c r="AR369" s="225" t="s">
        <v>3140</v>
      </c>
      <c r="AS369" s="241" t="s">
        <v>201</v>
      </c>
      <c r="AT369" s="226" t="s">
        <v>580</v>
      </c>
      <c r="AU369" s="225" t="s">
        <v>176</v>
      </c>
      <c r="AV369" s="217" t="s">
        <v>388</v>
      </c>
      <c r="AW369" s="223">
        <v>44782</v>
      </c>
      <c r="AX369" s="225" t="s">
        <v>1879</v>
      </c>
      <c r="AY369" s="225">
        <v>1985</v>
      </c>
      <c r="AZ369" s="225" t="s">
        <v>1880</v>
      </c>
      <c r="BA369" s="225" t="s">
        <v>267</v>
      </c>
      <c r="BB369" s="225" t="s">
        <v>997</v>
      </c>
      <c r="BC369" s="225" t="s">
        <v>3239</v>
      </c>
      <c r="BD369" s="225">
        <v>9</v>
      </c>
      <c r="BE369" s="225">
        <v>8</v>
      </c>
      <c r="BF369" s="225">
        <v>86.6</v>
      </c>
      <c r="BG369" s="225">
        <v>30</v>
      </c>
      <c r="BH369" s="225" t="s">
        <v>1899</v>
      </c>
      <c r="BI369" s="225"/>
      <c r="BJ369" s="225">
        <f>3466.35+94.79+218.01+33.18+366.82+270.14+147.87</f>
        <v>4597.16</v>
      </c>
      <c r="BK369" s="225"/>
      <c r="BL369" s="225"/>
      <c r="BM369" s="225"/>
      <c r="BN369" s="225">
        <v>616.11</v>
      </c>
      <c r="BO369" s="225">
        <f t="shared" si="37"/>
        <v>5213.2699999999995</v>
      </c>
      <c r="BP369" s="230">
        <f t="shared" si="38"/>
        <v>286.72985</v>
      </c>
      <c r="BQ369" s="230">
        <f>BO369*1.055</f>
        <v>5499.9998499999992</v>
      </c>
      <c r="BR369" s="230">
        <v>5500</v>
      </c>
      <c r="BS369" s="225" t="s">
        <v>188</v>
      </c>
      <c r="BT369" s="225"/>
      <c r="BU369" s="225"/>
      <c r="BV369" s="231" t="s">
        <v>4045</v>
      </c>
      <c r="BW369" s="225" t="s">
        <v>968</v>
      </c>
      <c r="BX369" s="301" t="s">
        <v>620</v>
      </c>
      <c r="BY369" s="301" t="s">
        <v>176</v>
      </c>
    </row>
    <row r="370" spans="1:77" s="33" customFormat="1" ht="13.5" customHeight="1">
      <c r="A370" s="64">
        <f t="shared" si="33"/>
        <v>2022</v>
      </c>
      <c r="B370" s="64">
        <f t="shared" si="34"/>
        <v>3</v>
      </c>
      <c r="C370" s="125" t="s">
        <v>191</v>
      </c>
      <c r="D370" s="168" t="str">
        <f t="shared" si="35"/>
        <v>non maj</v>
      </c>
      <c r="E370" s="232" t="s">
        <v>898</v>
      </c>
      <c r="F370" s="232" t="s">
        <v>1630</v>
      </c>
      <c r="G370" s="221">
        <v>600</v>
      </c>
      <c r="H370" s="222">
        <v>44607</v>
      </c>
      <c r="I370" s="222">
        <v>44608</v>
      </c>
      <c r="J370" s="223">
        <v>44615</v>
      </c>
      <c r="K370" s="222" t="s">
        <v>1008</v>
      </c>
      <c r="L370" s="223">
        <v>44624</v>
      </c>
      <c r="M370" s="223">
        <v>44624</v>
      </c>
      <c r="N370" s="223">
        <v>44628</v>
      </c>
      <c r="O370" s="222"/>
      <c r="P370" s="222">
        <v>44777</v>
      </c>
      <c r="Q370" s="222">
        <v>44752</v>
      </c>
      <c r="R370" s="222" t="s">
        <v>176</v>
      </c>
      <c r="S370" s="222">
        <v>44795</v>
      </c>
      <c r="T370" s="222">
        <v>44795</v>
      </c>
      <c r="U370" s="222">
        <v>44796</v>
      </c>
      <c r="V370" s="224"/>
      <c r="W370" s="222"/>
      <c r="X370" s="225"/>
      <c r="Y370" s="225"/>
      <c r="Z370" s="225"/>
      <c r="AA370" s="225">
        <v>2</v>
      </c>
      <c r="AB370" s="225">
        <f>24298+14475</f>
        <v>38773</v>
      </c>
      <c r="AC370" s="225">
        <v>53</v>
      </c>
      <c r="AD370" s="225" t="s">
        <v>3240</v>
      </c>
      <c r="AE370" s="225">
        <v>38500</v>
      </c>
      <c r="AF370" s="225" t="s">
        <v>225</v>
      </c>
      <c r="AG370" s="226">
        <v>609966368</v>
      </c>
      <c r="AH370" s="251" t="s">
        <v>3241</v>
      </c>
      <c r="AI370" s="225" t="s">
        <v>1168</v>
      </c>
      <c r="AJ370" s="225"/>
      <c r="AK370" s="225"/>
      <c r="AL370" s="225"/>
      <c r="AM370" s="225"/>
      <c r="AN370" s="225"/>
      <c r="AO370" s="225"/>
      <c r="AP370" s="225" t="s">
        <v>1888</v>
      </c>
      <c r="AQ370" s="225" t="s">
        <v>225</v>
      </c>
      <c r="AR370" s="225" t="s">
        <v>3242</v>
      </c>
      <c r="AS370" s="251" t="s">
        <v>269</v>
      </c>
      <c r="AT370" s="226" t="s">
        <v>600</v>
      </c>
      <c r="AU370" s="225" t="s">
        <v>176</v>
      </c>
      <c r="AV370" s="251" t="s">
        <v>388</v>
      </c>
      <c r="AW370" s="223">
        <v>44868</v>
      </c>
      <c r="AX370" s="225" t="s">
        <v>1880</v>
      </c>
      <c r="AY370" s="225">
        <v>1980</v>
      </c>
      <c r="AZ370" s="225" t="s">
        <v>1880</v>
      </c>
      <c r="BA370" s="225" t="s">
        <v>267</v>
      </c>
      <c r="BB370" s="225" t="s">
        <v>221</v>
      </c>
      <c r="BC370" s="225" t="s">
        <v>3243</v>
      </c>
      <c r="BD370" s="225">
        <v>11</v>
      </c>
      <c r="BE370" s="225">
        <v>7.8</v>
      </c>
      <c r="BF370" s="225">
        <v>90.2</v>
      </c>
      <c r="BG370" s="225">
        <v>6.0000000000000001E-3</v>
      </c>
      <c r="BH370" s="225" t="s">
        <v>1882</v>
      </c>
      <c r="BI370" s="225"/>
      <c r="BJ370" s="225">
        <f>4192+2570.44+1026+30</f>
        <v>7818.4400000000005</v>
      </c>
      <c r="BK370" s="225"/>
      <c r="BL370" s="225"/>
      <c r="BM370" s="225"/>
      <c r="BN370" s="225">
        <f>520+20</f>
        <v>540</v>
      </c>
      <c r="BO370" s="225">
        <f t="shared" si="37"/>
        <v>8358.44</v>
      </c>
      <c r="BP370" s="230">
        <f t="shared" si="38"/>
        <v>459.71420000000001</v>
      </c>
      <c r="BQ370" s="230">
        <f>BO370+BP370</f>
        <v>8818.1542000000009</v>
      </c>
      <c r="BR370" s="230">
        <v>8396.15</v>
      </c>
      <c r="BS370" s="225" t="s">
        <v>214</v>
      </c>
      <c r="BT370" s="225"/>
      <c r="BU370" s="225"/>
      <c r="BV370" s="231" t="s">
        <v>4045</v>
      </c>
      <c r="BW370" s="225" t="s">
        <v>968</v>
      </c>
      <c r="BX370" s="301" t="s">
        <v>620</v>
      </c>
      <c r="BY370" s="301" t="s">
        <v>176</v>
      </c>
    </row>
    <row r="371" spans="1:77" s="33" customFormat="1" ht="13.5" customHeight="1">
      <c r="A371" s="64">
        <f t="shared" si="33"/>
        <v>2022</v>
      </c>
      <c r="B371" s="64">
        <f t="shared" si="34"/>
        <v>3</v>
      </c>
      <c r="C371" s="125" t="s">
        <v>191</v>
      </c>
      <c r="D371" s="168" t="str">
        <f t="shared" si="35"/>
        <v>maj</v>
      </c>
      <c r="E371" s="232" t="s">
        <v>898</v>
      </c>
      <c r="F371" s="232" t="s">
        <v>1631</v>
      </c>
      <c r="G371" s="221">
        <v>1000</v>
      </c>
      <c r="H371" s="222">
        <v>44607</v>
      </c>
      <c r="I371" s="222">
        <v>44608</v>
      </c>
      <c r="J371" s="223">
        <v>44615</v>
      </c>
      <c r="K371" s="222" t="s">
        <v>3244</v>
      </c>
      <c r="L371" s="223">
        <v>44630</v>
      </c>
      <c r="M371" s="223">
        <v>44630</v>
      </c>
      <c r="N371" s="223">
        <v>44635</v>
      </c>
      <c r="O371" s="222"/>
      <c r="P371" s="222">
        <v>44642</v>
      </c>
      <c r="Q371" s="222">
        <v>44636</v>
      </c>
      <c r="R371" s="222"/>
      <c r="S371" s="222">
        <v>44650</v>
      </c>
      <c r="T371" s="222">
        <v>44650</v>
      </c>
      <c r="U371" s="222">
        <v>44652</v>
      </c>
      <c r="V371" s="224"/>
      <c r="W371" s="222"/>
      <c r="X371" s="225"/>
      <c r="Y371" s="225"/>
      <c r="Z371" s="225"/>
      <c r="AA371" s="225">
        <v>4</v>
      </c>
      <c r="AB371" s="225">
        <v>26652</v>
      </c>
      <c r="AC371" s="225">
        <v>76</v>
      </c>
      <c r="AD371" s="225" t="s">
        <v>3245</v>
      </c>
      <c r="AE371" s="225">
        <v>38850</v>
      </c>
      <c r="AF371" s="225" t="s">
        <v>1916</v>
      </c>
      <c r="AG371" s="226">
        <v>689621475</v>
      </c>
      <c r="AH371" s="241" t="s">
        <v>3246</v>
      </c>
      <c r="AI371" s="225" t="s">
        <v>1168</v>
      </c>
      <c r="AJ371" s="225"/>
      <c r="AK371" s="225"/>
      <c r="AL371" s="225"/>
      <c r="AM371" s="225"/>
      <c r="AN371" s="225"/>
      <c r="AO371" s="225"/>
      <c r="AP371" s="225" t="s">
        <v>222</v>
      </c>
      <c r="AQ371" s="225" t="s">
        <v>2038</v>
      </c>
      <c r="AR371" s="225" t="s">
        <v>1043</v>
      </c>
      <c r="AS371" s="241" t="s">
        <v>224</v>
      </c>
      <c r="AT371" s="226" t="s">
        <v>669</v>
      </c>
      <c r="AU371" s="225" t="s">
        <v>176</v>
      </c>
      <c r="AV371" s="217" t="s">
        <v>388</v>
      </c>
      <c r="AW371" s="223">
        <v>44798</v>
      </c>
      <c r="AX371" s="225" t="s">
        <v>1879</v>
      </c>
      <c r="AY371" s="225">
        <v>1975</v>
      </c>
      <c r="AZ371" s="225" t="s">
        <v>1880</v>
      </c>
      <c r="BA371" s="225" t="s">
        <v>267</v>
      </c>
      <c r="BB371" s="225" t="s">
        <v>221</v>
      </c>
      <c r="BC371" s="225" t="s">
        <v>3247</v>
      </c>
      <c r="BD371" s="225">
        <v>17</v>
      </c>
      <c r="BE371" s="225">
        <v>8.1</v>
      </c>
      <c r="BF371" s="225">
        <v>90.9</v>
      </c>
      <c r="BG371" s="225">
        <v>2E-3</v>
      </c>
      <c r="BH371" s="225" t="s">
        <v>1882</v>
      </c>
      <c r="BI371" s="225"/>
      <c r="BJ371" s="225">
        <f>70+38+376+81+162+210+117+3020+1.67</f>
        <v>4075.67</v>
      </c>
      <c r="BK371" s="225"/>
      <c r="BL371" s="225"/>
      <c r="BM371" s="225"/>
      <c r="BN371" s="225">
        <f>760+190</f>
        <v>950</v>
      </c>
      <c r="BO371" s="225">
        <f t="shared" si="37"/>
        <v>5025.67</v>
      </c>
      <c r="BP371" s="230">
        <f t="shared" si="38"/>
        <v>276.41185000000002</v>
      </c>
      <c r="BQ371" s="230">
        <f>BO371+BP371</f>
        <v>5302.0818500000005</v>
      </c>
      <c r="BR371" s="230">
        <v>5302.08</v>
      </c>
      <c r="BS371" s="225" t="s">
        <v>188</v>
      </c>
      <c r="BT371" s="225"/>
      <c r="BU371" s="225"/>
      <c r="BV371" s="231" t="s">
        <v>4045</v>
      </c>
      <c r="BW371" s="225" t="s">
        <v>968</v>
      </c>
      <c r="BX371" s="222" t="s">
        <v>618</v>
      </c>
      <c r="BY371" s="301" t="s">
        <v>176</v>
      </c>
    </row>
    <row r="372" spans="1:77" s="33" customFormat="1" ht="13.5" customHeight="1">
      <c r="A372" s="64">
        <f t="shared" si="33"/>
        <v>2022</v>
      </c>
      <c r="B372" s="64">
        <f t="shared" si="34"/>
        <v>3</v>
      </c>
      <c r="C372" s="125" t="s">
        <v>191</v>
      </c>
      <c r="D372" s="168" t="str">
        <f t="shared" si="35"/>
        <v>maj</v>
      </c>
      <c r="E372" s="232" t="s">
        <v>898</v>
      </c>
      <c r="F372" s="232" t="s">
        <v>1632</v>
      </c>
      <c r="G372" s="221">
        <v>1000</v>
      </c>
      <c r="H372" s="222">
        <v>44607</v>
      </c>
      <c r="I372" s="222">
        <v>44608</v>
      </c>
      <c r="J372" s="223">
        <v>44615</v>
      </c>
      <c r="K372" s="222" t="s">
        <v>1060</v>
      </c>
      <c r="L372" s="223">
        <v>44624</v>
      </c>
      <c r="M372" s="223">
        <v>44624</v>
      </c>
      <c r="N372" s="223">
        <v>44628</v>
      </c>
      <c r="O372" s="222"/>
      <c r="P372" s="222">
        <v>44635</v>
      </c>
      <c r="Q372" s="222">
        <v>44631</v>
      </c>
      <c r="R372" s="222"/>
      <c r="S372" s="222">
        <v>44658</v>
      </c>
      <c r="T372" s="222">
        <v>44658</v>
      </c>
      <c r="U372" s="222">
        <v>44662</v>
      </c>
      <c r="V372" s="224"/>
      <c r="W372" s="222"/>
      <c r="X372" s="225"/>
      <c r="Y372" s="225"/>
      <c r="Z372" s="225"/>
      <c r="AA372" s="225">
        <v>1</v>
      </c>
      <c r="AB372" s="225">
        <v>15166</v>
      </c>
      <c r="AC372" s="225">
        <v>140</v>
      </c>
      <c r="AD372" s="225" t="s">
        <v>3248</v>
      </c>
      <c r="AE372" s="225">
        <v>38500</v>
      </c>
      <c r="AF372" s="225" t="s">
        <v>1907</v>
      </c>
      <c r="AG372" s="226">
        <v>610536892</v>
      </c>
      <c r="AH372" s="241" t="s">
        <v>3249</v>
      </c>
      <c r="AI372" s="225" t="s">
        <v>1168</v>
      </c>
      <c r="AJ372" s="225"/>
      <c r="AK372" s="225"/>
      <c r="AL372" s="225"/>
      <c r="AM372" s="225"/>
      <c r="AN372" s="225"/>
      <c r="AO372" s="225"/>
      <c r="AP372" s="225" t="s">
        <v>222</v>
      </c>
      <c r="AQ372" s="225" t="s">
        <v>2038</v>
      </c>
      <c r="AR372" s="225" t="s">
        <v>1043</v>
      </c>
      <c r="AS372" s="241" t="s">
        <v>224</v>
      </c>
      <c r="AT372" s="226" t="s">
        <v>669</v>
      </c>
      <c r="AU372" s="225" t="s">
        <v>176</v>
      </c>
      <c r="AV372" s="217" t="s">
        <v>388</v>
      </c>
      <c r="AW372" s="223">
        <v>44798</v>
      </c>
      <c r="AX372" s="225" t="s">
        <v>1880</v>
      </c>
      <c r="AY372" s="225">
        <v>2000</v>
      </c>
      <c r="AZ372" s="225" t="s">
        <v>1880</v>
      </c>
      <c r="BA372" s="225" t="s">
        <v>267</v>
      </c>
      <c r="BB372" s="225" t="s">
        <v>221</v>
      </c>
      <c r="BC372" s="225" t="s">
        <v>1030</v>
      </c>
      <c r="BD372" s="225">
        <v>18</v>
      </c>
      <c r="BE372" s="225">
        <v>10</v>
      </c>
      <c r="BF372" s="225">
        <v>90.4</v>
      </c>
      <c r="BG372" s="225">
        <v>3.0400000000000002E-3</v>
      </c>
      <c r="BH372" s="225" t="s">
        <v>1882</v>
      </c>
      <c r="BI372" s="225"/>
      <c r="BJ372" s="225">
        <f>1881+3222+1.67</f>
        <v>5104.67</v>
      </c>
      <c r="BK372" s="225"/>
      <c r="BL372" s="225"/>
      <c r="BM372" s="225"/>
      <c r="BN372" s="225">
        <v>805</v>
      </c>
      <c r="BO372" s="225">
        <f t="shared" si="37"/>
        <v>5909.67</v>
      </c>
      <c r="BP372" s="230">
        <f t="shared" si="38"/>
        <v>325.03185000000002</v>
      </c>
      <c r="BQ372" s="230">
        <f>BO372*1.055</f>
        <v>6234.7018499999995</v>
      </c>
      <c r="BR372" s="230">
        <v>6234.7</v>
      </c>
      <c r="BS372" s="225" t="s">
        <v>191</v>
      </c>
      <c r="BT372" s="225"/>
      <c r="BU372" s="225"/>
      <c r="BV372" s="231" t="s">
        <v>4045</v>
      </c>
      <c r="BW372" s="225" t="s">
        <v>968</v>
      </c>
      <c r="BX372" s="222" t="s">
        <v>618</v>
      </c>
      <c r="BY372" s="301" t="s">
        <v>176</v>
      </c>
    </row>
    <row r="373" spans="1:77" s="33" customFormat="1" ht="13.5" customHeight="1">
      <c r="A373" s="64">
        <f t="shared" si="33"/>
        <v>2022</v>
      </c>
      <c r="B373" s="64">
        <f t="shared" si="34"/>
        <v>4</v>
      </c>
      <c r="C373" s="125" t="s">
        <v>191</v>
      </c>
      <c r="D373" s="168" t="str">
        <f t="shared" si="35"/>
        <v>non maj</v>
      </c>
      <c r="E373" s="232" t="s">
        <v>898</v>
      </c>
      <c r="F373" s="232" t="s">
        <v>1633</v>
      </c>
      <c r="G373" s="221">
        <v>600</v>
      </c>
      <c r="H373" s="222">
        <v>44613</v>
      </c>
      <c r="I373" s="222">
        <v>44614</v>
      </c>
      <c r="J373" s="223">
        <v>44615</v>
      </c>
      <c r="K373" s="222" t="s">
        <v>3250</v>
      </c>
      <c r="L373" s="223">
        <v>44665</v>
      </c>
      <c r="M373" s="223">
        <v>44665</v>
      </c>
      <c r="N373" s="223">
        <v>44673</v>
      </c>
      <c r="O373" s="222"/>
      <c r="P373" s="222">
        <v>44708</v>
      </c>
      <c r="Q373" s="222">
        <v>44697</v>
      </c>
      <c r="R373" s="222" t="s">
        <v>176</v>
      </c>
      <c r="S373" s="222">
        <v>44768</v>
      </c>
      <c r="T373" s="222">
        <v>44768</v>
      </c>
      <c r="U373" s="222">
        <v>44769</v>
      </c>
      <c r="V373" s="224"/>
      <c r="W373" s="222"/>
      <c r="X373" s="225"/>
      <c r="Y373" s="225"/>
      <c r="Z373" s="225"/>
      <c r="AA373" s="225">
        <v>3</v>
      </c>
      <c r="AB373" s="225">
        <v>41767</v>
      </c>
      <c r="AC373" s="225">
        <v>193</v>
      </c>
      <c r="AD373" s="225" t="s">
        <v>3251</v>
      </c>
      <c r="AE373" s="225">
        <v>38340</v>
      </c>
      <c r="AF373" s="225" t="s">
        <v>232</v>
      </c>
      <c r="AG373" s="226">
        <v>684952235</v>
      </c>
      <c r="AH373" s="241" t="s">
        <v>3252</v>
      </c>
      <c r="AI373" s="225" t="s">
        <v>1168</v>
      </c>
      <c r="AJ373" s="225"/>
      <c r="AK373" s="225"/>
      <c r="AL373" s="225"/>
      <c r="AM373" s="225"/>
      <c r="AN373" s="225"/>
      <c r="AO373" s="225"/>
      <c r="AP373" s="225" t="s">
        <v>675</v>
      </c>
      <c r="AQ373" s="225" t="s">
        <v>864</v>
      </c>
      <c r="AR373" s="225" t="s">
        <v>1948</v>
      </c>
      <c r="AS373" s="246" t="s">
        <v>673</v>
      </c>
      <c r="AT373" s="226" t="s">
        <v>626</v>
      </c>
      <c r="AU373" s="225" t="s">
        <v>176</v>
      </c>
      <c r="AV373" s="229" t="s">
        <v>388</v>
      </c>
      <c r="AW373" s="223">
        <v>44798</v>
      </c>
      <c r="AX373" s="225" t="s">
        <v>4113</v>
      </c>
      <c r="AY373" s="225">
        <v>1988</v>
      </c>
      <c r="AZ373" s="225" t="s">
        <v>1880</v>
      </c>
      <c r="BA373" s="225" t="s">
        <v>267</v>
      </c>
      <c r="BB373" s="225" t="s">
        <v>3253</v>
      </c>
      <c r="BC373" s="225" t="s">
        <v>3254</v>
      </c>
      <c r="BD373" s="225">
        <v>15</v>
      </c>
      <c r="BE373" s="225">
        <v>8.5</v>
      </c>
      <c r="BF373" s="225">
        <v>91.3</v>
      </c>
      <c r="BG373" s="225">
        <v>3.4399999999999999E-3</v>
      </c>
      <c r="BH373" s="225" t="s">
        <v>1882</v>
      </c>
      <c r="BI373" s="225"/>
      <c r="BJ373" s="225">
        <f>5647.9+340.5+317.35+448.5+35</f>
        <v>6789.25</v>
      </c>
      <c r="BK373" s="225"/>
      <c r="BL373" s="225"/>
      <c r="BM373" s="225"/>
      <c r="BN373" s="225">
        <v>690</v>
      </c>
      <c r="BO373" s="225">
        <f t="shared" si="37"/>
        <v>7479.25</v>
      </c>
      <c r="BP373" s="230">
        <f t="shared" si="38"/>
        <v>411.35874999999999</v>
      </c>
      <c r="BQ373" s="230">
        <f>BO373+BP373</f>
        <v>7890.6087500000003</v>
      </c>
      <c r="BR373" s="230">
        <f>6996.97+(847.05*1.055)</f>
        <v>7890.6077500000001</v>
      </c>
      <c r="BS373" s="225" t="s">
        <v>188</v>
      </c>
      <c r="BT373" s="225"/>
      <c r="BU373" s="225"/>
      <c r="BV373" s="231" t="s">
        <v>4045</v>
      </c>
      <c r="BW373" s="225" t="s">
        <v>968</v>
      </c>
      <c r="BX373" s="301" t="s">
        <v>620</v>
      </c>
      <c r="BY373" s="301" t="s">
        <v>176</v>
      </c>
    </row>
    <row r="374" spans="1:77" s="33" customFormat="1" ht="13.5" customHeight="1">
      <c r="A374" s="64" t="e">
        <f t="shared" si="33"/>
        <v>#VALUE!</v>
      </c>
      <c r="B374" s="64" t="e">
        <f t="shared" si="34"/>
        <v>#VALUE!</v>
      </c>
      <c r="C374" s="125" t="s">
        <v>188</v>
      </c>
      <c r="D374" s="168" t="str">
        <f t="shared" si="35"/>
        <v>NC</v>
      </c>
      <c r="E374" s="294" t="s">
        <v>898</v>
      </c>
      <c r="F374" s="294" t="s">
        <v>3255</v>
      </c>
      <c r="G374" s="221">
        <v>600</v>
      </c>
      <c r="H374" s="222">
        <v>44613</v>
      </c>
      <c r="I374" s="222">
        <v>44614</v>
      </c>
      <c r="J374" s="223">
        <v>44615</v>
      </c>
      <c r="K374" s="222" t="s">
        <v>1008</v>
      </c>
      <c r="L374" s="223" t="s">
        <v>176</v>
      </c>
      <c r="M374" s="223" t="s">
        <v>176</v>
      </c>
      <c r="N374" s="223" t="s">
        <v>176</v>
      </c>
      <c r="O374" s="222"/>
      <c r="P374" s="222" t="s">
        <v>176</v>
      </c>
      <c r="Q374" s="222" t="s">
        <v>176</v>
      </c>
      <c r="R374" s="222" t="s">
        <v>176</v>
      </c>
      <c r="S374" s="222" t="s">
        <v>176</v>
      </c>
      <c r="T374" s="222" t="s">
        <v>176</v>
      </c>
      <c r="U374" s="222" t="s">
        <v>176</v>
      </c>
      <c r="V374" s="224"/>
      <c r="W374" s="222">
        <v>44624</v>
      </c>
      <c r="X374" s="225" t="s">
        <v>3256</v>
      </c>
      <c r="Y374" s="225"/>
      <c r="Z374" s="225"/>
      <c r="AA374" s="225">
        <v>1</v>
      </c>
      <c r="AB374" s="225">
        <v>21048</v>
      </c>
      <c r="AC374" s="225">
        <v>8</v>
      </c>
      <c r="AD374" s="225" t="s">
        <v>3257</v>
      </c>
      <c r="AE374" s="225">
        <v>38430</v>
      </c>
      <c r="AF374" s="225" t="s">
        <v>1893</v>
      </c>
      <c r="AG374" s="226">
        <v>670955859</v>
      </c>
      <c r="AH374" s="241" t="s">
        <v>3258</v>
      </c>
      <c r="AI374" s="225" t="s">
        <v>1168</v>
      </c>
      <c r="AJ374" s="225"/>
      <c r="AK374" s="225"/>
      <c r="AL374" s="225"/>
      <c r="AM374" s="225"/>
      <c r="AN374" s="225"/>
      <c r="AO374" s="225"/>
      <c r="AP374" s="225" t="s">
        <v>579</v>
      </c>
      <c r="AQ374" s="225" t="s">
        <v>1895</v>
      </c>
      <c r="AR374" s="225" t="s">
        <v>3259</v>
      </c>
      <c r="AS374" s="241" t="s">
        <v>201</v>
      </c>
      <c r="AT374" s="226" t="s">
        <v>580</v>
      </c>
      <c r="AU374" s="225" t="s">
        <v>176</v>
      </c>
      <c r="AV374" s="217" t="s">
        <v>388</v>
      </c>
      <c r="AW374" s="223">
        <v>44782</v>
      </c>
      <c r="AX374" s="225" t="s">
        <v>1880</v>
      </c>
      <c r="AY374" s="225">
        <v>2013</v>
      </c>
      <c r="AZ374" s="225" t="s">
        <v>176</v>
      </c>
      <c r="BA374" s="225" t="s">
        <v>176</v>
      </c>
      <c r="BB374" s="225" t="s">
        <v>176</v>
      </c>
      <c r="BC374" s="225" t="s">
        <v>176</v>
      </c>
      <c r="BD374" s="225" t="s">
        <v>176</v>
      </c>
      <c r="BE374" s="225" t="s">
        <v>176</v>
      </c>
      <c r="BF374" s="225" t="s">
        <v>176</v>
      </c>
      <c r="BG374" s="225" t="s">
        <v>176</v>
      </c>
      <c r="BH374" s="225" t="s">
        <v>176</v>
      </c>
      <c r="BI374" s="225"/>
      <c r="BJ374" s="225">
        <v>0</v>
      </c>
      <c r="BK374" s="225"/>
      <c r="BL374" s="225"/>
      <c r="BM374" s="225"/>
      <c r="BN374" s="225">
        <v>0</v>
      </c>
      <c r="BO374" s="225">
        <v>0</v>
      </c>
      <c r="BP374" s="230">
        <v>0</v>
      </c>
      <c r="BQ374" s="230">
        <v>0</v>
      </c>
      <c r="BR374" s="230">
        <v>0</v>
      </c>
      <c r="BS374" s="225" t="s">
        <v>176</v>
      </c>
      <c r="BT374" s="225"/>
      <c r="BU374" s="225"/>
      <c r="BV374" s="231">
        <v>0</v>
      </c>
      <c r="BW374" s="301" t="s">
        <v>3118</v>
      </c>
      <c r="BX374" s="301" t="s">
        <v>214</v>
      </c>
      <c r="BY374" s="301"/>
    </row>
    <row r="375" spans="1:77" s="33" customFormat="1" ht="13.5" customHeight="1">
      <c r="A375" s="64">
        <f t="shared" si="33"/>
        <v>2022</v>
      </c>
      <c r="B375" s="64">
        <f t="shared" si="34"/>
        <v>3</v>
      </c>
      <c r="C375" s="125" t="s">
        <v>191</v>
      </c>
      <c r="D375" s="168" t="str">
        <f t="shared" si="35"/>
        <v>maj</v>
      </c>
      <c r="E375" s="232" t="s">
        <v>898</v>
      </c>
      <c r="F375" s="232" t="s">
        <v>1635</v>
      </c>
      <c r="G375" s="221">
        <v>1000</v>
      </c>
      <c r="H375" s="222">
        <v>44614</v>
      </c>
      <c r="I375" s="222">
        <v>44614</v>
      </c>
      <c r="J375" s="223">
        <v>44615</v>
      </c>
      <c r="K375" s="222" t="s">
        <v>3260</v>
      </c>
      <c r="L375" s="223">
        <v>44624</v>
      </c>
      <c r="M375" s="223">
        <v>44624</v>
      </c>
      <c r="N375" s="223">
        <v>44628</v>
      </c>
      <c r="O375" s="222"/>
      <c r="P375" s="222">
        <v>44818</v>
      </c>
      <c r="Q375" s="222">
        <v>44792</v>
      </c>
      <c r="R375" s="222" t="s">
        <v>176</v>
      </c>
      <c r="S375" s="222">
        <v>44833</v>
      </c>
      <c r="T375" s="222">
        <v>44833</v>
      </c>
      <c r="U375" s="222">
        <v>44833</v>
      </c>
      <c r="V375" s="224"/>
      <c r="W375" s="222"/>
      <c r="X375" s="225"/>
      <c r="Y375" s="225"/>
      <c r="Z375" s="225"/>
      <c r="AA375" s="225">
        <v>1</v>
      </c>
      <c r="AB375" s="225">
        <v>16042</v>
      </c>
      <c r="AC375" s="225">
        <v>365</v>
      </c>
      <c r="AD375" s="225" t="s">
        <v>3170</v>
      </c>
      <c r="AE375" s="225">
        <v>38850</v>
      </c>
      <c r="AF375" s="225" t="s">
        <v>2151</v>
      </c>
      <c r="AG375" s="226">
        <v>619273702</v>
      </c>
      <c r="AH375" s="251" t="s">
        <v>3261</v>
      </c>
      <c r="AI375" s="225" t="s">
        <v>1168</v>
      </c>
      <c r="AJ375" s="225"/>
      <c r="AK375" s="225"/>
      <c r="AL375" s="225"/>
      <c r="AM375" s="225"/>
      <c r="AN375" s="225"/>
      <c r="AO375" s="225"/>
      <c r="AP375" s="225" t="s">
        <v>1888</v>
      </c>
      <c r="AQ375" s="225" t="s">
        <v>225</v>
      </c>
      <c r="AR375" s="225" t="s">
        <v>3242</v>
      </c>
      <c r="AS375" s="251" t="s">
        <v>269</v>
      </c>
      <c r="AT375" s="226" t="s">
        <v>600</v>
      </c>
      <c r="AU375" s="225" t="s">
        <v>176</v>
      </c>
      <c r="AV375" s="251" t="s">
        <v>388</v>
      </c>
      <c r="AW375" s="223">
        <v>44868</v>
      </c>
      <c r="AX375" s="225" t="s">
        <v>4113</v>
      </c>
      <c r="AY375" s="225">
        <v>1990</v>
      </c>
      <c r="AZ375" s="225" t="s">
        <v>1880</v>
      </c>
      <c r="BA375" s="225" t="s">
        <v>267</v>
      </c>
      <c r="BB375" s="225" t="s">
        <v>221</v>
      </c>
      <c r="BC375" s="225" t="s">
        <v>3262</v>
      </c>
      <c r="BD375" s="225">
        <v>22</v>
      </c>
      <c r="BE375" s="225">
        <v>8</v>
      </c>
      <c r="BF375" s="225">
        <v>92</v>
      </c>
      <c r="BG375" s="225">
        <v>0.01</v>
      </c>
      <c r="BH375" s="225" t="s">
        <v>1882</v>
      </c>
      <c r="BI375" s="225"/>
      <c r="BJ375" s="230">
        <f>3254+227.5+92+88+101+272</f>
        <v>4034.5</v>
      </c>
      <c r="BK375" s="225"/>
      <c r="BL375" s="225"/>
      <c r="BM375" s="225"/>
      <c r="BN375" s="225">
        <f>30+455</f>
        <v>485</v>
      </c>
      <c r="BO375" s="230">
        <f>BJ375+BN375</f>
        <v>4519.5</v>
      </c>
      <c r="BP375" s="230">
        <f>BO375*0.055</f>
        <v>248.57249999999999</v>
      </c>
      <c r="BQ375" s="230">
        <f>BO375+BP375</f>
        <v>4768.0725000000002</v>
      </c>
      <c r="BR375" s="230">
        <v>4768.07</v>
      </c>
      <c r="BS375" s="225" t="s">
        <v>188</v>
      </c>
      <c r="BT375" s="225"/>
      <c r="BU375" s="225"/>
      <c r="BV375" s="231" t="s">
        <v>4045</v>
      </c>
      <c r="BW375" s="225" t="s">
        <v>968</v>
      </c>
      <c r="BX375" s="222" t="s">
        <v>618</v>
      </c>
      <c r="BY375" s="301" t="s">
        <v>176</v>
      </c>
    </row>
    <row r="376" spans="1:77" s="33" customFormat="1" ht="13.5" customHeight="1">
      <c r="A376" s="64">
        <f t="shared" si="33"/>
        <v>2022</v>
      </c>
      <c r="B376" s="64">
        <f t="shared" si="34"/>
        <v>3</v>
      </c>
      <c r="C376" s="125" t="s">
        <v>191</v>
      </c>
      <c r="D376" s="168" t="str">
        <f t="shared" si="35"/>
        <v>non maj</v>
      </c>
      <c r="E376" s="232" t="s">
        <v>898</v>
      </c>
      <c r="F376" s="232" t="s">
        <v>1636</v>
      </c>
      <c r="G376" s="221">
        <v>600</v>
      </c>
      <c r="H376" s="222">
        <v>44614</v>
      </c>
      <c r="I376" s="222">
        <v>44614</v>
      </c>
      <c r="J376" s="223">
        <v>44615</v>
      </c>
      <c r="K376" s="222" t="s">
        <v>3263</v>
      </c>
      <c r="L376" s="223">
        <v>44624</v>
      </c>
      <c r="M376" s="223">
        <v>44624</v>
      </c>
      <c r="N376" s="223">
        <v>44628</v>
      </c>
      <c r="O376" s="222"/>
      <c r="P376" s="222">
        <v>44715</v>
      </c>
      <c r="Q376" s="222">
        <v>44714</v>
      </c>
      <c r="R376" s="222" t="s">
        <v>176</v>
      </c>
      <c r="S376" s="222">
        <v>44768</v>
      </c>
      <c r="T376" s="222">
        <v>44768</v>
      </c>
      <c r="U376" s="222">
        <v>44769</v>
      </c>
      <c r="V376" s="224"/>
      <c r="W376" s="222"/>
      <c r="X376" s="225"/>
      <c r="Y376" s="225"/>
      <c r="Z376" s="225"/>
      <c r="AA376" s="225">
        <v>2</v>
      </c>
      <c r="AB376" s="225">
        <v>57894</v>
      </c>
      <c r="AC376" s="225">
        <v>34</v>
      </c>
      <c r="AD376" s="225" t="s">
        <v>3264</v>
      </c>
      <c r="AE376" s="225">
        <v>38210</v>
      </c>
      <c r="AF376" s="225" t="s">
        <v>265</v>
      </c>
      <c r="AG376" s="226">
        <v>651011206</v>
      </c>
      <c r="AH376" s="241" t="s">
        <v>3265</v>
      </c>
      <c r="AI376" s="225" t="s">
        <v>1168</v>
      </c>
      <c r="AJ376" s="225"/>
      <c r="AK376" s="225"/>
      <c r="AL376" s="225"/>
      <c r="AM376" s="225"/>
      <c r="AN376" s="225"/>
      <c r="AO376" s="225"/>
      <c r="AP376" s="225" t="s">
        <v>835</v>
      </c>
      <c r="AQ376" s="225" t="s">
        <v>1895</v>
      </c>
      <c r="AR376" s="225" t="s">
        <v>2003</v>
      </c>
      <c r="AS376" s="241" t="s">
        <v>245</v>
      </c>
      <c r="AT376" s="226">
        <v>476452433</v>
      </c>
      <c r="AU376" s="225" t="s">
        <v>176</v>
      </c>
      <c r="AV376" s="241" t="s">
        <v>188</v>
      </c>
      <c r="AW376" s="223">
        <v>44954</v>
      </c>
      <c r="AX376" s="225" t="s">
        <v>1879</v>
      </c>
      <c r="AY376" s="225">
        <v>1987</v>
      </c>
      <c r="AZ376" s="225" t="s">
        <v>1880</v>
      </c>
      <c r="BA376" s="225" t="s">
        <v>267</v>
      </c>
      <c r="BB376" s="225" t="s">
        <v>796</v>
      </c>
      <c r="BC376" s="225" t="s">
        <v>3266</v>
      </c>
      <c r="BD376" s="225">
        <v>14</v>
      </c>
      <c r="BE376" s="225">
        <v>11.1</v>
      </c>
      <c r="BF376" s="225">
        <v>80.3</v>
      </c>
      <c r="BG376" s="225">
        <v>39</v>
      </c>
      <c r="BH376" s="225" t="s">
        <v>1899</v>
      </c>
      <c r="BI376" s="225"/>
      <c r="BJ376" s="225">
        <f>5387+24+428+564.82+87.66+255.86+285+185</f>
        <v>7217.3399999999992</v>
      </c>
      <c r="BK376" s="225"/>
      <c r="BL376" s="225"/>
      <c r="BM376" s="225"/>
      <c r="BN376" s="225">
        <f>500+410+400</f>
        <v>1310</v>
      </c>
      <c r="BO376" s="225">
        <f>BJ376+BN376</f>
        <v>8527.34</v>
      </c>
      <c r="BP376" s="230">
        <f>BO376*0.055</f>
        <v>469.00370000000004</v>
      </c>
      <c r="BQ376" s="230">
        <f>BO376+BP376</f>
        <v>8996.3436999999994</v>
      </c>
      <c r="BR376" s="230">
        <v>8996.34</v>
      </c>
      <c r="BS376" s="225" t="s">
        <v>191</v>
      </c>
      <c r="BT376" s="225"/>
      <c r="BU376" s="225"/>
      <c r="BV376" s="231" t="s">
        <v>4045</v>
      </c>
      <c r="BW376" s="225" t="s">
        <v>968</v>
      </c>
      <c r="BX376" s="301" t="s">
        <v>620</v>
      </c>
      <c r="BY376" s="301" t="s">
        <v>176</v>
      </c>
    </row>
    <row r="377" spans="1:77" s="33" customFormat="1" ht="13.5" customHeight="1">
      <c r="A377" s="64">
        <f t="shared" si="33"/>
        <v>2022</v>
      </c>
      <c r="B377" s="64">
        <f t="shared" si="34"/>
        <v>3</v>
      </c>
      <c r="C377" s="125" t="s">
        <v>191</v>
      </c>
      <c r="D377" s="168" t="str">
        <f t="shared" si="35"/>
        <v>non maj</v>
      </c>
      <c r="E377" s="232" t="s">
        <v>210</v>
      </c>
      <c r="F377" s="232" t="s">
        <v>1637</v>
      </c>
      <c r="G377" s="221">
        <v>600</v>
      </c>
      <c r="H377" s="222">
        <v>44615</v>
      </c>
      <c r="I377" s="222">
        <v>44615</v>
      </c>
      <c r="J377" s="223">
        <v>44616</v>
      </c>
      <c r="K377" s="222" t="s">
        <v>3267</v>
      </c>
      <c r="L377" s="223">
        <v>44622</v>
      </c>
      <c r="M377" s="223">
        <v>44622</v>
      </c>
      <c r="N377" s="223">
        <v>44628</v>
      </c>
      <c r="O377" s="222"/>
      <c r="P377" s="222">
        <v>44698</v>
      </c>
      <c r="Q377" s="222">
        <v>44692</v>
      </c>
      <c r="R377" s="222" t="s">
        <v>176</v>
      </c>
      <c r="S377" s="222">
        <v>44768</v>
      </c>
      <c r="T377" s="222">
        <v>44768</v>
      </c>
      <c r="U377" s="222">
        <v>44769</v>
      </c>
      <c r="V377" s="224"/>
      <c r="W377" s="222"/>
      <c r="X377" s="225"/>
      <c r="Y377" s="225"/>
      <c r="Z377" s="225"/>
      <c r="AA377" s="225">
        <v>4</v>
      </c>
      <c r="AB377" s="225">
        <v>58954</v>
      </c>
      <c r="AC377" s="225">
        <v>128</v>
      </c>
      <c r="AD377" s="225" t="s">
        <v>3268</v>
      </c>
      <c r="AE377" s="225">
        <v>38960</v>
      </c>
      <c r="AF377" s="225" t="s">
        <v>1964</v>
      </c>
      <c r="AG377" s="226">
        <v>649427065</v>
      </c>
      <c r="AH377" s="241" t="s">
        <v>3269</v>
      </c>
      <c r="AI377" s="225" t="s">
        <v>1168</v>
      </c>
      <c r="AJ377" s="225"/>
      <c r="AK377" s="225"/>
      <c r="AL377" s="225"/>
      <c r="AM377" s="225"/>
      <c r="AN377" s="225"/>
      <c r="AO377" s="225"/>
      <c r="AP377" s="225" t="s">
        <v>675</v>
      </c>
      <c r="AQ377" s="225" t="s">
        <v>864</v>
      </c>
      <c r="AR377" s="225" t="s">
        <v>1948</v>
      </c>
      <c r="AS377" s="246" t="s">
        <v>257</v>
      </c>
      <c r="AT377" s="226" t="s">
        <v>626</v>
      </c>
      <c r="AU377" s="225" t="s">
        <v>176</v>
      </c>
      <c r="AV377" s="229" t="s">
        <v>388</v>
      </c>
      <c r="AW377" s="223">
        <v>44798</v>
      </c>
      <c r="AX377" s="225" t="s">
        <v>4113</v>
      </c>
      <c r="AY377" s="225">
        <v>1998</v>
      </c>
      <c r="AZ377" s="225" t="s">
        <v>1880</v>
      </c>
      <c r="BA377" s="225" t="s">
        <v>267</v>
      </c>
      <c r="BB377" s="225" t="s">
        <v>287</v>
      </c>
      <c r="BC377" s="225" t="s">
        <v>1055</v>
      </c>
      <c r="BD377" s="225">
        <v>20</v>
      </c>
      <c r="BE377" s="225">
        <v>7.9</v>
      </c>
      <c r="BF377" s="225">
        <v>89</v>
      </c>
      <c r="BG377" s="225">
        <v>1.7999999999999999E-2</v>
      </c>
      <c r="BH377" s="225" t="s">
        <v>1882</v>
      </c>
      <c r="BI377" s="225"/>
      <c r="BJ377" s="225">
        <v>7445.35</v>
      </c>
      <c r="BK377" s="225"/>
      <c r="BL377" s="225"/>
      <c r="BM377" s="225"/>
      <c r="BN377" s="225">
        <v>630</v>
      </c>
      <c r="BO377" s="225">
        <v>8075.35</v>
      </c>
      <c r="BP377" s="230">
        <v>444.14</v>
      </c>
      <c r="BQ377" s="230">
        <v>8519.49</v>
      </c>
      <c r="BR377" s="230">
        <v>8519.49</v>
      </c>
      <c r="BS377" s="225" t="s">
        <v>188</v>
      </c>
      <c r="BT377" s="225"/>
      <c r="BU377" s="225"/>
      <c r="BV377" s="231" t="s">
        <v>4045</v>
      </c>
      <c r="BW377" s="225" t="s">
        <v>968</v>
      </c>
      <c r="BX377" s="301" t="s">
        <v>620</v>
      </c>
      <c r="BY377" s="301" t="s">
        <v>176</v>
      </c>
    </row>
    <row r="378" spans="1:77" s="33" customFormat="1" ht="13.5" customHeight="1">
      <c r="A378" s="64">
        <f t="shared" si="33"/>
        <v>2022</v>
      </c>
      <c r="B378" s="64">
        <f t="shared" si="34"/>
        <v>4</v>
      </c>
      <c r="C378" s="125" t="s">
        <v>191</v>
      </c>
      <c r="D378" s="168" t="str">
        <f t="shared" si="35"/>
        <v>non maj</v>
      </c>
      <c r="E378" s="232" t="s">
        <v>210</v>
      </c>
      <c r="F378" s="232" t="s">
        <v>1638</v>
      </c>
      <c r="G378" s="221">
        <v>600</v>
      </c>
      <c r="H378" s="222">
        <v>44617</v>
      </c>
      <c r="I378" s="222">
        <v>44617</v>
      </c>
      <c r="J378" s="223">
        <v>44621</v>
      </c>
      <c r="K378" s="222" t="s">
        <v>3270</v>
      </c>
      <c r="L378" s="223">
        <v>44665</v>
      </c>
      <c r="M378" s="223">
        <v>44665</v>
      </c>
      <c r="N378" s="223">
        <v>44673</v>
      </c>
      <c r="O378" s="222"/>
      <c r="P378" s="222">
        <v>44683</v>
      </c>
      <c r="Q378" s="222">
        <v>44683</v>
      </c>
      <c r="R378" s="222"/>
      <c r="S378" s="222">
        <v>44685</v>
      </c>
      <c r="T378" s="222">
        <v>44685</v>
      </c>
      <c r="U378" s="222">
        <v>44687</v>
      </c>
      <c r="V378" s="224"/>
      <c r="W378" s="222"/>
      <c r="X378" s="225"/>
      <c r="Y378" s="225"/>
      <c r="Z378" s="225"/>
      <c r="AA378" s="225">
        <v>2</v>
      </c>
      <c r="AB378" s="225">
        <v>64698</v>
      </c>
      <c r="AC378" s="225">
        <v>18</v>
      </c>
      <c r="AD378" s="225" t="s">
        <v>3271</v>
      </c>
      <c r="AE378" s="225">
        <v>38210</v>
      </c>
      <c r="AF378" s="225" t="s">
        <v>265</v>
      </c>
      <c r="AG378" s="226">
        <v>680463626</v>
      </c>
      <c r="AH378" s="227" t="s">
        <v>3272</v>
      </c>
      <c r="AI378" s="225" t="s">
        <v>1168</v>
      </c>
      <c r="AJ378" s="225"/>
      <c r="AK378" s="225"/>
      <c r="AL378" s="225"/>
      <c r="AM378" s="225"/>
      <c r="AN378" s="225"/>
      <c r="AO378" s="225"/>
      <c r="AP378" s="225" t="s">
        <v>268</v>
      </c>
      <c r="AQ378" s="225" t="s">
        <v>1893</v>
      </c>
      <c r="AR378" s="225" t="s">
        <v>1933</v>
      </c>
      <c r="AS378" s="246" t="s">
        <v>1934</v>
      </c>
      <c r="AT378" s="226">
        <v>476355605</v>
      </c>
      <c r="AU378" s="225" t="s">
        <v>176</v>
      </c>
      <c r="AV378" s="241" t="s">
        <v>188</v>
      </c>
      <c r="AW378" s="223">
        <v>44860</v>
      </c>
      <c r="AX378" s="225" t="s">
        <v>4113</v>
      </c>
      <c r="AY378" s="225">
        <v>1992</v>
      </c>
      <c r="AZ378" s="225" t="s">
        <v>4113</v>
      </c>
      <c r="BA378" s="225" t="s">
        <v>380</v>
      </c>
      <c r="BB378" s="225" t="s">
        <v>1936</v>
      </c>
      <c r="BC378" s="225" t="s">
        <v>3273</v>
      </c>
      <c r="BD378" s="225">
        <v>23</v>
      </c>
      <c r="BE378" s="225">
        <v>10</v>
      </c>
      <c r="BF378" s="225">
        <v>78</v>
      </c>
      <c r="BG378" s="225">
        <v>7.0000000000000007E-2</v>
      </c>
      <c r="BH378" s="225" t="s">
        <v>1882</v>
      </c>
      <c r="BI378" s="225"/>
      <c r="BJ378" s="225">
        <v>4796.67</v>
      </c>
      <c r="BK378" s="225"/>
      <c r="BL378" s="225"/>
      <c r="BM378" s="225"/>
      <c r="BN378" s="225">
        <v>1559.8</v>
      </c>
      <c r="BO378" s="225">
        <v>6356.47</v>
      </c>
      <c r="BP378" s="230">
        <v>349.61</v>
      </c>
      <c r="BQ378" s="230">
        <v>6706.08</v>
      </c>
      <c r="BR378" s="230">
        <v>6706.08</v>
      </c>
      <c r="BS378" s="225" t="s">
        <v>188</v>
      </c>
      <c r="BT378" s="225"/>
      <c r="BU378" s="225"/>
      <c r="BV378" s="231" t="s">
        <v>4045</v>
      </c>
      <c r="BW378" s="225" t="s">
        <v>968</v>
      </c>
      <c r="BX378" s="301" t="s">
        <v>620</v>
      </c>
      <c r="BY378" s="301">
        <v>2022</v>
      </c>
    </row>
    <row r="379" spans="1:77" s="33" customFormat="1" ht="13.5" customHeight="1">
      <c r="A379" s="64">
        <f t="shared" si="33"/>
        <v>2022</v>
      </c>
      <c r="B379" s="64">
        <f t="shared" si="34"/>
        <v>3</v>
      </c>
      <c r="C379" s="125" t="s">
        <v>191</v>
      </c>
      <c r="D379" s="168" t="str">
        <f t="shared" si="35"/>
        <v>non maj</v>
      </c>
      <c r="E379" s="232" t="s">
        <v>210</v>
      </c>
      <c r="F379" s="232" t="s">
        <v>1639</v>
      </c>
      <c r="G379" s="221">
        <v>600</v>
      </c>
      <c r="H379" s="222">
        <v>44617</v>
      </c>
      <c r="I379" s="222">
        <v>44620</v>
      </c>
      <c r="J379" s="223">
        <v>44622</v>
      </c>
      <c r="K379" s="222" t="s">
        <v>3274</v>
      </c>
      <c r="L379" s="223">
        <v>44650</v>
      </c>
      <c r="M379" s="223">
        <v>44650</v>
      </c>
      <c r="N379" s="223">
        <v>44655</v>
      </c>
      <c r="O379" s="222"/>
      <c r="P379" s="222">
        <v>44706</v>
      </c>
      <c r="Q379" s="222">
        <v>44701</v>
      </c>
      <c r="R379" s="222" t="s">
        <v>176</v>
      </c>
      <c r="S379" s="222">
        <v>44768</v>
      </c>
      <c r="T379" s="222">
        <v>44768</v>
      </c>
      <c r="U379" s="222">
        <v>44769</v>
      </c>
      <c r="V379" s="224"/>
      <c r="W379" s="222"/>
      <c r="X379" s="225"/>
      <c r="Y379" s="225"/>
      <c r="Z379" s="225"/>
      <c r="AA379" s="225">
        <v>3</v>
      </c>
      <c r="AB379" s="225">
        <v>56659</v>
      </c>
      <c r="AC379" s="225">
        <v>67</v>
      </c>
      <c r="AD379" s="225" t="s">
        <v>3275</v>
      </c>
      <c r="AE379" s="225">
        <v>38430</v>
      </c>
      <c r="AF379" s="225" t="s">
        <v>2081</v>
      </c>
      <c r="AG379" s="226">
        <v>607620009</v>
      </c>
      <c r="AH379" s="227" t="s">
        <v>3276</v>
      </c>
      <c r="AI379" s="225" t="s">
        <v>1168</v>
      </c>
      <c r="AJ379" s="225"/>
      <c r="AK379" s="225"/>
      <c r="AL379" s="225"/>
      <c r="AM379" s="225"/>
      <c r="AN379" s="225"/>
      <c r="AO379" s="225"/>
      <c r="AP379" s="225" t="s">
        <v>579</v>
      </c>
      <c r="AQ379" s="225" t="s">
        <v>1895</v>
      </c>
      <c r="AR379" s="225" t="s">
        <v>3259</v>
      </c>
      <c r="AS379" s="241" t="s">
        <v>201</v>
      </c>
      <c r="AT379" s="226" t="s">
        <v>580</v>
      </c>
      <c r="AU379" s="225" t="s">
        <v>176</v>
      </c>
      <c r="AV379" s="217" t="s">
        <v>388</v>
      </c>
      <c r="AW379" s="223">
        <v>44782</v>
      </c>
      <c r="AX379" s="225" t="s">
        <v>1880</v>
      </c>
      <c r="AY379" s="225">
        <v>2001</v>
      </c>
      <c r="AZ379" s="225" t="s">
        <v>1880</v>
      </c>
      <c r="BA379" s="225" t="s">
        <v>267</v>
      </c>
      <c r="BB379" s="225" t="s">
        <v>420</v>
      </c>
      <c r="BC379" s="225" t="s">
        <v>3277</v>
      </c>
      <c r="BD379" s="225">
        <v>15</v>
      </c>
      <c r="BE379" s="225">
        <v>9.6</v>
      </c>
      <c r="BF379" s="225">
        <v>82</v>
      </c>
      <c r="BG379" s="225"/>
      <c r="BH379" s="225" t="s">
        <v>1899</v>
      </c>
      <c r="BI379" s="225"/>
      <c r="BJ379" s="225">
        <v>4768.96</v>
      </c>
      <c r="BK379" s="225"/>
      <c r="BL379" s="225"/>
      <c r="BM379" s="225"/>
      <c r="BN379" s="225">
        <v>450</v>
      </c>
      <c r="BO379" s="225">
        <v>5218.96</v>
      </c>
      <c r="BP379" s="230">
        <v>287.04000000000002</v>
      </c>
      <c r="BQ379" s="230">
        <v>5506</v>
      </c>
      <c r="BR379" s="230">
        <v>5506</v>
      </c>
      <c r="BS379" s="225" t="s">
        <v>191</v>
      </c>
      <c r="BT379" s="225"/>
      <c r="BU379" s="225"/>
      <c r="BV379" s="231" t="s">
        <v>4045</v>
      </c>
      <c r="BW379" s="225" t="s">
        <v>968</v>
      </c>
      <c r="BX379" s="301" t="s">
        <v>620</v>
      </c>
      <c r="BY379" s="301" t="s">
        <v>176</v>
      </c>
    </row>
    <row r="380" spans="1:77" s="33" customFormat="1" ht="13.5" customHeight="1">
      <c r="A380" s="64">
        <f t="shared" si="33"/>
        <v>2022</v>
      </c>
      <c r="B380" s="64">
        <f t="shared" si="34"/>
        <v>3</v>
      </c>
      <c r="C380" s="125" t="s">
        <v>191</v>
      </c>
      <c r="D380" s="168" t="str">
        <f t="shared" si="35"/>
        <v>maj</v>
      </c>
      <c r="E380" s="225" t="s">
        <v>210</v>
      </c>
      <c r="F380" s="225" t="s">
        <v>1640</v>
      </c>
      <c r="G380" s="221">
        <v>1000</v>
      </c>
      <c r="H380" s="222">
        <v>44620</v>
      </c>
      <c r="I380" s="222">
        <v>44620</v>
      </c>
      <c r="J380" s="223">
        <v>44622</v>
      </c>
      <c r="K380" s="222" t="s">
        <v>3278</v>
      </c>
      <c r="L380" s="223">
        <v>44622</v>
      </c>
      <c r="M380" s="223">
        <v>44622</v>
      </c>
      <c r="N380" s="223">
        <v>44628</v>
      </c>
      <c r="O380" s="222"/>
      <c r="P380" s="222"/>
      <c r="Q380" s="222"/>
      <c r="R380" s="222"/>
      <c r="S380" s="222"/>
      <c r="T380" s="222"/>
      <c r="U380" s="222"/>
      <c r="V380" s="224"/>
      <c r="W380" s="222"/>
      <c r="X380" s="225"/>
      <c r="Y380" s="225"/>
      <c r="Z380" s="225"/>
      <c r="AA380" s="225">
        <v>3</v>
      </c>
      <c r="AB380" s="225">
        <v>30465</v>
      </c>
      <c r="AC380" s="225">
        <v>211</v>
      </c>
      <c r="AD380" s="225" t="s">
        <v>3279</v>
      </c>
      <c r="AE380" s="225">
        <v>38340</v>
      </c>
      <c r="AF380" s="225" t="s">
        <v>232</v>
      </c>
      <c r="AG380" s="226">
        <v>674849672</v>
      </c>
      <c r="AH380" s="227" t="s">
        <v>3280</v>
      </c>
      <c r="AI380" s="225" t="s">
        <v>1168</v>
      </c>
      <c r="AJ380" s="225"/>
      <c r="AK380" s="225"/>
      <c r="AL380" s="225"/>
      <c r="AM380" s="225"/>
      <c r="AN380" s="225"/>
      <c r="AO380" s="225"/>
      <c r="AP380" s="225" t="s">
        <v>263</v>
      </c>
      <c r="AQ380" s="225" t="s">
        <v>1910</v>
      </c>
      <c r="AR380" s="225" t="s">
        <v>2568</v>
      </c>
      <c r="AS380" s="241" t="s">
        <v>595</v>
      </c>
      <c r="AT380" s="226">
        <v>438920220</v>
      </c>
      <c r="AU380" s="225" t="s">
        <v>176</v>
      </c>
      <c r="AV380" s="241" t="s">
        <v>188</v>
      </c>
      <c r="AW380" s="223">
        <v>44668</v>
      </c>
      <c r="AX380" s="225" t="s">
        <v>1879</v>
      </c>
      <c r="AY380" s="225">
        <v>1948</v>
      </c>
      <c r="AZ380" s="225" t="s">
        <v>1880</v>
      </c>
      <c r="BA380" s="225" t="s">
        <v>267</v>
      </c>
      <c r="BB380" s="225" t="s">
        <v>3281</v>
      </c>
      <c r="BC380" s="225" t="s">
        <v>3282</v>
      </c>
      <c r="BD380" s="225">
        <v>14</v>
      </c>
      <c r="BE380" s="225">
        <v>8</v>
      </c>
      <c r="BF380" s="225">
        <v>94</v>
      </c>
      <c r="BG380" s="225">
        <v>1.0319999999999999E-2</v>
      </c>
      <c r="BH380" s="225" t="s">
        <v>1882</v>
      </c>
      <c r="BI380" s="225"/>
      <c r="BJ380" s="225">
        <v>5861</v>
      </c>
      <c r="BK380" s="225"/>
      <c r="BL380" s="225"/>
      <c r="BM380" s="225"/>
      <c r="BN380" s="225">
        <v>333.67</v>
      </c>
      <c r="BO380" s="225">
        <v>6090</v>
      </c>
      <c r="BP380" s="230">
        <v>317.49</v>
      </c>
      <c r="BQ380" s="230">
        <v>5772.51</v>
      </c>
      <c r="BR380" s="230"/>
      <c r="BS380" s="225" t="s">
        <v>188</v>
      </c>
      <c r="BT380" s="225"/>
      <c r="BU380" s="225"/>
      <c r="BV380" s="301" t="s">
        <v>4045</v>
      </c>
      <c r="BW380" s="225" t="s">
        <v>968</v>
      </c>
      <c r="BX380" s="222" t="s">
        <v>618</v>
      </c>
      <c r="BY380" s="301" t="s">
        <v>176</v>
      </c>
    </row>
    <row r="381" spans="1:77" s="33" customFormat="1" ht="13.5" customHeight="1">
      <c r="A381" s="64">
        <f t="shared" si="33"/>
        <v>2022</v>
      </c>
      <c r="B381" s="64">
        <f t="shared" si="34"/>
        <v>3</v>
      </c>
      <c r="C381" s="125" t="s">
        <v>191</v>
      </c>
      <c r="D381" s="168" t="str">
        <f t="shared" si="35"/>
        <v>non maj</v>
      </c>
      <c r="E381" s="232" t="s">
        <v>210</v>
      </c>
      <c r="F381" s="232" t="s">
        <v>1644</v>
      </c>
      <c r="G381" s="221">
        <v>600</v>
      </c>
      <c r="H381" s="222">
        <v>44621</v>
      </c>
      <c r="I381" s="222">
        <v>44623</v>
      </c>
      <c r="J381" s="223"/>
      <c r="K381" s="222"/>
      <c r="L381" s="223">
        <v>44623</v>
      </c>
      <c r="M381" s="223">
        <v>44623</v>
      </c>
      <c r="N381" s="223">
        <v>44628</v>
      </c>
      <c r="O381" s="222"/>
      <c r="P381" s="222">
        <v>44739</v>
      </c>
      <c r="Q381" s="222">
        <v>44711</v>
      </c>
      <c r="R381" s="222" t="s">
        <v>176</v>
      </c>
      <c r="S381" s="222">
        <v>44769</v>
      </c>
      <c r="T381" s="222">
        <v>44769</v>
      </c>
      <c r="U381" s="222">
        <v>44770</v>
      </c>
      <c r="V381" s="224"/>
      <c r="W381" s="222"/>
      <c r="X381" s="225"/>
      <c r="Y381" s="225"/>
      <c r="Z381" s="225"/>
      <c r="AA381" s="225">
        <v>2</v>
      </c>
      <c r="AB381" s="225">
        <v>70584</v>
      </c>
      <c r="AC381" s="225">
        <v>95</v>
      </c>
      <c r="AD381" s="225" t="s">
        <v>3283</v>
      </c>
      <c r="AE381" s="225">
        <v>38140</v>
      </c>
      <c r="AF381" s="225" t="s">
        <v>1946</v>
      </c>
      <c r="AG381" s="226">
        <v>630170447</v>
      </c>
      <c r="AH381" s="227" t="s">
        <v>3284</v>
      </c>
      <c r="AI381" s="225" t="s">
        <v>1168</v>
      </c>
      <c r="AJ381" s="225"/>
      <c r="AK381" s="225"/>
      <c r="AL381" s="225"/>
      <c r="AM381" s="225"/>
      <c r="AN381" s="225"/>
      <c r="AO381" s="225"/>
      <c r="AP381" s="222" t="s">
        <v>587</v>
      </c>
      <c r="AQ381" s="225" t="s">
        <v>225</v>
      </c>
      <c r="AR381" s="225" t="s">
        <v>2026</v>
      </c>
      <c r="AS381" s="241" t="s">
        <v>266</v>
      </c>
      <c r="AT381" s="226">
        <v>476069938</v>
      </c>
      <c r="AU381" s="225"/>
      <c r="AV381" s="241" t="s">
        <v>188</v>
      </c>
      <c r="AW381" s="223">
        <v>44822</v>
      </c>
      <c r="AX381" s="225" t="s">
        <v>1880</v>
      </c>
      <c r="AY381" s="242">
        <v>2001</v>
      </c>
      <c r="AZ381" s="225" t="s">
        <v>1880</v>
      </c>
      <c r="BA381" s="225" t="s">
        <v>380</v>
      </c>
      <c r="BB381" s="225" t="s">
        <v>399</v>
      </c>
      <c r="BC381" s="225" t="s">
        <v>3285</v>
      </c>
      <c r="BD381" s="242">
        <v>40</v>
      </c>
      <c r="BE381" s="242">
        <v>5.8</v>
      </c>
      <c r="BF381" s="242">
        <v>75</v>
      </c>
      <c r="BG381" s="242">
        <v>0.1024</v>
      </c>
      <c r="BH381" s="225" t="s">
        <v>1882</v>
      </c>
      <c r="BI381" s="225"/>
      <c r="BJ381" s="242">
        <v>4648</v>
      </c>
      <c r="BK381" s="225"/>
      <c r="BL381" s="225"/>
      <c r="BM381" s="225"/>
      <c r="BN381" s="242">
        <v>1040</v>
      </c>
      <c r="BO381" s="242">
        <v>5688</v>
      </c>
      <c r="BP381" s="242">
        <v>312.85000000000002</v>
      </c>
      <c r="BQ381" s="242">
        <v>6000.85</v>
      </c>
      <c r="BR381" s="230">
        <v>6000.85</v>
      </c>
      <c r="BS381" s="225" t="s">
        <v>191</v>
      </c>
      <c r="BT381" s="225"/>
      <c r="BU381" s="225"/>
      <c r="BV381" s="231" t="s">
        <v>4045</v>
      </c>
      <c r="BW381" s="225" t="s">
        <v>968</v>
      </c>
      <c r="BX381" s="301" t="s">
        <v>620</v>
      </c>
      <c r="BY381" s="301">
        <v>2022</v>
      </c>
    </row>
    <row r="382" spans="1:77" s="33" customFormat="1" ht="13.5" customHeight="1">
      <c r="A382" s="64">
        <f t="shared" si="33"/>
        <v>2022</v>
      </c>
      <c r="B382" s="64">
        <f t="shared" si="34"/>
        <v>3</v>
      </c>
      <c r="C382" s="125" t="s">
        <v>191</v>
      </c>
      <c r="D382" s="168" t="str">
        <f t="shared" si="35"/>
        <v>non maj</v>
      </c>
      <c r="E382" s="232" t="s">
        <v>210</v>
      </c>
      <c r="F382" s="232" t="s">
        <v>1646</v>
      </c>
      <c r="G382" s="221">
        <v>600</v>
      </c>
      <c r="H382" s="222">
        <v>44621</v>
      </c>
      <c r="I382" s="222">
        <v>44623</v>
      </c>
      <c r="J382" s="223"/>
      <c r="K382" s="222"/>
      <c r="L382" s="223">
        <v>44623</v>
      </c>
      <c r="M382" s="223">
        <v>44623</v>
      </c>
      <c r="N382" s="223">
        <v>44628</v>
      </c>
      <c r="O382" s="222"/>
      <c r="P382" s="222">
        <v>44694</v>
      </c>
      <c r="Q382" s="222">
        <v>44690</v>
      </c>
      <c r="R382" s="222" t="s">
        <v>176</v>
      </c>
      <c r="S382" s="222">
        <v>44768</v>
      </c>
      <c r="T382" s="222">
        <v>44768</v>
      </c>
      <c r="U382" s="222">
        <v>44769</v>
      </c>
      <c r="V382" s="224"/>
      <c r="W382" s="222"/>
      <c r="X382" s="225"/>
      <c r="Y382" s="225"/>
      <c r="Z382" s="225"/>
      <c r="AA382" s="225">
        <v>2</v>
      </c>
      <c r="AB382" s="225">
        <v>30125</v>
      </c>
      <c r="AC382" s="225">
        <v>6</v>
      </c>
      <c r="AD382" s="225" t="s">
        <v>3286</v>
      </c>
      <c r="AE382" s="225">
        <v>38500</v>
      </c>
      <c r="AF382" s="225" t="s">
        <v>225</v>
      </c>
      <c r="AG382" s="226">
        <v>687797125</v>
      </c>
      <c r="AH382" s="227" t="s">
        <v>3287</v>
      </c>
      <c r="AI382" s="225" t="s">
        <v>1168</v>
      </c>
      <c r="AJ382" s="225"/>
      <c r="AK382" s="225"/>
      <c r="AL382" s="225"/>
      <c r="AM382" s="225"/>
      <c r="AN382" s="225"/>
      <c r="AO382" s="225"/>
      <c r="AP382" s="222" t="s">
        <v>587</v>
      </c>
      <c r="AQ382" s="225" t="s">
        <v>225</v>
      </c>
      <c r="AR382" s="225" t="s">
        <v>2026</v>
      </c>
      <c r="AS382" s="241" t="s">
        <v>266</v>
      </c>
      <c r="AT382" s="226">
        <v>476069938</v>
      </c>
      <c r="AU382" s="225"/>
      <c r="AV382" s="241" t="s">
        <v>188</v>
      </c>
      <c r="AW382" s="223">
        <v>44822</v>
      </c>
      <c r="AX382" s="225" t="s">
        <v>4113</v>
      </c>
      <c r="AY382" s="242">
        <v>1992</v>
      </c>
      <c r="AZ382" s="225" t="s">
        <v>1880</v>
      </c>
      <c r="BA382" s="225" t="s">
        <v>380</v>
      </c>
      <c r="BB382" s="225" t="s">
        <v>280</v>
      </c>
      <c r="BC382" s="225" t="s">
        <v>3288</v>
      </c>
      <c r="BD382" s="242">
        <v>17</v>
      </c>
      <c r="BE382" s="242">
        <v>9</v>
      </c>
      <c r="BF382" s="242">
        <v>79.5</v>
      </c>
      <c r="BG382" s="242">
        <v>8.4080000000000002E-2</v>
      </c>
      <c r="BH382" s="225" t="s">
        <v>1882</v>
      </c>
      <c r="BI382" s="225"/>
      <c r="BJ382" s="242">
        <v>4435</v>
      </c>
      <c r="BK382" s="225"/>
      <c r="BL382" s="225"/>
      <c r="BM382" s="225"/>
      <c r="BN382" s="242">
        <v>750</v>
      </c>
      <c r="BO382" s="242">
        <v>5185</v>
      </c>
      <c r="BP382" s="242">
        <v>285.18</v>
      </c>
      <c r="BQ382" s="242">
        <v>5470.18</v>
      </c>
      <c r="BR382" s="230">
        <v>5291.89</v>
      </c>
      <c r="BS382" s="225" t="s">
        <v>188</v>
      </c>
      <c r="BT382" s="225"/>
      <c r="BU382" s="225"/>
      <c r="BV382" s="231" t="s">
        <v>4045</v>
      </c>
      <c r="BW382" s="225" t="s">
        <v>968</v>
      </c>
      <c r="BX382" s="301" t="s">
        <v>620</v>
      </c>
      <c r="BY382" s="301">
        <v>2022</v>
      </c>
    </row>
    <row r="383" spans="1:77" s="33" customFormat="1" ht="13.5" customHeight="1">
      <c r="A383" s="64" t="e">
        <f t="shared" si="33"/>
        <v>#VALUE!</v>
      </c>
      <c r="B383" s="64" t="e">
        <f t="shared" si="34"/>
        <v>#VALUE!</v>
      </c>
      <c r="C383" s="125" t="s">
        <v>188</v>
      </c>
      <c r="D383" s="168" t="str">
        <f t="shared" si="35"/>
        <v>NC</v>
      </c>
      <c r="E383" s="294" t="s">
        <v>898</v>
      </c>
      <c r="F383" s="294" t="s">
        <v>3289</v>
      </c>
      <c r="G383" s="221">
        <v>1000</v>
      </c>
      <c r="H383" s="222">
        <v>44623</v>
      </c>
      <c r="I383" s="222">
        <v>44624</v>
      </c>
      <c r="J383" s="223">
        <v>44629</v>
      </c>
      <c r="K383" s="222" t="s">
        <v>1060</v>
      </c>
      <c r="L383" s="223" t="s">
        <v>176</v>
      </c>
      <c r="M383" s="223" t="s">
        <v>176</v>
      </c>
      <c r="N383" s="223" t="s">
        <v>176</v>
      </c>
      <c r="O383" s="222"/>
      <c r="P383" s="222" t="s">
        <v>176</v>
      </c>
      <c r="Q383" s="222" t="s">
        <v>176</v>
      </c>
      <c r="R383" s="222" t="s">
        <v>176</v>
      </c>
      <c r="S383" s="222" t="s">
        <v>176</v>
      </c>
      <c r="T383" s="222" t="s">
        <v>176</v>
      </c>
      <c r="U383" s="222" t="s">
        <v>176</v>
      </c>
      <c r="V383" s="224"/>
      <c r="W383" s="222">
        <v>44629</v>
      </c>
      <c r="X383" s="225" t="s">
        <v>3290</v>
      </c>
      <c r="Y383" s="225"/>
      <c r="Z383" s="225"/>
      <c r="AA383" s="225">
        <v>2</v>
      </c>
      <c r="AB383" s="225">
        <f>9061+9130</f>
        <v>18191</v>
      </c>
      <c r="AC383" s="225">
        <v>245</v>
      </c>
      <c r="AD383" s="225" t="s">
        <v>3291</v>
      </c>
      <c r="AE383" s="225">
        <v>38140</v>
      </c>
      <c r="AF383" s="225" t="s">
        <v>1971</v>
      </c>
      <c r="AG383" s="226">
        <v>638555477</v>
      </c>
      <c r="AH383" s="227" t="s">
        <v>3292</v>
      </c>
      <c r="AI383" s="225" t="s">
        <v>1168</v>
      </c>
      <c r="AJ383" s="225"/>
      <c r="AK383" s="225"/>
      <c r="AL383" s="225"/>
      <c r="AM383" s="225"/>
      <c r="AN383" s="225"/>
      <c r="AO383" s="225"/>
      <c r="AP383" s="225" t="s">
        <v>675</v>
      </c>
      <c r="AQ383" s="225" t="s">
        <v>864</v>
      </c>
      <c r="AR383" s="225" t="s">
        <v>1948</v>
      </c>
      <c r="AS383" s="246" t="s">
        <v>673</v>
      </c>
      <c r="AT383" s="226" t="s">
        <v>626</v>
      </c>
      <c r="AU383" s="225" t="s">
        <v>176</v>
      </c>
      <c r="AV383" s="229" t="s">
        <v>388</v>
      </c>
      <c r="AW383" s="223">
        <v>44798</v>
      </c>
      <c r="AX383" s="225" t="s">
        <v>176</v>
      </c>
      <c r="AY383" s="225" t="s">
        <v>176</v>
      </c>
      <c r="AZ383" s="225" t="s">
        <v>176</v>
      </c>
      <c r="BA383" s="225" t="s">
        <v>176</v>
      </c>
      <c r="BB383" s="225" t="s">
        <v>176</v>
      </c>
      <c r="BC383" s="225" t="s">
        <v>176</v>
      </c>
      <c r="BD383" s="225" t="s">
        <v>176</v>
      </c>
      <c r="BE383" s="225" t="s">
        <v>176</v>
      </c>
      <c r="BF383" s="225" t="s">
        <v>176</v>
      </c>
      <c r="BG383" s="225" t="s">
        <v>176</v>
      </c>
      <c r="BH383" s="225" t="s">
        <v>176</v>
      </c>
      <c r="BI383" s="225"/>
      <c r="BJ383" s="225">
        <v>0</v>
      </c>
      <c r="BK383" s="225"/>
      <c r="BL383" s="225"/>
      <c r="BM383" s="225"/>
      <c r="BN383" s="225">
        <v>0</v>
      </c>
      <c r="BO383" s="225">
        <v>0</v>
      </c>
      <c r="BP383" s="230">
        <v>0</v>
      </c>
      <c r="BQ383" s="230">
        <v>0</v>
      </c>
      <c r="BR383" s="230" t="s">
        <v>176</v>
      </c>
      <c r="BS383" s="225" t="s">
        <v>176</v>
      </c>
      <c r="BT383" s="225"/>
      <c r="BU383" s="225"/>
      <c r="BV383" s="231">
        <v>0</v>
      </c>
      <c r="BW383" s="301" t="s">
        <v>3118</v>
      </c>
      <c r="BX383" s="301" t="s">
        <v>214</v>
      </c>
      <c r="BY383" s="301"/>
    </row>
    <row r="384" spans="1:77" s="33" customFormat="1" ht="13.5" customHeight="1">
      <c r="A384" s="64">
        <f t="shared" si="33"/>
        <v>2022</v>
      </c>
      <c r="B384" s="64">
        <f t="shared" si="34"/>
        <v>3</v>
      </c>
      <c r="C384" s="125" t="s">
        <v>191</v>
      </c>
      <c r="D384" s="168" t="str">
        <f t="shared" si="35"/>
        <v>non maj</v>
      </c>
      <c r="E384" s="232" t="s">
        <v>898</v>
      </c>
      <c r="F384" s="232" t="s">
        <v>1647</v>
      </c>
      <c r="G384" s="221">
        <v>600</v>
      </c>
      <c r="H384" s="222">
        <v>44623</v>
      </c>
      <c r="I384" s="222">
        <v>44624</v>
      </c>
      <c r="J384" s="223" t="s">
        <v>176</v>
      </c>
      <c r="K384" s="222" t="s">
        <v>176</v>
      </c>
      <c r="L384" s="223">
        <v>44630</v>
      </c>
      <c r="M384" s="223">
        <v>44630</v>
      </c>
      <c r="N384" s="223">
        <v>44635</v>
      </c>
      <c r="O384" s="222"/>
      <c r="P384" s="222">
        <v>44719</v>
      </c>
      <c r="Q384" s="222">
        <v>44687</v>
      </c>
      <c r="R384" s="222" t="s">
        <v>176</v>
      </c>
      <c r="S384" s="222">
        <v>44769</v>
      </c>
      <c r="T384" s="222">
        <v>44769</v>
      </c>
      <c r="U384" s="222">
        <v>44770</v>
      </c>
      <c r="V384" s="224"/>
      <c r="W384" s="222"/>
      <c r="X384" s="225"/>
      <c r="Y384" s="225"/>
      <c r="Z384" s="225"/>
      <c r="AA384" s="225">
        <v>2</v>
      </c>
      <c r="AB384" s="225">
        <v>42225</v>
      </c>
      <c r="AC384" s="225">
        <v>6</v>
      </c>
      <c r="AD384" s="225" t="s">
        <v>2195</v>
      </c>
      <c r="AE384" s="225">
        <v>38140</v>
      </c>
      <c r="AF384" s="225" t="s">
        <v>1946</v>
      </c>
      <c r="AG384" s="226">
        <v>610927108</v>
      </c>
      <c r="AH384" s="227" t="s">
        <v>3293</v>
      </c>
      <c r="AI384" s="225" t="s">
        <v>1168</v>
      </c>
      <c r="AJ384" s="225"/>
      <c r="AK384" s="225"/>
      <c r="AL384" s="225"/>
      <c r="AM384" s="225"/>
      <c r="AN384" s="225"/>
      <c r="AO384" s="225"/>
      <c r="AP384" s="225" t="s">
        <v>3294</v>
      </c>
      <c r="AQ384" s="225" t="s">
        <v>231</v>
      </c>
      <c r="AR384" s="225" t="s">
        <v>1036</v>
      </c>
      <c r="AS384" s="246" t="s">
        <v>895</v>
      </c>
      <c r="AT384" s="226" t="s">
        <v>701</v>
      </c>
      <c r="AU384" s="225" t="s">
        <v>176</v>
      </c>
      <c r="AV384" s="229" t="s">
        <v>388</v>
      </c>
      <c r="AW384" s="223">
        <v>44789</v>
      </c>
      <c r="AX384" s="225" t="s">
        <v>4113</v>
      </c>
      <c r="AY384" s="225">
        <v>1987</v>
      </c>
      <c r="AZ384" s="225" t="s">
        <v>1880</v>
      </c>
      <c r="BA384" s="225" t="s">
        <v>267</v>
      </c>
      <c r="BB384" s="225" t="s">
        <v>217</v>
      </c>
      <c r="BC384" s="225" t="s">
        <v>881</v>
      </c>
      <c r="BD384" s="225">
        <v>15</v>
      </c>
      <c r="BE384" s="225">
        <v>9.1999999999999993</v>
      </c>
      <c r="BF384" s="225">
        <v>88.5</v>
      </c>
      <c r="BG384" s="225">
        <v>9.0399999999999994E-3</v>
      </c>
      <c r="BH384" s="225" t="s">
        <v>1882</v>
      </c>
      <c r="BI384" s="225"/>
      <c r="BJ384" s="225">
        <f>2600+390+370+230+110</f>
        <v>3700</v>
      </c>
      <c r="BK384" s="225"/>
      <c r="BL384" s="225"/>
      <c r="BM384" s="225"/>
      <c r="BN384" s="225">
        <f>130+580</f>
        <v>710</v>
      </c>
      <c r="BO384" s="225">
        <f t="shared" ref="BO384:BO391" si="39">BJ384+BN384</f>
        <v>4410</v>
      </c>
      <c r="BP384" s="230">
        <f t="shared" ref="BP384:BP391" si="40">BO384*0.055</f>
        <v>242.55</v>
      </c>
      <c r="BQ384" s="230">
        <f t="shared" ref="BQ384:BQ391" si="41">BO384*1.055</f>
        <v>4652.5499999999993</v>
      </c>
      <c r="BR384" s="230">
        <f>4409.48*1.055</f>
        <v>4652.0013999999992</v>
      </c>
      <c r="BS384" s="225" t="s">
        <v>188</v>
      </c>
      <c r="BT384" s="225"/>
      <c r="BU384" s="225"/>
      <c r="BV384" s="231" t="s">
        <v>4045</v>
      </c>
      <c r="BW384" s="225" t="s">
        <v>968</v>
      </c>
      <c r="BX384" s="301" t="s">
        <v>620</v>
      </c>
      <c r="BY384" s="301" t="s">
        <v>176</v>
      </c>
    </row>
    <row r="385" spans="1:77" s="33" customFormat="1" ht="13.5" customHeight="1">
      <c r="A385" s="64">
        <f t="shared" si="33"/>
        <v>2022</v>
      </c>
      <c r="B385" s="64">
        <f t="shared" si="34"/>
        <v>3</v>
      </c>
      <c r="C385" s="125" t="s">
        <v>191</v>
      </c>
      <c r="D385" s="168" t="str">
        <f t="shared" si="35"/>
        <v>maj</v>
      </c>
      <c r="E385" s="232" t="s">
        <v>898</v>
      </c>
      <c r="F385" s="232" t="s">
        <v>1648</v>
      </c>
      <c r="G385" s="221">
        <v>1000</v>
      </c>
      <c r="H385" s="222">
        <v>44627</v>
      </c>
      <c r="I385" s="222" t="s">
        <v>176</v>
      </c>
      <c r="J385" s="223" t="s">
        <v>176</v>
      </c>
      <c r="K385" s="222" t="s">
        <v>3295</v>
      </c>
      <c r="L385" s="223">
        <v>44630</v>
      </c>
      <c r="M385" s="223">
        <v>44630</v>
      </c>
      <c r="N385" s="223">
        <v>44636</v>
      </c>
      <c r="O385" s="222"/>
      <c r="P385" s="222">
        <v>44894</v>
      </c>
      <c r="Q385" s="222">
        <v>44881</v>
      </c>
      <c r="R385" s="222" t="s">
        <v>176</v>
      </c>
      <c r="S385" s="222">
        <v>44915</v>
      </c>
      <c r="T385" s="222">
        <v>44915</v>
      </c>
      <c r="U385" s="222">
        <v>44932</v>
      </c>
      <c r="V385" s="224"/>
      <c r="W385" s="222"/>
      <c r="X385" s="225"/>
      <c r="Y385" s="225"/>
      <c r="Z385" s="225"/>
      <c r="AA385" s="225">
        <v>5</v>
      </c>
      <c r="AB385" s="225">
        <v>40967</v>
      </c>
      <c r="AC385" s="225">
        <v>69</v>
      </c>
      <c r="AD385" s="225" t="s">
        <v>3296</v>
      </c>
      <c r="AE385" s="225">
        <v>38620</v>
      </c>
      <c r="AF385" s="225" t="s">
        <v>2888</v>
      </c>
      <c r="AG385" s="226" t="s">
        <v>176</v>
      </c>
      <c r="AH385" s="251" t="s">
        <v>176</v>
      </c>
      <c r="AI385" s="225" t="s">
        <v>1168</v>
      </c>
      <c r="AJ385" s="225"/>
      <c r="AK385" s="225"/>
      <c r="AL385" s="225"/>
      <c r="AM385" s="225"/>
      <c r="AN385" s="225"/>
      <c r="AO385" s="225"/>
      <c r="AP385" s="225" t="s">
        <v>1888</v>
      </c>
      <c r="AQ385" s="225" t="s">
        <v>225</v>
      </c>
      <c r="AR385" s="225" t="s">
        <v>3242</v>
      </c>
      <c r="AS385" s="295" t="s">
        <v>3297</v>
      </c>
      <c r="AT385" s="226" t="s">
        <v>600</v>
      </c>
      <c r="AU385" s="225" t="s">
        <v>176</v>
      </c>
      <c r="AV385" s="251" t="s">
        <v>388</v>
      </c>
      <c r="AW385" s="223">
        <v>44868</v>
      </c>
      <c r="AX385" s="225" t="s">
        <v>1880</v>
      </c>
      <c r="AY385" s="225">
        <v>2000</v>
      </c>
      <c r="AZ385" s="225" t="s">
        <v>1880</v>
      </c>
      <c r="BA385" s="225" t="s">
        <v>267</v>
      </c>
      <c r="BB385" s="225" t="s">
        <v>221</v>
      </c>
      <c r="BC385" s="225" t="s">
        <v>3298</v>
      </c>
      <c r="BD385" s="225">
        <v>17</v>
      </c>
      <c r="BE385" s="225">
        <v>8.1</v>
      </c>
      <c r="BF385" s="225">
        <v>90.9</v>
      </c>
      <c r="BG385" s="225">
        <v>2E-3</v>
      </c>
      <c r="BH385" s="225" t="s">
        <v>1882</v>
      </c>
      <c r="BI385" s="225"/>
      <c r="BJ385" s="225">
        <f>3966+280+85+101+87+62+90+22+49+70+30</f>
        <v>4842</v>
      </c>
      <c r="BK385" s="225"/>
      <c r="BL385" s="225"/>
      <c r="BM385" s="225"/>
      <c r="BN385" s="225">
        <f>50+450</f>
        <v>500</v>
      </c>
      <c r="BO385" s="225">
        <f t="shared" si="39"/>
        <v>5342</v>
      </c>
      <c r="BP385" s="230">
        <f t="shared" si="40"/>
        <v>293.81</v>
      </c>
      <c r="BQ385" s="230">
        <f t="shared" si="41"/>
        <v>5635.8099999999995</v>
      </c>
      <c r="BR385" s="230">
        <v>5635.81</v>
      </c>
      <c r="BS385" s="225" t="s">
        <v>188</v>
      </c>
      <c r="BT385" s="225"/>
      <c r="BU385" s="225"/>
      <c r="BV385" s="301" t="s">
        <v>4045</v>
      </c>
      <c r="BW385" s="225" t="s">
        <v>968</v>
      </c>
      <c r="BX385" s="222" t="s">
        <v>618</v>
      </c>
      <c r="BY385" s="301" t="s">
        <v>176</v>
      </c>
    </row>
    <row r="386" spans="1:77" s="33" customFormat="1" ht="13.5" customHeight="1">
      <c r="A386" s="64">
        <f t="shared" si="33"/>
        <v>2022</v>
      </c>
      <c r="B386" s="64">
        <f t="shared" si="34"/>
        <v>3</v>
      </c>
      <c r="C386" s="125" t="s">
        <v>191</v>
      </c>
      <c r="D386" s="168" t="str">
        <f t="shared" si="35"/>
        <v>maj</v>
      </c>
      <c r="E386" s="225" t="s">
        <v>898</v>
      </c>
      <c r="F386" s="225" t="s">
        <v>1650</v>
      </c>
      <c r="G386" s="221">
        <v>1000</v>
      </c>
      <c r="H386" s="222">
        <v>44627</v>
      </c>
      <c r="I386" s="222">
        <v>44628</v>
      </c>
      <c r="J386" s="223" t="s">
        <v>176</v>
      </c>
      <c r="K386" s="222" t="s">
        <v>176</v>
      </c>
      <c r="L386" s="223">
        <v>44630</v>
      </c>
      <c r="M386" s="223">
        <v>44630</v>
      </c>
      <c r="N386" s="223">
        <v>44635</v>
      </c>
      <c r="O386" s="222"/>
      <c r="P386" s="222"/>
      <c r="Q386" s="222"/>
      <c r="R386" s="222"/>
      <c r="S386" s="222"/>
      <c r="T386" s="222"/>
      <c r="U386" s="222"/>
      <c r="V386" s="224"/>
      <c r="W386" s="222"/>
      <c r="X386" s="225"/>
      <c r="Y386" s="225"/>
      <c r="Z386" s="225"/>
      <c r="AA386" s="225">
        <v>1</v>
      </c>
      <c r="AB386" s="225">
        <v>11290</v>
      </c>
      <c r="AC386" s="225">
        <v>807</v>
      </c>
      <c r="AD386" s="225" t="s">
        <v>3299</v>
      </c>
      <c r="AE386" s="225">
        <v>38730</v>
      </c>
      <c r="AF386" s="225" t="s">
        <v>3109</v>
      </c>
      <c r="AG386" s="226">
        <v>640051608</v>
      </c>
      <c r="AH386" s="227" t="s">
        <v>3300</v>
      </c>
      <c r="AI386" s="225" t="s">
        <v>1168</v>
      </c>
      <c r="AJ386" s="225"/>
      <c r="AK386" s="225"/>
      <c r="AL386" s="225"/>
      <c r="AM386" s="225"/>
      <c r="AN386" s="225"/>
      <c r="AO386" s="225"/>
      <c r="AP386" s="225" t="s">
        <v>1874</v>
      </c>
      <c r="AQ386" s="225" t="s">
        <v>1875</v>
      </c>
      <c r="AR386" s="225" t="s">
        <v>3076</v>
      </c>
      <c r="AS386" s="241" t="s">
        <v>1877</v>
      </c>
      <c r="AT386" s="226" t="s">
        <v>434</v>
      </c>
      <c r="AU386" s="225" t="s">
        <v>176</v>
      </c>
      <c r="AV386" s="217" t="s">
        <v>188</v>
      </c>
      <c r="AW386" s="223">
        <v>44821</v>
      </c>
      <c r="AX386" s="225" t="s">
        <v>1179</v>
      </c>
      <c r="AY386" s="225">
        <v>1985</v>
      </c>
      <c r="AZ386" s="225" t="s">
        <v>1880</v>
      </c>
      <c r="BA386" s="225" t="s">
        <v>267</v>
      </c>
      <c r="BB386" s="225" t="s">
        <v>190</v>
      </c>
      <c r="BC386" s="225" t="s">
        <v>3301</v>
      </c>
      <c r="BD386" s="225">
        <v>16</v>
      </c>
      <c r="BE386" s="225">
        <v>9.1</v>
      </c>
      <c r="BF386" s="225">
        <v>91.8</v>
      </c>
      <c r="BG386" s="225">
        <v>3.7599999999999999E-3</v>
      </c>
      <c r="BH386" s="225" t="s">
        <v>1882</v>
      </c>
      <c r="BI386" s="225"/>
      <c r="BJ386" s="225">
        <f>4210+1195+193</f>
        <v>5598</v>
      </c>
      <c r="BK386" s="225"/>
      <c r="BL386" s="225"/>
      <c r="BM386" s="225"/>
      <c r="BN386" s="225">
        <v>790</v>
      </c>
      <c r="BO386" s="225">
        <f t="shared" si="39"/>
        <v>6388</v>
      </c>
      <c r="BP386" s="230">
        <f t="shared" si="40"/>
        <v>351.34</v>
      </c>
      <c r="BQ386" s="230">
        <f t="shared" si="41"/>
        <v>6739.3399999999992</v>
      </c>
      <c r="BR386" s="230"/>
      <c r="BS386" s="225" t="s">
        <v>188</v>
      </c>
      <c r="BT386" s="225"/>
      <c r="BU386" s="225"/>
      <c r="BV386" s="301" t="s">
        <v>4045</v>
      </c>
      <c r="BW386" s="225" t="s">
        <v>968</v>
      </c>
      <c r="BX386" s="222" t="s">
        <v>618</v>
      </c>
      <c r="BY386" s="301" t="s">
        <v>176</v>
      </c>
    </row>
    <row r="387" spans="1:77" s="33" customFormat="1" ht="13.5" customHeight="1">
      <c r="A387" s="64">
        <f t="shared" ref="A387:A450" si="42">YEAR(L387)</f>
        <v>2022</v>
      </c>
      <c r="B387" s="64">
        <f t="shared" ref="B387:B450" si="43">MONTH(L387)</f>
        <v>4</v>
      </c>
      <c r="C387" s="125" t="s">
        <v>191</v>
      </c>
      <c r="D387" s="168" t="str">
        <f t="shared" ref="D387:D450" si="44">BX387</f>
        <v>non maj</v>
      </c>
      <c r="E387" s="225" t="s">
        <v>3302</v>
      </c>
      <c r="F387" s="225" t="s">
        <v>1651</v>
      </c>
      <c r="G387" s="221">
        <v>600</v>
      </c>
      <c r="H387" s="222">
        <v>44628</v>
      </c>
      <c r="I387" s="222">
        <v>44636</v>
      </c>
      <c r="J387" s="223">
        <v>44648</v>
      </c>
      <c r="K387" s="222" t="s">
        <v>3303</v>
      </c>
      <c r="L387" s="223">
        <v>44652</v>
      </c>
      <c r="M387" s="223">
        <v>44652</v>
      </c>
      <c r="N387" s="223">
        <v>44655</v>
      </c>
      <c r="O387" s="222"/>
      <c r="P387" s="222">
        <v>44944</v>
      </c>
      <c r="Q387" s="222"/>
      <c r="R387" s="222"/>
      <c r="S387" s="222"/>
      <c r="T387" s="222"/>
      <c r="U387" s="222"/>
      <c r="V387" s="224"/>
      <c r="W387" s="222"/>
      <c r="X387" s="225"/>
      <c r="Y387" s="225"/>
      <c r="Z387" s="225"/>
      <c r="AA387" s="225">
        <v>2</v>
      </c>
      <c r="AB387" s="225">
        <v>41354</v>
      </c>
      <c r="AC387" s="225">
        <v>460</v>
      </c>
      <c r="AD387" s="225" t="s">
        <v>2264</v>
      </c>
      <c r="AE387" s="225">
        <v>38960</v>
      </c>
      <c r="AF387" s="225" t="s">
        <v>2088</v>
      </c>
      <c r="AG387" s="226">
        <v>607293201</v>
      </c>
      <c r="AH387" s="250" t="s">
        <v>3304</v>
      </c>
      <c r="AI387" s="225" t="s">
        <v>1168</v>
      </c>
      <c r="AJ387" s="225"/>
      <c r="AK387" s="225"/>
      <c r="AL387" s="225"/>
      <c r="AM387" s="225"/>
      <c r="AN387" s="225"/>
      <c r="AO387" s="225"/>
      <c r="AP387" s="225" t="s">
        <v>1888</v>
      </c>
      <c r="AQ387" s="225" t="s">
        <v>225</v>
      </c>
      <c r="AR387" s="225" t="s">
        <v>3242</v>
      </c>
      <c r="AS387" s="295" t="s">
        <v>3297</v>
      </c>
      <c r="AT387" s="226" t="s">
        <v>600</v>
      </c>
      <c r="AU387" s="225" t="s">
        <v>176</v>
      </c>
      <c r="AV387" s="251" t="s">
        <v>388</v>
      </c>
      <c r="AW387" s="223">
        <v>44868</v>
      </c>
      <c r="AX387" s="225" t="s">
        <v>4113</v>
      </c>
      <c r="AY387" s="225">
        <v>1990</v>
      </c>
      <c r="AZ387" s="225" t="s">
        <v>1880</v>
      </c>
      <c r="BA387" s="225" t="s">
        <v>267</v>
      </c>
      <c r="BB387" s="225" t="s">
        <v>221</v>
      </c>
      <c r="BC387" s="225" t="s">
        <v>3305</v>
      </c>
      <c r="BD387" s="225">
        <v>11</v>
      </c>
      <c r="BE387" s="225">
        <v>7.8</v>
      </c>
      <c r="BF387" s="225">
        <v>90.2</v>
      </c>
      <c r="BG387" s="225">
        <v>6.0000000000000001E-3</v>
      </c>
      <c r="BH387" s="225" t="s">
        <v>1882</v>
      </c>
      <c r="BI387" s="225"/>
      <c r="BJ387" s="225">
        <f>4194+595+101+142+89+60+60+47+28+45+73+20</f>
        <v>5454</v>
      </c>
      <c r="BK387" s="225"/>
      <c r="BL387" s="225"/>
      <c r="BM387" s="225"/>
      <c r="BN387" s="225">
        <f>40+455+50</f>
        <v>545</v>
      </c>
      <c r="BO387" s="225">
        <f t="shared" si="39"/>
        <v>5999</v>
      </c>
      <c r="BP387" s="230">
        <f t="shared" si="40"/>
        <v>329.94499999999999</v>
      </c>
      <c r="BQ387" s="230">
        <f t="shared" si="41"/>
        <v>6328.9449999999997</v>
      </c>
      <c r="BR387" s="230"/>
      <c r="BS387" s="225" t="s">
        <v>519</v>
      </c>
      <c r="BT387" s="225"/>
      <c r="BU387" s="225"/>
      <c r="BV387" s="301" t="s">
        <v>4045</v>
      </c>
      <c r="BW387" s="225" t="s">
        <v>968</v>
      </c>
      <c r="BX387" s="301" t="s">
        <v>620</v>
      </c>
      <c r="BY387" s="301" t="s">
        <v>176</v>
      </c>
    </row>
    <row r="388" spans="1:77" s="33" customFormat="1" ht="13.5" customHeight="1">
      <c r="A388" s="64">
        <f t="shared" si="42"/>
        <v>2022</v>
      </c>
      <c r="B388" s="64">
        <f t="shared" si="43"/>
        <v>4</v>
      </c>
      <c r="C388" s="125" t="s">
        <v>191</v>
      </c>
      <c r="D388" s="168" t="str">
        <f t="shared" si="44"/>
        <v>non maj</v>
      </c>
      <c r="E388" s="232" t="s">
        <v>3302</v>
      </c>
      <c r="F388" s="232" t="s">
        <v>3306</v>
      </c>
      <c r="G388" s="221">
        <v>600</v>
      </c>
      <c r="H388" s="222">
        <v>44635</v>
      </c>
      <c r="I388" s="222">
        <v>44636</v>
      </c>
      <c r="J388" s="223">
        <v>44648</v>
      </c>
      <c r="K388" s="222" t="s">
        <v>3307</v>
      </c>
      <c r="L388" s="223">
        <v>44678</v>
      </c>
      <c r="M388" s="223">
        <v>44678</v>
      </c>
      <c r="N388" s="223">
        <v>44683</v>
      </c>
      <c r="O388" s="222"/>
      <c r="P388" s="222">
        <v>44872</v>
      </c>
      <c r="Q388" s="222">
        <v>44841</v>
      </c>
      <c r="R388" s="222" t="s">
        <v>176</v>
      </c>
      <c r="S388" s="222">
        <v>44874</v>
      </c>
      <c r="T388" s="222">
        <v>44874</v>
      </c>
      <c r="U388" s="222">
        <v>44879</v>
      </c>
      <c r="V388" s="224"/>
      <c r="W388" s="222"/>
      <c r="X388" s="225"/>
      <c r="Y388" s="225"/>
      <c r="Z388" s="225"/>
      <c r="AA388" s="225">
        <v>2</v>
      </c>
      <c r="AB388" s="225">
        <v>37372</v>
      </c>
      <c r="AC388" s="225">
        <v>420</v>
      </c>
      <c r="AD388" s="225" t="s">
        <v>3308</v>
      </c>
      <c r="AE388" s="225">
        <v>38620</v>
      </c>
      <c r="AF388" s="225" t="s">
        <v>1990</v>
      </c>
      <c r="AG388" s="226">
        <v>688739843</v>
      </c>
      <c r="AH388" s="227" t="s">
        <v>3309</v>
      </c>
      <c r="AI388" s="225" t="s">
        <v>1168</v>
      </c>
      <c r="AJ388" s="225"/>
      <c r="AK388" s="225"/>
      <c r="AL388" s="225"/>
      <c r="AM388" s="225"/>
      <c r="AN388" s="225"/>
      <c r="AO388" s="225"/>
      <c r="AP388" s="219" t="s">
        <v>836</v>
      </c>
      <c r="AQ388" s="225" t="s">
        <v>2014</v>
      </c>
      <c r="AR388" s="225" t="s">
        <v>3310</v>
      </c>
      <c r="AS388" s="246"/>
      <c r="AT388" s="226">
        <v>698193037</v>
      </c>
      <c r="AU388" s="225" t="s">
        <v>678</v>
      </c>
      <c r="AV388" s="225" t="s">
        <v>188</v>
      </c>
      <c r="AW388" s="223">
        <v>44998</v>
      </c>
      <c r="AX388" s="225" t="s">
        <v>4113</v>
      </c>
      <c r="AY388" s="225">
        <v>1989</v>
      </c>
      <c r="AZ388" s="225" t="s">
        <v>1880</v>
      </c>
      <c r="BA388" s="225" t="s">
        <v>380</v>
      </c>
      <c r="BB388" s="225" t="s">
        <v>218</v>
      </c>
      <c r="BC388" s="225" t="s">
        <v>3311</v>
      </c>
      <c r="BD388" s="225">
        <v>20</v>
      </c>
      <c r="BE388" s="225">
        <v>8.5</v>
      </c>
      <c r="BF388" s="225">
        <v>75.400000000000006</v>
      </c>
      <c r="BG388" s="225">
        <v>8.6400000000000005E-2</v>
      </c>
      <c r="BH388" s="225" t="s">
        <v>1882</v>
      </c>
      <c r="BI388" s="225"/>
      <c r="BJ388" s="225">
        <f>37.8+7.9+47.47+75.6+54.5+17.57+179.34+273.41+77.36+198.68+328.8+249.66+203.96+61.53+94.06+33.4+56.24+1318.75</f>
        <v>3316.0299999999997</v>
      </c>
      <c r="BK388" s="225"/>
      <c r="BL388" s="225"/>
      <c r="BM388" s="225"/>
      <c r="BN388" s="225">
        <v>1172.75</v>
      </c>
      <c r="BO388" s="225">
        <f t="shared" si="39"/>
        <v>4488.78</v>
      </c>
      <c r="BP388" s="230">
        <f t="shared" si="40"/>
        <v>246.88289999999998</v>
      </c>
      <c r="BQ388" s="230">
        <f t="shared" si="41"/>
        <v>4735.6628999999994</v>
      </c>
      <c r="BR388" s="230">
        <v>4628.67</v>
      </c>
      <c r="BS388" s="225" t="s">
        <v>188</v>
      </c>
      <c r="BT388" s="225"/>
      <c r="BU388" s="225"/>
      <c r="BV388" s="231" t="s">
        <v>4045</v>
      </c>
      <c r="BW388" s="225" t="s">
        <v>968</v>
      </c>
      <c r="BX388" s="301" t="s">
        <v>620</v>
      </c>
      <c r="BY388" s="301">
        <v>2022</v>
      </c>
    </row>
    <row r="389" spans="1:77" s="33" customFormat="1" ht="13.5" customHeight="1">
      <c r="A389" s="64">
        <f t="shared" si="42"/>
        <v>2022</v>
      </c>
      <c r="B389" s="64">
        <f t="shared" si="43"/>
        <v>3</v>
      </c>
      <c r="C389" s="125" t="s">
        <v>191</v>
      </c>
      <c r="D389" s="168" t="str">
        <f t="shared" si="44"/>
        <v>maj</v>
      </c>
      <c r="E389" s="225" t="s">
        <v>3302</v>
      </c>
      <c r="F389" s="225" t="s">
        <v>1653</v>
      </c>
      <c r="G389" s="221">
        <v>1000</v>
      </c>
      <c r="H389" s="222">
        <v>44637</v>
      </c>
      <c r="I389" s="222">
        <v>44638</v>
      </c>
      <c r="J389" s="223" t="s">
        <v>176</v>
      </c>
      <c r="K389" s="222" t="s">
        <v>176</v>
      </c>
      <c r="L389" s="223">
        <v>44648</v>
      </c>
      <c r="M389" s="223">
        <v>44648</v>
      </c>
      <c r="N389" s="223">
        <v>44655</v>
      </c>
      <c r="O389" s="222"/>
      <c r="P389" s="222">
        <v>44903</v>
      </c>
      <c r="Q389" s="222">
        <v>44865</v>
      </c>
      <c r="R389" s="222" t="s">
        <v>3312</v>
      </c>
      <c r="S389" s="222">
        <v>44956</v>
      </c>
      <c r="T389" s="222">
        <v>44956</v>
      </c>
      <c r="U389" s="222"/>
      <c r="V389" s="224"/>
      <c r="W389" s="222"/>
      <c r="X389" s="225"/>
      <c r="Y389" s="225"/>
      <c r="Z389" s="225"/>
      <c r="AA389" s="225">
        <v>2</v>
      </c>
      <c r="AB389" s="225">
        <v>28497</v>
      </c>
      <c r="AC389" s="225">
        <v>795</v>
      </c>
      <c r="AD389" s="225" t="s">
        <v>3313</v>
      </c>
      <c r="AE389" s="225">
        <v>38960</v>
      </c>
      <c r="AF389" s="225" t="s">
        <v>1964</v>
      </c>
      <c r="AG389" s="226">
        <v>782117080</v>
      </c>
      <c r="AH389" s="250" t="s">
        <v>3314</v>
      </c>
      <c r="AI389" s="225" t="s">
        <v>1168</v>
      </c>
      <c r="AJ389" s="225"/>
      <c r="AK389" s="225"/>
      <c r="AL389" s="225"/>
      <c r="AM389" s="225"/>
      <c r="AN389" s="225"/>
      <c r="AO389" s="225"/>
      <c r="AP389" s="225" t="s">
        <v>1888</v>
      </c>
      <c r="AQ389" s="225" t="s">
        <v>225</v>
      </c>
      <c r="AR389" s="225" t="s">
        <v>3242</v>
      </c>
      <c r="AS389" s="295" t="s">
        <v>3297</v>
      </c>
      <c r="AT389" s="226" t="s">
        <v>600</v>
      </c>
      <c r="AU389" s="225" t="s">
        <v>176</v>
      </c>
      <c r="AV389" s="251" t="s">
        <v>388</v>
      </c>
      <c r="AW389" s="223">
        <v>44868</v>
      </c>
      <c r="AX389" s="225" t="s">
        <v>1879</v>
      </c>
      <c r="AY389" s="225">
        <v>1980</v>
      </c>
      <c r="AZ389" s="225" t="s">
        <v>1880</v>
      </c>
      <c r="BA389" s="225" t="s">
        <v>380</v>
      </c>
      <c r="BB389" s="225" t="s">
        <v>3315</v>
      </c>
      <c r="BC389" s="225" t="s">
        <v>3316</v>
      </c>
      <c r="BD389" s="225">
        <v>20</v>
      </c>
      <c r="BE389" s="225">
        <v>8.1999999999999993</v>
      </c>
      <c r="BF389" s="225">
        <v>69.5</v>
      </c>
      <c r="BG389" s="225">
        <v>1000</v>
      </c>
      <c r="BH389" s="225" t="s">
        <v>1899</v>
      </c>
      <c r="BI389" s="225"/>
      <c r="BJ389" s="225">
        <f>3916.64+279+89.72+102.79+600+88+47+23+20</f>
        <v>5166.1499999999996</v>
      </c>
      <c r="BK389" s="225"/>
      <c r="BL389" s="225"/>
      <c r="BM389" s="225"/>
      <c r="BN389" s="225">
        <f>50+455+50</f>
        <v>555</v>
      </c>
      <c r="BO389" s="225">
        <f t="shared" si="39"/>
        <v>5721.15</v>
      </c>
      <c r="BP389" s="230">
        <f t="shared" si="40"/>
        <v>314.66325000000001</v>
      </c>
      <c r="BQ389" s="230">
        <f t="shared" si="41"/>
        <v>6035.8132499999992</v>
      </c>
      <c r="BR389" s="230">
        <v>6035.81</v>
      </c>
      <c r="BS389" s="225" t="s">
        <v>188</v>
      </c>
      <c r="BT389" s="225"/>
      <c r="BU389" s="225"/>
      <c r="BV389" s="301" t="s">
        <v>4045</v>
      </c>
      <c r="BW389" s="225" t="s">
        <v>968</v>
      </c>
      <c r="BX389" s="222" t="s">
        <v>618</v>
      </c>
      <c r="BY389" s="301">
        <v>2022</v>
      </c>
    </row>
    <row r="390" spans="1:77" s="33" customFormat="1" ht="13.5" customHeight="1">
      <c r="A390" s="64">
        <f t="shared" si="42"/>
        <v>2022</v>
      </c>
      <c r="B390" s="64">
        <f t="shared" si="43"/>
        <v>4</v>
      </c>
      <c r="C390" s="125" t="s">
        <v>191</v>
      </c>
      <c r="D390" s="168" t="str">
        <f t="shared" si="44"/>
        <v>non maj</v>
      </c>
      <c r="E390" s="232" t="s">
        <v>3302</v>
      </c>
      <c r="F390" s="232" t="s">
        <v>3317</v>
      </c>
      <c r="G390" s="221">
        <v>600</v>
      </c>
      <c r="H390" s="222">
        <v>44641</v>
      </c>
      <c r="I390" s="222">
        <v>44643</v>
      </c>
      <c r="J390" s="223">
        <v>44648</v>
      </c>
      <c r="K390" s="222" t="s">
        <v>3318</v>
      </c>
      <c r="L390" s="223">
        <v>44652</v>
      </c>
      <c r="M390" s="223">
        <v>44652</v>
      </c>
      <c r="N390" s="223">
        <v>44655</v>
      </c>
      <c r="O390" s="222"/>
      <c r="P390" s="222">
        <v>44851</v>
      </c>
      <c r="Q390" s="222">
        <v>44847</v>
      </c>
      <c r="R390" s="222" t="s">
        <v>176</v>
      </c>
      <c r="S390" s="222">
        <v>44873</v>
      </c>
      <c r="T390" s="222">
        <v>44873</v>
      </c>
      <c r="U390" s="222">
        <v>44879</v>
      </c>
      <c r="V390" s="224"/>
      <c r="W390" s="222"/>
      <c r="X390" s="225"/>
      <c r="Y390" s="225"/>
      <c r="Z390" s="225"/>
      <c r="AA390" s="225">
        <v>2</v>
      </c>
      <c r="AB390" s="225">
        <v>42858</v>
      </c>
      <c r="AC390" s="225">
        <v>126</v>
      </c>
      <c r="AD390" s="225" t="s">
        <v>3319</v>
      </c>
      <c r="AE390" s="225">
        <v>38500</v>
      </c>
      <c r="AF390" s="225" t="s">
        <v>271</v>
      </c>
      <c r="AG390" s="226">
        <v>476659391</v>
      </c>
      <c r="AH390" s="227" t="s">
        <v>3320</v>
      </c>
      <c r="AI390" s="225" t="s">
        <v>1168</v>
      </c>
      <c r="AJ390" s="225"/>
      <c r="AK390" s="225"/>
      <c r="AL390" s="225"/>
      <c r="AM390" s="225"/>
      <c r="AN390" s="225"/>
      <c r="AO390" s="225"/>
      <c r="AP390" s="225" t="s">
        <v>2052</v>
      </c>
      <c r="AQ390" s="225" t="s">
        <v>232</v>
      </c>
      <c r="AR390" s="225" t="s">
        <v>233</v>
      </c>
      <c r="AS390" s="241" t="s">
        <v>234</v>
      </c>
      <c r="AT390" s="226">
        <v>476500550</v>
      </c>
      <c r="AU390" s="225" t="s">
        <v>176</v>
      </c>
      <c r="AV390" s="241" t="s">
        <v>188</v>
      </c>
      <c r="AW390" s="223">
        <v>44740</v>
      </c>
      <c r="AX390" s="225" t="s">
        <v>4113</v>
      </c>
      <c r="AY390" s="225">
        <v>1986</v>
      </c>
      <c r="AZ390" s="225" t="s">
        <v>1880</v>
      </c>
      <c r="BA390" s="225" t="s">
        <v>380</v>
      </c>
      <c r="BB390" s="225" t="s">
        <v>270</v>
      </c>
      <c r="BC390" s="225" t="s">
        <v>1040</v>
      </c>
      <c r="BD390" s="225">
        <v>26</v>
      </c>
      <c r="BE390" s="225">
        <v>5</v>
      </c>
      <c r="BF390" s="225">
        <v>80.3</v>
      </c>
      <c r="BG390" s="225" t="s">
        <v>3321</v>
      </c>
      <c r="BH390" s="225" t="s">
        <v>1882</v>
      </c>
      <c r="BI390" s="225"/>
      <c r="BJ390" s="225">
        <f>2962.5+182.53+185.2+71.09+626.4+717.38</f>
        <v>4745.1000000000004</v>
      </c>
      <c r="BK390" s="225"/>
      <c r="BL390" s="225"/>
      <c r="BM390" s="225"/>
      <c r="BN390" s="225">
        <f>245.2+49.22+1020</f>
        <v>1314.42</v>
      </c>
      <c r="BO390" s="225">
        <f t="shared" si="39"/>
        <v>6059.52</v>
      </c>
      <c r="BP390" s="230">
        <f t="shared" si="40"/>
        <v>333.27360000000004</v>
      </c>
      <c r="BQ390" s="230">
        <f t="shared" si="41"/>
        <v>6392.7936</v>
      </c>
      <c r="BR390" s="230">
        <v>6582.69</v>
      </c>
      <c r="BS390" s="225" t="s">
        <v>188</v>
      </c>
      <c r="BT390" s="225"/>
      <c r="BU390" s="225"/>
      <c r="BV390" s="231" t="s">
        <v>4045</v>
      </c>
      <c r="BW390" s="225" t="s">
        <v>968</v>
      </c>
      <c r="BX390" s="301" t="s">
        <v>620</v>
      </c>
      <c r="BY390" s="301">
        <v>2022</v>
      </c>
    </row>
    <row r="391" spans="1:77" s="33" customFormat="1" ht="13.5" customHeight="1">
      <c r="A391" s="64">
        <f t="shared" si="42"/>
        <v>2022</v>
      </c>
      <c r="B391" s="64">
        <f t="shared" si="43"/>
        <v>3</v>
      </c>
      <c r="C391" s="125" t="s">
        <v>191</v>
      </c>
      <c r="D391" s="168" t="str">
        <f t="shared" si="44"/>
        <v>non maj</v>
      </c>
      <c r="E391" s="232" t="s">
        <v>3302</v>
      </c>
      <c r="F391" s="232" t="s">
        <v>1655</v>
      </c>
      <c r="G391" s="221">
        <v>600</v>
      </c>
      <c r="H391" s="222">
        <v>44642</v>
      </c>
      <c r="I391" s="222">
        <v>44643</v>
      </c>
      <c r="J391" s="223" t="s">
        <v>176</v>
      </c>
      <c r="K391" s="222" t="s">
        <v>176</v>
      </c>
      <c r="L391" s="223">
        <v>44648</v>
      </c>
      <c r="M391" s="223">
        <v>44648</v>
      </c>
      <c r="N391" s="223">
        <v>44655</v>
      </c>
      <c r="O391" s="222"/>
      <c r="P391" s="222">
        <v>44732</v>
      </c>
      <c r="Q391" s="222">
        <v>44684</v>
      </c>
      <c r="R391" s="222" t="s">
        <v>176</v>
      </c>
      <c r="S391" s="222">
        <v>44769</v>
      </c>
      <c r="T391" s="222">
        <v>44769</v>
      </c>
      <c r="U391" s="222">
        <v>44770</v>
      </c>
      <c r="V391" s="224"/>
      <c r="W391" s="222"/>
      <c r="X391" s="225"/>
      <c r="Y391" s="225"/>
      <c r="Z391" s="225"/>
      <c r="AA391" s="225">
        <v>2</v>
      </c>
      <c r="AB391" s="225">
        <v>46853</v>
      </c>
      <c r="AC391" s="225">
        <v>1</v>
      </c>
      <c r="AD391" s="225" t="s">
        <v>3322</v>
      </c>
      <c r="AE391" s="225">
        <v>38140</v>
      </c>
      <c r="AF391" s="225" t="s">
        <v>1946</v>
      </c>
      <c r="AG391" s="226">
        <v>476355944</v>
      </c>
      <c r="AH391" s="227" t="s">
        <v>3323</v>
      </c>
      <c r="AI391" s="225" t="s">
        <v>1168</v>
      </c>
      <c r="AJ391" s="225"/>
      <c r="AK391" s="225"/>
      <c r="AL391" s="225"/>
      <c r="AM391" s="225"/>
      <c r="AN391" s="225"/>
      <c r="AO391" s="225"/>
      <c r="AP391" s="225" t="s">
        <v>3294</v>
      </c>
      <c r="AQ391" s="225" t="s">
        <v>231</v>
      </c>
      <c r="AR391" s="225" t="s">
        <v>1036</v>
      </c>
      <c r="AS391" s="246" t="s">
        <v>895</v>
      </c>
      <c r="AT391" s="226" t="s">
        <v>701</v>
      </c>
      <c r="AU391" s="225" t="s">
        <v>176</v>
      </c>
      <c r="AV391" s="229" t="s">
        <v>388</v>
      </c>
      <c r="AW391" s="223">
        <v>44789</v>
      </c>
      <c r="AX391" s="225" t="s">
        <v>4113</v>
      </c>
      <c r="AY391" s="225">
        <v>1987</v>
      </c>
      <c r="AZ391" s="225" t="s">
        <v>1880</v>
      </c>
      <c r="BA391" s="225" t="s">
        <v>267</v>
      </c>
      <c r="BB391" s="225" t="s">
        <v>217</v>
      </c>
      <c r="BC391" s="225" t="s">
        <v>881</v>
      </c>
      <c r="BD391" s="225">
        <v>15</v>
      </c>
      <c r="BE391" s="225">
        <v>9.1999999999999993</v>
      </c>
      <c r="BF391" s="225">
        <v>88.5</v>
      </c>
      <c r="BG391" s="225" t="s">
        <v>3324</v>
      </c>
      <c r="BH391" s="225" t="s">
        <v>1882</v>
      </c>
      <c r="BI391" s="225"/>
      <c r="BJ391" s="225">
        <f>1300+390+480+230</f>
        <v>2400</v>
      </c>
      <c r="BK391" s="225"/>
      <c r="BL391" s="225"/>
      <c r="BM391" s="225"/>
      <c r="BN391" s="225">
        <f>130+580</f>
        <v>710</v>
      </c>
      <c r="BO391" s="225">
        <f t="shared" si="39"/>
        <v>3110</v>
      </c>
      <c r="BP391" s="230">
        <f t="shared" si="40"/>
        <v>171.05</v>
      </c>
      <c r="BQ391" s="230">
        <f t="shared" si="41"/>
        <v>3281.0499999999997</v>
      </c>
      <c r="BR391" s="230">
        <f>3109.95*1.055</f>
        <v>3280.9972499999994</v>
      </c>
      <c r="BS391" s="225" t="s">
        <v>188</v>
      </c>
      <c r="BT391" s="225"/>
      <c r="BU391" s="225"/>
      <c r="BV391" s="231" t="s">
        <v>4045</v>
      </c>
      <c r="BW391" s="225" t="s">
        <v>968</v>
      </c>
      <c r="BX391" s="301" t="s">
        <v>620</v>
      </c>
      <c r="BY391" s="301" t="s">
        <v>176</v>
      </c>
    </row>
    <row r="392" spans="1:77" s="33" customFormat="1" ht="13.5" customHeight="1">
      <c r="A392" s="64">
        <f t="shared" si="42"/>
        <v>2022</v>
      </c>
      <c r="B392" s="64">
        <f t="shared" si="43"/>
        <v>3</v>
      </c>
      <c r="C392" s="125" t="s">
        <v>191</v>
      </c>
      <c r="D392" s="168" t="str">
        <f t="shared" si="44"/>
        <v>non maj</v>
      </c>
      <c r="E392" s="232" t="s">
        <v>210</v>
      </c>
      <c r="F392" s="232" t="s">
        <v>1657</v>
      </c>
      <c r="G392" s="221">
        <v>600</v>
      </c>
      <c r="H392" s="222">
        <v>44636</v>
      </c>
      <c r="I392" s="222">
        <v>44643</v>
      </c>
      <c r="J392" s="223"/>
      <c r="K392" s="237"/>
      <c r="L392" s="223">
        <v>44650</v>
      </c>
      <c r="M392" s="223">
        <v>44650</v>
      </c>
      <c r="N392" s="223">
        <v>44655</v>
      </c>
      <c r="O392" s="222"/>
      <c r="P392" s="222">
        <v>44853</v>
      </c>
      <c r="Q392" s="222">
        <v>44832</v>
      </c>
      <c r="R392" s="222" t="s">
        <v>176</v>
      </c>
      <c r="S392" s="222">
        <v>44874</v>
      </c>
      <c r="T392" s="222">
        <v>44874</v>
      </c>
      <c r="U392" s="222">
        <v>44879</v>
      </c>
      <c r="V392" s="224"/>
      <c r="W392" s="222"/>
      <c r="X392" s="225"/>
      <c r="Y392" s="225"/>
      <c r="Z392" s="225"/>
      <c r="AA392" s="225">
        <v>2</v>
      </c>
      <c r="AB392" s="225">
        <v>33409</v>
      </c>
      <c r="AC392" s="225">
        <v>25</v>
      </c>
      <c r="AD392" s="225" t="s">
        <v>3325</v>
      </c>
      <c r="AE392" s="225">
        <v>38500</v>
      </c>
      <c r="AF392" s="225" t="s">
        <v>271</v>
      </c>
      <c r="AG392" s="226">
        <v>652860038</v>
      </c>
      <c r="AH392" s="227" t="s">
        <v>3326</v>
      </c>
      <c r="AI392" s="225" t="s">
        <v>1168</v>
      </c>
      <c r="AJ392" s="225"/>
      <c r="AK392" s="225"/>
      <c r="AL392" s="225"/>
      <c r="AM392" s="225"/>
      <c r="AN392" s="225"/>
      <c r="AO392" s="225"/>
      <c r="AP392" s="225" t="s">
        <v>675</v>
      </c>
      <c r="AQ392" s="225" t="s">
        <v>864</v>
      </c>
      <c r="AR392" s="225" t="s">
        <v>1948</v>
      </c>
      <c r="AS392" s="246" t="s">
        <v>673</v>
      </c>
      <c r="AT392" s="226" t="s">
        <v>626</v>
      </c>
      <c r="AU392" s="225" t="s">
        <v>176</v>
      </c>
      <c r="AV392" s="229" t="s">
        <v>388</v>
      </c>
      <c r="AW392" s="223">
        <v>44798</v>
      </c>
      <c r="AX392" s="225" t="s">
        <v>4113</v>
      </c>
      <c r="AY392" s="225">
        <v>1992</v>
      </c>
      <c r="AZ392" s="225" t="s">
        <v>1880</v>
      </c>
      <c r="BA392" s="225" t="s">
        <v>267</v>
      </c>
      <c r="BB392" s="225" t="s">
        <v>3253</v>
      </c>
      <c r="BC392" s="225" t="s">
        <v>3327</v>
      </c>
      <c r="BD392" s="225">
        <v>14</v>
      </c>
      <c r="BE392" s="225">
        <v>11</v>
      </c>
      <c r="BF392" s="225">
        <v>90.7</v>
      </c>
      <c r="BG392" s="225">
        <v>7.8399999999999997E-3</v>
      </c>
      <c r="BH392" s="225" t="s">
        <v>1882</v>
      </c>
      <c r="BI392" s="225"/>
      <c r="BJ392" s="225">
        <v>7156.9</v>
      </c>
      <c r="BK392" s="225"/>
      <c r="BL392" s="225"/>
      <c r="BM392" s="225"/>
      <c r="BN392" s="225">
        <v>730</v>
      </c>
      <c r="BO392" s="225">
        <v>7229.98</v>
      </c>
      <c r="BP392" s="230">
        <v>397.65</v>
      </c>
      <c r="BQ392" s="230">
        <v>7627.63</v>
      </c>
      <c r="BR392" s="230">
        <v>7627.63</v>
      </c>
      <c r="BS392" s="225" t="s">
        <v>188</v>
      </c>
      <c r="BT392" s="225"/>
      <c r="BU392" s="225"/>
      <c r="BV392" s="231" t="s">
        <v>4045</v>
      </c>
      <c r="BW392" s="225" t="s">
        <v>968</v>
      </c>
      <c r="BX392" s="301" t="s">
        <v>620</v>
      </c>
      <c r="BY392" s="301" t="s">
        <v>176</v>
      </c>
    </row>
    <row r="393" spans="1:77" s="33" customFormat="1" ht="13.5" customHeight="1">
      <c r="A393" s="64">
        <f t="shared" si="42"/>
        <v>2022</v>
      </c>
      <c r="B393" s="64">
        <f t="shared" si="43"/>
        <v>3</v>
      </c>
      <c r="C393" s="125" t="s">
        <v>191</v>
      </c>
      <c r="D393" s="168" t="str">
        <f t="shared" si="44"/>
        <v>maj</v>
      </c>
      <c r="E393" s="232" t="s">
        <v>210</v>
      </c>
      <c r="F393" s="232" t="s">
        <v>1658</v>
      </c>
      <c r="G393" s="221">
        <v>1000</v>
      </c>
      <c r="H393" s="222">
        <v>44642</v>
      </c>
      <c r="I393" s="222">
        <v>44643</v>
      </c>
      <c r="J393" s="223"/>
      <c r="K393" s="222"/>
      <c r="L393" s="223">
        <v>44650</v>
      </c>
      <c r="M393" s="223">
        <v>44650</v>
      </c>
      <c r="N393" s="223">
        <v>44655</v>
      </c>
      <c r="O393" s="222"/>
      <c r="P393" s="222">
        <v>44690</v>
      </c>
      <c r="Q393" s="222">
        <v>44666</v>
      </c>
      <c r="R393" s="222" t="s">
        <v>176</v>
      </c>
      <c r="S393" s="222">
        <v>44768</v>
      </c>
      <c r="T393" s="222">
        <v>44768</v>
      </c>
      <c r="U393" s="222">
        <v>44769</v>
      </c>
      <c r="V393" s="224"/>
      <c r="W393" s="222"/>
      <c r="X393" s="225"/>
      <c r="Y393" s="225"/>
      <c r="Z393" s="225"/>
      <c r="AA393" s="225">
        <v>1</v>
      </c>
      <c r="AB393" s="225">
        <v>14496</v>
      </c>
      <c r="AC393" s="225">
        <v>30</v>
      </c>
      <c r="AD393" s="225" t="s">
        <v>3328</v>
      </c>
      <c r="AE393" s="225">
        <v>38500</v>
      </c>
      <c r="AF393" s="225" t="s">
        <v>271</v>
      </c>
      <c r="AG393" s="226">
        <v>610354467</v>
      </c>
      <c r="AH393" s="227" t="s">
        <v>3329</v>
      </c>
      <c r="AI393" s="225" t="s">
        <v>1168</v>
      </c>
      <c r="AJ393" s="225"/>
      <c r="AK393" s="225"/>
      <c r="AL393" s="225"/>
      <c r="AM393" s="225"/>
      <c r="AN393" s="225"/>
      <c r="AO393" s="225"/>
      <c r="AP393" s="225" t="s">
        <v>2052</v>
      </c>
      <c r="AQ393" s="225" t="s">
        <v>232</v>
      </c>
      <c r="AR393" s="225" t="s">
        <v>233</v>
      </c>
      <c r="AS393" s="241" t="s">
        <v>234</v>
      </c>
      <c r="AT393" s="226">
        <v>476500550</v>
      </c>
      <c r="AU393" s="225" t="s">
        <v>176</v>
      </c>
      <c r="AV393" s="241" t="s">
        <v>188</v>
      </c>
      <c r="AW393" s="223">
        <v>44740</v>
      </c>
      <c r="AX393" s="225" t="s">
        <v>4113</v>
      </c>
      <c r="AY393" s="225">
        <v>1999</v>
      </c>
      <c r="AZ393" s="225" t="s">
        <v>4113</v>
      </c>
      <c r="BA393" s="225" t="s">
        <v>380</v>
      </c>
      <c r="BB393" s="225" t="s">
        <v>270</v>
      </c>
      <c r="BC393" s="225" t="s">
        <v>3330</v>
      </c>
      <c r="BD393" s="225">
        <v>40</v>
      </c>
      <c r="BE393" s="225">
        <v>16</v>
      </c>
      <c r="BF393" s="225">
        <v>79</v>
      </c>
      <c r="BG393" s="225">
        <v>0.11</v>
      </c>
      <c r="BH393" s="225" t="s">
        <v>1882</v>
      </c>
      <c r="BI393" s="225"/>
      <c r="BJ393" s="225">
        <v>2857.3</v>
      </c>
      <c r="BK393" s="225"/>
      <c r="BL393" s="225"/>
      <c r="BM393" s="225"/>
      <c r="BN393" s="225">
        <v>650</v>
      </c>
      <c r="BO393" s="225">
        <v>3507.3</v>
      </c>
      <c r="BP393" s="230">
        <v>192.9</v>
      </c>
      <c r="BQ393" s="230">
        <v>3700.2</v>
      </c>
      <c r="BR393" s="230">
        <v>3700.2</v>
      </c>
      <c r="BS393" s="225" t="s">
        <v>188</v>
      </c>
      <c r="BT393" s="225"/>
      <c r="BU393" s="225"/>
      <c r="BV393" s="231" t="s">
        <v>4045</v>
      </c>
      <c r="BW393" s="225" t="s">
        <v>968</v>
      </c>
      <c r="BX393" s="222" t="s">
        <v>618</v>
      </c>
      <c r="BY393" s="301">
        <v>2022</v>
      </c>
    </row>
    <row r="394" spans="1:77" s="33" customFormat="1" ht="13.5" customHeight="1">
      <c r="A394" s="64">
        <f t="shared" si="42"/>
        <v>2022</v>
      </c>
      <c r="B394" s="64">
        <f t="shared" si="43"/>
        <v>4</v>
      </c>
      <c r="C394" s="125" t="s">
        <v>191</v>
      </c>
      <c r="D394" s="168" t="str">
        <f t="shared" si="44"/>
        <v>non maj</v>
      </c>
      <c r="E394" s="232" t="s">
        <v>3302</v>
      </c>
      <c r="F394" s="232" t="s">
        <v>1661</v>
      </c>
      <c r="G394" s="221">
        <v>600</v>
      </c>
      <c r="H394" s="222">
        <v>44643</v>
      </c>
      <c r="I394" s="222">
        <v>44650</v>
      </c>
      <c r="J394" s="223" t="s">
        <v>176</v>
      </c>
      <c r="K394" s="222" t="s">
        <v>176</v>
      </c>
      <c r="L394" s="223">
        <v>44658</v>
      </c>
      <c r="M394" s="223">
        <v>44658</v>
      </c>
      <c r="N394" s="223">
        <v>44664</v>
      </c>
      <c r="O394" s="222"/>
      <c r="P394" s="222">
        <v>44711</v>
      </c>
      <c r="Q394" s="222">
        <v>44689</v>
      </c>
      <c r="R394" s="222" t="s">
        <v>176</v>
      </c>
      <c r="S394" s="222">
        <v>44768</v>
      </c>
      <c r="T394" s="222">
        <v>44768</v>
      </c>
      <c r="U394" s="222">
        <v>44769</v>
      </c>
      <c r="V394" s="224"/>
      <c r="W394" s="222"/>
      <c r="X394" s="225"/>
      <c r="Y394" s="225"/>
      <c r="Z394" s="225"/>
      <c r="AA394" s="225">
        <v>2</v>
      </c>
      <c r="AB394" s="225">
        <v>64405</v>
      </c>
      <c r="AC394" s="225">
        <v>215</v>
      </c>
      <c r="AD394" s="225" t="s">
        <v>3331</v>
      </c>
      <c r="AE394" s="225">
        <v>38490</v>
      </c>
      <c r="AF394" s="225" t="s">
        <v>1018</v>
      </c>
      <c r="AG394" s="226">
        <v>667498483</v>
      </c>
      <c r="AH394" s="227" t="s">
        <v>3332</v>
      </c>
      <c r="AI394" s="225" t="s">
        <v>1168</v>
      </c>
      <c r="AJ394" s="225"/>
      <c r="AK394" s="225"/>
      <c r="AL394" s="225"/>
      <c r="AM394" s="225"/>
      <c r="AN394" s="225"/>
      <c r="AO394" s="225"/>
      <c r="AP394" s="225" t="s">
        <v>2762</v>
      </c>
      <c r="AQ394" s="225" t="s">
        <v>1018</v>
      </c>
      <c r="AR394" s="225" t="s">
        <v>3333</v>
      </c>
      <c r="AS394" s="227" t="s">
        <v>3071</v>
      </c>
      <c r="AT394" s="226">
        <v>476663386</v>
      </c>
      <c r="AU394" s="225" t="s">
        <v>176</v>
      </c>
      <c r="AV394" s="241" t="s">
        <v>188</v>
      </c>
      <c r="AW394" s="223">
        <v>44731</v>
      </c>
      <c r="AX394" s="225" t="s">
        <v>1879</v>
      </c>
      <c r="AY394" s="242">
        <v>2001</v>
      </c>
      <c r="AZ394" s="225" t="s">
        <v>4113</v>
      </c>
      <c r="BA394" s="225" t="s">
        <v>380</v>
      </c>
      <c r="BB394" s="225" t="s">
        <v>3334</v>
      </c>
      <c r="BC394" s="225" t="s">
        <v>3335</v>
      </c>
      <c r="BD394" s="230">
        <v>18</v>
      </c>
      <c r="BE394" s="230">
        <v>14</v>
      </c>
      <c r="BF394" s="230" t="s">
        <v>3336</v>
      </c>
      <c r="BG394" s="230" t="s">
        <v>3337</v>
      </c>
      <c r="BH394" s="230" t="s">
        <v>1882</v>
      </c>
      <c r="BI394" s="225"/>
      <c r="BJ394" s="230">
        <f>5318.66+345+295+467+195</f>
        <v>6620.66</v>
      </c>
      <c r="BK394" s="225"/>
      <c r="BL394" s="225"/>
      <c r="BM394" s="225"/>
      <c r="BN394" s="230">
        <f>500+385</f>
        <v>885</v>
      </c>
      <c r="BO394" s="230">
        <f>BJ394+BN394</f>
        <v>7505.66</v>
      </c>
      <c r="BP394" s="230">
        <f>BO394*0.055</f>
        <v>412.81130000000002</v>
      </c>
      <c r="BQ394" s="230">
        <f>BO394*1.055</f>
        <v>7918.4712999999992</v>
      </c>
      <c r="BR394" s="230">
        <f>6968+(900.92*1.055)</f>
        <v>7918.4705999999996</v>
      </c>
      <c r="BS394" s="225" t="s">
        <v>188</v>
      </c>
      <c r="BT394" s="225"/>
      <c r="BU394" s="225"/>
      <c r="BV394" s="231" t="s">
        <v>4045</v>
      </c>
      <c r="BW394" s="225" t="s">
        <v>968</v>
      </c>
      <c r="BX394" s="301" t="s">
        <v>620</v>
      </c>
      <c r="BY394" s="301">
        <v>2022</v>
      </c>
    </row>
    <row r="395" spans="1:77" s="33" customFormat="1" ht="13.5" customHeight="1">
      <c r="A395" s="64">
        <f t="shared" si="42"/>
        <v>2022</v>
      </c>
      <c r="B395" s="64">
        <f t="shared" si="43"/>
        <v>4</v>
      </c>
      <c r="C395" s="125" t="s">
        <v>191</v>
      </c>
      <c r="D395" s="168" t="str">
        <f t="shared" si="44"/>
        <v>non maj</v>
      </c>
      <c r="E395" s="232" t="s">
        <v>3302</v>
      </c>
      <c r="F395" s="232" t="s">
        <v>1663</v>
      </c>
      <c r="G395" s="221">
        <v>600</v>
      </c>
      <c r="H395" s="222">
        <v>44643</v>
      </c>
      <c r="I395" s="222">
        <v>44655</v>
      </c>
      <c r="J395" s="223" t="s">
        <v>176</v>
      </c>
      <c r="K395" s="222" t="s">
        <v>176</v>
      </c>
      <c r="L395" s="223">
        <v>44658</v>
      </c>
      <c r="M395" s="223">
        <v>44658</v>
      </c>
      <c r="N395" s="223">
        <v>44664</v>
      </c>
      <c r="O395" s="222"/>
      <c r="P395" s="222">
        <v>44824</v>
      </c>
      <c r="Q395" s="222">
        <v>44810</v>
      </c>
      <c r="R395" s="222" t="s">
        <v>2957</v>
      </c>
      <c r="S395" s="222">
        <v>44875</v>
      </c>
      <c r="T395" s="222">
        <v>44875</v>
      </c>
      <c r="U395" s="222">
        <v>44880</v>
      </c>
      <c r="V395" s="224"/>
      <c r="W395" s="222"/>
      <c r="X395" s="225"/>
      <c r="Y395" s="225"/>
      <c r="Z395" s="225"/>
      <c r="AA395" s="225">
        <v>2</v>
      </c>
      <c r="AB395" s="225">
        <v>42264</v>
      </c>
      <c r="AC395" s="225">
        <v>21</v>
      </c>
      <c r="AD395" s="225" t="s">
        <v>3338</v>
      </c>
      <c r="AE395" s="225">
        <v>38210</v>
      </c>
      <c r="AF395" s="225" t="s">
        <v>265</v>
      </c>
      <c r="AG395" s="226">
        <v>476070701</v>
      </c>
      <c r="AH395" s="227" t="s">
        <v>3339</v>
      </c>
      <c r="AI395" s="225" t="s">
        <v>1168</v>
      </c>
      <c r="AJ395" s="225"/>
      <c r="AK395" s="225"/>
      <c r="AL395" s="225"/>
      <c r="AM395" s="225"/>
      <c r="AN395" s="225"/>
      <c r="AO395" s="225"/>
      <c r="AP395" s="225" t="s">
        <v>624</v>
      </c>
      <c r="AQ395" s="225" t="s">
        <v>2999</v>
      </c>
      <c r="AR395" s="225" t="s">
        <v>3340</v>
      </c>
      <c r="AS395" s="227" t="s">
        <v>3341</v>
      </c>
      <c r="AT395" s="226">
        <v>476389564</v>
      </c>
      <c r="AU395" s="225" t="s">
        <v>176</v>
      </c>
      <c r="AV395" s="229" t="s">
        <v>388</v>
      </c>
      <c r="AW395" s="223">
        <v>44867</v>
      </c>
      <c r="AX395" s="225" t="s">
        <v>4113</v>
      </c>
      <c r="AY395" s="225">
        <v>1990</v>
      </c>
      <c r="AZ395" s="225" t="s">
        <v>1880</v>
      </c>
      <c r="BA395" s="225" t="s">
        <v>267</v>
      </c>
      <c r="BB395" s="225" t="s">
        <v>287</v>
      </c>
      <c r="BC395" s="225" t="s">
        <v>1055</v>
      </c>
      <c r="BD395" s="225">
        <v>20</v>
      </c>
      <c r="BE395" s="225" t="s">
        <v>3342</v>
      </c>
      <c r="BF395" s="225">
        <v>89</v>
      </c>
      <c r="BG395" s="225" t="s">
        <v>3343</v>
      </c>
      <c r="BH395" s="225" t="s">
        <v>1882</v>
      </c>
      <c r="BI395" s="225"/>
      <c r="BJ395" s="225">
        <f>5677+269+1200.15+128.7</f>
        <v>7274.8499999999995</v>
      </c>
      <c r="BK395" s="225"/>
      <c r="BL395" s="225"/>
      <c r="BM395" s="225"/>
      <c r="BN395" s="225">
        <v>585</v>
      </c>
      <c r="BO395" s="225">
        <f>BJ395+BN395</f>
        <v>7859.8499999999995</v>
      </c>
      <c r="BP395" s="230">
        <f>BO395*0.055</f>
        <v>432.29174999999998</v>
      </c>
      <c r="BQ395" s="230">
        <f t="shared" ref="BQ395:BQ401" si="45">BO395*1.055</f>
        <v>8292.1417499999989</v>
      </c>
      <c r="BR395" s="230">
        <v>7592.14</v>
      </c>
      <c r="BS395" s="225" t="s">
        <v>188</v>
      </c>
      <c r="BT395" s="225"/>
      <c r="BU395" s="225"/>
      <c r="BV395" s="231" t="s">
        <v>4045</v>
      </c>
      <c r="BW395" s="225" t="s">
        <v>968</v>
      </c>
      <c r="BX395" s="301" t="s">
        <v>620</v>
      </c>
      <c r="BY395" s="301" t="s">
        <v>176</v>
      </c>
    </row>
    <row r="396" spans="1:77" s="33" customFormat="1" ht="13.5" customHeight="1">
      <c r="A396" s="64">
        <f t="shared" si="42"/>
        <v>2022</v>
      </c>
      <c r="B396" s="64">
        <f t="shared" si="43"/>
        <v>4</v>
      </c>
      <c r="C396" s="125" t="s">
        <v>191</v>
      </c>
      <c r="D396" s="168" t="str">
        <f t="shared" si="44"/>
        <v>non maj</v>
      </c>
      <c r="E396" s="243" t="s">
        <v>3302</v>
      </c>
      <c r="F396" s="220" t="s">
        <v>1665</v>
      </c>
      <c r="G396" s="221">
        <v>600</v>
      </c>
      <c r="H396" s="222">
        <v>44644</v>
      </c>
      <c r="I396" s="222">
        <v>44651</v>
      </c>
      <c r="J396" s="223" t="s">
        <v>176</v>
      </c>
      <c r="K396" s="222" t="s">
        <v>176</v>
      </c>
      <c r="L396" s="223">
        <v>44658</v>
      </c>
      <c r="M396" s="223">
        <v>44658</v>
      </c>
      <c r="N396" s="223">
        <v>44664</v>
      </c>
      <c r="O396" s="222"/>
      <c r="P396" s="222">
        <v>44818</v>
      </c>
      <c r="Q396" s="222">
        <v>44811</v>
      </c>
      <c r="R396" s="222" t="s">
        <v>176</v>
      </c>
      <c r="S396" s="222">
        <v>44873</v>
      </c>
      <c r="T396" s="222">
        <v>44873</v>
      </c>
      <c r="U396" s="222">
        <v>44879</v>
      </c>
      <c r="V396" s="224"/>
      <c r="W396" s="222"/>
      <c r="X396" s="225"/>
      <c r="Y396" s="225"/>
      <c r="Z396" s="225"/>
      <c r="AA396" s="225">
        <v>2</v>
      </c>
      <c r="AB396" s="225">
        <v>52044</v>
      </c>
      <c r="AC396" s="225">
        <v>6005</v>
      </c>
      <c r="AD396" s="225" t="s">
        <v>3344</v>
      </c>
      <c r="AE396" s="225">
        <v>38210</v>
      </c>
      <c r="AF396" s="225" t="s">
        <v>265</v>
      </c>
      <c r="AG396" s="226">
        <v>622647817</v>
      </c>
      <c r="AH396" s="227" t="s">
        <v>3345</v>
      </c>
      <c r="AI396" s="225" t="s">
        <v>1168</v>
      </c>
      <c r="AJ396" s="225"/>
      <c r="AK396" s="225"/>
      <c r="AL396" s="225"/>
      <c r="AM396" s="225"/>
      <c r="AN396" s="225"/>
      <c r="AO396" s="225"/>
      <c r="AP396" s="225" t="s">
        <v>720</v>
      </c>
      <c r="AQ396" s="225" t="s">
        <v>230</v>
      </c>
      <c r="AR396" s="225" t="s">
        <v>3346</v>
      </c>
      <c r="AS396" s="228" t="s">
        <v>3347</v>
      </c>
      <c r="AT396" s="226">
        <v>665070922</v>
      </c>
      <c r="AU396" s="225"/>
      <c r="AV396" s="229" t="s">
        <v>388</v>
      </c>
      <c r="AW396" s="223">
        <v>44987</v>
      </c>
      <c r="AX396" s="225" t="s">
        <v>4113</v>
      </c>
      <c r="AY396" s="225">
        <v>1989</v>
      </c>
      <c r="AZ396" s="225" t="s">
        <v>1880</v>
      </c>
      <c r="BA396" s="225" t="s">
        <v>267</v>
      </c>
      <c r="BB396" s="225" t="s">
        <v>433</v>
      </c>
      <c r="BC396" s="225" t="s">
        <v>884</v>
      </c>
      <c r="BD396" s="225">
        <v>15</v>
      </c>
      <c r="BE396" s="225">
        <v>7.8</v>
      </c>
      <c r="BF396" s="225">
        <v>81</v>
      </c>
      <c r="BG396" s="225">
        <v>74</v>
      </c>
      <c r="BH396" s="225" t="s">
        <v>1899</v>
      </c>
      <c r="BI396" s="225"/>
      <c r="BJ396" s="225">
        <f>3851.69+634.5+400+600+200</f>
        <v>5686.1900000000005</v>
      </c>
      <c r="BK396" s="225"/>
      <c r="BL396" s="225"/>
      <c r="BM396" s="225"/>
      <c r="BN396" s="225">
        <f>455+420</f>
        <v>875</v>
      </c>
      <c r="BO396" s="225">
        <f>+BJ396+BN396</f>
        <v>6561.1900000000005</v>
      </c>
      <c r="BP396" s="230">
        <f>BO396*0.055</f>
        <v>360.86545000000001</v>
      </c>
      <c r="BQ396" s="230">
        <f t="shared" si="45"/>
        <v>6922.0554499999998</v>
      </c>
      <c r="BR396" s="230">
        <v>6478.34</v>
      </c>
      <c r="BS396" s="225" t="s">
        <v>188</v>
      </c>
      <c r="BT396" s="225"/>
      <c r="BU396" s="225"/>
      <c r="BV396" s="231" t="s">
        <v>4045</v>
      </c>
      <c r="BW396" s="225" t="s">
        <v>968</v>
      </c>
      <c r="BX396" s="301" t="s">
        <v>620</v>
      </c>
      <c r="BY396" s="301" t="s">
        <v>176</v>
      </c>
    </row>
    <row r="397" spans="1:77" s="33" customFormat="1" ht="13.5" customHeight="1">
      <c r="A397" s="64">
        <f t="shared" si="42"/>
        <v>2022</v>
      </c>
      <c r="B397" s="64">
        <f t="shared" si="43"/>
        <v>4</v>
      </c>
      <c r="C397" s="125" t="s">
        <v>191</v>
      </c>
      <c r="D397" s="168" t="str">
        <f t="shared" si="44"/>
        <v>non maj</v>
      </c>
      <c r="E397" s="232" t="s">
        <v>3302</v>
      </c>
      <c r="F397" s="220" t="s">
        <v>1666</v>
      </c>
      <c r="G397" s="221">
        <v>600</v>
      </c>
      <c r="H397" s="222">
        <v>44644</v>
      </c>
      <c r="I397" s="222">
        <v>44651</v>
      </c>
      <c r="J397" s="223" t="s">
        <v>176</v>
      </c>
      <c r="K397" s="222" t="s">
        <v>176</v>
      </c>
      <c r="L397" s="223">
        <v>44658</v>
      </c>
      <c r="M397" s="223">
        <v>44658</v>
      </c>
      <c r="N397" s="223">
        <v>44664</v>
      </c>
      <c r="O397" s="222"/>
      <c r="P397" s="222">
        <v>44726</v>
      </c>
      <c r="Q397" s="222">
        <v>44721</v>
      </c>
      <c r="R397" s="222" t="s">
        <v>176</v>
      </c>
      <c r="S397" s="222">
        <v>44769</v>
      </c>
      <c r="T397" s="222">
        <v>44769</v>
      </c>
      <c r="U397" s="222">
        <v>44770</v>
      </c>
      <c r="V397" s="224"/>
      <c r="W397" s="222"/>
      <c r="X397" s="225"/>
      <c r="Y397" s="225"/>
      <c r="Z397" s="225"/>
      <c r="AA397" s="225">
        <v>3</v>
      </c>
      <c r="AB397" s="225">
        <v>58783</v>
      </c>
      <c r="AC397" s="225">
        <v>39</v>
      </c>
      <c r="AD397" s="225" t="s">
        <v>3348</v>
      </c>
      <c r="AE397" s="225">
        <v>38500</v>
      </c>
      <c r="AF397" s="225" t="s">
        <v>225</v>
      </c>
      <c r="AG397" s="226" t="s">
        <v>3349</v>
      </c>
      <c r="AH397" s="227" t="s">
        <v>3350</v>
      </c>
      <c r="AI397" s="225" t="s">
        <v>1168</v>
      </c>
      <c r="AJ397" s="233"/>
      <c r="AK397" s="233"/>
      <c r="AL397" s="233"/>
      <c r="AM397" s="233"/>
      <c r="AN397" s="233"/>
      <c r="AO397" s="233"/>
      <c r="AP397" s="225" t="s">
        <v>835</v>
      </c>
      <c r="AQ397" s="225" t="s">
        <v>1895</v>
      </c>
      <c r="AR397" s="225" t="s">
        <v>2003</v>
      </c>
      <c r="AS397" s="234" t="s">
        <v>245</v>
      </c>
      <c r="AT397" s="226">
        <v>476452433</v>
      </c>
      <c r="AU397" s="225" t="s">
        <v>176</v>
      </c>
      <c r="AV397" s="229" t="s">
        <v>388</v>
      </c>
      <c r="AW397" s="223">
        <v>44954</v>
      </c>
      <c r="AX397" s="225" t="s">
        <v>1879</v>
      </c>
      <c r="AY397" s="225">
        <v>2000</v>
      </c>
      <c r="AZ397" s="225" t="s">
        <v>1880</v>
      </c>
      <c r="BA397" s="225" t="s">
        <v>380</v>
      </c>
      <c r="BB397" s="225" t="s">
        <v>246</v>
      </c>
      <c r="BC397" s="225" t="s">
        <v>3351</v>
      </c>
      <c r="BD397" s="225">
        <v>20</v>
      </c>
      <c r="BE397" s="225">
        <v>5</v>
      </c>
      <c r="BF397" s="225">
        <v>80</v>
      </c>
      <c r="BG397" s="225" t="s">
        <v>3352</v>
      </c>
      <c r="BH397" s="225" t="s">
        <v>1882</v>
      </c>
      <c r="BI397" s="225"/>
      <c r="BJ397" s="225">
        <f>3687.2+300+255+175.33+181.57+400+85</f>
        <v>5084.0999999999995</v>
      </c>
      <c r="BK397" s="225"/>
      <c r="BL397" s="225"/>
      <c r="BM397" s="225"/>
      <c r="BN397" s="225">
        <v>585</v>
      </c>
      <c r="BO397" s="225">
        <f>BJ397+BN397</f>
        <v>5669.0999999999995</v>
      </c>
      <c r="BP397" s="225">
        <f>BJ397*0.055</f>
        <v>279.62549999999999</v>
      </c>
      <c r="BQ397" s="230">
        <f t="shared" si="45"/>
        <v>5980.9004999999988</v>
      </c>
      <c r="BR397" s="230">
        <f>5559.96+(399*1.055)</f>
        <v>5980.9049999999997</v>
      </c>
      <c r="BS397" s="225" t="s">
        <v>188</v>
      </c>
      <c r="BT397" s="233"/>
      <c r="BU397" s="233"/>
      <c r="BV397" s="231" t="s">
        <v>4045</v>
      </c>
      <c r="BW397" s="225" t="s">
        <v>968</v>
      </c>
      <c r="BX397" s="301" t="s">
        <v>620</v>
      </c>
      <c r="BY397" s="301">
        <v>2022</v>
      </c>
    </row>
    <row r="398" spans="1:77" s="33" customFormat="1" ht="13.5" customHeight="1">
      <c r="A398" s="64">
        <f t="shared" si="42"/>
        <v>2022</v>
      </c>
      <c r="B398" s="64">
        <f t="shared" si="43"/>
        <v>4</v>
      </c>
      <c r="C398" s="125" t="s">
        <v>191</v>
      </c>
      <c r="D398" s="168" t="str">
        <f t="shared" si="44"/>
        <v>maj</v>
      </c>
      <c r="E398" s="235" t="s">
        <v>3302</v>
      </c>
      <c r="F398" s="236" t="s">
        <v>1667</v>
      </c>
      <c r="G398" s="221">
        <v>1000</v>
      </c>
      <c r="H398" s="222">
        <v>44644</v>
      </c>
      <c r="I398" s="222">
        <v>44651</v>
      </c>
      <c r="J398" s="223" t="s">
        <v>176</v>
      </c>
      <c r="K398" s="222" t="s">
        <v>176</v>
      </c>
      <c r="L398" s="223">
        <v>44666</v>
      </c>
      <c r="M398" s="223">
        <v>44666</v>
      </c>
      <c r="N398" s="223">
        <v>44676</v>
      </c>
      <c r="O398" s="237"/>
      <c r="P398" s="223">
        <v>44741</v>
      </c>
      <c r="Q398" s="238">
        <v>44726</v>
      </c>
      <c r="R398" s="222" t="s">
        <v>176</v>
      </c>
      <c r="S398" s="222">
        <v>44769</v>
      </c>
      <c r="T398" s="222">
        <v>44769</v>
      </c>
      <c r="U398" s="222">
        <v>44770</v>
      </c>
      <c r="V398" s="233"/>
      <c r="W398" s="222"/>
      <c r="X398" s="222"/>
      <c r="Y398" s="239"/>
      <c r="Z398" s="225"/>
      <c r="AA398" s="225">
        <v>2</v>
      </c>
      <c r="AB398" s="225">
        <v>14427</v>
      </c>
      <c r="AC398" s="225">
        <v>49</v>
      </c>
      <c r="AD398" s="225" t="s">
        <v>2453</v>
      </c>
      <c r="AE398" s="225">
        <v>38960</v>
      </c>
      <c r="AF398" s="225" t="s">
        <v>2088</v>
      </c>
      <c r="AG398" s="226">
        <v>662385063</v>
      </c>
      <c r="AH398" s="240" t="s">
        <v>3353</v>
      </c>
      <c r="AI398" s="225" t="s">
        <v>1168</v>
      </c>
      <c r="AJ398" s="233"/>
      <c r="AK398" s="233"/>
      <c r="AL398" s="233"/>
      <c r="AM398" s="233"/>
      <c r="AN398" s="233"/>
      <c r="AO398" s="233"/>
      <c r="AP398" s="222" t="s">
        <v>587</v>
      </c>
      <c r="AQ398" s="225" t="s">
        <v>225</v>
      </c>
      <c r="AR398" s="225" t="s">
        <v>2026</v>
      </c>
      <c r="AS398" s="241" t="s">
        <v>266</v>
      </c>
      <c r="AT398" s="226">
        <v>476069938</v>
      </c>
      <c r="AU398" s="225" t="s">
        <v>176</v>
      </c>
      <c r="AV398" s="241" t="s">
        <v>188</v>
      </c>
      <c r="AW398" s="223">
        <v>44822</v>
      </c>
      <c r="AX398" s="225" t="s">
        <v>1880</v>
      </c>
      <c r="AY398" s="225">
        <v>1996</v>
      </c>
      <c r="AZ398" s="225" t="s">
        <v>1880</v>
      </c>
      <c r="BA398" s="225" t="s">
        <v>380</v>
      </c>
      <c r="BB398" s="225" t="s">
        <v>280</v>
      </c>
      <c r="BC398" s="225" t="s">
        <v>3354</v>
      </c>
      <c r="BD398" s="242">
        <v>26</v>
      </c>
      <c r="BE398" s="242">
        <v>8</v>
      </c>
      <c r="BF398" s="242">
        <v>78.3</v>
      </c>
      <c r="BG398" s="242" t="s">
        <v>3355</v>
      </c>
      <c r="BH398" s="225" t="s">
        <v>1882</v>
      </c>
      <c r="BI398" s="225"/>
      <c r="BJ398" s="242">
        <f>1480+300+250</f>
        <v>2030</v>
      </c>
      <c r="BK398" s="225"/>
      <c r="BL398" s="225"/>
      <c r="BM398" s="225"/>
      <c r="BN398" s="242">
        <f>2050+590</f>
        <v>2640</v>
      </c>
      <c r="BO398" s="242">
        <f>BJ398+BN398</f>
        <v>4670</v>
      </c>
      <c r="BP398" s="242">
        <f>BO398*0.055</f>
        <v>256.85000000000002</v>
      </c>
      <c r="BQ398" s="242">
        <f t="shared" si="45"/>
        <v>4926.8499999999995</v>
      </c>
      <c r="BR398" s="230">
        <v>4926.8500000000004</v>
      </c>
      <c r="BS398" s="225" t="s">
        <v>188</v>
      </c>
      <c r="BT398" s="233"/>
      <c r="BU398" s="233"/>
      <c r="BV398" s="231" t="s">
        <v>4045</v>
      </c>
      <c r="BW398" s="225" t="s">
        <v>968</v>
      </c>
      <c r="BX398" s="222" t="s">
        <v>618</v>
      </c>
      <c r="BY398" s="301">
        <v>2022</v>
      </c>
    </row>
    <row r="399" spans="1:77" s="33" customFormat="1" ht="13.5" customHeight="1">
      <c r="A399" s="64">
        <f t="shared" si="42"/>
        <v>2022</v>
      </c>
      <c r="B399" s="64">
        <f t="shared" si="43"/>
        <v>4</v>
      </c>
      <c r="C399" s="125" t="s">
        <v>191</v>
      </c>
      <c r="D399" s="168" t="str">
        <f t="shared" si="44"/>
        <v>maj</v>
      </c>
      <c r="E399" s="232" t="s">
        <v>3302</v>
      </c>
      <c r="F399" s="243" t="s">
        <v>1668</v>
      </c>
      <c r="G399" s="221">
        <v>1000</v>
      </c>
      <c r="H399" s="222">
        <v>44645</v>
      </c>
      <c r="I399" s="222">
        <v>44651</v>
      </c>
      <c r="J399" s="223" t="s">
        <v>176</v>
      </c>
      <c r="K399" s="222" t="s">
        <v>176</v>
      </c>
      <c r="L399" s="223">
        <v>44658</v>
      </c>
      <c r="M399" s="223">
        <v>44658</v>
      </c>
      <c r="N399" s="223">
        <v>44664</v>
      </c>
      <c r="O399" s="237"/>
      <c r="P399" s="238">
        <v>44881</v>
      </c>
      <c r="Q399" s="238">
        <v>44858</v>
      </c>
      <c r="R399" s="238" t="s">
        <v>176</v>
      </c>
      <c r="S399" s="238">
        <v>44895</v>
      </c>
      <c r="T399" s="238">
        <v>44895</v>
      </c>
      <c r="U399" s="238">
        <v>44897</v>
      </c>
      <c r="V399" s="233"/>
      <c r="W399" s="237"/>
      <c r="X399" s="233"/>
      <c r="Y399" s="239"/>
      <c r="Z399" s="225"/>
      <c r="AA399" s="225">
        <v>2</v>
      </c>
      <c r="AB399" s="225">
        <v>24545</v>
      </c>
      <c r="AC399" s="225">
        <v>97</v>
      </c>
      <c r="AD399" s="225" t="s">
        <v>3356</v>
      </c>
      <c r="AE399" s="225">
        <v>38730</v>
      </c>
      <c r="AF399" s="244" t="s">
        <v>1916</v>
      </c>
      <c r="AG399" s="226">
        <v>633044606</v>
      </c>
      <c r="AH399" s="240" t="s">
        <v>3357</v>
      </c>
      <c r="AI399" s="225" t="s">
        <v>1168</v>
      </c>
      <c r="AJ399" s="233"/>
      <c r="AK399" s="233"/>
      <c r="AL399" s="233"/>
      <c r="AM399" s="233"/>
      <c r="AN399" s="233"/>
      <c r="AO399" s="233"/>
      <c r="AP399" s="225" t="s">
        <v>625</v>
      </c>
      <c r="AQ399" s="225" t="s">
        <v>2038</v>
      </c>
      <c r="AR399" s="225" t="s">
        <v>3358</v>
      </c>
      <c r="AS399" s="227" t="s">
        <v>224</v>
      </c>
      <c r="AT399" s="226">
        <v>479750979</v>
      </c>
      <c r="AU399" s="225" t="s">
        <v>176</v>
      </c>
      <c r="AV399" s="241" t="s">
        <v>188</v>
      </c>
      <c r="AW399" s="223">
        <v>44880</v>
      </c>
      <c r="AX399" s="225" t="s">
        <v>1880</v>
      </c>
      <c r="AY399" s="225">
        <v>1986</v>
      </c>
      <c r="AZ399" s="225" t="s">
        <v>1880</v>
      </c>
      <c r="BA399" s="225" t="s">
        <v>267</v>
      </c>
      <c r="BB399" s="225" t="s">
        <v>221</v>
      </c>
      <c r="BC399" s="225" t="s">
        <v>3359</v>
      </c>
      <c r="BD399" s="225">
        <v>17</v>
      </c>
      <c r="BE399" s="225" t="s">
        <v>3360</v>
      </c>
      <c r="BF399" s="225" t="s">
        <v>3361</v>
      </c>
      <c r="BG399" s="225" t="s">
        <v>3362</v>
      </c>
      <c r="BH399" s="225" t="s">
        <v>1882</v>
      </c>
      <c r="BI399" s="225"/>
      <c r="BJ399" s="225">
        <f>2807.67+70+90+385+85+116+210+90+117</f>
        <v>3970.67</v>
      </c>
      <c r="BK399" s="225"/>
      <c r="BL399" s="225"/>
      <c r="BM399" s="225"/>
      <c r="BN399" s="225">
        <f>760+45</f>
        <v>805</v>
      </c>
      <c r="BO399" s="225">
        <f>BJ399+BN399</f>
        <v>4775.67</v>
      </c>
      <c r="BP399" s="245">
        <f>BO399*0.055</f>
        <v>262.66185000000002</v>
      </c>
      <c r="BQ399" s="230">
        <f t="shared" si="45"/>
        <v>5038.3318499999996</v>
      </c>
      <c r="BR399" s="225">
        <f>1538.33+1500+2000</f>
        <v>5038.33</v>
      </c>
      <c r="BS399" s="225" t="s">
        <v>188</v>
      </c>
      <c r="BT399" s="233"/>
      <c r="BU399" s="233"/>
      <c r="BV399" s="231" t="s">
        <v>4045</v>
      </c>
      <c r="BW399" s="225" t="s">
        <v>968</v>
      </c>
      <c r="BX399" s="222" t="s">
        <v>618</v>
      </c>
      <c r="BY399" s="301" t="s">
        <v>176</v>
      </c>
    </row>
    <row r="400" spans="1:77" s="33" customFormat="1" ht="13.5" customHeight="1">
      <c r="A400" s="64">
        <f t="shared" si="42"/>
        <v>2022</v>
      </c>
      <c r="B400" s="64">
        <f t="shared" si="43"/>
        <v>4</v>
      </c>
      <c r="C400" s="125" t="s">
        <v>191</v>
      </c>
      <c r="D400" s="168" t="str">
        <f t="shared" si="44"/>
        <v>maj</v>
      </c>
      <c r="E400" s="232" t="s">
        <v>3302</v>
      </c>
      <c r="F400" s="243" t="s">
        <v>1670</v>
      </c>
      <c r="G400" s="221">
        <v>1000</v>
      </c>
      <c r="H400" s="222">
        <v>44645</v>
      </c>
      <c r="I400" s="222">
        <v>44651</v>
      </c>
      <c r="J400" s="223">
        <v>44658</v>
      </c>
      <c r="K400" s="222" t="s">
        <v>3303</v>
      </c>
      <c r="L400" s="223">
        <v>44666</v>
      </c>
      <c r="M400" s="223">
        <v>44666</v>
      </c>
      <c r="N400" s="223">
        <v>44676</v>
      </c>
      <c r="O400" s="237"/>
      <c r="P400" s="238">
        <v>44694</v>
      </c>
      <c r="Q400" s="238">
        <v>44679</v>
      </c>
      <c r="R400" s="222" t="s">
        <v>176</v>
      </c>
      <c r="S400" s="222">
        <v>44768</v>
      </c>
      <c r="T400" s="222">
        <v>44768</v>
      </c>
      <c r="U400" s="222">
        <v>44769</v>
      </c>
      <c r="V400" s="233"/>
      <c r="W400" s="237"/>
      <c r="X400" s="233"/>
      <c r="Y400" s="239"/>
      <c r="Z400" s="225"/>
      <c r="AA400" s="225">
        <v>4</v>
      </c>
      <c r="AB400" s="225">
        <f>13974+9533</f>
        <v>23507</v>
      </c>
      <c r="AC400" s="225">
        <v>195</v>
      </c>
      <c r="AD400" s="225" t="s">
        <v>3363</v>
      </c>
      <c r="AE400" s="225">
        <v>38140</v>
      </c>
      <c r="AF400" s="233" t="s">
        <v>1971</v>
      </c>
      <c r="AG400" s="226">
        <v>632076855</v>
      </c>
      <c r="AH400" s="240" t="s">
        <v>3364</v>
      </c>
      <c r="AI400" s="225" t="s">
        <v>1168</v>
      </c>
      <c r="AJ400" s="233"/>
      <c r="AK400" s="233"/>
      <c r="AL400" s="233"/>
      <c r="AM400" s="233"/>
      <c r="AN400" s="233"/>
      <c r="AO400" s="233"/>
      <c r="AP400" s="225" t="s">
        <v>675</v>
      </c>
      <c r="AQ400" s="225" t="s">
        <v>864</v>
      </c>
      <c r="AR400" s="225" t="s">
        <v>1948</v>
      </c>
      <c r="AS400" s="246" t="s">
        <v>673</v>
      </c>
      <c r="AT400" s="226" t="s">
        <v>626</v>
      </c>
      <c r="AU400" s="225" t="s">
        <v>176</v>
      </c>
      <c r="AV400" s="229" t="s">
        <v>388</v>
      </c>
      <c r="AW400" s="223">
        <v>44798</v>
      </c>
      <c r="AX400" s="225" t="s">
        <v>1880</v>
      </c>
      <c r="AY400" s="225" t="s">
        <v>1967</v>
      </c>
      <c r="AZ400" s="225" t="s">
        <v>1880</v>
      </c>
      <c r="BA400" s="225" t="s">
        <v>380</v>
      </c>
      <c r="BB400" s="225" t="s">
        <v>3365</v>
      </c>
      <c r="BC400" s="225" t="s">
        <v>3366</v>
      </c>
      <c r="BD400" s="225">
        <v>18</v>
      </c>
      <c r="BE400" s="225" t="s">
        <v>3367</v>
      </c>
      <c r="BF400" s="225">
        <v>78</v>
      </c>
      <c r="BG400" s="225" t="s">
        <v>690</v>
      </c>
      <c r="BH400" s="225" t="s">
        <v>1882</v>
      </c>
      <c r="BI400" s="225"/>
      <c r="BJ400" s="225">
        <f>2123.33+380+389+415.89+269.9+185</f>
        <v>3763.12</v>
      </c>
      <c r="BK400" s="225"/>
      <c r="BL400" s="225"/>
      <c r="BM400" s="225"/>
      <c r="BN400" s="225">
        <v>630</v>
      </c>
      <c r="BO400" s="225">
        <f>BJ400+BN400</f>
        <v>4393.12</v>
      </c>
      <c r="BP400" s="225">
        <f>BO400*0.055</f>
        <v>241.6216</v>
      </c>
      <c r="BQ400" s="230">
        <f t="shared" si="45"/>
        <v>4634.7415999999994</v>
      </c>
      <c r="BR400" s="225">
        <v>4634.74</v>
      </c>
      <c r="BS400" s="225" t="s">
        <v>188</v>
      </c>
      <c r="BT400" s="233"/>
      <c r="BU400" s="233"/>
      <c r="BV400" s="231" t="s">
        <v>4045</v>
      </c>
      <c r="BW400" s="225" t="s">
        <v>968</v>
      </c>
      <c r="BX400" s="222" t="s">
        <v>618</v>
      </c>
      <c r="BY400" s="301">
        <v>2022</v>
      </c>
    </row>
    <row r="401" spans="1:77" s="33" customFormat="1" ht="13.5" customHeight="1">
      <c r="A401" s="64">
        <f t="shared" si="42"/>
        <v>2022</v>
      </c>
      <c r="B401" s="64">
        <f t="shared" si="43"/>
        <v>4</v>
      </c>
      <c r="C401" s="125" t="s">
        <v>191</v>
      </c>
      <c r="D401" s="168" t="str">
        <f t="shared" si="44"/>
        <v>non maj</v>
      </c>
      <c r="E401" s="232" t="s">
        <v>3302</v>
      </c>
      <c r="F401" s="232" t="s">
        <v>1672</v>
      </c>
      <c r="G401" s="221">
        <v>600</v>
      </c>
      <c r="H401" s="222">
        <v>44649</v>
      </c>
      <c r="I401" s="222">
        <v>44651</v>
      </c>
      <c r="J401" s="223">
        <v>44658</v>
      </c>
      <c r="K401" s="222" t="s">
        <v>3368</v>
      </c>
      <c r="L401" s="223">
        <v>44666</v>
      </c>
      <c r="M401" s="223">
        <v>44666</v>
      </c>
      <c r="N401" s="223">
        <v>44676</v>
      </c>
      <c r="O401" s="237"/>
      <c r="P401" s="247">
        <v>44799</v>
      </c>
      <c r="Q401" s="247">
        <v>44755</v>
      </c>
      <c r="R401" s="247" t="s">
        <v>176</v>
      </c>
      <c r="S401" s="247">
        <v>44893</v>
      </c>
      <c r="T401" s="247">
        <v>44893</v>
      </c>
      <c r="U401" s="247">
        <v>44894</v>
      </c>
      <c r="V401" s="233"/>
      <c r="W401" s="247"/>
      <c r="X401" s="248"/>
      <c r="Y401" s="239"/>
      <c r="Z401" s="225"/>
      <c r="AA401" s="225">
        <v>2</v>
      </c>
      <c r="AB401" s="225">
        <v>63712</v>
      </c>
      <c r="AC401" s="225">
        <v>6</v>
      </c>
      <c r="AD401" s="225" t="s">
        <v>3369</v>
      </c>
      <c r="AE401" s="225">
        <v>38140</v>
      </c>
      <c r="AF401" s="225" t="s">
        <v>1924</v>
      </c>
      <c r="AG401" s="226">
        <v>686551858</v>
      </c>
      <c r="AH401" s="249" t="s">
        <v>3370</v>
      </c>
      <c r="AI401" s="225" t="s">
        <v>1168</v>
      </c>
      <c r="AJ401" s="233"/>
      <c r="AK401" s="233"/>
      <c r="AL401" s="248"/>
      <c r="AM401" s="248"/>
      <c r="AN401" s="248"/>
      <c r="AO401" s="248"/>
      <c r="AP401" s="225" t="s">
        <v>1888</v>
      </c>
      <c r="AQ401" s="225" t="s">
        <v>225</v>
      </c>
      <c r="AR401" s="225" t="s">
        <v>3371</v>
      </c>
      <c r="AS401" s="250" t="s">
        <v>3297</v>
      </c>
      <c r="AT401" s="226">
        <v>476074561</v>
      </c>
      <c r="AU401" s="225" t="s">
        <v>176</v>
      </c>
      <c r="AV401" s="251" t="s">
        <v>388</v>
      </c>
      <c r="AW401" s="223">
        <v>44868</v>
      </c>
      <c r="AX401" s="225" t="s">
        <v>4113</v>
      </c>
      <c r="AY401" s="225">
        <v>1990</v>
      </c>
      <c r="AZ401" s="225" t="s">
        <v>1880</v>
      </c>
      <c r="BA401" s="225" t="s">
        <v>267</v>
      </c>
      <c r="BB401" s="239" t="s">
        <v>221</v>
      </c>
      <c r="BC401" s="239" t="s">
        <v>3372</v>
      </c>
      <c r="BD401" s="252"/>
      <c r="BE401" s="252"/>
      <c r="BF401" s="252"/>
      <c r="BG401" s="252"/>
      <c r="BH401" s="239" t="s">
        <v>1882</v>
      </c>
      <c r="BI401" s="225"/>
      <c r="BJ401" s="225">
        <f>5413.27+350+101+89+88+120+90+22</f>
        <v>6273.27</v>
      </c>
      <c r="BK401" s="225"/>
      <c r="BL401" s="225"/>
      <c r="BM401" s="225"/>
      <c r="BN401" s="225">
        <f>30+450</f>
        <v>480</v>
      </c>
      <c r="BO401" s="225">
        <f>BJ401+BN401</f>
        <v>6753.27</v>
      </c>
      <c r="BP401" s="245">
        <f>BO401*0.055</f>
        <v>371.42985000000004</v>
      </c>
      <c r="BQ401" s="230">
        <f t="shared" si="45"/>
        <v>7124.69985</v>
      </c>
      <c r="BR401" s="230">
        <v>7124.69985</v>
      </c>
      <c r="BS401" s="225" t="s">
        <v>188</v>
      </c>
      <c r="BT401" s="248"/>
      <c r="BU401" s="248"/>
      <c r="BV401" s="231" t="s">
        <v>4045</v>
      </c>
      <c r="BW401" s="225" t="s">
        <v>968</v>
      </c>
      <c r="BX401" s="301" t="s">
        <v>620</v>
      </c>
      <c r="BY401" s="301" t="s">
        <v>176</v>
      </c>
    </row>
    <row r="402" spans="1:77" s="33" customFormat="1" ht="13.5" customHeight="1">
      <c r="A402" s="64">
        <f t="shared" si="42"/>
        <v>2022</v>
      </c>
      <c r="B402" s="64">
        <f t="shared" si="43"/>
        <v>4</v>
      </c>
      <c r="C402" s="125" t="s">
        <v>191</v>
      </c>
      <c r="D402" s="168" t="str">
        <f t="shared" si="44"/>
        <v>non maj</v>
      </c>
      <c r="E402" s="232" t="s">
        <v>210</v>
      </c>
      <c r="F402" s="243" t="s">
        <v>1673</v>
      </c>
      <c r="G402" s="221">
        <v>600</v>
      </c>
      <c r="H402" s="222">
        <v>44649</v>
      </c>
      <c r="I402" s="222">
        <v>44652</v>
      </c>
      <c r="J402" s="223"/>
      <c r="K402" s="222"/>
      <c r="L402" s="223">
        <v>44664</v>
      </c>
      <c r="M402" s="223">
        <v>44664</v>
      </c>
      <c r="N402" s="223">
        <v>44673</v>
      </c>
      <c r="O402" s="237"/>
      <c r="P402" s="238">
        <v>44707</v>
      </c>
      <c r="Q402" s="238">
        <v>44705</v>
      </c>
      <c r="R402" s="238" t="s">
        <v>176</v>
      </c>
      <c r="S402" s="222">
        <v>44768</v>
      </c>
      <c r="T402" s="222">
        <v>44768</v>
      </c>
      <c r="U402" s="222">
        <v>44769</v>
      </c>
      <c r="V402" s="233"/>
      <c r="W402" s="237"/>
      <c r="X402" s="233"/>
      <c r="Y402" s="239"/>
      <c r="Z402" s="225"/>
      <c r="AA402" s="225">
        <v>2</v>
      </c>
      <c r="AB402" s="225">
        <v>28733</v>
      </c>
      <c r="AC402" s="225">
        <v>750</v>
      </c>
      <c r="AD402" s="225" t="s">
        <v>3373</v>
      </c>
      <c r="AE402" s="225">
        <v>38140</v>
      </c>
      <c r="AF402" s="233" t="s">
        <v>1946</v>
      </c>
      <c r="AG402" s="226">
        <v>637465989</v>
      </c>
      <c r="AH402" s="240" t="s">
        <v>3374</v>
      </c>
      <c r="AI402" s="225" t="s">
        <v>1168</v>
      </c>
      <c r="AJ402" s="233"/>
      <c r="AK402" s="233"/>
      <c r="AL402" s="233"/>
      <c r="AM402" s="233"/>
      <c r="AN402" s="233"/>
      <c r="AO402" s="233"/>
      <c r="AP402" s="222" t="s">
        <v>587</v>
      </c>
      <c r="AQ402" s="225" t="s">
        <v>225</v>
      </c>
      <c r="AR402" s="225" t="s">
        <v>2026</v>
      </c>
      <c r="AS402" s="241" t="s">
        <v>266</v>
      </c>
      <c r="AT402" s="226">
        <v>476069938</v>
      </c>
      <c r="AU402" s="225" t="s">
        <v>176</v>
      </c>
      <c r="AV402" s="241" t="s">
        <v>188</v>
      </c>
      <c r="AW402" s="223">
        <v>44822</v>
      </c>
      <c r="AX402" s="225" t="s">
        <v>1879</v>
      </c>
      <c r="AY402" s="242">
        <v>1985</v>
      </c>
      <c r="AZ402" s="225" t="s">
        <v>1880</v>
      </c>
      <c r="BA402" s="225" t="s">
        <v>267</v>
      </c>
      <c r="BB402" s="225" t="s">
        <v>190</v>
      </c>
      <c r="BC402" s="225" t="s">
        <v>3375</v>
      </c>
      <c r="BD402" s="242">
        <v>16</v>
      </c>
      <c r="BE402" s="242">
        <v>9.1</v>
      </c>
      <c r="BF402" s="242">
        <v>91.8</v>
      </c>
      <c r="BG402" s="242">
        <v>3.7599999999999999E-3</v>
      </c>
      <c r="BH402" s="225" t="s">
        <v>1882</v>
      </c>
      <c r="BI402" s="225"/>
      <c r="BJ402" s="242">
        <v>5260</v>
      </c>
      <c r="BK402" s="225"/>
      <c r="BL402" s="225"/>
      <c r="BM402" s="225"/>
      <c r="BN402" s="242">
        <v>590</v>
      </c>
      <c r="BO402" s="242">
        <v>5850</v>
      </c>
      <c r="BP402" s="242">
        <v>321.75</v>
      </c>
      <c r="BQ402" s="242">
        <v>6171.75</v>
      </c>
      <c r="BR402" s="230">
        <v>6171.75</v>
      </c>
      <c r="BS402" s="225" t="s">
        <v>188</v>
      </c>
      <c r="BT402" s="233"/>
      <c r="BU402" s="233"/>
      <c r="BV402" s="231" t="s">
        <v>4045</v>
      </c>
      <c r="BW402" s="225" t="s">
        <v>968</v>
      </c>
      <c r="BX402" s="301" t="s">
        <v>620</v>
      </c>
      <c r="BY402" s="301" t="s">
        <v>176</v>
      </c>
    </row>
    <row r="403" spans="1:77" s="33" customFormat="1" ht="13.5" customHeight="1">
      <c r="A403" s="64">
        <f t="shared" si="42"/>
        <v>2022</v>
      </c>
      <c r="B403" s="64">
        <f t="shared" si="43"/>
        <v>4</v>
      </c>
      <c r="C403" s="125" t="s">
        <v>191</v>
      </c>
      <c r="D403" s="168" t="str">
        <f t="shared" si="44"/>
        <v>maj</v>
      </c>
      <c r="E403" s="225" t="s">
        <v>210</v>
      </c>
      <c r="F403" s="253" t="s">
        <v>1675</v>
      </c>
      <c r="G403" s="221">
        <v>1000</v>
      </c>
      <c r="H403" s="222">
        <v>44650</v>
      </c>
      <c r="I403" s="222">
        <v>44652</v>
      </c>
      <c r="J403" s="223">
        <v>44664</v>
      </c>
      <c r="K403" s="222" t="s">
        <v>3376</v>
      </c>
      <c r="L403" s="223">
        <v>44665</v>
      </c>
      <c r="M403" s="223">
        <v>44665</v>
      </c>
      <c r="N403" s="223">
        <v>44673</v>
      </c>
      <c r="O403" s="237"/>
      <c r="P403" s="238">
        <v>44939</v>
      </c>
      <c r="Q403" s="238">
        <v>44869</v>
      </c>
      <c r="R403" s="238" t="s">
        <v>176</v>
      </c>
      <c r="S403" s="237">
        <v>44974</v>
      </c>
      <c r="T403" s="237">
        <v>44974</v>
      </c>
      <c r="U403" s="237"/>
      <c r="V403" s="233"/>
      <c r="W403" s="237"/>
      <c r="X403" s="233"/>
      <c r="Y403" s="239"/>
      <c r="Z403" s="225"/>
      <c r="AA403" s="225">
        <v>1</v>
      </c>
      <c r="AB403" s="225">
        <v>18759</v>
      </c>
      <c r="AC403" s="225">
        <v>200</v>
      </c>
      <c r="AD403" s="225" t="s">
        <v>3377</v>
      </c>
      <c r="AE403" s="225">
        <v>38210</v>
      </c>
      <c r="AF403" s="233" t="s">
        <v>1903</v>
      </c>
      <c r="AG403" s="226">
        <v>767944669</v>
      </c>
      <c r="AH403" s="240" t="s">
        <v>3378</v>
      </c>
      <c r="AI403" s="225" t="s">
        <v>1168</v>
      </c>
      <c r="AJ403" s="233"/>
      <c r="AK403" s="233"/>
      <c r="AL403" s="233"/>
      <c r="AM403" s="233"/>
      <c r="AN403" s="233"/>
      <c r="AO403" s="233"/>
      <c r="AP403" s="225" t="s">
        <v>678</v>
      </c>
      <c r="AQ403" s="225" t="s">
        <v>1007</v>
      </c>
      <c r="AR403" s="225" t="s">
        <v>3172</v>
      </c>
      <c r="AS403" s="241" t="s">
        <v>274</v>
      </c>
      <c r="AT403" s="226" t="s">
        <v>1015</v>
      </c>
      <c r="AU403" s="225"/>
      <c r="AV403" s="241" t="s">
        <v>388</v>
      </c>
      <c r="AW403" s="223">
        <v>44633</v>
      </c>
      <c r="AX403" s="225" t="s">
        <v>4113</v>
      </c>
      <c r="AY403" s="225">
        <v>1997</v>
      </c>
      <c r="AZ403" s="225" t="s">
        <v>1880</v>
      </c>
      <c r="BA403" s="225" t="s">
        <v>267</v>
      </c>
      <c r="BB403" s="225" t="s">
        <v>391</v>
      </c>
      <c r="BC403" s="225" t="s">
        <v>247</v>
      </c>
      <c r="BD403" s="225">
        <v>17</v>
      </c>
      <c r="BE403" s="225">
        <v>10</v>
      </c>
      <c r="BF403" s="225">
        <v>91</v>
      </c>
      <c r="BG403" s="225">
        <v>9.5200000000000007E-3</v>
      </c>
      <c r="BH403" s="225" t="s">
        <v>1882</v>
      </c>
      <c r="BI403" s="225"/>
      <c r="BJ403" s="225">
        <v>4153.03</v>
      </c>
      <c r="BK403" s="225"/>
      <c r="BL403" s="225"/>
      <c r="BM403" s="225"/>
      <c r="BN403" s="225">
        <v>1393.6</v>
      </c>
      <c r="BO403" s="225">
        <v>5543.54</v>
      </c>
      <c r="BP403" s="225">
        <v>310.93</v>
      </c>
      <c r="BQ403" s="225">
        <v>5854.47</v>
      </c>
      <c r="BR403" s="225">
        <v>5757.19</v>
      </c>
      <c r="BS403" s="225" t="s">
        <v>191</v>
      </c>
      <c r="BT403" s="233"/>
      <c r="BU403" s="233"/>
      <c r="BV403" s="301" t="s">
        <v>4045</v>
      </c>
      <c r="BW403" s="225" t="s">
        <v>968</v>
      </c>
      <c r="BX403" s="222" t="s">
        <v>618</v>
      </c>
      <c r="BY403" s="301" t="s">
        <v>176</v>
      </c>
    </row>
    <row r="404" spans="1:77" s="33" customFormat="1" ht="13.5" customHeight="1">
      <c r="A404" s="64">
        <f t="shared" si="42"/>
        <v>2022</v>
      </c>
      <c r="B404" s="64">
        <f t="shared" si="43"/>
        <v>4</v>
      </c>
      <c r="C404" s="125" t="s">
        <v>191</v>
      </c>
      <c r="D404" s="168" t="str">
        <f t="shared" si="44"/>
        <v>non maj</v>
      </c>
      <c r="E404" s="232" t="s">
        <v>210</v>
      </c>
      <c r="F404" s="243" t="s">
        <v>1676</v>
      </c>
      <c r="G404" s="221">
        <v>600</v>
      </c>
      <c r="H404" s="222">
        <v>44651</v>
      </c>
      <c r="I404" s="222">
        <v>44652</v>
      </c>
      <c r="J404" s="223">
        <v>44664</v>
      </c>
      <c r="K404" s="222" t="s">
        <v>3379</v>
      </c>
      <c r="L404" s="223">
        <v>44677</v>
      </c>
      <c r="M404" s="223">
        <v>44677</v>
      </c>
      <c r="N404" s="223">
        <v>44684</v>
      </c>
      <c r="O404" s="237"/>
      <c r="P404" s="238">
        <v>44830</v>
      </c>
      <c r="Q404" s="238">
        <v>44763</v>
      </c>
      <c r="R404" s="254" t="s">
        <v>3380</v>
      </c>
      <c r="S404" s="238">
        <v>44875</v>
      </c>
      <c r="T404" s="238">
        <v>44875</v>
      </c>
      <c r="U404" s="222">
        <v>44880</v>
      </c>
      <c r="V404" s="233"/>
      <c r="W404" s="237"/>
      <c r="X404" s="233"/>
      <c r="Y404" s="239"/>
      <c r="Z404" s="225"/>
      <c r="AA404" s="225">
        <v>3</v>
      </c>
      <c r="AB404" s="225">
        <v>51455</v>
      </c>
      <c r="AC404" s="225">
        <v>14</v>
      </c>
      <c r="AD404" s="225" t="s">
        <v>3381</v>
      </c>
      <c r="AE404" s="225">
        <v>38500</v>
      </c>
      <c r="AF404" s="233" t="s">
        <v>225</v>
      </c>
      <c r="AG404" s="226">
        <v>676447389</v>
      </c>
      <c r="AH404" s="234" t="s">
        <v>3382</v>
      </c>
      <c r="AI404" s="225" t="s">
        <v>1168</v>
      </c>
      <c r="AJ404" s="233"/>
      <c r="AK404" s="233"/>
      <c r="AL404" s="233"/>
      <c r="AM404" s="233"/>
      <c r="AN404" s="233"/>
      <c r="AO404" s="233"/>
      <c r="AP404" s="225" t="s">
        <v>778</v>
      </c>
      <c r="AQ404" s="225" t="s">
        <v>1926</v>
      </c>
      <c r="AR404" s="225" t="s">
        <v>1026</v>
      </c>
      <c r="AS404" s="241" t="s">
        <v>251</v>
      </c>
      <c r="AT404" s="226" t="s">
        <v>581</v>
      </c>
      <c r="AU404" s="225" t="s">
        <v>176</v>
      </c>
      <c r="AV404" s="241" t="s">
        <v>188</v>
      </c>
      <c r="AW404" s="223">
        <v>45006</v>
      </c>
      <c r="AX404" s="225" t="s">
        <v>4113</v>
      </c>
      <c r="AY404" s="225" t="s">
        <v>1147</v>
      </c>
      <c r="AZ404" s="225" t="s">
        <v>4113</v>
      </c>
      <c r="BA404" s="225" t="s">
        <v>380</v>
      </c>
      <c r="BB404" s="225" t="s">
        <v>3048</v>
      </c>
      <c r="BC404" s="225">
        <v>757</v>
      </c>
      <c r="BD404" s="225">
        <v>38</v>
      </c>
      <c r="BE404" s="225">
        <v>14.1</v>
      </c>
      <c r="BF404" s="225">
        <v>75.8</v>
      </c>
      <c r="BG404" s="225">
        <v>0.11600000000000001</v>
      </c>
      <c r="BH404" s="225" t="s">
        <v>1882</v>
      </c>
      <c r="BI404" s="225"/>
      <c r="BJ404" s="225">
        <v>7962</v>
      </c>
      <c r="BK404" s="225"/>
      <c r="BL404" s="225"/>
      <c r="BM404" s="225"/>
      <c r="BN404" s="225">
        <v>1182</v>
      </c>
      <c r="BO404" s="225">
        <v>9144</v>
      </c>
      <c r="BP404" s="225">
        <v>503</v>
      </c>
      <c r="BQ404" s="225">
        <v>8990</v>
      </c>
      <c r="BR404" s="225">
        <v>8990</v>
      </c>
      <c r="BS404" s="225" t="s">
        <v>188</v>
      </c>
      <c r="BT404" s="233"/>
      <c r="BU404" s="233"/>
      <c r="BV404" s="231" t="s">
        <v>4045</v>
      </c>
      <c r="BW404" s="225" t="s">
        <v>968</v>
      </c>
      <c r="BX404" s="301" t="s">
        <v>620</v>
      </c>
      <c r="BY404" s="301">
        <v>2022</v>
      </c>
    </row>
    <row r="405" spans="1:77" s="33" customFormat="1" ht="13.5" customHeight="1">
      <c r="A405" s="64">
        <f t="shared" si="42"/>
        <v>2022</v>
      </c>
      <c r="B405" s="64">
        <f t="shared" si="43"/>
        <v>4</v>
      </c>
      <c r="C405" s="125" t="s">
        <v>191</v>
      </c>
      <c r="D405" s="168" t="str">
        <f t="shared" si="44"/>
        <v>non maj</v>
      </c>
      <c r="E405" s="232" t="s">
        <v>210</v>
      </c>
      <c r="F405" s="243" t="s">
        <v>3383</v>
      </c>
      <c r="G405" s="221">
        <v>600</v>
      </c>
      <c r="H405" s="222">
        <v>44651</v>
      </c>
      <c r="I405" s="222">
        <v>44652</v>
      </c>
      <c r="J405" s="223"/>
      <c r="K405" s="222"/>
      <c r="L405" s="223">
        <v>44664</v>
      </c>
      <c r="M405" s="223">
        <v>44664</v>
      </c>
      <c r="N405" s="255">
        <v>44673</v>
      </c>
      <c r="O405" s="237"/>
      <c r="P405" s="238">
        <v>44763</v>
      </c>
      <c r="Q405" s="238">
        <v>44761</v>
      </c>
      <c r="R405" s="238" t="s">
        <v>176</v>
      </c>
      <c r="S405" s="238">
        <v>44795</v>
      </c>
      <c r="T405" s="238">
        <v>44795</v>
      </c>
      <c r="U405" s="222">
        <v>44796</v>
      </c>
      <c r="V405" s="233"/>
      <c r="W405" s="237"/>
      <c r="X405" s="233"/>
      <c r="Y405" s="239"/>
      <c r="Z405" s="225"/>
      <c r="AA405" s="225">
        <v>2</v>
      </c>
      <c r="AB405" s="225">
        <v>42475</v>
      </c>
      <c r="AC405" s="225">
        <v>653</v>
      </c>
      <c r="AD405" s="225" t="s">
        <v>2438</v>
      </c>
      <c r="AE405" s="225">
        <v>38850</v>
      </c>
      <c r="AF405" s="233" t="s">
        <v>1931</v>
      </c>
      <c r="AG405" s="226">
        <v>666344061</v>
      </c>
      <c r="AH405" s="234" t="s">
        <v>3384</v>
      </c>
      <c r="AI405" s="256" t="s">
        <v>1168</v>
      </c>
      <c r="AJ405" s="233"/>
      <c r="AK405" s="233"/>
      <c r="AL405" s="233"/>
      <c r="AM405" s="233"/>
      <c r="AN405" s="233"/>
      <c r="AO405" s="233"/>
      <c r="AP405" s="225" t="s">
        <v>1874</v>
      </c>
      <c r="AQ405" s="225" t="s">
        <v>1875</v>
      </c>
      <c r="AR405" s="225" t="s">
        <v>3076</v>
      </c>
      <c r="AS405" s="227" t="s">
        <v>3385</v>
      </c>
      <c r="AT405" s="226" t="s">
        <v>434</v>
      </c>
      <c r="AU405" s="225" t="s">
        <v>176</v>
      </c>
      <c r="AV405" s="217" t="s">
        <v>188</v>
      </c>
      <c r="AW405" s="223">
        <v>44821</v>
      </c>
      <c r="AX405" s="225" t="s">
        <v>4113</v>
      </c>
      <c r="AY405" s="225">
        <v>1993</v>
      </c>
      <c r="AZ405" s="225" t="s">
        <v>1880</v>
      </c>
      <c r="BA405" s="225" t="s">
        <v>267</v>
      </c>
      <c r="BB405" s="225" t="s">
        <v>190</v>
      </c>
      <c r="BC405" s="225" t="s">
        <v>3386</v>
      </c>
      <c r="BD405" s="225">
        <v>15</v>
      </c>
      <c r="BE405" s="225">
        <v>12</v>
      </c>
      <c r="BF405" s="225">
        <v>89.6</v>
      </c>
      <c r="BG405" s="225">
        <v>1.7600000000000001E-3</v>
      </c>
      <c r="BH405" s="225" t="s">
        <v>1882</v>
      </c>
      <c r="BI405" s="225"/>
      <c r="BJ405" s="225">
        <v>5447</v>
      </c>
      <c r="BK405" s="225"/>
      <c r="BL405" s="225"/>
      <c r="BM405" s="225"/>
      <c r="BN405" s="225">
        <v>1973</v>
      </c>
      <c r="BO405" s="225">
        <v>7420</v>
      </c>
      <c r="BP405" s="225">
        <v>408.1</v>
      </c>
      <c r="BQ405" s="225">
        <v>7828.1</v>
      </c>
      <c r="BR405" s="225">
        <v>7828.1</v>
      </c>
      <c r="BS405" s="225" t="s">
        <v>188</v>
      </c>
      <c r="BT405" s="233"/>
      <c r="BU405" s="233"/>
      <c r="BV405" s="231" t="s">
        <v>4045</v>
      </c>
      <c r="BW405" s="225" t="s">
        <v>968</v>
      </c>
      <c r="BX405" s="301" t="s">
        <v>620</v>
      </c>
      <c r="BY405" s="301" t="s">
        <v>176</v>
      </c>
    </row>
    <row r="406" spans="1:77" s="33" customFormat="1" ht="13.5" customHeight="1">
      <c r="A406" s="64">
        <f t="shared" si="42"/>
        <v>1900</v>
      </c>
      <c r="B406" s="64">
        <f t="shared" si="43"/>
        <v>1</v>
      </c>
      <c r="C406" s="125" t="s">
        <v>188</v>
      </c>
      <c r="D406" s="168" t="str">
        <f t="shared" si="44"/>
        <v>NC</v>
      </c>
      <c r="E406" s="257" t="s">
        <v>210</v>
      </c>
      <c r="F406" s="258" t="s">
        <v>1677</v>
      </c>
      <c r="G406" s="221">
        <v>1000</v>
      </c>
      <c r="H406" s="222">
        <v>44651</v>
      </c>
      <c r="I406" s="222">
        <v>44652</v>
      </c>
      <c r="J406" s="223">
        <v>44664</v>
      </c>
      <c r="K406" s="259" t="s">
        <v>3387</v>
      </c>
      <c r="L406" s="255"/>
      <c r="M406" s="255"/>
      <c r="N406" s="255"/>
      <c r="O406" s="237"/>
      <c r="P406" s="238"/>
      <c r="Q406" s="238"/>
      <c r="R406" s="238"/>
      <c r="S406" s="237"/>
      <c r="T406" s="237"/>
      <c r="U406" s="237"/>
      <c r="V406" s="233"/>
      <c r="W406" s="222">
        <v>44930</v>
      </c>
      <c r="X406" s="225" t="s">
        <v>3216</v>
      </c>
      <c r="Y406" s="239"/>
      <c r="Z406" s="225"/>
      <c r="AA406" s="225">
        <v>1</v>
      </c>
      <c r="AB406" s="225">
        <v>0</v>
      </c>
      <c r="AC406" s="225">
        <v>24</v>
      </c>
      <c r="AD406" s="225" t="s">
        <v>3388</v>
      </c>
      <c r="AE406" s="225">
        <v>38500</v>
      </c>
      <c r="AF406" s="233" t="s">
        <v>271</v>
      </c>
      <c r="AG406" s="226">
        <v>672067856</v>
      </c>
      <c r="AH406" s="234" t="s">
        <v>3389</v>
      </c>
      <c r="AI406" s="256" t="s">
        <v>1168</v>
      </c>
      <c r="AJ406" s="233"/>
      <c r="AK406" s="233"/>
      <c r="AL406" s="233"/>
      <c r="AM406" s="233"/>
      <c r="AN406" s="233"/>
      <c r="AO406" s="233"/>
      <c r="AP406" s="233" t="s">
        <v>1049</v>
      </c>
      <c r="AQ406" s="233"/>
      <c r="AR406" s="233"/>
      <c r="AS406" s="241"/>
      <c r="AT406" s="226"/>
      <c r="AU406" s="225"/>
      <c r="AV406" s="233"/>
      <c r="AW406" s="223"/>
      <c r="AX406" s="225"/>
      <c r="AY406" s="225"/>
      <c r="AZ406" s="225"/>
      <c r="BA406" s="225"/>
      <c r="BB406" s="225"/>
      <c r="BC406" s="225"/>
      <c r="BD406" s="225"/>
      <c r="BE406" s="225"/>
      <c r="BF406" s="225"/>
      <c r="BG406" s="225"/>
      <c r="BH406" s="225"/>
      <c r="BI406" s="225"/>
      <c r="BJ406" s="225"/>
      <c r="BK406" s="225"/>
      <c r="BL406" s="225"/>
      <c r="BM406" s="225"/>
      <c r="BN406" s="225"/>
      <c r="BO406" s="225"/>
      <c r="BP406" s="225"/>
      <c r="BQ406" s="225"/>
      <c r="BR406" s="225"/>
      <c r="BS406" s="225"/>
      <c r="BT406" s="233"/>
      <c r="BU406" s="233"/>
      <c r="BV406" s="260">
        <v>0</v>
      </c>
      <c r="BW406" s="260" t="s">
        <v>3118</v>
      </c>
      <c r="BX406" s="301" t="s">
        <v>214</v>
      </c>
      <c r="BY406" s="260"/>
    </row>
    <row r="407" spans="1:77" s="33" customFormat="1" ht="13.5" customHeight="1">
      <c r="A407" s="64">
        <f t="shared" si="42"/>
        <v>2022</v>
      </c>
      <c r="B407" s="64">
        <f t="shared" si="43"/>
        <v>4</v>
      </c>
      <c r="C407" s="125" t="s">
        <v>191</v>
      </c>
      <c r="D407" s="168" t="str">
        <f t="shared" si="44"/>
        <v>maj</v>
      </c>
      <c r="E407" s="261" t="s">
        <v>210</v>
      </c>
      <c r="F407" s="243" t="s">
        <v>1678</v>
      </c>
      <c r="G407" s="221">
        <v>1000</v>
      </c>
      <c r="H407" s="222">
        <v>44651</v>
      </c>
      <c r="I407" s="222">
        <v>44652</v>
      </c>
      <c r="J407" s="255"/>
      <c r="K407" s="237"/>
      <c r="L407" s="223">
        <v>44665</v>
      </c>
      <c r="M407" s="223">
        <v>44665</v>
      </c>
      <c r="N407" s="223">
        <v>44673</v>
      </c>
      <c r="O407" s="237"/>
      <c r="P407" s="238">
        <v>44802</v>
      </c>
      <c r="Q407" s="238">
        <v>44789</v>
      </c>
      <c r="R407" s="238" t="s">
        <v>176</v>
      </c>
      <c r="S407" s="238">
        <v>44816</v>
      </c>
      <c r="T407" s="238">
        <v>44816</v>
      </c>
      <c r="U407" s="222">
        <v>44824</v>
      </c>
      <c r="V407" s="233"/>
      <c r="W407" s="237"/>
      <c r="X407" s="233"/>
      <c r="Y407" s="239"/>
      <c r="Z407" s="225"/>
      <c r="AA407" s="225">
        <v>2</v>
      </c>
      <c r="AB407" s="225">
        <v>14154</v>
      </c>
      <c r="AC407" s="225">
        <v>335</v>
      </c>
      <c r="AD407" s="225" t="s">
        <v>3390</v>
      </c>
      <c r="AE407" s="225">
        <v>38850</v>
      </c>
      <c r="AF407" s="233" t="s">
        <v>1951</v>
      </c>
      <c r="AG407" s="226">
        <v>623551676</v>
      </c>
      <c r="AH407" s="234" t="s">
        <v>3391</v>
      </c>
      <c r="AI407" s="256" t="s">
        <v>1168</v>
      </c>
      <c r="AJ407" s="233"/>
      <c r="AK407" s="233"/>
      <c r="AL407" s="233"/>
      <c r="AM407" s="233"/>
      <c r="AN407" s="233"/>
      <c r="AO407" s="233"/>
      <c r="AP407" s="225" t="s">
        <v>1874</v>
      </c>
      <c r="AQ407" s="225" t="s">
        <v>1875</v>
      </c>
      <c r="AR407" s="225" t="s">
        <v>3076</v>
      </c>
      <c r="AS407" s="262" t="s">
        <v>3385</v>
      </c>
      <c r="AT407" s="226" t="s">
        <v>434</v>
      </c>
      <c r="AU407" s="225" t="s">
        <v>176</v>
      </c>
      <c r="AV407" s="217" t="s">
        <v>188</v>
      </c>
      <c r="AW407" s="223">
        <v>44821</v>
      </c>
      <c r="AX407" s="225" t="s">
        <v>4113</v>
      </c>
      <c r="AY407" s="225">
        <v>2001</v>
      </c>
      <c r="AZ407" s="225" t="s">
        <v>1880</v>
      </c>
      <c r="BA407" s="225" t="s">
        <v>380</v>
      </c>
      <c r="BB407" s="225" t="s">
        <v>2251</v>
      </c>
      <c r="BC407" s="225" t="s">
        <v>3392</v>
      </c>
      <c r="BD407" s="225">
        <v>28</v>
      </c>
      <c r="BE407" s="225">
        <v>9</v>
      </c>
      <c r="BF407" s="225">
        <v>75.8</v>
      </c>
      <c r="BG407" s="225">
        <v>7.5679999999999997E-2</v>
      </c>
      <c r="BH407" s="225" t="s">
        <v>1882</v>
      </c>
      <c r="BI407" s="225"/>
      <c r="BJ407" s="225">
        <v>3688.3</v>
      </c>
      <c r="BK407" s="225"/>
      <c r="BL407" s="225"/>
      <c r="BM407" s="225"/>
      <c r="BN407" s="225">
        <v>1040</v>
      </c>
      <c r="BO407" s="225">
        <v>4728.3</v>
      </c>
      <c r="BP407" s="225">
        <v>260.06</v>
      </c>
      <c r="BQ407" s="225">
        <f>BO407+BP407</f>
        <v>4988.3600000000006</v>
      </c>
      <c r="BR407" s="225">
        <v>4988.3599999999997</v>
      </c>
      <c r="BS407" s="225" t="s">
        <v>188</v>
      </c>
      <c r="BT407" s="233"/>
      <c r="BU407" s="233"/>
      <c r="BV407" s="231" t="s">
        <v>4045</v>
      </c>
      <c r="BW407" s="225" t="s">
        <v>968</v>
      </c>
      <c r="BX407" s="222" t="s">
        <v>618</v>
      </c>
      <c r="BY407" s="301">
        <v>2022</v>
      </c>
    </row>
    <row r="408" spans="1:77" s="33" customFormat="1" ht="13.5" customHeight="1">
      <c r="A408" s="64">
        <f t="shared" si="42"/>
        <v>2022</v>
      </c>
      <c r="B408" s="64">
        <f t="shared" si="43"/>
        <v>4</v>
      </c>
      <c r="C408" s="125" t="s">
        <v>191</v>
      </c>
      <c r="D408" s="168" t="str">
        <f t="shared" si="44"/>
        <v>maj</v>
      </c>
      <c r="E408" s="260" t="s">
        <v>210</v>
      </c>
      <c r="F408" s="253" t="s">
        <v>1679</v>
      </c>
      <c r="G408" s="221">
        <v>1000</v>
      </c>
      <c r="H408" s="222">
        <v>44652</v>
      </c>
      <c r="I408" s="222">
        <v>44656</v>
      </c>
      <c r="J408" s="255"/>
      <c r="K408" s="237"/>
      <c r="L408" s="223">
        <v>44665</v>
      </c>
      <c r="M408" s="223">
        <v>44665</v>
      </c>
      <c r="N408" s="223">
        <v>44673</v>
      </c>
      <c r="O408" s="238"/>
      <c r="P408" s="238"/>
      <c r="Q408" s="238"/>
      <c r="R408" s="238"/>
      <c r="S408" s="238"/>
      <c r="T408" s="237"/>
      <c r="U408" s="237"/>
      <c r="V408" s="233"/>
      <c r="W408" s="239"/>
      <c r="X408" s="225"/>
      <c r="Y408" s="225"/>
      <c r="Z408" s="225"/>
      <c r="AA408" s="225">
        <v>1</v>
      </c>
      <c r="AB408" s="225">
        <v>11827</v>
      </c>
      <c r="AC408" s="225">
        <v>86</v>
      </c>
      <c r="AD408" s="233" t="s">
        <v>3393</v>
      </c>
      <c r="AE408" s="226">
        <v>38140</v>
      </c>
      <c r="AF408" s="225" t="s">
        <v>1924</v>
      </c>
      <c r="AG408" s="256">
        <v>656727041</v>
      </c>
      <c r="AH408" s="233" t="s">
        <v>3394</v>
      </c>
      <c r="AI408" s="233" t="s">
        <v>1168</v>
      </c>
      <c r="AJ408" s="233"/>
      <c r="AK408" s="233"/>
      <c r="AL408" s="225"/>
      <c r="AM408" s="225"/>
      <c r="AN408" s="225"/>
      <c r="AO408" s="262"/>
      <c r="AP408" s="226" t="s">
        <v>821</v>
      </c>
      <c r="AQ408" s="225" t="s">
        <v>2216</v>
      </c>
      <c r="AR408" s="217" t="s">
        <v>410</v>
      </c>
      <c r="AS408" s="223" t="s">
        <v>411</v>
      </c>
      <c r="AT408" s="225" t="s">
        <v>3031</v>
      </c>
      <c r="AU408" s="225"/>
      <c r="AV408" s="225" t="s">
        <v>188</v>
      </c>
      <c r="AW408" s="225">
        <v>44715</v>
      </c>
      <c r="AX408" s="225" t="s">
        <v>4113</v>
      </c>
      <c r="AY408" s="225">
        <v>1986</v>
      </c>
      <c r="AZ408" s="225" t="s">
        <v>1880</v>
      </c>
      <c r="BA408" s="225" t="s">
        <v>267</v>
      </c>
      <c r="BB408" s="225" t="s">
        <v>244</v>
      </c>
      <c r="BC408" s="225" t="s">
        <v>3395</v>
      </c>
      <c r="BD408" s="225">
        <v>18</v>
      </c>
      <c r="BE408" s="225">
        <v>9</v>
      </c>
      <c r="BF408" s="225">
        <v>93</v>
      </c>
      <c r="BG408" s="225">
        <v>2.128E-2</v>
      </c>
      <c r="BH408" s="225" t="s">
        <v>1882</v>
      </c>
      <c r="BI408" s="225"/>
      <c r="BJ408" s="225">
        <v>4290</v>
      </c>
      <c r="BK408" s="225"/>
      <c r="BL408" s="233"/>
      <c r="BM408" s="233"/>
      <c r="BN408" s="260">
        <v>2330</v>
      </c>
      <c r="BO408" s="260">
        <v>6870</v>
      </c>
      <c r="BP408" s="225">
        <v>377.85</v>
      </c>
      <c r="BQ408" s="225">
        <v>7247.85</v>
      </c>
      <c r="BR408" s="225"/>
      <c r="BS408" s="225" t="s">
        <v>188</v>
      </c>
      <c r="BT408" s="233"/>
      <c r="BU408" s="233"/>
      <c r="BV408" s="301" t="s">
        <v>4045</v>
      </c>
      <c r="BW408" s="225" t="s">
        <v>968</v>
      </c>
      <c r="BX408" s="222" t="s">
        <v>618</v>
      </c>
      <c r="BY408" s="301" t="s">
        <v>176</v>
      </c>
    </row>
    <row r="409" spans="1:77" s="33" customFormat="1" ht="13.5" customHeight="1">
      <c r="A409" s="64">
        <f t="shared" si="42"/>
        <v>2022</v>
      </c>
      <c r="B409" s="64">
        <f t="shared" si="43"/>
        <v>4</v>
      </c>
      <c r="C409" s="125" t="s">
        <v>191</v>
      </c>
      <c r="D409" s="168" t="str">
        <f t="shared" si="44"/>
        <v>non maj</v>
      </c>
      <c r="E409" s="248" t="s">
        <v>210</v>
      </c>
      <c r="F409" s="239" t="s">
        <v>1680</v>
      </c>
      <c r="G409" s="221">
        <v>600</v>
      </c>
      <c r="H409" s="222">
        <v>44655</v>
      </c>
      <c r="I409" s="222">
        <v>44656</v>
      </c>
      <c r="J409" s="263">
        <v>44665</v>
      </c>
      <c r="K409" s="247" t="s">
        <v>3396</v>
      </c>
      <c r="L409" s="263">
        <v>44677</v>
      </c>
      <c r="M409" s="263">
        <v>44677</v>
      </c>
      <c r="N409" s="263">
        <v>44684</v>
      </c>
      <c r="O409" s="237"/>
      <c r="P409" s="247"/>
      <c r="Q409" s="247"/>
      <c r="R409" s="247"/>
      <c r="S409" s="247"/>
      <c r="T409" s="247"/>
      <c r="U409" s="247"/>
      <c r="V409" s="233"/>
      <c r="W409" s="247"/>
      <c r="X409" s="248"/>
      <c r="Y409" s="239"/>
      <c r="Z409" s="225"/>
      <c r="AA409" s="225">
        <v>5</v>
      </c>
      <c r="AB409" s="225">
        <v>60084</v>
      </c>
      <c r="AC409" s="225">
        <v>105</v>
      </c>
      <c r="AD409" s="225" t="s">
        <v>3397</v>
      </c>
      <c r="AE409" s="225">
        <v>38960</v>
      </c>
      <c r="AF409" s="225" t="s">
        <v>2088</v>
      </c>
      <c r="AG409" s="226">
        <v>688030778</v>
      </c>
      <c r="AH409" s="249" t="s">
        <v>3398</v>
      </c>
      <c r="AI409" s="248" t="s">
        <v>1168</v>
      </c>
      <c r="AJ409" s="233"/>
      <c r="AK409" s="233"/>
      <c r="AL409" s="248"/>
      <c r="AM409" s="248"/>
      <c r="AN409" s="248"/>
      <c r="AO409" s="248"/>
      <c r="AP409" s="225" t="s">
        <v>1888</v>
      </c>
      <c r="AQ409" s="225" t="s">
        <v>225</v>
      </c>
      <c r="AR409" s="225" t="s">
        <v>3371</v>
      </c>
      <c r="AS409" s="250" t="s">
        <v>3297</v>
      </c>
      <c r="AT409" s="226">
        <v>476074561</v>
      </c>
      <c r="AU409" s="225" t="s">
        <v>176</v>
      </c>
      <c r="AV409" s="251" t="s">
        <v>388</v>
      </c>
      <c r="AW409" s="223">
        <v>44868</v>
      </c>
      <c r="AX409" s="225" t="s">
        <v>4113</v>
      </c>
      <c r="AY409" s="248" t="s">
        <v>3399</v>
      </c>
      <c r="AZ409" s="225" t="s">
        <v>1880</v>
      </c>
      <c r="BA409" s="225" t="s">
        <v>267</v>
      </c>
      <c r="BB409" s="225" t="s">
        <v>221</v>
      </c>
      <c r="BC409" s="248" t="s">
        <v>3400</v>
      </c>
      <c r="BD409" s="248">
        <v>18</v>
      </c>
      <c r="BE409" s="248">
        <v>10</v>
      </c>
      <c r="BF409" s="248">
        <v>90.4</v>
      </c>
      <c r="BG409" s="248">
        <v>3.0400000000000002E-3</v>
      </c>
      <c r="BH409" s="248" t="s">
        <v>1882</v>
      </c>
      <c r="BI409" s="233"/>
      <c r="BJ409" s="248">
        <v>5061</v>
      </c>
      <c r="BK409" s="233"/>
      <c r="BL409" s="233"/>
      <c r="BM409" s="233"/>
      <c r="BN409" s="248">
        <v>505</v>
      </c>
      <c r="BO409" s="248">
        <v>5566</v>
      </c>
      <c r="BP409" s="248">
        <v>306.13</v>
      </c>
      <c r="BQ409" s="248">
        <v>5872.13</v>
      </c>
      <c r="BR409" s="248"/>
      <c r="BS409" s="248" t="s">
        <v>188</v>
      </c>
      <c r="BT409" s="248"/>
      <c r="BU409" s="248"/>
      <c r="BV409" s="301" t="s">
        <v>4045</v>
      </c>
      <c r="BW409" s="225" t="s">
        <v>968</v>
      </c>
      <c r="BX409" s="301" t="s">
        <v>620</v>
      </c>
      <c r="BY409" s="301" t="s">
        <v>176</v>
      </c>
    </row>
    <row r="410" spans="1:77" s="33" customFormat="1" ht="13.5" customHeight="1">
      <c r="A410" s="64">
        <f t="shared" si="42"/>
        <v>2022</v>
      </c>
      <c r="B410" s="64">
        <f t="shared" si="43"/>
        <v>7</v>
      </c>
      <c r="C410" s="125" t="s">
        <v>191</v>
      </c>
      <c r="D410" s="168" t="str">
        <f t="shared" si="44"/>
        <v>maj</v>
      </c>
      <c r="E410" s="261" t="s">
        <v>210</v>
      </c>
      <c r="F410" s="243" t="s">
        <v>1681</v>
      </c>
      <c r="G410" s="221">
        <v>1000</v>
      </c>
      <c r="H410" s="222">
        <v>44656</v>
      </c>
      <c r="I410" s="222">
        <v>44662</v>
      </c>
      <c r="J410" s="223">
        <v>44665</v>
      </c>
      <c r="K410" s="222" t="s">
        <v>3401</v>
      </c>
      <c r="L410" s="223">
        <v>44761</v>
      </c>
      <c r="M410" s="223">
        <v>44761</v>
      </c>
      <c r="N410" s="223">
        <v>44768</v>
      </c>
      <c r="O410" s="222"/>
      <c r="P410" s="222">
        <v>44782</v>
      </c>
      <c r="Q410" s="222">
        <v>44773</v>
      </c>
      <c r="R410" s="222" t="s">
        <v>176</v>
      </c>
      <c r="S410" s="222">
        <v>44795</v>
      </c>
      <c r="T410" s="222">
        <v>44795</v>
      </c>
      <c r="U410" s="222">
        <v>44796</v>
      </c>
      <c r="V410" s="222"/>
      <c r="W410" s="222"/>
      <c r="X410" s="222"/>
      <c r="Y410" s="222"/>
      <c r="Z410" s="222"/>
      <c r="AA410" s="225">
        <v>2</v>
      </c>
      <c r="AB410" s="225">
        <v>28371</v>
      </c>
      <c r="AC410" s="225">
        <v>976</v>
      </c>
      <c r="AD410" s="225" t="s">
        <v>3402</v>
      </c>
      <c r="AE410" s="225">
        <v>38730</v>
      </c>
      <c r="AF410" s="225" t="s">
        <v>2031</v>
      </c>
      <c r="AG410" s="226">
        <v>676865428</v>
      </c>
      <c r="AH410" s="240" t="s">
        <v>3403</v>
      </c>
      <c r="AI410" s="225" t="s">
        <v>1168</v>
      </c>
      <c r="AJ410" s="225"/>
      <c r="AK410" s="225"/>
      <c r="AL410" s="225"/>
      <c r="AM410" s="225"/>
      <c r="AN410" s="225"/>
      <c r="AO410" s="225"/>
      <c r="AP410" s="225" t="s">
        <v>2762</v>
      </c>
      <c r="AQ410" s="225" t="s">
        <v>1018</v>
      </c>
      <c r="AR410" s="225" t="s">
        <v>3333</v>
      </c>
      <c r="AS410" s="227" t="s">
        <v>1019</v>
      </c>
      <c r="AT410" s="226" t="s">
        <v>3072</v>
      </c>
      <c r="AU410" s="225" t="s">
        <v>176</v>
      </c>
      <c r="AV410" s="241" t="s">
        <v>188</v>
      </c>
      <c r="AW410" s="223">
        <v>44731</v>
      </c>
      <c r="AX410" s="225" t="s">
        <v>1879</v>
      </c>
      <c r="AY410" s="242">
        <v>1980</v>
      </c>
      <c r="AZ410" s="225" t="s">
        <v>4113</v>
      </c>
      <c r="BA410" s="225" t="s">
        <v>380</v>
      </c>
      <c r="BB410" s="225" t="s">
        <v>3404</v>
      </c>
      <c r="BC410" s="225" t="s">
        <v>3405</v>
      </c>
      <c r="BD410" s="230">
        <v>34</v>
      </c>
      <c r="BE410" s="230">
        <v>12.5</v>
      </c>
      <c r="BF410" s="230">
        <v>76.5</v>
      </c>
      <c r="BG410" s="230">
        <v>0.12</v>
      </c>
      <c r="BH410" s="230" t="s">
        <v>1882</v>
      </c>
      <c r="BI410" s="225"/>
      <c r="BJ410" s="230">
        <v>4100.47</v>
      </c>
      <c r="BK410" s="225"/>
      <c r="BL410" s="225"/>
      <c r="BM410" s="225"/>
      <c r="BN410" s="230">
        <v>800</v>
      </c>
      <c r="BO410" s="230">
        <v>4900.47</v>
      </c>
      <c r="BP410" s="230">
        <v>263.52999999999997</v>
      </c>
      <c r="BQ410" s="230">
        <v>5170</v>
      </c>
      <c r="BR410" s="230">
        <v>5171</v>
      </c>
      <c r="BS410" s="225" t="s">
        <v>188</v>
      </c>
      <c r="BT410" s="225"/>
      <c r="BU410" s="225"/>
      <c r="BV410" s="231" t="s">
        <v>4045</v>
      </c>
      <c r="BW410" s="225" t="s">
        <v>968</v>
      </c>
      <c r="BX410" s="222" t="s">
        <v>618</v>
      </c>
      <c r="BY410" s="301">
        <v>2022</v>
      </c>
    </row>
    <row r="411" spans="1:77" s="33" customFormat="1" ht="13.5" customHeight="1">
      <c r="A411" s="64">
        <f t="shared" si="42"/>
        <v>2022</v>
      </c>
      <c r="B411" s="64">
        <f t="shared" si="43"/>
        <v>4</v>
      </c>
      <c r="C411" s="125" t="s">
        <v>191</v>
      </c>
      <c r="D411" s="168" t="str">
        <f t="shared" si="44"/>
        <v>non maj</v>
      </c>
      <c r="E411" s="264" t="s">
        <v>210</v>
      </c>
      <c r="F411" s="243" t="s">
        <v>1682</v>
      </c>
      <c r="G411" s="221">
        <v>600</v>
      </c>
      <c r="H411" s="222">
        <v>44656</v>
      </c>
      <c r="I411" s="222">
        <v>44662</v>
      </c>
      <c r="J411" s="223"/>
      <c r="K411" s="222"/>
      <c r="L411" s="223">
        <v>44665</v>
      </c>
      <c r="M411" s="223">
        <v>44665</v>
      </c>
      <c r="N411" s="223">
        <v>44673</v>
      </c>
      <c r="O411" s="265"/>
      <c r="P411" s="222">
        <v>44854</v>
      </c>
      <c r="Q411" s="222">
        <v>44851</v>
      </c>
      <c r="R411" s="222" t="s">
        <v>176</v>
      </c>
      <c r="S411" s="222">
        <v>44874</v>
      </c>
      <c r="T411" s="222">
        <v>44874</v>
      </c>
      <c r="U411" s="222">
        <v>44879</v>
      </c>
      <c r="V411" s="222"/>
      <c r="W411" s="222"/>
      <c r="X411" s="222"/>
      <c r="Y411" s="222"/>
      <c r="Z411" s="222"/>
      <c r="AA411" s="225">
        <v>1</v>
      </c>
      <c r="AB411" s="225">
        <v>34384</v>
      </c>
      <c r="AC411" s="225">
        <v>2016</v>
      </c>
      <c r="AD411" s="225" t="s">
        <v>3406</v>
      </c>
      <c r="AE411" s="225">
        <v>38430</v>
      </c>
      <c r="AF411" s="225" t="s">
        <v>1893</v>
      </c>
      <c r="AG411" s="226">
        <v>476353756</v>
      </c>
      <c r="AH411" s="240" t="s">
        <v>3407</v>
      </c>
      <c r="AI411" s="225" t="s">
        <v>1168</v>
      </c>
      <c r="AJ411" s="225"/>
      <c r="AK411" s="225"/>
      <c r="AL411" s="225"/>
      <c r="AM411" s="225"/>
      <c r="AN411" s="225"/>
      <c r="AO411" s="225"/>
      <c r="AP411" s="225" t="s">
        <v>268</v>
      </c>
      <c r="AQ411" s="225" t="s">
        <v>1893</v>
      </c>
      <c r="AR411" s="225" t="s">
        <v>1933</v>
      </c>
      <c r="AS411" s="246" t="s">
        <v>1934</v>
      </c>
      <c r="AT411" s="226">
        <v>476355605</v>
      </c>
      <c r="AU411" s="225" t="s">
        <v>176</v>
      </c>
      <c r="AV411" s="241" t="s">
        <v>188</v>
      </c>
      <c r="AW411" s="223">
        <v>44860</v>
      </c>
      <c r="AX411" s="225" t="s">
        <v>4113</v>
      </c>
      <c r="AY411" s="225">
        <v>1996</v>
      </c>
      <c r="AZ411" s="225" t="s">
        <v>4113</v>
      </c>
      <c r="BA411" s="225" t="s">
        <v>380</v>
      </c>
      <c r="BB411" s="225" t="s">
        <v>981</v>
      </c>
      <c r="BC411" s="225" t="s">
        <v>3408</v>
      </c>
      <c r="BD411" s="225">
        <v>30</v>
      </c>
      <c r="BE411" s="225">
        <v>14</v>
      </c>
      <c r="BF411" s="225">
        <v>75</v>
      </c>
      <c r="BG411" s="225">
        <v>0.1</v>
      </c>
      <c r="BH411" s="225" t="s">
        <v>1882</v>
      </c>
      <c r="BI411" s="225"/>
      <c r="BJ411" s="225">
        <v>2474.1</v>
      </c>
      <c r="BK411" s="225"/>
      <c r="BL411" s="225"/>
      <c r="BM411" s="225"/>
      <c r="BN411" s="225">
        <v>250</v>
      </c>
      <c r="BO411" s="225">
        <v>2724.1</v>
      </c>
      <c r="BP411" s="225">
        <v>149.83000000000001</v>
      </c>
      <c r="BQ411" s="225">
        <v>2873.93</v>
      </c>
      <c r="BR411" s="225">
        <v>2873.93</v>
      </c>
      <c r="BS411" s="225" t="s">
        <v>191</v>
      </c>
      <c r="BT411" s="225"/>
      <c r="BU411" s="225"/>
      <c r="BV411" s="231" t="s">
        <v>4045</v>
      </c>
      <c r="BW411" s="225" t="s">
        <v>968</v>
      </c>
      <c r="BX411" s="301" t="s">
        <v>620</v>
      </c>
      <c r="BY411" s="301">
        <v>2022</v>
      </c>
    </row>
    <row r="412" spans="1:77" s="33" customFormat="1" ht="13.5" customHeight="1">
      <c r="A412" s="64">
        <f t="shared" si="42"/>
        <v>2022</v>
      </c>
      <c r="B412" s="64">
        <f t="shared" si="43"/>
        <v>4</v>
      </c>
      <c r="C412" s="125" t="s">
        <v>191</v>
      </c>
      <c r="D412" s="168" t="str">
        <f t="shared" si="44"/>
        <v>non maj</v>
      </c>
      <c r="E412" s="264" t="s">
        <v>210</v>
      </c>
      <c r="F412" s="243" t="s">
        <v>1683</v>
      </c>
      <c r="G412" s="221">
        <v>600</v>
      </c>
      <c r="H412" s="222">
        <v>44657</v>
      </c>
      <c r="I412" s="222">
        <v>44662</v>
      </c>
      <c r="J412" s="223">
        <v>44606</v>
      </c>
      <c r="K412" s="222" t="s">
        <v>3409</v>
      </c>
      <c r="L412" s="223">
        <v>44677</v>
      </c>
      <c r="M412" s="223">
        <v>44677</v>
      </c>
      <c r="N412" s="223">
        <v>44684</v>
      </c>
      <c r="O412" s="265"/>
      <c r="P412" s="222">
        <v>44747</v>
      </c>
      <c r="Q412" s="222">
        <v>44742</v>
      </c>
      <c r="R412" s="222" t="s">
        <v>176</v>
      </c>
      <c r="S412" s="222">
        <v>44769</v>
      </c>
      <c r="T412" s="222">
        <v>44769</v>
      </c>
      <c r="U412" s="222">
        <v>44770</v>
      </c>
      <c r="V412" s="222"/>
      <c r="W412" s="222"/>
      <c r="X412" s="222"/>
      <c r="Y412" s="222"/>
      <c r="Z412" s="222"/>
      <c r="AA412" s="225">
        <v>1</v>
      </c>
      <c r="AB412" s="225">
        <v>59245</v>
      </c>
      <c r="AC412" s="225">
        <v>115</v>
      </c>
      <c r="AD412" s="225" t="s">
        <v>3410</v>
      </c>
      <c r="AE412" s="225">
        <v>38490</v>
      </c>
      <c r="AF412" s="225" t="s">
        <v>1018</v>
      </c>
      <c r="AG412" s="226">
        <v>641800656</v>
      </c>
      <c r="AH412" s="240" t="s">
        <v>3411</v>
      </c>
      <c r="AI412" s="225" t="s">
        <v>1168</v>
      </c>
      <c r="AJ412" s="225"/>
      <c r="AK412" s="225"/>
      <c r="AL412" s="225"/>
      <c r="AM412" s="225"/>
      <c r="AN412" s="225"/>
      <c r="AO412" s="225"/>
      <c r="AP412" s="225" t="s">
        <v>1874</v>
      </c>
      <c r="AQ412" s="225" t="s">
        <v>1875</v>
      </c>
      <c r="AR412" s="225" t="s">
        <v>3076</v>
      </c>
      <c r="AS412" s="228" t="s">
        <v>3385</v>
      </c>
      <c r="AT412" s="226" t="s">
        <v>434</v>
      </c>
      <c r="AU412" s="225" t="s">
        <v>176</v>
      </c>
      <c r="AV412" s="217" t="s">
        <v>188</v>
      </c>
      <c r="AW412" s="223">
        <v>44821</v>
      </c>
      <c r="AX412" s="225" t="s">
        <v>1880</v>
      </c>
      <c r="AY412" s="225">
        <v>2000</v>
      </c>
      <c r="AZ412" s="225" t="s">
        <v>1880</v>
      </c>
      <c r="BA412" s="225" t="s">
        <v>267</v>
      </c>
      <c r="BB412" s="225" t="s">
        <v>190</v>
      </c>
      <c r="BC412" s="225" t="s">
        <v>428</v>
      </c>
      <c r="BD412" s="225">
        <v>11</v>
      </c>
      <c r="BE412" s="225">
        <v>12</v>
      </c>
      <c r="BF412" s="225">
        <v>88.5</v>
      </c>
      <c r="BG412" s="225">
        <v>7.0400000000000003E-3</v>
      </c>
      <c r="BH412" s="225" t="s">
        <v>1882</v>
      </c>
      <c r="BI412" s="225"/>
      <c r="BJ412" s="225">
        <v>7216</v>
      </c>
      <c r="BK412" s="225"/>
      <c r="BL412" s="225"/>
      <c r="BM412" s="225"/>
      <c r="BN412" s="225">
        <v>790</v>
      </c>
      <c r="BO412" s="225">
        <v>8006</v>
      </c>
      <c r="BP412" s="225">
        <v>440.33</v>
      </c>
      <c r="BQ412" s="225">
        <v>8446.33</v>
      </c>
      <c r="BR412" s="225">
        <v>8446.33</v>
      </c>
      <c r="BS412" s="225" t="s">
        <v>188</v>
      </c>
      <c r="BT412" s="225"/>
      <c r="BU412" s="225"/>
      <c r="BV412" s="231" t="s">
        <v>4045</v>
      </c>
      <c r="BW412" s="225" t="s">
        <v>968</v>
      </c>
      <c r="BX412" s="301" t="s">
        <v>620</v>
      </c>
      <c r="BY412" s="301" t="s">
        <v>176</v>
      </c>
    </row>
    <row r="413" spans="1:77" s="33" customFormat="1" ht="13.5" customHeight="1">
      <c r="A413" s="64">
        <f t="shared" si="42"/>
        <v>2022</v>
      </c>
      <c r="B413" s="64">
        <f t="shared" si="43"/>
        <v>4</v>
      </c>
      <c r="C413" s="125" t="s">
        <v>191</v>
      </c>
      <c r="D413" s="168" t="str">
        <f t="shared" si="44"/>
        <v>non maj</v>
      </c>
      <c r="E413" s="264" t="s">
        <v>210</v>
      </c>
      <c r="F413" s="243" t="s">
        <v>1684</v>
      </c>
      <c r="G413" s="221">
        <v>600</v>
      </c>
      <c r="H413" s="222">
        <v>44657</v>
      </c>
      <c r="I413" s="222">
        <v>44662</v>
      </c>
      <c r="J413" s="223"/>
      <c r="K413" s="222"/>
      <c r="L413" s="222">
        <v>44665</v>
      </c>
      <c r="M413" s="223">
        <v>44665</v>
      </c>
      <c r="N413" s="223">
        <v>44673</v>
      </c>
      <c r="O413" s="265"/>
      <c r="P413" s="222">
        <v>44716</v>
      </c>
      <c r="Q413" s="222">
        <v>44701</v>
      </c>
      <c r="R413" s="222" t="s">
        <v>176</v>
      </c>
      <c r="S413" s="222">
        <v>44768</v>
      </c>
      <c r="T413" s="222">
        <v>44768</v>
      </c>
      <c r="U413" s="222">
        <v>44769</v>
      </c>
      <c r="V413" s="222"/>
      <c r="W413" s="222"/>
      <c r="X413" s="222"/>
      <c r="Y413" s="222"/>
      <c r="Z413" s="222"/>
      <c r="AA413" s="225">
        <v>2</v>
      </c>
      <c r="AB413" s="225">
        <v>73445</v>
      </c>
      <c r="AC413" s="225">
        <v>11</v>
      </c>
      <c r="AD413" s="225" t="s">
        <v>3412</v>
      </c>
      <c r="AE413" s="225">
        <v>38960</v>
      </c>
      <c r="AF413" s="225" t="s">
        <v>2088</v>
      </c>
      <c r="AG413" s="226">
        <v>684644462</v>
      </c>
      <c r="AH413" s="240" t="s">
        <v>3413</v>
      </c>
      <c r="AI413" s="225" t="s">
        <v>1168</v>
      </c>
      <c r="AJ413" s="225"/>
      <c r="AK413" s="225"/>
      <c r="AL413" s="225"/>
      <c r="AM413" s="225"/>
      <c r="AN413" s="225"/>
      <c r="AO413" s="225"/>
      <c r="AP413" s="225" t="s">
        <v>778</v>
      </c>
      <c r="AQ413" s="225" t="s">
        <v>1926</v>
      </c>
      <c r="AR413" s="225" t="s">
        <v>1026</v>
      </c>
      <c r="AS413" s="241" t="s">
        <v>251</v>
      </c>
      <c r="AT413" s="226" t="s">
        <v>581</v>
      </c>
      <c r="AU413" s="225" t="s">
        <v>176</v>
      </c>
      <c r="AV413" s="241" t="s">
        <v>188</v>
      </c>
      <c r="AW413" s="223">
        <v>45006</v>
      </c>
      <c r="AX413" s="225" t="s">
        <v>1879</v>
      </c>
      <c r="AY413" s="225">
        <v>1996</v>
      </c>
      <c r="AZ413" s="225" t="s">
        <v>1880</v>
      </c>
      <c r="BA413" s="225" t="s">
        <v>267</v>
      </c>
      <c r="BB413" s="225" t="s">
        <v>244</v>
      </c>
      <c r="BC413" s="225" t="s">
        <v>3414</v>
      </c>
      <c r="BD413" s="225">
        <v>16</v>
      </c>
      <c r="BE413" s="225">
        <v>9</v>
      </c>
      <c r="BF413" s="225">
        <v>91.8</v>
      </c>
      <c r="BG413" s="225">
        <v>1</v>
      </c>
      <c r="BH413" s="225" t="s">
        <v>1882</v>
      </c>
      <c r="BI413" s="225"/>
      <c r="BJ413" s="225">
        <v>6009</v>
      </c>
      <c r="BK413" s="225"/>
      <c r="BL413" s="225"/>
      <c r="BM413" s="225"/>
      <c r="BN413" s="225">
        <v>2053</v>
      </c>
      <c r="BO413" s="225">
        <v>8062</v>
      </c>
      <c r="BP413" s="225">
        <v>443</v>
      </c>
      <c r="BQ413" s="225">
        <v>7900</v>
      </c>
      <c r="BR413" s="225">
        <v>8070</v>
      </c>
      <c r="BS413" s="225" t="s">
        <v>191</v>
      </c>
      <c r="BT413" s="225"/>
      <c r="BU413" s="225"/>
      <c r="BV413" s="231" t="s">
        <v>4045</v>
      </c>
      <c r="BW413" s="225" t="s">
        <v>968</v>
      </c>
      <c r="BX413" s="301" t="s">
        <v>620</v>
      </c>
      <c r="BY413" s="301" t="s">
        <v>176</v>
      </c>
    </row>
    <row r="414" spans="1:77" s="33" customFormat="1" ht="13.5" customHeight="1">
      <c r="A414" s="64">
        <f t="shared" si="42"/>
        <v>2022</v>
      </c>
      <c r="B414" s="64">
        <f t="shared" si="43"/>
        <v>4</v>
      </c>
      <c r="C414" s="125" t="s">
        <v>191</v>
      </c>
      <c r="D414" s="168" t="str">
        <f t="shared" si="44"/>
        <v>maj</v>
      </c>
      <c r="E414" s="264" t="s">
        <v>210</v>
      </c>
      <c r="F414" s="243" t="s">
        <v>1685</v>
      </c>
      <c r="G414" s="221">
        <v>1000</v>
      </c>
      <c r="H414" s="222">
        <v>44659</v>
      </c>
      <c r="I414" s="222">
        <v>44662</v>
      </c>
      <c r="J414" s="223">
        <v>44606</v>
      </c>
      <c r="K414" s="222" t="s">
        <v>3415</v>
      </c>
      <c r="L414" s="223">
        <v>44677</v>
      </c>
      <c r="M414" s="223">
        <v>44677</v>
      </c>
      <c r="N414" s="223">
        <v>44684</v>
      </c>
      <c r="O414" s="265"/>
      <c r="P414" s="222">
        <v>44754</v>
      </c>
      <c r="Q414" s="222">
        <v>44739</v>
      </c>
      <c r="R414" s="222" t="s">
        <v>176</v>
      </c>
      <c r="S414" s="222">
        <v>44795</v>
      </c>
      <c r="T414" s="222">
        <v>44795</v>
      </c>
      <c r="U414" s="222">
        <v>44796</v>
      </c>
      <c r="V414" s="222"/>
      <c r="W414" s="222"/>
      <c r="X414" s="222"/>
      <c r="Y414" s="222"/>
      <c r="Z414" s="222"/>
      <c r="AA414" s="225">
        <v>1</v>
      </c>
      <c r="AB414" s="225">
        <v>25974</v>
      </c>
      <c r="AC414" s="225">
        <v>4</v>
      </c>
      <c r="AD414" s="225" t="s">
        <v>3416</v>
      </c>
      <c r="AE414" s="225">
        <v>38500</v>
      </c>
      <c r="AF414" s="225" t="s">
        <v>1907</v>
      </c>
      <c r="AG414" s="226">
        <v>620480579</v>
      </c>
      <c r="AH414" s="240" t="s">
        <v>3417</v>
      </c>
      <c r="AI414" s="225" t="s">
        <v>1168</v>
      </c>
      <c r="AJ414" s="225"/>
      <c r="AK414" s="225"/>
      <c r="AL414" s="225"/>
      <c r="AM414" s="225"/>
      <c r="AN414" s="225"/>
      <c r="AO414" s="225"/>
      <c r="AP414" s="225" t="s">
        <v>1888</v>
      </c>
      <c r="AQ414" s="225" t="s">
        <v>225</v>
      </c>
      <c r="AR414" s="225" t="s">
        <v>3371</v>
      </c>
      <c r="AS414" s="250" t="s">
        <v>3297</v>
      </c>
      <c r="AT414" s="226">
        <v>476074561</v>
      </c>
      <c r="AU414" s="225" t="s">
        <v>176</v>
      </c>
      <c r="AV414" s="251" t="s">
        <v>388</v>
      </c>
      <c r="AW414" s="223">
        <v>44868</v>
      </c>
      <c r="AX414" s="225" t="s">
        <v>1879</v>
      </c>
      <c r="AY414" s="225">
        <v>1985</v>
      </c>
      <c r="AZ414" s="225" t="s">
        <v>1880</v>
      </c>
      <c r="BA414" s="225" t="s">
        <v>380</v>
      </c>
      <c r="BB414" s="225" t="s">
        <v>777</v>
      </c>
      <c r="BC414" s="225" t="s">
        <v>3418</v>
      </c>
      <c r="BD414" s="225">
        <v>15</v>
      </c>
      <c r="BE414" s="225">
        <v>7</v>
      </c>
      <c r="BF414" s="225">
        <v>77</v>
      </c>
      <c r="BG414" s="225">
        <v>0.1</v>
      </c>
      <c r="BH414" s="225" t="s">
        <v>1882</v>
      </c>
      <c r="BI414" s="225"/>
      <c r="BJ414" s="225">
        <v>3208</v>
      </c>
      <c r="BK414" s="225"/>
      <c r="BL414" s="225"/>
      <c r="BM414" s="225"/>
      <c r="BN414" s="225">
        <v>490</v>
      </c>
      <c r="BO414" s="225">
        <v>3698</v>
      </c>
      <c r="BP414" s="225">
        <v>203.39</v>
      </c>
      <c r="BQ414" s="225">
        <v>3901.39</v>
      </c>
      <c r="BR414" s="225">
        <v>3901.39</v>
      </c>
      <c r="BS414" s="225" t="s">
        <v>191</v>
      </c>
      <c r="BT414" s="225"/>
      <c r="BU414" s="225"/>
      <c r="BV414" s="231" t="s">
        <v>4045</v>
      </c>
      <c r="BW414" s="225" t="s">
        <v>968</v>
      </c>
      <c r="BX414" s="222" t="s">
        <v>618</v>
      </c>
      <c r="BY414" s="301">
        <v>2022</v>
      </c>
    </row>
    <row r="415" spans="1:77" s="33" customFormat="1" ht="13.5" customHeight="1">
      <c r="A415" s="64">
        <f t="shared" si="42"/>
        <v>2022</v>
      </c>
      <c r="B415" s="64">
        <f t="shared" si="43"/>
        <v>4</v>
      </c>
      <c r="C415" s="125" t="s">
        <v>191</v>
      </c>
      <c r="D415" s="168" t="str">
        <f t="shared" si="44"/>
        <v>non maj</v>
      </c>
      <c r="E415" s="264" t="s">
        <v>210</v>
      </c>
      <c r="F415" s="243" t="s">
        <v>1687</v>
      </c>
      <c r="G415" s="221">
        <v>600</v>
      </c>
      <c r="H415" s="222">
        <v>44660</v>
      </c>
      <c r="I415" s="222">
        <v>0</v>
      </c>
      <c r="J415" s="223">
        <v>44606</v>
      </c>
      <c r="K415" s="222" t="s">
        <v>3419</v>
      </c>
      <c r="L415" s="223">
        <v>44677</v>
      </c>
      <c r="M415" s="223">
        <v>44677</v>
      </c>
      <c r="N415" s="223">
        <v>44684</v>
      </c>
      <c r="O415" s="265"/>
      <c r="P415" s="222">
        <v>44690</v>
      </c>
      <c r="Q415" s="222">
        <v>44686</v>
      </c>
      <c r="R415" s="222" t="s">
        <v>176</v>
      </c>
      <c r="S415" s="222">
        <v>44768</v>
      </c>
      <c r="T415" s="222">
        <v>44768</v>
      </c>
      <c r="U415" s="222">
        <v>44769</v>
      </c>
      <c r="V415" s="222"/>
      <c r="W415" s="222"/>
      <c r="X415" s="222"/>
      <c r="Y415" s="222"/>
      <c r="Z415" s="222"/>
      <c r="AA415" s="225">
        <v>2</v>
      </c>
      <c r="AB415" s="225">
        <v>41780</v>
      </c>
      <c r="AC415" s="225">
        <v>280</v>
      </c>
      <c r="AD415" s="225" t="s">
        <v>3420</v>
      </c>
      <c r="AE415" s="225">
        <v>38140</v>
      </c>
      <c r="AF415" s="225" t="s">
        <v>1971</v>
      </c>
      <c r="AG415" s="226">
        <v>671916849</v>
      </c>
      <c r="AH415" s="240" t="s">
        <v>3421</v>
      </c>
      <c r="AI415" s="225" t="s">
        <v>1168</v>
      </c>
      <c r="AJ415" s="225"/>
      <c r="AK415" s="225"/>
      <c r="AL415" s="225"/>
      <c r="AM415" s="225"/>
      <c r="AN415" s="225"/>
      <c r="AO415" s="225"/>
      <c r="AP415" s="225" t="s">
        <v>1874</v>
      </c>
      <c r="AQ415" s="225" t="s">
        <v>1875</v>
      </c>
      <c r="AR415" s="225" t="s">
        <v>3076</v>
      </c>
      <c r="AS415" s="227" t="s">
        <v>3385</v>
      </c>
      <c r="AT415" s="226" t="s">
        <v>434</v>
      </c>
      <c r="AU415" s="225" t="s">
        <v>176</v>
      </c>
      <c r="AV415" s="217" t="s">
        <v>188</v>
      </c>
      <c r="AW415" s="223">
        <v>44821</v>
      </c>
      <c r="AX415" s="225" t="s">
        <v>4113</v>
      </c>
      <c r="AY415" s="225">
        <v>2000</v>
      </c>
      <c r="AZ415" s="225" t="s">
        <v>1880</v>
      </c>
      <c r="BA415" s="225" t="s">
        <v>267</v>
      </c>
      <c r="BB415" s="225" t="s">
        <v>190</v>
      </c>
      <c r="BC415" s="225" t="s">
        <v>3386</v>
      </c>
      <c r="BD415" s="225">
        <v>15</v>
      </c>
      <c r="BE415" s="225">
        <v>12</v>
      </c>
      <c r="BF415" s="225">
        <v>89.6</v>
      </c>
      <c r="BG415" s="225">
        <v>1.7600000000000001E-3</v>
      </c>
      <c r="BH415" s="225" t="s">
        <v>1882</v>
      </c>
      <c r="BI415" s="225"/>
      <c r="BJ415" s="225">
        <v>6929.52</v>
      </c>
      <c r="BK415" s="225"/>
      <c r="BL415" s="225"/>
      <c r="BM415" s="225"/>
      <c r="BN415" s="225">
        <v>1578</v>
      </c>
      <c r="BO415" s="225">
        <v>8064</v>
      </c>
      <c r="BP415" s="225">
        <v>443.52</v>
      </c>
      <c r="BQ415" s="225">
        <v>8507.52</v>
      </c>
      <c r="BR415" s="225">
        <v>8507.52</v>
      </c>
      <c r="BS415" s="225" t="s">
        <v>188</v>
      </c>
      <c r="BT415" s="225"/>
      <c r="BU415" s="225"/>
      <c r="BV415" s="231" t="s">
        <v>4045</v>
      </c>
      <c r="BW415" s="225" t="s">
        <v>968</v>
      </c>
      <c r="BX415" s="301" t="s">
        <v>620</v>
      </c>
      <c r="BY415" s="301" t="s">
        <v>176</v>
      </c>
    </row>
    <row r="416" spans="1:77" s="33" customFormat="1" ht="13.5" customHeight="1">
      <c r="A416" s="64">
        <f t="shared" si="42"/>
        <v>2022</v>
      </c>
      <c r="B416" s="64">
        <f t="shared" si="43"/>
        <v>4</v>
      </c>
      <c r="C416" s="125" t="s">
        <v>191</v>
      </c>
      <c r="D416" s="168" t="str">
        <f t="shared" si="44"/>
        <v>maj</v>
      </c>
      <c r="E416" s="222" t="s">
        <v>3302</v>
      </c>
      <c r="F416" s="253" t="s">
        <v>1688</v>
      </c>
      <c r="G416" s="221">
        <v>1000</v>
      </c>
      <c r="H416" s="222">
        <v>44662</v>
      </c>
      <c r="I416" s="222">
        <v>44662</v>
      </c>
      <c r="J416" s="223">
        <v>44670</v>
      </c>
      <c r="K416" s="222" t="s">
        <v>3422</v>
      </c>
      <c r="L416" s="223">
        <v>44677</v>
      </c>
      <c r="M416" s="223">
        <v>44678</v>
      </c>
      <c r="N416" s="223">
        <v>44683</v>
      </c>
      <c r="O416" s="206"/>
      <c r="P416" s="222">
        <v>44932</v>
      </c>
      <c r="Q416" s="222">
        <v>44873</v>
      </c>
      <c r="R416" s="222" t="s">
        <v>176</v>
      </c>
      <c r="S416" s="222">
        <v>44956</v>
      </c>
      <c r="T416" s="222">
        <v>44956</v>
      </c>
      <c r="U416" s="222"/>
      <c r="V416" s="222"/>
      <c r="W416" s="222"/>
      <c r="X416" s="222"/>
      <c r="Y416" s="222"/>
      <c r="Z416" s="222"/>
      <c r="AA416" s="225">
        <v>2</v>
      </c>
      <c r="AB416" s="225">
        <v>22741</v>
      </c>
      <c r="AC416" s="225">
        <v>1592</v>
      </c>
      <c r="AD416" s="225" t="s">
        <v>3423</v>
      </c>
      <c r="AE416" s="225">
        <v>38620</v>
      </c>
      <c r="AF416" s="225" t="s">
        <v>2382</v>
      </c>
      <c r="AG416" s="226">
        <v>610614433</v>
      </c>
      <c r="AH416" s="240" t="s">
        <v>3424</v>
      </c>
      <c r="AI416" s="225" t="s">
        <v>1168</v>
      </c>
      <c r="AJ416" s="225"/>
      <c r="AK416" s="225"/>
      <c r="AL416" s="225"/>
      <c r="AM416" s="225"/>
      <c r="AN416" s="225"/>
      <c r="AO416" s="225"/>
      <c r="AP416" s="225" t="s">
        <v>2052</v>
      </c>
      <c r="AQ416" s="225" t="s">
        <v>232</v>
      </c>
      <c r="AR416" s="225" t="s">
        <v>233</v>
      </c>
      <c r="AS416" s="241" t="s">
        <v>234</v>
      </c>
      <c r="AT416" s="226">
        <v>476500550</v>
      </c>
      <c r="AU416" s="225" t="s">
        <v>176</v>
      </c>
      <c r="AV416" s="241" t="s">
        <v>188</v>
      </c>
      <c r="AW416" s="223">
        <f>$AT$360</f>
        <v>476069938</v>
      </c>
      <c r="AX416" s="225" t="s">
        <v>1880</v>
      </c>
      <c r="AY416" s="225">
        <v>1988</v>
      </c>
      <c r="AZ416" s="225" t="s">
        <v>1880</v>
      </c>
      <c r="BA416" s="225" t="s">
        <v>267</v>
      </c>
      <c r="BB416" s="225" t="s">
        <v>270</v>
      </c>
      <c r="BC416" s="225" t="s">
        <v>3425</v>
      </c>
      <c r="BD416" s="225">
        <v>19</v>
      </c>
      <c r="BE416" s="225">
        <v>10</v>
      </c>
      <c r="BF416" s="225">
        <v>88</v>
      </c>
      <c r="BG416" s="225" t="s">
        <v>3426</v>
      </c>
      <c r="BH416" s="225" t="s">
        <v>1882</v>
      </c>
      <c r="BI416" s="225"/>
      <c r="BJ416" s="225">
        <f>529.38+51.1+4987.5+185.1</f>
        <v>5753.08</v>
      </c>
      <c r="BK416" s="225"/>
      <c r="BL416" s="225"/>
      <c r="BM416" s="225"/>
      <c r="BN416" s="225">
        <f>225.24+900</f>
        <v>1125.24</v>
      </c>
      <c r="BO416" s="225">
        <f>BJ416+BN416</f>
        <v>6878.32</v>
      </c>
      <c r="BP416" s="230">
        <f>BO416*0.055</f>
        <v>378.30759999999998</v>
      </c>
      <c r="BQ416" s="230">
        <f>BO416*1.055</f>
        <v>7256.6275999999989</v>
      </c>
      <c r="BR416" s="225">
        <v>7256.63</v>
      </c>
      <c r="BS416" s="225" t="s">
        <v>191</v>
      </c>
      <c r="BT416" s="225"/>
      <c r="BU416" s="225"/>
      <c r="BV416" s="301" t="s">
        <v>4045</v>
      </c>
      <c r="BW416" s="225" t="s">
        <v>968</v>
      </c>
      <c r="BX416" s="222" t="s">
        <v>618</v>
      </c>
      <c r="BY416" s="301" t="s">
        <v>176</v>
      </c>
    </row>
    <row r="417" spans="1:77" s="33" customFormat="1" ht="13.5" customHeight="1">
      <c r="A417" s="64">
        <f t="shared" si="42"/>
        <v>2022</v>
      </c>
      <c r="B417" s="64">
        <f t="shared" si="43"/>
        <v>4</v>
      </c>
      <c r="C417" s="125" t="s">
        <v>191</v>
      </c>
      <c r="D417" s="168" t="str">
        <f t="shared" si="44"/>
        <v>non maj</v>
      </c>
      <c r="E417" s="264" t="s">
        <v>3302</v>
      </c>
      <c r="F417" s="243" t="s">
        <v>3427</v>
      </c>
      <c r="G417" s="221">
        <v>600</v>
      </c>
      <c r="H417" s="222">
        <v>44662</v>
      </c>
      <c r="I417" s="222">
        <v>44664</v>
      </c>
      <c r="J417" s="223" t="s">
        <v>176</v>
      </c>
      <c r="K417" s="222" t="s">
        <v>176</v>
      </c>
      <c r="L417" s="223">
        <v>44671</v>
      </c>
      <c r="M417" s="223">
        <v>44671</v>
      </c>
      <c r="N417" s="223">
        <v>44676</v>
      </c>
      <c r="O417" s="206"/>
      <c r="P417" s="222">
        <v>44720</v>
      </c>
      <c r="Q417" s="222">
        <v>44714</v>
      </c>
      <c r="R417" s="222" t="s">
        <v>176</v>
      </c>
      <c r="S417" s="222">
        <v>44769</v>
      </c>
      <c r="T417" s="222">
        <v>44769</v>
      </c>
      <c r="U417" s="222">
        <v>44770</v>
      </c>
      <c r="V417" s="222"/>
      <c r="W417" s="222"/>
      <c r="X417" s="222"/>
      <c r="Y417" s="222"/>
      <c r="Z417" s="222"/>
      <c r="AA417" s="225">
        <v>4</v>
      </c>
      <c r="AB417" s="225">
        <v>76469</v>
      </c>
      <c r="AC417" s="225">
        <v>425</v>
      </c>
      <c r="AD417" s="225" t="s">
        <v>1940</v>
      </c>
      <c r="AE417" s="225">
        <v>38210</v>
      </c>
      <c r="AF417" s="225" t="s">
        <v>1903</v>
      </c>
      <c r="AG417" s="226">
        <v>646034709</v>
      </c>
      <c r="AH417" s="240" t="s">
        <v>3428</v>
      </c>
      <c r="AI417" s="225" t="s">
        <v>1168</v>
      </c>
      <c r="AJ417" s="225"/>
      <c r="AK417" s="225"/>
      <c r="AL417" s="225"/>
      <c r="AM417" s="225"/>
      <c r="AN417" s="225"/>
      <c r="AO417" s="225"/>
      <c r="AP417" s="225" t="s">
        <v>947</v>
      </c>
      <c r="AQ417" s="225" t="s">
        <v>3429</v>
      </c>
      <c r="AR417" s="225" t="s">
        <v>3430</v>
      </c>
      <c r="AS417" s="266" t="s">
        <v>904</v>
      </c>
      <c r="AT417" s="226">
        <v>476354364</v>
      </c>
      <c r="AU417" s="225" t="s">
        <v>176</v>
      </c>
      <c r="AV417" s="241" t="s">
        <v>188</v>
      </c>
      <c r="AW417" s="223">
        <v>44860</v>
      </c>
      <c r="AX417" s="225" t="s">
        <v>4113</v>
      </c>
      <c r="AY417" s="225">
        <v>1999</v>
      </c>
      <c r="AZ417" s="225" t="s">
        <v>1880</v>
      </c>
      <c r="BA417" s="225" t="s">
        <v>380</v>
      </c>
      <c r="BB417" s="225" t="s">
        <v>242</v>
      </c>
      <c r="BC417" s="225" t="s">
        <v>3431</v>
      </c>
      <c r="BD417" s="225">
        <v>13</v>
      </c>
      <c r="BE417" s="225">
        <v>8</v>
      </c>
      <c r="BF417" s="225">
        <v>66</v>
      </c>
      <c r="BG417" s="225">
        <v>66</v>
      </c>
      <c r="BH417" s="225" t="s">
        <v>1899</v>
      </c>
      <c r="BI417" s="225"/>
      <c r="BJ417" s="225">
        <f>3499+100+870+85.56+345+105.31+550+187.5+349</f>
        <v>6091.3700000000008</v>
      </c>
      <c r="BK417" s="225"/>
      <c r="BL417" s="225"/>
      <c r="BM417" s="225"/>
      <c r="BN417" s="225">
        <v>1265</v>
      </c>
      <c r="BO417" s="225">
        <f>BJ417+BN417</f>
        <v>7356.3700000000008</v>
      </c>
      <c r="BP417" s="230">
        <f>BO417*0.055</f>
        <v>404.60035000000005</v>
      </c>
      <c r="BQ417" s="230">
        <f>BO417*1.055</f>
        <v>7760.9703500000005</v>
      </c>
      <c r="BR417" s="230">
        <f>7350.37*1.055</f>
        <v>7754.6403499999997</v>
      </c>
      <c r="BS417" s="225" t="s">
        <v>188</v>
      </c>
      <c r="BT417" s="225"/>
      <c r="BU417" s="225"/>
      <c r="BV417" s="231" t="s">
        <v>4045</v>
      </c>
      <c r="BW417" s="225" t="s">
        <v>968</v>
      </c>
      <c r="BX417" s="301" t="s">
        <v>620</v>
      </c>
      <c r="BY417" s="301">
        <v>2022</v>
      </c>
    </row>
    <row r="418" spans="1:77" s="33" customFormat="1" ht="13.5" customHeight="1">
      <c r="A418" s="64">
        <f t="shared" si="42"/>
        <v>2022</v>
      </c>
      <c r="B418" s="64">
        <f t="shared" si="43"/>
        <v>4</v>
      </c>
      <c r="C418" s="125" t="s">
        <v>191</v>
      </c>
      <c r="D418" s="168" t="str">
        <f t="shared" si="44"/>
        <v>non maj</v>
      </c>
      <c r="E418" s="264" t="s">
        <v>210</v>
      </c>
      <c r="F418" s="243" t="s">
        <v>1689</v>
      </c>
      <c r="G418" s="221">
        <v>600</v>
      </c>
      <c r="H418" s="222">
        <v>44664</v>
      </c>
      <c r="I418" s="222">
        <v>44670</v>
      </c>
      <c r="J418" s="223" t="s">
        <v>176</v>
      </c>
      <c r="K418" s="223" t="s">
        <v>176</v>
      </c>
      <c r="L418" s="223">
        <v>44672</v>
      </c>
      <c r="M418" s="223">
        <v>44672</v>
      </c>
      <c r="N418" s="223">
        <v>44677</v>
      </c>
      <c r="O418" s="265"/>
      <c r="P418" s="222">
        <v>44914</v>
      </c>
      <c r="Q418" s="222">
        <v>44896</v>
      </c>
      <c r="R418" s="222" t="s">
        <v>3432</v>
      </c>
      <c r="S418" s="222">
        <v>44925</v>
      </c>
      <c r="T418" s="222">
        <v>44925</v>
      </c>
      <c r="U418" s="222">
        <v>44932</v>
      </c>
      <c r="V418" s="222"/>
      <c r="W418" s="222"/>
      <c r="X418" s="222"/>
      <c r="Y418" s="222"/>
      <c r="Z418" s="222"/>
      <c r="AA418" s="225">
        <v>3</v>
      </c>
      <c r="AB418" s="225">
        <v>62741</v>
      </c>
      <c r="AC418" s="225">
        <v>400</v>
      </c>
      <c r="AD418" s="225" t="s">
        <v>2930</v>
      </c>
      <c r="AE418" s="225">
        <v>38140</v>
      </c>
      <c r="AF418" s="225" t="s">
        <v>2216</v>
      </c>
      <c r="AG418" s="226">
        <v>623671523</v>
      </c>
      <c r="AH418" s="240" t="s">
        <v>3433</v>
      </c>
      <c r="AI418" s="225" t="s">
        <v>1168</v>
      </c>
      <c r="AJ418" s="225"/>
      <c r="AK418" s="225"/>
      <c r="AL418" s="225"/>
      <c r="AM418" s="225"/>
      <c r="AN418" s="225"/>
      <c r="AO418" s="225"/>
      <c r="AP418" s="225" t="s">
        <v>2018</v>
      </c>
      <c r="AQ418" s="225" t="s">
        <v>225</v>
      </c>
      <c r="AR418" s="225" t="s">
        <v>2019</v>
      </c>
      <c r="AS418" s="241" t="s">
        <v>273</v>
      </c>
      <c r="AT418" s="226" t="s">
        <v>671</v>
      </c>
      <c r="AU418" s="225"/>
      <c r="AV418" s="217" t="s">
        <v>388</v>
      </c>
      <c r="AW418" s="223">
        <v>44789</v>
      </c>
      <c r="AX418" s="225" t="s">
        <v>4113</v>
      </c>
      <c r="AY418" s="225">
        <v>2001</v>
      </c>
      <c r="AZ418" s="225" t="s">
        <v>1880</v>
      </c>
      <c r="BA418" s="225" t="s">
        <v>380</v>
      </c>
      <c r="BB418" s="225" t="s">
        <v>208</v>
      </c>
      <c r="BC418" s="225" t="s">
        <v>3434</v>
      </c>
      <c r="BD418" s="225">
        <v>19</v>
      </c>
      <c r="BE418" s="225">
        <v>8</v>
      </c>
      <c r="BF418" s="225">
        <v>85.7</v>
      </c>
      <c r="BG418" s="252"/>
      <c r="BH418" s="225" t="s">
        <v>3023</v>
      </c>
      <c r="BI418" s="225"/>
      <c r="BJ418" s="225">
        <v>4172</v>
      </c>
      <c r="BK418" s="225"/>
      <c r="BL418" s="225"/>
      <c r="BM418" s="225"/>
      <c r="BN418" s="225">
        <v>877</v>
      </c>
      <c r="BO418" s="225">
        <v>5049</v>
      </c>
      <c r="BP418" s="230">
        <v>277.7</v>
      </c>
      <c r="BQ418" s="230">
        <v>5326.7</v>
      </c>
      <c r="BR418" s="225">
        <v>6198.13</v>
      </c>
      <c r="BS418" s="225" t="s">
        <v>188</v>
      </c>
      <c r="BT418" s="225"/>
      <c r="BU418" s="225"/>
      <c r="BV418" s="301" t="s">
        <v>4045</v>
      </c>
      <c r="BW418" s="225" t="s">
        <v>968</v>
      </c>
      <c r="BX418" s="301" t="s">
        <v>620</v>
      </c>
      <c r="BY418" s="301">
        <v>2022</v>
      </c>
    </row>
    <row r="419" spans="1:77" s="33" customFormat="1" ht="13.5" customHeight="1">
      <c r="A419" s="64">
        <f t="shared" si="42"/>
        <v>2022</v>
      </c>
      <c r="B419" s="64">
        <f t="shared" si="43"/>
        <v>4</v>
      </c>
      <c r="C419" s="125" t="s">
        <v>191</v>
      </c>
      <c r="D419" s="168" t="str">
        <f t="shared" si="44"/>
        <v>non maj</v>
      </c>
      <c r="E419" s="264" t="s">
        <v>210</v>
      </c>
      <c r="F419" s="243" t="s">
        <v>1691</v>
      </c>
      <c r="G419" s="221">
        <v>600</v>
      </c>
      <c r="H419" s="222">
        <v>44665</v>
      </c>
      <c r="I419" s="222">
        <v>44670</v>
      </c>
      <c r="J419" s="223">
        <v>44672</v>
      </c>
      <c r="K419" s="222" t="s">
        <v>3435</v>
      </c>
      <c r="L419" s="223">
        <v>44679</v>
      </c>
      <c r="M419" s="223">
        <v>44679</v>
      </c>
      <c r="N419" s="223">
        <v>44683</v>
      </c>
      <c r="O419" s="265"/>
      <c r="P419" s="222">
        <v>44858</v>
      </c>
      <c r="Q419" s="222">
        <v>44834</v>
      </c>
      <c r="R419" s="222" t="s">
        <v>3432</v>
      </c>
      <c r="S419" s="222">
        <v>44895</v>
      </c>
      <c r="T419" s="222">
        <v>44895</v>
      </c>
      <c r="U419" s="238">
        <v>44897</v>
      </c>
      <c r="V419" s="222"/>
      <c r="W419" s="222"/>
      <c r="X419" s="222"/>
      <c r="Y419" s="222"/>
      <c r="Z419" s="222"/>
      <c r="AA419" s="225">
        <v>2</v>
      </c>
      <c r="AB419" s="225">
        <v>78668</v>
      </c>
      <c r="AC419" s="225">
        <v>359</v>
      </c>
      <c r="AD419" s="225" t="s">
        <v>3436</v>
      </c>
      <c r="AE419" s="225">
        <v>38250</v>
      </c>
      <c r="AF419" s="267" t="s">
        <v>2151</v>
      </c>
      <c r="AG419" s="226">
        <v>674346378</v>
      </c>
      <c r="AH419" s="240" t="s">
        <v>3437</v>
      </c>
      <c r="AI419" s="225" t="s">
        <v>1168</v>
      </c>
      <c r="AJ419" s="225"/>
      <c r="AK419" s="225"/>
      <c r="AL419" s="225"/>
      <c r="AM419" s="225"/>
      <c r="AN419" s="225"/>
      <c r="AO419" s="225"/>
      <c r="AP419" s="225" t="s">
        <v>836</v>
      </c>
      <c r="AQ419" s="225" t="s">
        <v>200</v>
      </c>
      <c r="AR419" s="225" t="s">
        <v>3172</v>
      </c>
      <c r="AS419" s="241" t="s">
        <v>274</v>
      </c>
      <c r="AT419" s="226" t="s">
        <v>1015</v>
      </c>
      <c r="AU419" s="225" t="s">
        <v>678</v>
      </c>
      <c r="AV419" s="241" t="s">
        <v>388</v>
      </c>
      <c r="AW419" s="223">
        <v>44998</v>
      </c>
      <c r="AX419" s="225" t="s">
        <v>4113</v>
      </c>
      <c r="AY419" s="225">
        <v>1996</v>
      </c>
      <c r="AZ419" s="225" t="s">
        <v>1880</v>
      </c>
      <c r="BA419" s="225" t="s">
        <v>267</v>
      </c>
      <c r="BB419" s="225" t="s">
        <v>391</v>
      </c>
      <c r="BC419" s="225" t="s">
        <v>3438</v>
      </c>
      <c r="BD419" s="225">
        <v>12</v>
      </c>
      <c r="BE419" s="225">
        <v>9.1</v>
      </c>
      <c r="BF419" s="225">
        <v>92.9</v>
      </c>
      <c r="BG419" s="225">
        <v>5.0400000000000002E-3</v>
      </c>
      <c r="BH419" s="225" t="s">
        <v>1882</v>
      </c>
      <c r="BI419" s="225"/>
      <c r="BJ419" s="225">
        <v>4454.84</v>
      </c>
      <c r="BK419" s="225"/>
      <c r="BL419" s="225"/>
      <c r="BM419" s="225"/>
      <c r="BN419" s="225">
        <v>1404.18</v>
      </c>
      <c r="BO419" s="225">
        <v>5859.02</v>
      </c>
      <c r="BP419" s="225">
        <v>531.88</v>
      </c>
      <c r="BQ419" s="225">
        <v>6390.9</v>
      </c>
      <c r="BR419" s="225">
        <v>4536.8999999999996</v>
      </c>
      <c r="BS419" s="225" t="s">
        <v>188</v>
      </c>
      <c r="BT419" s="225"/>
      <c r="BU419" s="225"/>
      <c r="BV419" s="231" t="s">
        <v>4045</v>
      </c>
      <c r="BW419" s="225" t="s">
        <v>968</v>
      </c>
      <c r="BX419" s="301" t="s">
        <v>620</v>
      </c>
      <c r="BY419" s="301" t="s">
        <v>176</v>
      </c>
    </row>
    <row r="420" spans="1:77" s="33" customFormat="1" ht="13.5" customHeight="1">
      <c r="A420" s="64">
        <f t="shared" si="42"/>
        <v>2022</v>
      </c>
      <c r="B420" s="64">
        <f t="shared" si="43"/>
        <v>4</v>
      </c>
      <c r="C420" s="125" t="s">
        <v>191</v>
      </c>
      <c r="D420" s="168" t="str">
        <f t="shared" si="44"/>
        <v>non maj</v>
      </c>
      <c r="E420" s="222" t="s">
        <v>210</v>
      </c>
      <c r="F420" s="253" t="s">
        <v>1693</v>
      </c>
      <c r="G420" s="221">
        <v>600</v>
      </c>
      <c r="H420" s="222">
        <v>44670</v>
      </c>
      <c r="I420" s="222">
        <v>44670</v>
      </c>
      <c r="J420" s="268" t="s">
        <v>176</v>
      </c>
      <c r="K420" s="269" t="s">
        <v>176</v>
      </c>
      <c r="L420" s="268">
        <v>44672</v>
      </c>
      <c r="M420" s="268">
        <v>44672</v>
      </c>
      <c r="N420" s="268">
        <v>44677</v>
      </c>
      <c r="O420" s="269"/>
      <c r="P420" s="268">
        <v>44966</v>
      </c>
      <c r="Q420" s="268">
        <v>44942</v>
      </c>
      <c r="R420" s="269" t="s">
        <v>176</v>
      </c>
      <c r="S420" s="268">
        <v>44974</v>
      </c>
      <c r="T420" s="268">
        <v>44974</v>
      </c>
      <c r="U420" s="269"/>
      <c r="V420" s="269"/>
      <c r="W420" s="269"/>
      <c r="X420" s="269"/>
      <c r="Y420" s="269"/>
      <c r="Z420" s="225"/>
      <c r="AA420" s="225">
        <v>2</v>
      </c>
      <c r="AB420" s="225">
        <v>29593</v>
      </c>
      <c r="AC420" s="225">
        <v>1400</v>
      </c>
      <c r="AD420" s="225" t="s">
        <v>1930</v>
      </c>
      <c r="AE420" s="225">
        <v>38850</v>
      </c>
      <c r="AF420" s="225" t="s">
        <v>2151</v>
      </c>
      <c r="AG420" s="226">
        <v>652894494</v>
      </c>
      <c r="AH420" s="240" t="s">
        <v>3439</v>
      </c>
      <c r="AI420" s="225" t="s">
        <v>1168</v>
      </c>
      <c r="AJ420" s="222"/>
      <c r="AK420" s="222"/>
      <c r="AL420" s="222"/>
      <c r="AM420" s="222"/>
      <c r="AN420" s="222"/>
      <c r="AO420" s="222"/>
      <c r="AP420" s="222" t="s">
        <v>587</v>
      </c>
      <c r="AQ420" s="225" t="s">
        <v>225</v>
      </c>
      <c r="AR420" s="225" t="s">
        <v>2026</v>
      </c>
      <c r="AS420" s="241" t="s">
        <v>266</v>
      </c>
      <c r="AT420" s="226">
        <v>476069938</v>
      </c>
      <c r="AU420" s="225" t="s">
        <v>176</v>
      </c>
      <c r="AV420" s="241" t="s">
        <v>188</v>
      </c>
      <c r="AW420" s="223">
        <v>44822</v>
      </c>
      <c r="AX420" s="225" t="s">
        <v>4113</v>
      </c>
      <c r="AY420" s="242">
        <v>1989</v>
      </c>
      <c r="AZ420" s="225" t="s">
        <v>1880</v>
      </c>
      <c r="BA420" s="225" t="s">
        <v>380</v>
      </c>
      <c r="BB420" s="222" t="s">
        <v>3440</v>
      </c>
      <c r="BC420" s="222" t="s">
        <v>696</v>
      </c>
      <c r="BD420" s="242">
        <v>30</v>
      </c>
      <c r="BE420" s="242">
        <v>8</v>
      </c>
      <c r="BF420" s="242">
        <v>80</v>
      </c>
      <c r="BG420" s="242">
        <v>7.0000000000000007E-2</v>
      </c>
      <c r="BH420" s="222" t="s">
        <v>1882</v>
      </c>
      <c r="BI420" s="222"/>
      <c r="BJ420" s="242">
        <v>6801</v>
      </c>
      <c r="BK420" s="222"/>
      <c r="BL420" s="222"/>
      <c r="BM420" s="222"/>
      <c r="BN420" s="242">
        <v>750</v>
      </c>
      <c r="BO420" s="242">
        <v>7551</v>
      </c>
      <c r="BP420" s="242">
        <v>415.32</v>
      </c>
      <c r="BQ420" s="242">
        <v>7966.32</v>
      </c>
      <c r="BR420" s="230">
        <v>7238.37</v>
      </c>
      <c r="BS420" s="222" t="s">
        <v>191</v>
      </c>
      <c r="BT420" s="222"/>
      <c r="BU420" s="222"/>
      <c r="BV420" s="301" t="s">
        <v>4045</v>
      </c>
      <c r="BW420" s="225" t="s">
        <v>968</v>
      </c>
      <c r="BX420" s="301" t="s">
        <v>620</v>
      </c>
      <c r="BY420" s="301">
        <v>2022</v>
      </c>
    </row>
    <row r="421" spans="1:77" s="33" customFormat="1" ht="13.5" customHeight="1">
      <c r="A421" s="64">
        <f t="shared" si="42"/>
        <v>2022</v>
      </c>
      <c r="B421" s="64">
        <f t="shared" si="43"/>
        <v>5</v>
      </c>
      <c r="C421" s="125" t="s">
        <v>191</v>
      </c>
      <c r="D421" s="168" t="str">
        <f t="shared" si="44"/>
        <v>non maj</v>
      </c>
      <c r="E421" s="222" t="s">
        <v>210</v>
      </c>
      <c r="F421" s="253" t="s">
        <v>1694</v>
      </c>
      <c r="G421" s="221">
        <v>600</v>
      </c>
      <c r="H421" s="222">
        <v>44670</v>
      </c>
      <c r="I421" s="222">
        <v>44670</v>
      </c>
      <c r="J421" s="268">
        <v>44672</v>
      </c>
      <c r="K421" s="269" t="s">
        <v>3441</v>
      </c>
      <c r="L421" s="268">
        <v>44685</v>
      </c>
      <c r="M421" s="268">
        <v>44685</v>
      </c>
      <c r="N421" s="268">
        <v>44699</v>
      </c>
      <c r="O421" s="269"/>
      <c r="P421" s="269"/>
      <c r="Q421" s="268"/>
      <c r="R421" s="269"/>
      <c r="S421" s="268"/>
      <c r="T421" s="268"/>
      <c r="U421" s="269"/>
      <c r="V421" s="269"/>
      <c r="W421" s="269"/>
      <c r="X421" s="269"/>
      <c r="Y421" s="269"/>
      <c r="Z421" s="225"/>
      <c r="AA421" s="225">
        <v>2</v>
      </c>
      <c r="AB421" s="225">
        <v>36684</v>
      </c>
      <c r="AC421" s="225">
        <v>419</v>
      </c>
      <c r="AD421" s="225" t="s">
        <v>3442</v>
      </c>
      <c r="AE421" s="225">
        <v>38960</v>
      </c>
      <c r="AF421" s="225" t="s">
        <v>1964</v>
      </c>
      <c r="AG421" s="226">
        <v>689217633</v>
      </c>
      <c r="AH421" s="240" t="s">
        <v>3443</v>
      </c>
      <c r="AI421" s="225" t="s">
        <v>1168</v>
      </c>
      <c r="AJ421" s="222"/>
      <c r="AK421" s="222"/>
      <c r="AL421" s="222"/>
      <c r="AM421" s="222"/>
      <c r="AN421" s="222"/>
      <c r="AO421" s="222"/>
      <c r="AP421" s="225" t="s">
        <v>769</v>
      </c>
      <c r="AQ421" s="225" t="s">
        <v>2117</v>
      </c>
      <c r="AR421" s="225" t="s">
        <v>3444</v>
      </c>
      <c r="AS421" s="227" t="s">
        <v>3445</v>
      </c>
      <c r="AT421" s="226">
        <v>437039915</v>
      </c>
      <c r="AU421" s="225" t="s">
        <v>176</v>
      </c>
      <c r="AV421" s="241" t="s">
        <v>188</v>
      </c>
      <c r="AW421" s="223">
        <v>44797</v>
      </c>
      <c r="AX421" s="225" t="s">
        <v>4113</v>
      </c>
      <c r="AY421" s="242">
        <v>2000</v>
      </c>
      <c r="AZ421" s="225" t="s">
        <v>4113</v>
      </c>
      <c r="BA421" s="225" t="s">
        <v>380</v>
      </c>
      <c r="BB421" s="222" t="s">
        <v>981</v>
      </c>
      <c r="BC421" s="270">
        <v>650</v>
      </c>
      <c r="BD421" s="270">
        <v>37</v>
      </c>
      <c r="BE421" s="270" t="s">
        <v>3446</v>
      </c>
      <c r="BF421" s="270" t="s">
        <v>3447</v>
      </c>
      <c r="BG421" s="270" t="s">
        <v>3448</v>
      </c>
      <c r="BH421" s="222" t="s">
        <v>1882</v>
      </c>
      <c r="BI421" s="222"/>
      <c r="BJ421" s="230">
        <v>5365.28</v>
      </c>
      <c r="BK421" s="222"/>
      <c r="BL421" s="222"/>
      <c r="BM421" s="222"/>
      <c r="BN421" s="230">
        <v>471.96</v>
      </c>
      <c r="BO421" s="230">
        <v>5837.24</v>
      </c>
      <c r="BP421" s="230">
        <v>321.05</v>
      </c>
      <c r="BQ421" s="230">
        <v>6158.29</v>
      </c>
      <c r="BR421" s="222"/>
      <c r="BS421" s="222" t="s">
        <v>188</v>
      </c>
      <c r="BT421" s="222"/>
      <c r="BU421" s="222"/>
      <c r="BV421" s="301" t="s">
        <v>4045</v>
      </c>
      <c r="BW421" s="225" t="s">
        <v>968</v>
      </c>
      <c r="BX421" s="301" t="s">
        <v>620</v>
      </c>
      <c r="BY421" s="301">
        <v>2022</v>
      </c>
    </row>
    <row r="422" spans="1:77" s="33" customFormat="1" ht="13.5" customHeight="1">
      <c r="A422" s="64">
        <f t="shared" si="42"/>
        <v>2022</v>
      </c>
      <c r="B422" s="64">
        <f t="shared" si="43"/>
        <v>5</v>
      </c>
      <c r="C422" s="125" t="s">
        <v>191</v>
      </c>
      <c r="D422" s="168" t="str">
        <f t="shared" si="44"/>
        <v>non maj</v>
      </c>
      <c r="E422" s="264" t="s">
        <v>210</v>
      </c>
      <c r="F422" s="243" t="s">
        <v>3449</v>
      </c>
      <c r="G422" s="221">
        <v>600</v>
      </c>
      <c r="H422" s="222">
        <v>44670</v>
      </c>
      <c r="I422" s="222">
        <v>44671</v>
      </c>
      <c r="J422" s="268">
        <v>44677</v>
      </c>
      <c r="K422" s="269" t="s">
        <v>3450</v>
      </c>
      <c r="L422" s="268">
        <v>44700</v>
      </c>
      <c r="M422" s="268">
        <v>44700</v>
      </c>
      <c r="N422" s="268">
        <v>44706</v>
      </c>
      <c r="O422" s="269"/>
      <c r="P422" s="268">
        <v>44721</v>
      </c>
      <c r="Q422" s="268">
        <v>44714</v>
      </c>
      <c r="R422" s="269" t="s">
        <v>176</v>
      </c>
      <c r="S422" s="268">
        <v>44769</v>
      </c>
      <c r="T422" s="268">
        <v>44769</v>
      </c>
      <c r="U422" s="222">
        <v>44770</v>
      </c>
      <c r="V422" s="269"/>
      <c r="W422" s="269"/>
      <c r="X422" s="269"/>
      <c r="Y422" s="269"/>
      <c r="Z422" s="225"/>
      <c r="AA422" s="225">
        <v>2</v>
      </c>
      <c r="AB422" s="225">
        <v>40175</v>
      </c>
      <c r="AC422" s="225">
        <v>565</v>
      </c>
      <c r="AD422" s="225" t="s">
        <v>2529</v>
      </c>
      <c r="AE422" s="225">
        <v>38500</v>
      </c>
      <c r="AF422" s="225" t="s">
        <v>1907</v>
      </c>
      <c r="AG422" s="226">
        <v>476550820</v>
      </c>
      <c r="AH422" s="240" t="s">
        <v>3451</v>
      </c>
      <c r="AI422" s="225" t="s">
        <v>1168</v>
      </c>
      <c r="AJ422" s="222"/>
      <c r="AK422" s="222"/>
      <c r="AL422" s="222"/>
      <c r="AM422" s="222"/>
      <c r="AN422" s="222"/>
      <c r="AO422" s="222"/>
      <c r="AP422" s="222" t="s">
        <v>587</v>
      </c>
      <c r="AQ422" s="225" t="s">
        <v>225</v>
      </c>
      <c r="AR422" s="225" t="s">
        <v>2026</v>
      </c>
      <c r="AS422" s="241" t="s">
        <v>266</v>
      </c>
      <c r="AT422" s="226">
        <v>476069938</v>
      </c>
      <c r="AU422" s="225" t="s">
        <v>176</v>
      </c>
      <c r="AV422" s="241" t="s">
        <v>188</v>
      </c>
      <c r="AW422" s="223">
        <v>44822</v>
      </c>
      <c r="AX422" s="225" t="s">
        <v>4113</v>
      </c>
      <c r="AY422" s="242">
        <v>1991</v>
      </c>
      <c r="AZ422" s="225" t="s">
        <v>1880</v>
      </c>
      <c r="BA422" s="225" t="s">
        <v>380</v>
      </c>
      <c r="BB422" s="222" t="s">
        <v>3440</v>
      </c>
      <c r="BC422" s="222" t="s">
        <v>3452</v>
      </c>
      <c r="BD422" s="242">
        <v>15</v>
      </c>
      <c r="BE422" s="242">
        <v>7</v>
      </c>
      <c r="BF422" s="242">
        <v>84</v>
      </c>
      <c r="BG422" s="242">
        <v>7.0000000000000007E-2</v>
      </c>
      <c r="BH422" s="222" t="s">
        <v>1882</v>
      </c>
      <c r="BI422" s="222"/>
      <c r="BJ422" s="242">
        <v>4707</v>
      </c>
      <c r="BK422" s="222"/>
      <c r="BL422" s="222"/>
      <c r="BM422" s="222"/>
      <c r="BN422" s="242">
        <v>750</v>
      </c>
      <c r="BO422" s="242">
        <v>5457</v>
      </c>
      <c r="BP422" s="242">
        <v>300.14</v>
      </c>
      <c r="BQ422" s="242">
        <v>5757.14</v>
      </c>
      <c r="BR422" s="230">
        <v>5751.87</v>
      </c>
      <c r="BS422" s="222" t="s">
        <v>188</v>
      </c>
      <c r="BT422" s="222"/>
      <c r="BU422" s="222"/>
      <c r="BV422" s="231" t="s">
        <v>4045</v>
      </c>
      <c r="BW422" s="225" t="s">
        <v>968</v>
      </c>
      <c r="BX422" s="301" t="s">
        <v>620</v>
      </c>
      <c r="BY422" s="301">
        <v>2022</v>
      </c>
    </row>
    <row r="423" spans="1:77" s="33" customFormat="1" ht="13.5" customHeight="1">
      <c r="A423" s="64">
        <f t="shared" si="42"/>
        <v>2022</v>
      </c>
      <c r="B423" s="64">
        <f t="shared" si="43"/>
        <v>5</v>
      </c>
      <c r="C423" s="125" t="s">
        <v>191</v>
      </c>
      <c r="D423" s="168" t="str">
        <f t="shared" si="44"/>
        <v>maj</v>
      </c>
      <c r="E423" s="264" t="s">
        <v>210</v>
      </c>
      <c r="F423" s="243" t="s">
        <v>1695</v>
      </c>
      <c r="G423" s="221">
        <v>1000</v>
      </c>
      <c r="H423" s="222">
        <v>44670</v>
      </c>
      <c r="I423" s="222">
        <v>44671</v>
      </c>
      <c r="J423" s="268">
        <v>44677</v>
      </c>
      <c r="K423" s="269" t="s">
        <v>3453</v>
      </c>
      <c r="L423" s="268">
        <v>44685</v>
      </c>
      <c r="M423" s="268">
        <v>44685</v>
      </c>
      <c r="N423" s="268">
        <v>44699</v>
      </c>
      <c r="O423" s="269"/>
      <c r="P423" s="222">
        <v>44734</v>
      </c>
      <c r="Q423" s="268">
        <v>44728</v>
      </c>
      <c r="R423" s="269" t="s">
        <v>3183</v>
      </c>
      <c r="S423" s="268">
        <v>44795</v>
      </c>
      <c r="T423" s="268">
        <v>44795</v>
      </c>
      <c r="U423" s="222">
        <v>44796</v>
      </c>
      <c r="V423" s="269"/>
      <c r="W423" s="269"/>
      <c r="X423" s="269"/>
      <c r="Y423" s="269"/>
      <c r="Z423" s="225"/>
      <c r="AA423" s="225">
        <v>4</v>
      </c>
      <c r="AB423" s="225">
        <v>17750</v>
      </c>
      <c r="AC423" s="225">
        <v>230</v>
      </c>
      <c r="AD423" s="225" t="s">
        <v>1956</v>
      </c>
      <c r="AE423" s="225">
        <v>38140</v>
      </c>
      <c r="AF423" s="225" t="s">
        <v>1957</v>
      </c>
      <c r="AG423" s="226">
        <v>645273424</v>
      </c>
      <c r="AH423" s="240" t="s">
        <v>3454</v>
      </c>
      <c r="AI423" s="225" t="s">
        <v>1168</v>
      </c>
      <c r="AJ423" s="222"/>
      <c r="AK423" s="222"/>
      <c r="AL423" s="222"/>
      <c r="AM423" s="222"/>
      <c r="AN423" s="222"/>
      <c r="AO423" s="222"/>
      <c r="AP423" s="225" t="s">
        <v>2762</v>
      </c>
      <c r="AQ423" s="225" t="s">
        <v>1018</v>
      </c>
      <c r="AR423" s="225" t="s">
        <v>3333</v>
      </c>
      <c r="AS423" s="227" t="s">
        <v>1019</v>
      </c>
      <c r="AT423" s="226" t="s">
        <v>3072</v>
      </c>
      <c r="AU423" s="225" t="s">
        <v>176</v>
      </c>
      <c r="AV423" s="241" t="s">
        <v>188</v>
      </c>
      <c r="AW423" s="223">
        <v>44731</v>
      </c>
      <c r="AX423" s="225" t="s">
        <v>1879</v>
      </c>
      <c r="AY423" s="242">
        <v>1977</v>
      </c>
      <c r="AZ423" s="225" t="s">
        <v>4113</v>
      </c>
      <c r="BA423" s="225" t="s">
        <v>380</v>
      </c>
      <c r="BB423" s="222" t="s">
        <v>2764</v>
      </c>
      <c r="BC423" s="222" t="s">
        <v>3455</v>
      </c>
      <c r="BD423" s="230">
        <v>32</v>
      </c>
      <c r="BE423" s="230">
        <v>10</v>
      </c>
      <c r="BF423" s="230">
        <v>81.099999999999994</v>
      </c>
      <c r="BG423" s="230">
        <v>0.09</v>
      </c>
      <c r="BH423" s="230" t="s">
        <v>1882</v>
      </c>
      <c r="BI423" s="222"/>
      <c r="BJ423" s="230">
        <v>5651.14</v>
      </c>
      <c r="BK423" s="222"/>
      <c r="BL423" s="222"/>
      <c r="BM423" s="222"/>
      <c r="BN423" s="230">
        <v>885</v>
      </c>
      <c r="BO423" s="230">
        <v>6536.14</v>
      </c>
      <c r="BP423" s="230">
        <v>359.49</v>
      </c>
      <c r="BQ423" s="230">
        <v>6895.63</v>
      </c>
      <c r="BR423" s="230">
        <v>6896.13</v>
      </c>
      <c r="BS423" s="222" t="s">
        <v>191</v>
      </c>
      <c r="BT423" s="222"/>
      <c r="BU423" s="222"/>
      <c r="BV423" s="231" t="s">
        <v>4045</v>
      </c>
      <c r="BW423" s="225" t="s">
        <v>968</v>
      </c>
      <c r="BX423" s="222" t="s">
        <v>618</v>
      </c>
      <c r="BY423" s="301">
        <v>2022</v>
      </c>
    </row>
    <row r="424" spans="1:77" s="33" customFormat="1" ht="13.5" customHeight="1">
      <c r="A424" s="64">
        <f t="shared" si="42"/>
        <v>2022</v>
      </c>
      <c r="B424" s="64">
        <f t="shared" si="43"/>
        <v>7</v>
      </c>
      <c r="C424" s="125" t="s">
        <v>191</v>
      </c>
      <c r="D424" s="168" t="str">
        <f t="shared" si="44"/>
        <v>non maj</v>
      </c>
      <c r="E424" s="264" t="s">
        <v>3302</v>
      </c>
      <c r="F424" s="243" t="s">
        <v>1697</v>
      </c>
      <c r="G424" s="221">
        <v>600</v>
      </c>
      <c r="H424" s="222">
        <v>44671</v>
      </c>
      <c r="I424" s="222">
        <v>44671</v>
      </c>
      <c r="J424" s="268">
        <v>44680</v>
      </c>
      <c r="K424" s="269" t="s">
        <v>3456</v>
      </c>
      <c r="L424" s="268">
        <v>44749</v>
      </c>
      <c r="M424" s="268">
        <v>44749</v>
      </c>
      <c r="N424" s="268">
        <v>44768</v>
      </c>
      <c r="O424" s="269"/>
      <c r="P424" s="268">
        <v>44811</v>
      </c>
      <c r="Q424" s="268">
        <v>44802</v>
      </c>
      <c r="R424" s="269" t="s">
        <v>3457</v>
      </c>
      <c r="S424" s="268">
        <v>44889</v>
      </c>
      <c r="T424" s="268">
        <v>44889</v>
      </c>
      <c r="U424" s="268">
        <v>44889</v>
      </c>
      <c r="V424" s="269"/>
      <c r="W424" s="269"/>
      <c r="X424" s="269"/>
      <c r="Y424" s="269"/>
      <c r="Z424" s="225"/>
      <c r="AA424" s="225">
        <v>2</v>
      </c>
      <c r="AB424" s="225">
        <v>44937</v>
      </c>
      <c r="AC424" s="225">
        <v>32</v>
      </c>
      <c r="AD424" s="225" t="s">
        <v>3458</v>
      </c>
      <c r="AE424" s="225">
        <v>38140</v>
      </c>
      <c r="AF424" s="225" t="s">
        <v>1924</v>
      </c>
      <c r="AG424" s="226">
        <v>689958760</v>
      </c>
      <c r="AH424" s="240" t="s">
        <v>3459</v>
      </c>
      <c r="AI424" s="225" t="s">
        <v>1168</v>
      </c>
      <c r="AJ424" s="222"/>
      <c r="AK424" s="222"/>
      <c r="AL424" s="222"/>
      <c r="AM424" s="222"/>
      <c r="AN424" s="222"/>
      <c r="AO424" s="222"/>
      <c r="AP424" s="222" t="s">
        <v>624</v>
      </c>
      <c r="AQ424" s="222" t="s">
        <v>2999</v>
      </c>
      <c r="AR424" s="222" t="s">
        <v>3460</v>
      </c>
      <c r="AS424" s="240" t="s">
        <v>3341</v>
      </c>
      <c r="AT424" s="226">
        <v>476389584</v>
      </c>
      <c r="AU424" s="225" t="s">
        <v>176</v>
      </c>
      <c r="AV424" s="241" t="s">
        <v>188</v>
      </c>
      <c r="AW424" s="223">
        <v>44867</v>
      </c>
      <c r="AX424" s="225" t="s">
        <v>1879</v>
      </c>
      <c r="AY424" s="242">
        <v>1990</v>
      </c>
      <c r="AZ424" s="225" t="s">
        <v>1880</v>
      </c>
      <c r="BA424" s="225" t="s">
        <v>380</v>
      </c>
      <c r="BB424" s="222" t="s">
        <v>246</v>
      </c>
      <c r="BC424" s="222" t="s">
        <v>3462</v>
      </c>
      <c r="BD424" s="271"/>
      <c r="BE424" s="271"/>
      <c r="BF424" s="271"/>
      <c r="BG424" s="271"/>
      <c r="BH424" s="272"/>
      <c r="BI424" s="222"/>
      <c r="BJ424" s="230">
        <f>4741+320.96+288+760.6+248.7</f>
        <v>6359.26</v>
      </c>
      <c r="BK424" s="222"/>
      <c r="BL424" s="222"/>
      <c r="BM424" s="222"/>
      <c r="BN424" s="230">
        <v>685</v>
      </c>
      <c r="BO424" s="230">
        <f t="shared" ref="BO424:BO431" si="46">BJ424+BN424</f>
        <v>7044.26</v>
      </c>
      <c r="BP424" s="230">
        <f>BO424*0.055</f>
        <v>387.43430000000001</v>
      </c>
      <c r="BQ424" s="230">
        <f>BO424*1.055</f>
        <v>7431.6943000000001</v>
      </c>
      <c r="BR424" s="230">
        <v>7281.69</v>
      </c>
      <c r="BS424" s="222" t="s">
        <v>188</v>
      </c>
      <c r="BT424" s="222"/>
      <c r="BU424" s="222"/>
      <c r="BV424" s="231" t="s">
        <v>4045</v>
      </c>
      <c r="BW424" s="225" t="s">
        <v>968</v>
      </c>
      <c r="BX424" s="301" t="s">
        <v>620</v>
      </c>
      <c r="BY424" s="301">
        <v>2022</v>
      </c>
    </row>
    <row r="425" spans="1:77" s="33" customFormat="1" ht="13.5" customHeight="1">
      <c r="A425" s="64">
        <f t="shared" si="42"/>
        <v>2022</v>
      </c>
      <c r="B425" s="64">
        <f t="shared" si="43"/>
        <v>6</v>
      </c>
      <c r="C425" s="125" t="s">
        <v>191</v>
      </c>
      <c r="D425" s="168" t="str">
        <f t="shared" si="44"/>
        <v>non maj</v>
      </c>
      <c r="E425" s="222" t="s">
        <v>3302</v>
      </c>
      <c r="F425" s="253" t="s">
        <v>1698</v>
      </c>
      <c r="G425" s="221">
        <v>600</v>
      </c>
      <c r="H425" s="222">
        <v>44671</v>
      </c>
      <c r="I425" s="222">
        <v>44671</v>
      </c>
      <c r="J425" s="268">
        <v>44680</v>
      </c>
      <c r="K425" s="269" t="s">
        <v>3463</v>
      </c>
      <c r="L425" s="268">
        <v>44714</v>
      </c>
      <c r="M425" s="268">
        <v>44714</v>
      </c>
      <c r="N425" s="268">
        <v>44719</v>
      </c>
      <c r="O425" s="269"/>
      <c r="P425" s="269"/>
      <c r="Q425" s="268"/>
      <c r="R425" s="269"/>
      <c r="S425" s="268"/>
      <c r="T425" s="268"/>
      <c r="U425" s="269"/>
      <c r="V425" s="269"/>
      <c r="W425" s="269"/>
      <c r="X425" s="269"/>
      <c r="Y425" s="269"/>
      <c r="Z425" s="225"/>
      <c r="AA425" s="225">
        <v>3</v>
      </c>
      <c r="AB425" s="225">
        <v>43673</v>
      </c>
      <c r="AC425" s="225">
        <v>442</v>
      </c>
      <c r="AD425" s="225" t="s">
        <v>3464</v>
      </c>
      <c r="AE425" s="225">
        <v>38850</v>
      </c>
      <c r="AF425" s="225" t="s">
        <v>1951</v>
      </c>
      <c r="AG425" s="226">
        <v>686251468</v>
      </c>
      <c r="AH425" s="240" t="s">
        <v>3465</v>
      </c>
      <c r="AI425" s="225" t="s">
        <v>1168</v>
      </c>
      <c r="AJ425" s="222"/>
      <c r="AK425" s="222"/>
      <c r="AL425" s="222"/>
      <c r="AM425" s="222"/>
      <c r="AN425" s="222"/>
      <c r="AO425" s="222"/>
      <c r="AP425" s="222" t="s">
        <v>2762</v>
      </c>
      <c r="AQ425" s="222" t="s">
        <v>1018</v>
      </c>
      <c r="AR425" s="222" t="s">
        <v>617</v>
      </c>
      <c r="AS425" s="234" t="s">
        <v>3071</v>
      </c>
      <c r="AT425" s="226">
        <v>679534545</v>
      </c>
      <c r="AU425" s="225" t="s">
        <v>176</v>
      </c>
      <c r="AV425" s="241" t="s">
        <v>188</v>
      </c>
      <c r="AW425" s="223">
        <v>44731</v>
      </c>
      <c r="AX425" s="225" t="s">
        <v>4113</v>
      </c>
      <c r="AY425" s="242">
        <v>1975</v>
      </c>
      <c r="AZ425" s="225" t="s">
        <v>1880</v>
      </c>
      <c r="BA425" s="225" t="s">
        <v>380</v>
      </c>
      <c r="BB425" s="222" t="s">
        <v>994</v>
      </c>
      <c r="BC425" s="222" t="s">
        <v>3466</v>
      </c>
      <c r="BD425" s="242">
        <v>38</v>
      </c>
      <c r="BE425" s="230" t="s">
        <v>3467</v>
      </c>
      <c r="BF425" s="230" t="s">
        <v>3468</v>
      </c>
      <c r="BG425" s="230" t="s">
        <v>3469</v>
      </c>
      <c r="BH425" s="222" t="s">
        <v>1882</v>
      </c>
      <c r="BI425" s="222"/>
      <c r="BJ425" s="230">
        <f>4759.52+465+414.32+40.33+17.11+300.44+85+89+195+195.24+98</f>
        <v>6658.9599999999991</v>
      </c>
      <c r="BK425" s="222"/>
      <c r="BL425" s="222"/>
      <c r="BM425" s="222"/>
      <c r="BN425" s="230">
        <v>500</v>
      </c>
      <c r="BO425" s="230">
        <f t="shared" si="46"/>
        <v>7158.9599999999991</v>
      </c>
      <c r="BP425" s="230">
        <f>BO425*0.055</f>
        <v>393.74279999999993</v>
      </c>
      <c r="BQ425" s="230">
        <f>BO425*1.055</f>
        <v>7552.7027999999982</v>
      </c>
      <c r="BR425" s="230"/>
      <c r="BS425" s="222" t="s">
        <v>191</v>
      </c>
      <c r="BT425" s="222"/>
      <c r="BU425" s="222"/>
      <c r="BV425" s="301" t="s">
        <v>4045</v>
      </c>
      <c r="BW425" s="225" t="s">
        <v>968</v>
      </c>
      <c r="BX425" s="301" t="s">
        <v>620</v>
      </c>
      <c r="BY425" s="301">
        <v>2022</v>
      </c>
    </row>
    <row r="426" spans="1:77" s="33" customFormat="1" ht="13.5" customHeight="1">
      <c r="A426" s="64">
        <f t="shared" si="42"/>
        <v>2022</v>
      </c>
      <c r="B426" s="64">
        <f t="shared" si="43"/>
        <v>5</v>
      </c>
      <c r="C426" s="125" t="s">
        <v>191</v>
      </c>
      <c r="D426" s="168" t="str">
        <f t="shared" si="44"/>
        <v>non maj</v>
      </c>
      <c r="E426" s="264" t="s">
        <v>3302</v>
      </c>
      <c r="F426" s="243" t="s">
        <v>1699</v>
      </c>
      <c r="G426" s="221">
        <v>600</v>
      </c>
      <c r="H426" s="222">
        <v>44672</v>
      </c>
      <c r="I426" s="222">
        <v>44673</v>
      </c>
      <c r="J426" s="268">
        <v>44680</v>
      </c>
      <c r="K426" s="269" t="s">
        <v>3470</v>
      </c>
      <c r="L426" s="268">
        <v>44694</v>
      </c>
      <c r="M426" s="268">
        <v>44694</v>
      </c>
      <c r="N426" s="268">
        <v>44706</v>
      </c>
      <c r="O426" s="269"/>
      <c r="P426" s="268">
        <v>44775</v>
      </c>
      <c r="Q426" s="268">
        <v>44767</v>
      </c>
      <c r="R426" s="269" t="s">
        <v>176</v>
      </c>
      <c r="S426" s="268">
        <v>44795</v>
      </c>
      <c r="T426" s="268">
        <v>44795</v>
      </c>
      <c r="U426" s="222">
        <v>44796</v>
      </c>
      <c r="V426" s="269"/>
      <c r="W426" s="269"/>
      <c r="X426" s="269"/>
      <c r="Y426" s="269"/>
      <c r="Z426" s="225"/>
      <c r="AA426" s="225">
        <v>2</v>
      </c>
      <c r="AB426" s="225">
        <v>33068</v>
      </c>
      <c r="AC426" s="225">
        <v>36</v>
      </c>
      <c r="AD426" s="225" t="s">
        <v>3471</v>
      </c>
      <c r="AE426" s="225">
        <v>38620</v>
      </c>
      <c r="AF426" s="225" t="s">
        <v>2249</v>
      </c>
      <c r="AG426" s="226">
        <v>683321461</v>
      </c>
      <c r="AH426" s="234" t="s">
        <v>3472</v>
      </c>
      <c r="AI426" s="225" t="s">
        <v>1168</v>
      </c>
      <c r="AJ426" s="222"/>
      <c r="AK426" s="222"/>
      <c r="AL426" s="222"/>
      <c r="AM426" s="222"/>
      <c r="AN426" s="222"/>
      <c r="AO426" s="222"/>
      <c r="AP426" s="222" t="s">
        <v>2762</v>
      </c>
      <c r="AQ426" s="222" t="s">
        <v>1018</v>
      </c>
      <c r="AR426" s="222" t="s">
        <v>3473</v>
      </c>
      <c r="AS426" s="240" t="s">
        <v>3071</v>
      </c>
      <c r="AT426" s="226">
        <v>476663386</v>
      </c>
      <c r="AU426" s="225" t="s">
        <v>176</v>
      </c>
      <c r="AV426" s="241" t="s">
        <v>188</v>
      </c>
      <c r="AW426" s="223">
        <v>44731</v>
      </c>
      <c r="AX426" s="225" t="s">
        <v>4113</v>
      </c>
      <c r="AY426" s="242">
        <v>1995</v>
      </c>
      <c r="AZ426" s="225" t="s">
        <v>1880</v>
      </c>
      <c r="BA426" s="225" t="s">
        <v>267</v>
      </c>
      <c r="BB426" s="222" t="s">
        <v>243</v>
      </c>
      <c r="BC426" s="226" t="s">
        <v>3474</v>
      </c>
      <c r="BD426" s="273">
        <v>14</v>
      </c>
      <c r="BE426" s="273">
        <v>10</v>
      </c>
      <c r="BF426" s="273">
        <v>91</v>
      </c>
      <c r="BG426" s="274">
        <v>8.2400000000000008E-3</v>
      </c>
      <c r="BH426" s="222" t="s">
        <v>1882</v>
      </c>
      <c r="BI426" s="222"/>
      <c r="BJ426" s="230">
        <f>4123+365+732+167+232.8+125</f>
        <v>5744.8</v>
      </c>
      <c r="BK426" s="222"/>
      <c r="BL426" s="222"/>
      <c r="BM426" s="222"/>
      <c r="BN426" s="230">
        <v>550</v>
      </c>
      <c r="BO426" s="230">
        <f t="shared" si="46"/>
        <v>6294.8</v>
      </c>
      <c r="BP426" s="230">
        <f t="shared" ref="BP426:BP431" si="47">BO426*0.055</f>
        <v>346.214</v>
      </c>
      <c r="BQ426" s="230">
        <f t="shared" ref="BQ426:BQ431" si="48">BO426*1.055</f>
        <v>6641.0140000000001</v>
      </c>
      <c r="BR426" s="230">
        <v>6200</v>
      </c>
      <c r="BS426" s="222" t="s">
        <v>388</v>
      </c>
      <c r="BT426" s="222"/>
      <c r="BU426" s="222"/>
      <c r="BV426" s="231" t="s">
        <v>4045</v>
      </c>
      <c r="BW426" s="225" t="s">
        <v>968</v>
      </c>
      <c r="BX426" s="301" t="s">
        <v>620</v>
      </c>
      <c r="BY426" s="301" t="s">
        <v>176</v>
      </c>
    </row>
    <row r="427" spans="1:77" s="33" customFormat="1" ht="13.5" customHeight="1">
      <c r="A427" s="64">
        <f t="shared" si="42"/>
        <v>2022</v>
      </c>
      <c r="B427" s="64">
        <f t="shared" si="43"/>
        <v>5</v>
      </c>
      <c r="C427" s="125" t="s">
        <v>191</v>
      </c>
      <c r="D427" s="168" t="str">
        <f t="shared" si="44"/>
        <v>non maj</v>
      </c>
      <c r="E427" s="264" t="s">
        <v>3302</v>
      </c>
      <c r="F427" s="243" t="s">
        <v>1700</v>
      </c>
      <c r="G427" s="221">
        <v>600</v>
      </c>
      <c r="H427" s="222">
        <v>44673</v>
      </c>
      <c r="I427" s="222">
        <v>44676</v>
      </c>
      <c r="J427" s="268">
        <v>44680</v>
      </c>
      <c r="K427" s="269" t="s">
        <v>3475</v>
      </c>
      <c r="L427" s="268">
        <v>44694</v>
      </c>
      <c r="M427" s="268">
        <v>44694</v>
      </c>
      <c r="N427" s="268">
        <v>44706</v>
      </c>
      <c r="O427" s="269"/>
      <c r="P427" s="268">
        <v>44848</v>
      </c>
      <c r="Q427" s="268">
        <v>44806</v>
      </c>
      <c r="R427" s="269" t="s">
        <v>176</v>
      </c>
      <c r="S427" s="268">
        <v>44873</v>
      </c>
      <c r="T427" s="268">
        <v>44873</v>
      </c>
      <c r="U427" s="222">
        <v>44879</v>
      </c>
      <c r="V427" s="269"/>
      <c r="W427" s="269"/>
      <c r="X427" s="269"/>
      <c r="Y427" s="269"/>
      <c r="Z427" s="225"/>
      <c r="AA427" s="225">
        <v>4</v>
      </c>
      <c r="AB427" s="225">
        <v>79506</v>
      </c>
      <c r="AC427" s="225">
        <v>880</v>
      </c>
      <c r="AD427" s="225" t="s">
        <v>3476</v>
      </c>
      <c r="AE427" s="225">
        <v>38850</v>
      </c>
      <c r="AF427" s="225" t="s">
        <v>2151</v>
      </c>
      <c r="AG427" s="226">
        <v>686828292</v>
      </c>
      <c r="AH427" s="240" t="s">
        <v>3477</v>
      </c>
      <c r="AI427" s="225" t="s">
        <v>1168</v>
      </c>
      <c r="AJ427" s="222"/>
      <c r="AK427" s="222"/>
      <c r="AL427" s="222"/>
      <c r="AM427" s="222"/>
      <c r="AN427" s="222"/>
      <c r="AO427" s="222"/>
      <c r="AP427" s="222" t="s">
        <v>2762</v>
      </c>
      <c r="AQ427" s="222" t="s">
        <v>1018</v>
      </c>
      <c r="AR427" s="222" t="s">
        <v>3473</v>
      </c>
      <c r="AS427" s="234" t="s">
        <v>3478</v>
      </c>
      <c r="AT427" s="226">
        <v>476663386</v>
      </c>
      <c r="AU427" s="225" t="s">
        <v>176</v>
      </c>
      <c r="AV427" s="241" t="s">
        <v>188</v>
      </c>
      <c r="AW427" s="223">
        <v>44731</v>
      </c>
      <c r="AX427" s="225" t="s">
        <v>1880</v>
      </c>
      <c r="AY427" s="242">
        <v>2000</v>
      </c>
      <c r="AZ427" s="242" t="s">
        <v>4113</v>
      </c>
      <c r="BA427" s="225" t="s">
        <v>380</v>
      </c>
      <c r="BB427" s="222" t="s">
        <v>994</v>
      </c>
      <c r="BC427" s="226" t="s">
        <v>1021</v>
      </c>
      <c r="BD427" s="242">
        <v>33</v>
      </c>
      <c r="BE427" s="242">
        <v>11</v>
      </c>
      <c r="BF427" s="230" t="s">
        <v>3479</v>
      </c>
      <c r="BG427" s="230" t="s">
        <v>3480</v>
      </c>
      <c r="BH427" s="222" t="s">
        <v>1882</v>
      </c>
      <c r="BI427" s="222"/>
      <c r="BJ427" s="230">
        <f>4869.4+962+297.84+345+337.5+320+204+149+269+56.7+295+467+197.96+141.4+46.9</f>
        <v>8958.6999999999971</v>
      </c>
      <c r="BK427" s="222"/>
      <c r="BL427" s="222"/>
      <c r="BM427" s="222"/>
      <c r="BN427" s="230">
        <v>500</v>
      </c>
      <c r="BO427" s="230">
        <f t="shared" si="46"/>
        <v>9458.6999999999971</v>
      </c>
      <c r="BP427" s="230">
        <f t="shared" si="47"/>
        <v>520.22849999999983</v>
      </c>
      <c r="BQ427" s="230">
        <f t="shared" si="48"/>
        <v>9978.9284999999963</v>
      </c>
      <c r="BR427" s="230">
        <v>8500</v>
      </c>
      <c r="BS427" s="222" t="s">
        <v>388</v>
      </c>
      <c r="BT427" s="222"/>
      <c r="BU427" s="222"/>
      <c r="BV427" s="231" t="s">
        <v>4045</v>
      </c>
      <c r="BW427" s="225" t="s">
        <v>968</v>
      </c>
      <c r="BX427" s="301" t="s">
        <v>620</v>
      </c>
      <c r="BY427" s="301">
        <v>2022</v>
      </c>
    </row>
    <row r="428" spans="1:77" s="33" customFormat="1" ht="13.5" customHeight="1">
      <c r="A428" s="64">
        <f t="shared" si="42"/>
        <v>1900</v>
      </c>
      <c r="B428" s="64">
        <f t="shared" si="43"/>
        <v>1</v>
      </c>
      <c r="C428" s="125" t="s">
        <v>191</v>
      </c>
      <c r="D428" s="168" t="str">
        <f t="shared" si="44"/>
        <v>maj</v>
      </c>
      <c r="E428" s="253" t="s">
        <v>3302</v>
      </c>
      <c r="F428" s="253" t="s">
        <v>1702</v>
      </c>
      <c r="G428" s="221">
        <v>1000</v>
      </c>
      <c r="H428" s="222">
        <v>44673</v>
      </c>
      <c r="I428" s="222">
        <v>44676</v>
      </c>
      <c r="J428" s="275">
        <v>44680</v>
      </c>
      <c r="K428" s="239" t="s">
        <v>3481</v>
      </c>
      <c r="L428" s="275"/>
      <c r="M428" s="275"/>
      <c r="N428" s="275"/>
      <c r="O428" s="253"/>
      <c r="P428" s="253"/>
      <c r="Q428" s="275"/>
      <c r="R428" s="253"/>
      <c r="S428" s="275"/>
      <c r="T428" s="275"/>
      <c r="U428" s="253"/>
      <c r="V428" s="253"/>
      <c r="W428" s="253"/>
      <c r="X428" s="253"/>
      <c r="Y428" s="253"/>
      <c r="Z428" s="225"/>
      <c r="AA428" s="225">
        <v>3</v>
      </c>
      <c r="AB428" s="225">
        <v>19338</v>
      </c>
      <c r="AC428" s="225">
        <v>345</v>
      </c>
      <c r="AD428" s="225" t="s">
        <v>3482</v>
      </c>
      <c r="AE428" s="225">
        <v>38850</v>
      </c>
      <c r="AF428" s="225" t="s">
        <v>2151</v>
      </c>
      <c r="AG428" s="226">
        <v>615426043</v>
      </c>
      <c r="AH428" s="240" t="s">
        <v>3483</v>
      </c>
      <c r="AI428" s="225" t="s">
        <v>1168</v>
      </c>
      <c r="AJ428" s="253"/>
      <c r="AK428" s="253"/>
      <c r="AL428" s="253"/>
      <c r="AM428" s="253"/>
      <c r="AN428" s="253"/>
      <c r="AO428" s="253"/>
      <c r="AP428" s="253" t="s">
        <v>263</v>
      </c>
      <c r="AQ428" s="239" t="s">
        <v>1910</v>
      </c>
      <c r="AR428" s="253" t="s">
        <v>3484</v>
      </c>
      <c r="AS428" s="240" t="s">
        <v>592</v>
      </c>
      <c r="AT428" s="226">
        <v>437030090</v>
      </c>
      <c r="AU428" s="225" t="s">
        <v>176</v>
      </c>
      <c r="AV428" s="241" t="s">
        <v>188</v>
      </c>
      <c r="AW428" s="223">
        <v>45033</v>
      </c>
      <c r="AX428" s="225" t="s">
        <v>1879</v>
      </c>
      <c r="AY428" s="242">
        <v>1980</v>
      </c>
      <c r="AZ428" s="225" t="s">
        <v>1880</v>
      </c>
      <c r="BA428" s="225" t="s">
        <v>380</v>
      </c>
      <c r="BB428" s="222" t="s">
        <v>707</v>
      </c>
      <c r="BC428" s="226" t="s">
        <v>3485</v>
      </c>
      <c r="BD428" s="242">
        <v>10</v>
      </c>
      <c r="BE428" s="242" t="s">
        <v>3486</v>
      </c>
      <c r="BF428" s="242">
        <v>82</v>
      </c>
      <c r="BG428" s="230" t="s">
        <v>3487</v>
      </c>
      <c r="BH428" s="253" t="s">
        <v>1882</v>
      </c>
      <c r="BI428" s="253"/>
      <c r="BJ428" s="230">
        <f>2509+374+848+59+158</f>
        <v>3948</v>
      </c>
      <c r="BK428" s="230"/>
      <c r="BL428" s="230"/>
      <c r="BM428" s="230"/>
      <c r="BN428" s="230">
        <v>497.76</v>
      </c>
      <c r="BO428" s="230">
        <f t="shared" si="46"/>
        <v>4445.76</v>
      </c>
      <c r="BP428" s="230">
        <f t="shared" si="47"/>
        <v>244.51680000000002</v>
      </c>
      <c r="BQ428" s="230">
        <f t="shared" si="48"/>
        <v>4690.2767999999996</v>
      </c>
      <c r="BR428" s="230"/>
      <c r="BS428" s="253" t="s">
        <v>388</v>
      </c>
      <c r="BT428" s="253"/>
      <c r="BU428" s="253"/>
      <c r="BV428" s="276"/>
      <c r="BW428" s="253"/>
      <c r="BX428" s="222" t="s">
        <v>618</v>
      </c>
      <c r="BY428" s="253"/>
    </row>
    <row r="429" spans="1:77" s="33" customFormat="1" ht="13.5" customHeight="1">
      <c r="A429" s="64">
        <f t="shared" si="42"/>
        <v>2022</v>
      </c>
      <c r="B429" s="64">
        <f t="shared" si="43"/>
        <v>6</v>
      </c>
      <c r="C429" s="125" t="s">
        <v>191</v>
      </c>
      <c r="D429" s="168" t="str">
        <f t="shared" si="44"/>
        <v>non maj</v>
      </c>
      <c r="E429" s="243" t="s">
        <v>3302</v>
      </c>
      <c r="F429" s="243" t="s">
        <v>1703</v>
      </c>
      <c r="G429" s="221">
        <v>600</v>
      </c>
      <c r="H429" s="222">
        <v>44676</v>
      </c>
      <c r="I429" s="222">
        <v>44677</v>
      </c>
      <c r="J429" s="275" t="s">
        <v>176</v>
      </c>
      <c r="K429" s="277" t="s">
        <v>3488</v>
      </c>
      <c r="L429" s="275">
        <v>44714</v>
      </c>
      <c r="M429" s="275">
        <v>44714</v>
      </c>
      <c r="N429" s="275">
        <v>44719</v>
      </c>
      <c r="O429" s="253"/>
      <c r="P429" s="222">
        <v>44813</v>
      </c>
      <c r="Q429" s="275">
        <v>44805</v>
      </c>
      <c r="R429" s="253" t="s">
        <v>176</v>
      </c>
      <c r="S429" s="275">
        <v>44833</v>
      </c>
      <c r="T429" s="275">
        <v>44833</v>
      </c>
      <c r="U429" s="222">
        <v>44833</v>
      </c>
      <c r="V429" s="253"/>
      <c r="W429" s="253"/>
      <c r="X429" s="269"/>
      <c r="Y429" s="269"/>
      <c r="Z429" s="269"/>
      <c r="AA429" s="225">
        <v>4</v>
      </c>
      <c r="AB429" s="225">
        <v>56975</v>
      </c>
      <c r="AC429" s="225">
        <v>9</v>
      </c>
      <c r="AD429" s="225" t="s">
        <v>3489</v>
      </c>
      <c r="AE429" s="225">
        <v>38210</v>
      </c>
      <c r="AF429" s="225" t="s">
        <v>265</v>
      </c>
      <c r="AG429" s="226">
        <v>683292640</v>
      </c>
      <c r="AH429" s="234" t="s">
        <v>3490</v>
      </c>
      <c r="AI429" s="225" t="s">
        <v>1168</v>
      </c>
      <c r="AJ429" s="253"/>
      <c r="AK429" s="253"/>
      <c r="AL429" s="253"/>
      <c r="AM429" s="253"/>
      <c r="AN429" s="253"/>
      <c r="AO429" s="253"/>
      <c r="AP429" s="239" t="s">
        <v>385</v>
      </c>
      <c r="AQ429" s="253" t="s">
        <v>265</v>
      </c>
      <c r="AR429" s="253" t="s">
        <v>3491</v>
      </c>
      <c r="AS429" s="240" t="s">
        <v>3492</v>
      </c>
      <c r="AT429" s="226">
        <v>476065876</v>
      </c>
      <c r="AU429" s="225" t="s">
        <v>176</v>
      </c>
      <c r="AV429" s="241" t="s">
        <v>188</v>
      </c>
      <c r="AW429" s="222">
        <v>44770</v>
      </c>
      <c r="AX429" s="225" t="s">
        <v>4113</v>
      </c>
      <c r="AY429" s="242">
        <v>1980</v>
      </c>
      <c r="AZ429" s="225" t="s">
        <v>1880</v>
      </c>
      <c r="BA429" s="225" t="s">
        <v>267</v>
      </c>
      <c r="BB429" s="222" t="s">
        <v>394</v>
      </c>
      <c r="BC429" s="222" t="s">
        <v>3493</v>
      </c>
      <c r="BD429" s="242">
        <v>14</v>
      </c>
      <c r="BE429" s="242">
        <v>11</v>
      </c>
      <c r="BF429" s="242">
        <v>89</v>
      </c>
      <c r="BG429" s="222" t="s">
        <v>3494</v>
      </c>
      <c r="BH429" s="222" t="s">
        <v>1882</v>
      </c>
      <c r="BI429" s="222"/>
      <c r="BJ429" s="230">
        <f>2958.8+974.36+1122</f>
        <v>5055.16</v>
      </c>
      <c r="BK429" s="230"/>
      <c r="BL429" s="230"/>
      <c r="BM429" s="230"/>
      <c r="BN429" s="230">
        <f>234.6+196.86</f>
        <v>431.46000000000004</v>
      </c>
      <c r="BO429" s="230">
        <f t="shared" si="46"/>
        <v>5486.62</v>
      </c>
      <c r="BP429" s="230">
        <f t="shared" si="47"/>
        <v>301.76409999999998</v>
      </c>
      <c r="BQ429" s="230">
        <f t="shared" si="48"/>
        <v>5788.3840999999993</v>
      </c>
      <c r="BR429" s="242">
        <v>5616.03</v>
      </c>
      <c r="BS429" s="222" t="s">
        <v>188</v>
      </c>
      <c r="BT429" s="230"/>
      <c r="BU429" s="230"/>
      <c r="BV429" s="231" t="s">
        <v>4045</v>
      </c>
      <c r="BW429" s="225" t="s">
        <v>968</v>
      </c>
      <c r="BX429" s="301" t="s">
        <v>620</v>
      </c>
      <c r="BY429" s="301" t="s">
        <v>176</v>
      </c>
    </row>
    <row r="430" spans="1:77" s="33" customFormat="1" ht="13.5" customHeight="1">
      <c r="A430" s="64">
        <f t="shared" si="42"/>
        <v>2022</v>
      </c>
      <c r="B430" s="64">
        <f t="shared" si="43"/>
        <v>6</v>
      </c>
      <c r="C430" s="125" t="s">
        <v>191</v>
      </c>
      <c r="D430" s="168" t="str">
        <f t="shared" si="44"/>
        <v>maj</v>
      </c>
      <c r="E430" s="253" t="s">
        <v>3302</v>
      </c>
      <c r="F430" s="253" t="s">
        <v>1704</v>
      </c>
      <c r="G430" s="221">
        <v>1000</v>
      </c>
      <c r="H430" s="222">
        <v>44676</v>
      </c>
      <c r="I430" s="222">
        <v>44677</v>
      </c>
      <c r="J430" s="275" t="s">
        <v>176</v>
      </c>
      <c r="K430" s="277" t="s">
        <v>3495</v>
      </c>
      <c r="L430" s="275">
        <v>44714</v>
      </c>
      <c r="M430" s="275">
        <v>44714</v>
      </c>
      <c r="N430" s="275">
        <v>44719</v>
      </c>
      <c r="O430" s="253"/>
      <c r="P430" s="253"/>
      <c r="Q430" s="253"/>
      <c r="R430" s="253"/>
      <c r="S430" s="253"/>
      <c r="T430" s="253"/>
      <c r="U430" s="253"/>
      <c r="V430" s="253"/>
      <c r="W430" s="253"/>
      <c r="X430" s="253"/>
      <c r="Y430" s="253"/>
      <c r="Z430" s="225"/>
      <c r="AA430" s="225">
        <v>1</v>
      </c>
      <c r="AB430" s="225">
        <v>18637</v>
      </c>
      <c r="AC430" s="225">
        <v>345</v>
      </c>
      <c r="AD430" s="225" t="s">
        <v>3496</v>
      </c>
      <c r="AE430" s="225">
        <v>38140</v>
      </c>
      <c r="AF430" s="225" t="s">
        <v>1924</v>
      </c>
      <c r="AG430" s="226">
        <v>671591622</v>
      </c>
      <c r="AH430" s="240" t="s">
        <v>3497</v>
      </c>
      <c r="AI430" s="225" t="s">
        <v>1168</v>
      </c>
      <c r="AJ430" s="253"/>
      <c r="AK430" s="253"/>
      <c r="AL430" s="253"/>
      <c r="AM430" s="253"/>
      <c r="AN430" s="253"/>
      <c r="AO430" s="253"/>
      <c r="AP430" s="253" t="s">
        <v>616</v>
      </c>
      <c r="AQ430" s="253" t="s">
        <v>396</v>
      </c>
      <c r="AR430" s="253" t="s">
        <v>3498</v>
      </c>
      <c r="AS430" s="240" t="s">
        <v>3499</v>
      </c>
      <c r="AT430" s="226">
        <v>476018471</v>
      </c>
      <c r="AU430" s="225" t="s">
        <v>176</v>
      </c>
      <c r="AV430" s="241" t="s">
        <v>188</v>
      </c>
      <c r="AW430" s="222">
        <v>44777</v>
      </c>
      <c r="AX430" s="225" t="s">
        <v>1880</v>
      </c>
      <c r="AY430" s="242">
        <v>1990</v>
      </c>
      <c r="AZ430" s="225" t="s">
        <v>1880</v>
      </c>
      <c r="BA430" s="225" t="s">
        <v>267</v>
      </c>
      <c r="BB430" s="242" t="s">
        <v>1047</v>
      </c>
      <c r="BC430" s="222" t="s">
        <v>3500</v>
      </c>
      <c r="BD430" s="242">
        <v>18</v>
      </c>
      <c r="BE430" s="242">
        <v>5</v>
      </c>
      <c r="BF430" s="242" t="s">
        <v>3501</v>
      </c>
      <c r="BG430" s="222" t="s">
        <v>3502</v>
      </c>
      <c r="BH430" s="222" t="s">
        <v>1882</v>
      </c>
      <c r="BI430" s="222"/>
      <c r="BJ430" s="230">
        <f>1322.06+952</f>
        <v>2274.06</v>
      </c>
      <c r="BK430" s="230"/>
      <c r="BL430" s="230"/>
      <c r="BM430" s="230"/>
      <c r="BN430" s="230">
        <f>750+125+142.18+142.18</f>
        <v>1159.3600000000001</v>
      </c>
      <c r="BO430" s="230">
        <f t="shared" si="46"/>
        <v>3433.42</v>
      </c>
      <c r="BP430" s="230">
        <f t="shared" si="47"/>
        <v>188.8381</v>
      </c>
      <c r="BQ430" s="230">
        <f t="shared" si="48"/>
        <v>3622.2581</v>
      </c>
      <c r="BR430" s="222"/>
      <c r="BS430" s="222" t="s">
        <v>519</v>
      </c>
      <c r="BT430" s="253"/>
      <c r="BU430" s="253"/>
      <c r="BV430" s="301" t="s">
        <v>4045</v>
      </c>
      <c r="BW430" s="225" t="s">
        <v>968</v>
      </c>
      <c r="BX430" s="222" t="s">
        <v>618</v>
      </c>
      <c r="BY430" s="301" t="s">
        <v>176</v>
      </c>
    </row>
    <row r="431" spans="1:77" s="33" customFormat="1" ht="13.5" customHeight="1">
      <c r="A431" s="64">
        <f t="shared" si="42"/>
        <v>2022</v>
      </c>
      <c r="B431" s="64">
        <f t="shared" si="43"/>
        <v>5</v>
      </c>
      <c r="C431" s="125" t="s">
        <v>191</v>
      </c>
      <c r="D431" s="168" t="str">
        <f t="shared" si="44"/>
        <v>non maj</v>
      </c>
      <c r="E431" s="243" t="s">
        <v>3302</v>
      </c>
      <c r="F431" s="243" t="s">
        <v>1705</v>
      </c>
      <c r="G431" s="221">
        <v>600</v>
      </c>
      <c r="H431" s="222">
        <v>44676</v>
      </c>
      <c r="I431" s="222">
        <v>44680</v>
      </c>
      <c r="J431" s="275" t="s">
        <v>176</v>
      </c>
      <c r="K431" s="253" t="s">
        <v>176</v>
      </c>
      <c r="L431" s="275">
        <v>44686</v>
      </c>
      <c r="M431" s="275">
        <v>44686</v>
      </c>
      <c r="N431" s="275">
        <v>44699</v>
      </c>
      <c r="O431" s="253"/>
      <c r="P431" s="275">
        <v>44763</v>
      </c>
      <c r="Q431" s="275">
        <v>44753</v>
      </c>
      <c r="R431" s="253" t="s">
        <v>176</v>
      </c>
      <c r="S431" s="275">
        <v>44795</v>
      </c>
      <c r="T431" s="275">
        <v>44795</v>
      </c>
      <c r="U431" s="222">
        <v>44796</v>
      </c>
      <c r="V431" s="253"/>
      <c r="W431" s="253"/>
      <c r="X431" s="253"/>
      <c r="Y431" s="253"/>
      <c r="Z431" s="253"/>
      <c r="AA431" s="253">
        <v>2</v>
      </c>
      <c r="AB431" s="225">
        <v>62678</v>
      </c>
      <c r="AC431" s="253">
        <v>20</v>
      </c>
      <c r="AD431" s="253" t="s">
        <v>3503</v>
      </c>
      <c r="AE431" s="253">
        <v>38500</v>
      </c>
      <c r="AF431" s="253" t="s">
        <v>225</v>
      </c>
      <c r="AG431" s="226">
        <v>782438174</v>
      </c>
      <c r="AH431" s="240" t="s">
        <v>3504</v>
      </c>
      <c r="AI431" s="253" t="s">
        <v>1168</v>
      </c>
      <c r="AJ431" s="253"/>
      <c r="AK431" s="253"/>
      <c r="AL431" s="253"/>
      <c r="AM431" s="253"/>
      <c r="AN431" s="253"/>
      <c r="AO431" s="253"/>
      <c r="AP431" s="239" t="s">
        <v>845</v>
      </c>
      <c r="AQ431" s="239" t="s">
        <v>3053</v>
      </c>
      <c r="AR431" s="253" t="s">
        <v>3505</v>
      </c>
      <c r="AS431" s="234" t="s">
        <v>3054</v>
      </c>
      <c r="AT431" s="226">
        <v>412042525</v>
      </c>
      <c r="AU431" s="225" t="s">
        <v>176</v>
      </c>
      <c r="AV431" s="241" t="s">
        <v>188</v>
      </c>
      <c r="AW431" s="222">
        <v>44691</v>
      </c>
      <c r="AX431" s="225" t="s">
        <v>4113</v>
      </c>
      <c r="AY431" s="242" t="s">
        <v>3461</v>
      </c>
      <c r="AZ431" s="225" t="s">
        <v>1880</v>
      </c>
      <c r="BA431" s="225" t="s">
        <v>267</v>
      </c>
      <c r="BB431" s="242" t="s">
        <v>3506</v>
      </c>
      <c r="BC431" s="222" t="s">
        <v>2729</v>
      </c>
      <c r="BD431" s="242">
        <v>15</v>
      </c>
      <c r="BE431" s="242">
        <v>10.199999999999999</v>
      </c>
      <c r="BF431" s="242">
        <v>91.5</v>
      </c>
      <c r="BG431" s="222" t="s">
        <v>3507</v>
      </c>
      <c r="BH431" s="222" t="s">
        <v>1882</v>
      </c>
      <c r="BI431" s="222"/>
      <c r="BJ431" s="230">
        <f>3860+340+185+316+379.15</f>
        <v>5080.1499999999996</v>
      </c>
      <c r="BK431" s="230"/>
      <c r="BL431" s="230"/>
      <c r="BM431" s="230"/>
      <c r="BN431" s="230">
        <f>695+46</f>
        <v>741</v>
      </c>
      <c r="BO431" s="230">
        <f t="shared" si="46"/>
        <v>5821.15</v>
      </c>
      <c r="BP431" s="230">
        <f t="shared" si="47"/>
        <v>320.16325000000001</v>
      </c>
      <c r="BQ431" s="230">
        <f t="shared" si="48"/>
        <v>6141.3132499999992</v>
      </c>
      <c r="BR431" s="230">
        <v>6141.31</v>
      </c>
      <c r="BS431" s="222" t="s">
        <v>388</v>
      </c>
      <c r="BT431" s="253"/>
      <c r="BU431" s="253"/>
      <c r="BV431" s="231" t="s">
        <v>4045</v>
      </c>
      <c r="BW431" s="225" t="s">
        <v>968</v>
      </c>
      <c r="BX431" s="301" t="s">
        <v>620</v>
      </c>
      <c r="BY431" s="301" t="s">
        <v>176</v>
      </c>
    </row>
    <row r="432" spans="1:77" s="33" customFormat="1" ht="13.5" customHeight="1">
      <c r="A432" s="64">
        <f t="shared" si="42"/>
        <v>2022</v>
      </c>
      <c r="B432" s="64">
        <f t="shared" si="43"/>
        <v>5</v>
      </c>
      <c r="C432" s="125" t="s">
        <v>191</v>
      </c>
      <c r="D432" s="168" t="str">
        <f t="shared" si="44"/>
        <v>maj</v>
      </c>
      <c r="E432" s="243" t="s">
        <v>210</v>
      </c>
      <c r="F432" s="243" t="s">
        <v>1707</v>
      </c>
      <c r="G432" s="221">
        <v>1000</v>
      </c>
      <c r="H432" s="222">
        <v>44679</v>
      </c>
      <c r="I432" s="222">
        <v>44680</v>
      </c>
      <c r="J432" s="275"/>
      <c r="K432" s="253"/>
      <c r="L432" s="275">
        <v>44687</v>
      </c>
      <c r="M432" s="275">
        <v>44687</v>
      </c>
      <c r="N432" s="275">
        <v>44699</v>
      </c>
      <c r="O432" s="253"/>
      <c r="P432" s="275">
        <v>44848</v>
      </c>
      <c r="Q432" s="275">
        <v>44838</v>
      </c>
      <c r="R432" s="269" t="s">
        <v>176</v>
      </c>
      <c r="S432" s="268">
        <v>44873</v>
      </c>
      <c r="T432" s="268">
        <v>44873</v>
      </c>
      <c r="U432" s="222">
        <v>44879</v>
      </c>
      <c r="V432" s="253"/>
      <c r="W432" s="253"/>
      <c r="X432" s="253"/>
      <c r="Y432" s="253"/>
      <c r="Z432" s="253"/>
      <c r="AA432" s="253">
        <v>2</v>
      </c>
      <c r="AB432" s="225">
        <v>12465</v>
      </c>
      <c r="AC432" s="253">
        <v>90</v>
      </c>
      <c r="AD432" s="278" t="s">
        <v>3508</v>
      </c>
      <c r="AE432" s="253">
        <v>38960</v>
      </c>
      <c r="AF432" s="225" t="s">
        <v>2088</v>
      </c>
      <c r="AG432" s="226">
        <v>750354347</v>
      </c>
      <c r="AH432" s="240" t="s">
        <v>3509</v>
      </c>
      <c r="AI432" s="253" t="s">
        <v>1168</v>
      </c>
      <c r="AJ432" s="253"/>
      <c r="AK432" s="253"/>
      <c r="AL432" s="253"/>
      <c r="AM432" s="253"/>
      <c r="AN432" s="253"/>
      <c r="AO432" s="253"/>
      <c r="AP432" s="222" t="s">
        <v>587</v>
      </c>
      <c r="AQ432" s="225" t="s">
        <v>225</v>
      </c>
      <c r="AR432" s="225" t="s">
        <v>2026</v>
      </c>
      <c r="AS432" s="241" t="s">
        <v>266</v>
      </c>
      <c r="AT432" s="226">
        <v>476069938</v>
      </c>
      <c r="AU432" s="225" t="s">
        <v>176</v>
      </c>
      <c r="AV432" s="241" t="s">
        <v>188</v>
      </c>
      <c r="AW432" s="223">
        <v>44822</v>
      </c>
      <c r="AX432" s="225" t="s">
        <v>1179</v>
      </c>
      <c r="AY432" s="242">
        <v>1960</v>
      </c>
      <c r="AZ432" s="225" t="s">
        <v>1880</v>
      </c>
      <c r="BA432" s="225" t="s">
        <v>380</v>
      </c>
      <c r="BB432" s="242" t="s">
        <v>280</v>
      </c>
      <c r="BC432" s="222" t="s">
        <v>705</v>
      </c>
      <c r="BD432" s="242">
        <v>40</v>
      </c>
      <c r="BE432" s="242">
        <v>6</v>
      </c>
      <c r="BF432" s="242">
        <v>83.6</v>
      </c>
      <c r="BG432" s="230">
        <v>7.3599999999999999E-2</v>
      </c>
      <c r="BH432" s="222" t="s">
        <v>1882</v>
      </c>
      <c r="BI432" s="222"/>
      <c r="BJ432" s="230">
        <v>6564</v>
      </c>
      <c r="BK432" s="230"/>
      <c r="BL432" s="230"/>
      <c r="BM432" s="230"/>
      <c r="BN432" s="230">
        <v>890</v>
      </c>
      <c r="BO432" s="230">
        <v>7454</v>
      </c>
      <c r="BP432" s="230">
        <v>409.98</v>
      </c>
      <c r="BQ432" s="230">
        <v>7863.98</v>
      </c>
      <c r="BR432" s="230">
        <v>7863.98</v>
      </c>
      <c r="BS432" s="222" t="s">
        <v>188</v>
      </c>
      <c r="BT432" s="253"/>
      <c r="BU432" s="253"/>
      <c r="BV432" s="231" t="s">
        <v>4045</v>
      </c>
      <c r="BW432" s="225" t="s">
        <v>968</v>
      </c>
      <c r="BX432" s="222" t="s">
        <v>618</v>
      </c>
      <c r="BY432" s="301">
        <v>2022</v>
      </c>
    </row>
    <row r="433" spans="1:77" s="33" customFormat="1" ht="13.5" customHeight="1">
      <c r="A433" s="64">
        <f t="shared" si="42"/>
        <v>2022</v>
      </c>
      <c r="B433" s="64">
        <f t="shared" si="43"/>
        <v>7</v>
      </c>
      <c r="C433" s="125" t="s">
        <v>191</v>
      </c>
      <c r="D433" s="168" t="str">
        <f t="shared" si="44"/>
        <v>maj</v>
      </c>
      <c r="E433" s="243" t="s">
        <v>210</v>
      </c>
      <c r="F433" s="243" t="s">
        <v>1708</v>
      </c>
      <c r="G433" s="221">
        <v>1000</v>
      </c>
      <c r="H433" s="222">
        <v>44684</v>
      </c>
      <c r="I433" s="222">
        <v>44685</v>
      </c>
      <c r="J433" s="275">
        <v>44687</v>
      </c>
      <c r="K433" s="239" t="s">
        <v>3510</v>
      </c>
      <c r="L433" s="275">
        <v>44770</v>
      </c>
      <c r="M433" s="275">
        <v>44770</v>
      </c>
      <c r="N433" s="275">
        <v>44771</v>
      </c>
      <c r="O433" s="253"/>
      <c r="P433" s="275">
        <v>44805</v>
      </c>
      <c r="Q433" s="275">
        <v>44799</v>
      </c>
      <c r="R433" s="253" t="s">
        <v>176</v>
      </c>
      <c r="S433" s="275">
        <v>44816</v>
      </c>
      <c r="T433" s="275">
        <v>44816</v>
      </c>
      <c r="U433" s="222">
        <v>44824</v>
      </c>
      <c r="V433" s="253"/>
      <c r="W433" s="253"/>
      <c r="X433" s="253"/>
      <c r="Y433" s="253"/>
      <c r="Z433" s="253"/>
      <c r="AA433" s="253">
        <v>1</v>
      </c>
      <c r="AB433" s="225">
        <v>13872</v>
      </c>
      <c r="AC433" s="253">
        <v>425</v>
      </c>
      <c r="AD433" s="239" t="s">
        <v>3511</v>
      </c>
      <c r="AE433" s="253">
        <v>38210</v>
      </c>
      <c r="AF433" s="253" t="s">
        <v>1903</v>
      </c>
      <c r="AG433" s="226">
        <v>674077598</v>
      </c>
      <c r="AH433" s="234" t="s">
        <v>3512</v>
      </c>
      <c r="AI433" s="253" t="s">
        <v>1168</v>
      </c>
      <c r="AJ433" s="253"/>
      <c r="AK433" s="253"/>
      <c r="AL433" s="253"/>
      <c r="AM433" s="253"/>
      <c r="AN433" s="253"/>
      <c r="AO433" s="253"/>
      <c r="AP433" s="222" t="s">
        <v>587</v>
      </c>
      <c r="AQ433" s="225" t="s">
        <v>225</v>
      </c>
      <c r="AR433" s="225" t="s">
        <v>2026</v>
      </c>
      <c r="AS433" s="241" t="s">
        <v>266</v>
      </c>
      <c r="AT433" s="226">
        <v>476069938</v>
      </c>
      <c r="AU433" s="225" t="s">
        <v>176</v>
      </c>
      <c r="AV433" s="241" t="s">
        <v>188</v>
      </c>
      <c r="AW433" s="223">
        <v>44822</v>
      </c>
      <c r="AX433" s="225" t="s">
        <v>4113</v>
      </c>
      <c r="AY433" s="242">
        <v>1998</v>
      </c>
      <c r="AZ433" s="225" t="s">
        <v>1880</v>
      </c>
      <c r="BA433" s="225" t="s">
        <v>380</v>
      </c>
      <c r="BB433" s="242" t="s">
        <v>280</v>
      </c>
      <c r="BC433" s="222" t="s">
        <v>384</v>
      </c>
      <c r="BD433" s="242">
        <v>15</v>
      </c>
      <c r="BE433" s="242">
        <v>4</v>
      </c>
      <c r="BF433" s="242">
        <v>80.5</v>
      </c>
      <c r="BG433" s="274">
        <v>9.536E-2</v>
      </c>
      <c r="BH433" s="222" t="s">
        <v>1882</v>
      </c>
      <c r="BI433" s="222"/>
      <c r="BJ433" s="230">
        <f>2460+250+89+460</f>
        <v>3259</v>
      </c>
      <c r="BK433" s="230"/>
      <c r="BL433" s="230"/>
      <c r="BM433" s="230"/>
      <c r="BN433" s="230">
        <f>690+160+450+300</f>
        <v>1600</v>
      </c>
      <c r="BO433" s="230">
        <f>BJ433+BN433</f>
        <v>4859</v>
      </c>
      <c r="BP433" s="230">
        <f>BO433*0.055</f>
        <v>267.245</v>
      </c>
      <c r="BQ433" s="230">
        <f>BO433+BP433</f>
        <v>5126.2449999999999</v>
      </c>
      <c r="BR433" s="230">
        <v>5126.25</v>
      </c>
      <c r="BS433" s="222" t="s">
        <v>188</v>
      </c>
      <c r="BT433" s="253"/>
      <c r="BU433" s="253"/>
      <c r="BV433" s="231" t="s">
        <v>4045</v>
      </c>
      <c r="BW433" s="225" t="s">
        <v>968</v>
      </c>
      <c r="BX433" s="222" t="s">
        <v>618</v>
      </c>
      <c r="BY433" s="301">
        <v>2022</v>
      </c>
    </row>
    <row r="434" spans="1:77" s="33" customFormat="1" ht="13.5" customHeight="1">
      <c r="A434" s="64">
        <f t="shared" si="42"/>
        <v>2022</v>
      </c>
      <c r="B434" s="64">
        <f t="shared" si="43"/>
        <v>6</v>
      </c>
      <c r="C434" s="125" t="s">
        <v>191</v>
      </c>
      <c r="D434" s="168" t="str">
        <f t="shared" si="44"/>
        <v>non maj</v>
      </c>
      <c r="E434" s="253" t="s">
        <v>2987</v>
      </c>
      <c r="F434" s="253" t="s">
        <v>3513</v>
      </c>
      <c r="G434" s="221">
        <v>600</v>
      </c>
      <c r="H434" s="222">
        <v>44685</v>
      </c>
      <c r="I434" s="222">
        <v>44691</v>
      </c>
      <c r="J434" s="275">
        <v>44714</v>
      </c>
      <c r="K434" s="239"/>
      <c r="L434" s="275">
        <v>44739</v>
      </c>
      <c r="M434" s="275">
        <v>44739</v>
      </c>
      <c r="N434" s="275">
        <v>44750</v>
      </c>
      <c r="O434" s="253"/>
      <c r="P434" s="253"/>
      <c r="Q434" s="253"/>
      <c r="R434" s="253"/>
      <c r="S434" s="253"/>
      <c r="T434" s="253"/>
      <c r="U434" s="253"/>
      <c r="V434" s="253"/>
      <c r="W434" s="253"/>
      <c r="X434" s="253"/>
      <c r="Y434" s="253"/>
      <c r="Z434" s="253"/>
      <c r="AA434" s="253">
        <v>1</v>
      </c>
      <c r="AB434" s="225">
        <v>71078</v>
      </c>
      <c r="AC434" s="253">
        <v>1647</v>
      </c>
      <c r="AD434" s="239" t="s">
        <v>3514</v>
      </c>
      <c r="AE434" s="253">
        <v>38850</v>
      </c>
      <c r="AF434" s="253" t="s">
        <v>1951</v>
      </c>
      <c r="AG434" s="226">
        <v>645506198</v>
      </c>
      <c r="AH434" s="240" t="s">
        <v>3515</v>
      </c>
      <c r="AI434" s="253" t="s">
        <v>1168</v>
      </c>
      <c r="AJ434" s="253"/>
      <c r="AK434" s="253"/>
      <c r="AL434" s="253"/>
      <c r="AM434" s="253"/>
      <c r="AN434" s="253"/>
      <c r="AO434" s="253"/>
      <c r="AP434" s="239" t="s">
        <v>3516</v>
      </c>
      <c r="AQ434" s="253" t="s">
        <v>1893</v>
      </c>
      <c r="AR434" s="253"/>
      <c r="AS434" s="253"/>
      <c r="AT434" s="226">
        <v>476913520</v>
      </c>
      <c r="AU434" s="226" t="s">
        <v>749</v>
      </c>
      <c r="AV434" s="226" t="s">
        <v>188</v>
      </c>
      <c r="AW434" s="226"/>
      <c r="AX434" s="225" t="s">
        <v>4113</v>
      </c>
      <c r="AY434" s="242" t="s">
        <v>1967</v>
      </c>
      <c r="AZ434" s="225" t="s">
        <v>1880</v>
      </c>
      <c r="BA434" s="225" t="s">
        <v>380</v>
      </c>
      <c r="BB434" s="242" t="s">
        <v>258</v>
      </c>
      <c r="BC434" s="222" t="s">
        <v>599</v>
      </c>
      <c r="BD434" s="242">
        <v>28</v>
      </c>
      <c r="BE434" s="242">
        <v>7</v>
      </c>
      <c r="BF434" s="242">
        <v>81.3</v>
      </c>
      <c r="BG434" s="230">
        <v>0.1</v>
      </c>
      <c r="BH434" s="222" t="s">
        <v>1882</v>
      </c>
      <c r="BI434" s="222"/>
      <c r="BJ434" s="230">
        <f>SUM(24.62+22.42+34.92+26.25+68.33+42.42+102.26+14.09+36.94+33.4+94.79+154.58+15.86+80+200+3243.11+265.34+132)</f>
        <v>4591.33</v>
      </c>
      <c r="BK434" s="230"/>
      <c r="BL434" s="230"/>
      <c r="BM434" s="230"/>
      <c r="BN434" s="230">
        <f>SUM(187.5+891)</f>
        <v>1078.5</v>
      </c>
      <c r="BO434" s="230">
        <f>SUM(BN434+BJ434)</f>
        <v>5669.83</v>
      </c>
      <c r="BP434" s="230">
        <f>SUM(BO434*0.055)</f>
        <v>311.84064999999998</v>
      </c>
      <c r="BQ434" s="230">
        <f>SUM(BP434+BO434)</f>
        <v>5981.67065</v>
      </c>
      <c r="BR434" s="222"/>
      <c r="BS434" s="222" t="s">
        <v>191</v>
      </c>
      <c r="BT434" s="253"/>
      <c r="BU434" s="253"/>
      <c r="BV434" s="301" t="s">
        <v>4045</v>
      </c>
      <c r="BW434" s="225" t="s">
        <v>968</v>
      </c>
      <c r="BX434" s="301" t="s">
        <v>620</v>
      </c>
      <c r="BY434" s="301">
        <v>2022</v>
      </c>
    </row>
    <row r="435" spans="1:77" s="33" customFormat="1" ht="13.5" customHeight="1">
      <c r="A435" s="64">
        <f t="shared" si="42"/>
        <v>2022</v>
      </c>
      <c r="B435" s="64">
        <f t="shared" si="43"/>
        <v>6</v>
      </c>
      <c r="C435" s="125" t="s">
        <v>191</v>
      </c>
      <c r="D435" s="168" t="str">
        <f t="shared" si="44"/>
        <v>non maj</v>
      </c>
      <c r="E435" s="243" t="s">
        <v>2987</v>
      </c>
      <c r="F435" s="243" t="s">
        <v>1709</v>
      </c>
      <c r="G435" s="221">
        <v>600</v>
      </c>
      <c r="H435" s="222">
        <v>44690</v>
      </c>
      <c r="I435" s="222">
        <v>44691</v>
      </c>
      <c r="J435" s="275"/>
      <c r="K435" s="253"/>
      <c r="L435" s="275">
        <v>44714</v>
      </c>
      <c r="M435" s="275">
        <v>44714</v>
      </c>
      <c r="N435" s="275">
        <v>44719</v>
      </c>
      <c r="O435" s="253"/>
      <c r="P435" s="275">
        <v>44881</v>
      </c>
      <c r="Q435" s="275">
        <v>44872</v>
      </c>
      <c r="R435" s="253" t="s">
        <v>176</v>
      </c>
      <c r="S435" s="275">
        <v>44895</v>
      </c>
      <c r="T435" s="275">
        <v>44895</v>
      </c>
      <c r="U435" s="238">
        <v>44897</v>
      </c>
      <c r="V435" s="253"/>
      <c r="W435" s="253"/>
      <c r="X435" s="253"/>
      <c r="Y435" s="253"/>
      <c r="Z435" s="253"/>
      <c r="AA435" s="253">
        <v>2</v>
      </c>
      <c r="AB435" s="225">
        <v>29392</v>
      </c>
      <c r="AC435" s="253">
        <v>1</v>
      </c>
      <c r="AD435" s="239" t="s">
        <v>2074</v>
      </c>
      <c r="AE435" s="253">
        <v>38140</v>
      </c>
      <c r="AF435" s="253" t="s">
        <v>1946</v>
      </c>
      <c r="AG435" s="226">
        <v>682042409</v>
      </c>
      <c r="AH435" s="240" t="s">
        <v>3517</v>
      </c>
      <c r="AI435" s="253" t="s">
        <v>1168</v>
      </c>
      <c r="AJ435" s="253"/>
      <c r="AK435" s="253"/>
      <c r="AL435" s="253"/>
      <c r="AM435" s="253"/>
      <c r="AN435" s="253"/>
      <c r="AO435" s="253"/>
      <c r="AP435" s="222" t="s">
        <v>587</v>
      </c>
      <c r="AQ435" s="253" t="s">
        <v>225</v>
      </c>
      <c r="AR435" s="225" t="s">
        <v>2026</v>
      </c>
      <c r="AS435" s="253" t="s">
        <v>266</v>
      </c>
      <c r="AT435" s="226">
        <v>476069938</v>
      </c>
      <c r="AU435" s="225" t="s">
        <v>176</v>
      </c>
      <c r="AV435" s="226" t="s">
        <v>188</v>
      </c>
      <c r="AW435" s="223">
        <v>44822</v>
      </c>
      <c r="AX435" s="225" t="s">
        <v>4113</v>
      </c>
      <c r="AY435" s="242">
        <v>1987</v>
      </c>
      <c r="AZ435" s="225" t="s">
        <v>1880</v>
      </c>
      <c r="BA435" s="225" t="s">
        <v>380</v>
      </c>
      <c r="BB435" s="242" t="s">
        <v>280</v>
      </c>
      <c r="BC435" s="222" t="s">
        <v>795</v>
      </c>
      <c r="BD435" s="242">
        <v>28</v>
      </c>
      <c r="BE435" s="242">
        <v>7.5</v>
      </c>
      <c r="BF435" s="242">
        <v>82.7</v>
      </c>
      <c r="BG435" s="230">
        <v>5.04E-2</v>
      </c>
      <c r="BH435" s="222" t="s">
        <v>1882</v>
      </c>
      <c r="BI435" s="222"/>
      <c r="BJ435" s="230">
        <f>SUM(1150+490+89+275+3420)</f>
        <v>5424</v>
      </c>
      <c r="BK435" s="230"/>
      <c r="BL435" s="230"/>
      <c r="BM435" s="230"/>
      <c r="BN435" s="230">
        <f>SUM(690+150+330)</f>
        <v>1170</v>
      </c>
      <c r="BO435" s="230">
        <f>SUM(BN435+BJ435)</f>
        <v>6594</v>
      </c>
      <c r="BP435" s="230">
        <f>BO435*0.055</f>
        <v>362.67</v>
      </c>
      <c r="BQ435" s="230">
        <f>SUM(BP435+BO435)</f>
        <v>6956.67</v>
      </c>
      <c r="BR435" s="242">
        <v>6956.68</v>
      </c>
      <c r="BS435" s="222" t="s">
        <v>188</v>
      </c>
      <c r="BT435" s="253"/>
      <c r="BU435" s="253"/>
      <c r="BV435" s="231" t="s">
        <v>4045</v>
      </c>
      <c r="BW435" s="225" t="s">
        <v>968</v>
      </c>
      <c r="BX435" s="301" t="s">
        <v>620</v>
      </c>
      <c r="BY435" s="301">
        <v>2022</v>
      </c>
    </row>
    <row r="436" spans="1:77" s="33" customFormat="1" ht="13.5" customHeight="1">
      <c r="A436" s="64">
        <f t="shared" si="42"/>
        <v>1900</v>
      </c>
      <c r="B436" s="64">
        <f t="shared" si="43"/>
        <v>1</v>
      </c>
      <c r="C436" s="125" t="s">
        <v>188</v>
      </c>
      <c r="D436" s="168" t="str">
        <f t="shared" si="44"/>
        <v>NC</v>
      </c>
      <c r="E436" s="258" t="s">
        <v>2987</v>
      </c>
      <c r="F436" s="258" t="s">
        <v>3518</v>
      </c>
      <c r="G436" s="221">
        <v>600</v>
      </c>
      <c r="H436" s="222">
        <v>44693</v>
      </c>
      <c r="I436" s="222">
        <v>44693</v>
      </c>
      <c r="J436" s="275"/>
      <c r="K436" s="253"/>
      <c r="L436" s="275"/>
      <c r="M436" s="275"/>
      <c r="N436" s="275"/>
      <c r="O436" s="253"/>
      <c r="P436" s="253"/>
      <c r="Q436" s="253"/>
      <c r="R436" s="253"/>
      <c r="S436" s="253"/>
      <c r="T436" s="253"/>
      <c r="U436" s="253"/>
      <c r="V436" s="253"/>
      <c r="W436" s="275">
        <v>44714</v>
      </c>
      <c r="X436" s="239" t="s">
        <v>3519</v>
      </c>
      <c r="Y436" s="253"/>
      <c r="Z436" s="253"/>
      <c r="AA436" s="253">
        <v>2</v>
      </c>
      <c r="AB436" s="225">
        <v>62079</v>
      </c>
      <c r="AC436" s="253">
        <v>131</v>
      </c>
      <c r="AD436" s="239" t="s">
        <v>3296</v>
      </c>
      <c r="AE436" s="253">
        <v>38620</v>
      </c>
      <c r="AF436" s="225" t="s">
        <v>2888</v>
      </c>
      <c r="AG436" s="226">
        <v>634018943</v>
      </c>
      <c r="AH436" s="240" t="s">
        <v>3520</v>
      </c>
      <c r="AI436" s="253" t="s">
        <v>1168</v>
      </c>
      <c r="AJ436" s="253"/>
      <c r="AK436" s="253"/>
      <c r="AL436" s="253"/>
      <c r="AM436" s="253"/>
      <c r="AN436" s="253"/>
      <c r="AO436" s="253"/>
      <c r="AP436" s="225" t="s">
        <v>1909</v>
      </c>
      <c r="AQ436" s="239" t="s">
        <v>1910</v>
      </c>
      <c r="AR436" s="253" t="s">
        <v>3521</v>
      </c>
      <c r="AS436" s="253" t="s">
        <v>3522</v>
      </c>
      <c r="AT436" s="226">
        <v>474430411</v>
      </c>
      <c r="AU436" s="225" t="s">
        <v>176</v>
      </c>
      <c r="AV436" s="226" t="s">
        <v>188</v>
      </c>
      <c r="AW436" s="223">
        <v>44774</v>
      </c>
      <c r="AX436" s="225" t="s">
        <v>4113</v>
      </c>
      <c r="AY436" s="242">
        <v>2003</v>
      </c>
      <c r="AZ436" s="242"/>
      <c r="BA436" s="242"/>
      <c r="BB436" s="242"/>
      <c r="BC436" s="222"/>
      <c r="BD436" s="242"/>
      <c r="BE436" s="242"/>
      <c r="BF436" s="242"/>
      <c r="BG436" s="230"/>
      <c r="BH436" s="222"/>
      <c r="BI436" s="222"/>
      <c r="BJ436" s="230"/>
      <c r="BK436" s="230"/>
      <c r="BL436" s="230"/>
      <c r="BM436" s="230"/>
      <c r="BN436" s="230"/>
      <c r="BO436" s="230"/>
      <c r="BP436" s="230"/>
      <c r="BQ436" s="230"/>
      <c r="BR436" s="222"/>
      <c r="BS436" s="222"/>
      <c r="BT436" s="253"/>
      <c r="BU436" s="253"/>
      <c r="BV436" s="276">
        <v>0</v>
      </c>
      <c r="BW436" s="253" t="s">
        <v>3118</v>
      </c>
      <c r="BX436" s="301" t="s">
        <v>214</v>
      </c>
      <c r="BY436" s="253"/>
    </row>
    <row r="437" spans="1:77" s="33" customFormat="1" ht="13.5" customHeight="1">
      <c r="A437" s="64">
        <f t="shared" si="42"/>
        <v>2022</v>
      </c>
      <c r="B437" s="64">
        <f t="shared" si="43"/>
        <v>6</v>
      </c>
      <c r="C437" s="125" t="s">
        <v>191</v>
      </c>
      <c r="D437" s="168" t="str">
        <f t="shared" si="44"/>
        <v>non maj</v>
      </c>
      <c r="E437" s="253" t="s">
        <v>2987</v>
      </c>
      <c r="F437" s="253" t="s">
        <v>1710</v>
      </c>
      <c r="G437" s="221">
        <v>600</v>
      </c>
      <c r="H437" s="222">
        <v>44693</v>
      </c>
      <c r="I437" s="222">
        <v>44695</v>
      </c>
      <c r="J437" s="253"/>
      <c r="K437" s="253"/>
      <c r="L437" s="275">
        <v>44714</v>
      </c>
      <c r="M437" s="275">
        <v>44714</v>
      </c>
      <c r="N437" s="275">
        <v>44719</v>
      </c>
      <c r="O437" s="253"/>
      <c r="P437" s="275">
        <v>44925</v>
      </c>
      <c r="Q437" s="275">
        <v>44838</v>
      </c>
      <c r="R437" s="253" t="s">
        <v>176</v>
      </c>
      <c r="S437" s="275">
        <v>44932</v>
      </c>
      <c r="T437" s="275">
        <v>44932</v>
      </c>
      <c r="U437" s="253"/>
      <c r="V437" s="253"/>
      <c r="W437" s="253"/>
      <c r="X437" s="253"/>
      <c r="Y437" s="253"/>
      <c r="Z437" s="253"/>
      <c r="AA437" s="253">
        <v>1</v>
      </c>
      <c r="AB437" s="225">
        <v>21534</v>
      </c>
      <c r="AC437" s="253">
        <v>59</v>
      </c>
      <c r="AD437" s="253" t="s">
        <v>861</v>
      </c>
      <c r="AE437" s="253">
        <v>38340</v>
      </c>
      <c r="AF437" s="253" t="s">
        <v>232</v>
      </c>
      <c r="AG437" s="253"/>
      <c r="AH437" s="240" t="s">
        <v>3523</v>
      </c>
      <c r="AI437" s="253" t="s">
        <v>1168</v>
      </c>
      <c r="AJ437" s="253"/>
      <c r="AK437" s="253"/>
      <c r="AL437" s="253"/>
      <c r="AM437" s="253"/>
      <c r="AN437" s="253"/>
      <c r="AO437" s="253"/>
      <c r="AP437" s="222" t="s">
        <v>263</v>
      </c>
      <c r="AQ437" s="239" t="s">
        <v>1910</v>
      </c>
      <c r="AR437" s="225" t="s">
        <v>2568</v>
      </c>
      <c r="AS437" s="253" t="s">
        <v>595</v>
      </c>
      <c r="AT437" s="226" t="s">
        <v>574</v>
      </c>
      <c r="AU437" s="225" t="s">
        <v>176</v>
      </c>
      <c r="AV437" s="226" t="s">
        <v>188</v>
      </c>
      <c r="AW437" s="223">
        <v>45033</v>
      </c>
      <c r="AX437" s="225" t="s">
        <v>4113</v>
      </c>
      <c r="AY437" s="242">
        <v>1990</v>
      </c>
      <c r="AZ437" s="225" t="s">
        <v>1880</v>
      </c>
      <c r="BA437" s="225" t="s">
        <v>267</v>
      </c>
      <c r="BB437" s="242" t="s">
        <v>2939</v>
      </c>
      <c r="BC437" s="222" t="s">
        <v>3524</v>
      </c>
      <c r="BD437" s="242">
        <v>20</v>
      </c>
      <c r="BE437" s="242">
        <v>8</v>
      </c>
      <c r="BF437" s="242">
        <v>89.5</v>
      </c>
      <c r="BG437" s="230">
        <v>1.992E-2</v>
      </c>
      <c r="BH437" s="222" t="s">
        <v>1882</v>
      </c>
      <c r="BI437" s="222"/>
      <c r="BJ437" s="230">
        <f>SUM(2801.9+124+378+324+1189+184+1.67)</f>
        <v>5002.57</v>
      </c>
      <c r="BK437" s="230"/>
      <c r="BL437" s="230"/>
      <c r="BM437" s="230"/>
      <c r="BN437" s="230">
        <v>1085</v>
      </c>
      <c r="BO437" s="230">
        <f>SUM(BN437+BJ437-518.85)</f>
        <v>5568.7199999999993</v>
      </c>
      <c r="BP437" s="230">
        <f>BO437*0.055</f>
        <v>306.27959999999996</v>
      </c>
      <c r="BQ437" s="230">
        <f>BO437*1.055</f>
        <v>5874.9995999999992</v>
      </c>
      <c r="BR437" s="230">
        <v>5875</v>
      </c>
      <c r="BS437" s="222" t="s">
        <v>519</v>
      </c>
      <c r="BT437" s="253"/>
      <c r="BU437" s="253"/>
      <c r="BV437" s="301" t="s">
        <v>4045</v>
      </c>
      <c r="BW437" s="225" t="s">
        <v>968</v>
      </c>
      <c r="BX437" s="301" t="s">
        <v>620</v>
      </c>
      <c r="BY437" s="301" t="s">
        <v>176</v>
      </c>
    </row>
    <row r="438" spans="1:77" s="33" customFormat="1" ht="13.5" customHeight="1">
      <c r="A438" s="64">
        <f t="shared" si="42"/>
        <v>2022</v>
      </c>
      <c r="B438" s="64">
        <f t="shared" si="43"/>
        <v>6</v>
      </c>
      <c r="C438" s="125" t="s">
        <v>191</v>
      </c>
      <c r="D438" s="168" t="str">
        <f t="shared" si="44"/>
        <v>non maj</v>
      </c>
      <c r="E438" s="264" t="s">
        <v>3302</v>
      </c>
      <c r="F438" s="264" t="s">
        <v>1712</v>
      </c>
      <c r="G438" s="221">
        <v>600</v>
      </c>
      <c r="H438" s="222">
        <v>44694</v>
      </c>
      <c r="I438" s="222">
        <v>44697</v>
      </c>
      <c r="J438" s="253" t="s">
        <v>176</v>
      </c>
      <c r="K438" s="253" t="s">
        <v>176</v>
      </c>
      <c r="L438" s="222">
        <v>44726</v>
      </c>
      <c r="M438" s="222">
        <v>44726</v>
      </c>
      <c r="N438" s="222">
        <v>44729</v>
      </c>
      <c r="O438" s="222"/>
      <c r="P438" s="222">
        <v>44837</v>
      </c>
      <c r="Q438" s="222">
        <v>44832</v>
      </c>
      <c r="R438" s="222" t="s">
        <v>176</v>
      </c>
      <c r="S438" s="222">
        <v>44873</v>
      </c>
      <c r="T438" s="222">
        <v>44873</v>
      </c>
      <c r="U438" s="222">
        <v>44879</v>
      </c>
      <c r="V438" s="222"/>
      <c r="W438" s="222"/>
      <c r="X438" s="222"/>
      <c r="Y438" s="222"/>
      <c r="Z438" s="222"/>
      <c r="AA438" s="253">
        <v>3</v>
      </c>
      <c r="AB438" s="225">
        <v>44050</v>
      </c>
      <c r="AC438" s="253">
        <v>412</v>
      </c>
      <c r="AD438" s="222" t="s">
        <v>3402</v>
      </c>
      <c r="AE438" s="253">
        <v>38730</v>
      </c>
      <c r="AF438" s="222" t="s">
        <v>1916</v>
      </c>
      <c r="AG438" s="226">
        <v>635319439</v>
      </c>
      <c r="AH438" s="240" t="s">
        <v>3525</v>
      </c>
      <c r="AI438" s="222" t="s">
        <v>1168</v>
      </c>
      <c r="AJ438" s="222"/>
      <c r="AK438" s="222"/>
      <c r="AL438" s="222"/>
      <c r="AM438" s="222"/>
      <c r="AN438" s="222"/>
      <c r="AO438" s="222"/>
      <c r="AP438" s="222" t="s">
        <v>818</v>
      </c>
      <c r="AQ438" s="239" t="s">
        <v>225</v>
      </c>
      <c r="AR438" s="225" t="s">
        <v>1973</v>
      </c>
      <c r="AS438" s="253" t="s">
        <v>226</v>
      </c>
      <c r="AT438" s="226">
        <v>476323235</v>
      </c>
      <c r="AU438" s="222" t="s">
        <v>176</v>
      </c>
      <c r="AV438" s="226" t="s">
        <v>188</v>
      </c>
      <c r="AW438" s="222">
        <v>44794</v>
      </c>
      <c r="AX438" s="225" t="s">
        <v>4113</v>
      </c>
      <c r="AY438" s="242">
        <v>1999</v>
      </c>
      <c r="AZ438" s="225" t="s">
        <v>1880</v>
      </c>
      <c r="BA438" s="225" t="s">
        <v>380</v>
      </c>
      <c r="BB438" s="242" t="s">
        <v>3526</v>
      </c>
      <c r="BC438" s="222" t="s">
        <v>3527</v>
      </c>
      <c r="BD438" s="242">
        <v>14</v>
      </c>
      <c r="BE438" s="242">
        <v>7</v>
      </c>
      <c r="BF438" s="242">
        <v>77</v>
      </c>
      <c r="BG438" s="230" t="s">
        <v>1033</v>
      </c>
      <c r="BH438" s="222" t="s">
        <v>1882</v>
      </c>
      <c r="BI438" s="222"/>
      <c r="BJ438" s="230">
        <f>598+4990+78+98+30+115+38+60</f>
        <v>6007</v>
      </c>
      <c r="BK438" s="230"/>
      <c r="BL438" s="230"/>
      <c r="BM438" s="230"/>
      <c r="BN438" s="230">
        <f>810+75</f>
        <v>885</v>
      </c>
      <c r="BO438" s="230">
        <f>BJ438+BN438-280</f>
        <v>6612</v>
      </c>
      <c r="BP438" s="230">
        <f t="shared" ref="BP438:BP444" si="49">BO438*0.055</f>
        <v>363.66</v>
      </c>
      <c r="BQ438" s="230">
        <f>BO438*1.055</f>
        <v>6975.66</v>
      </c>
      <c r="BR438" s="230">
        <v>6775.21</v>
      </c>
      <c r="BS438" s="222" t="s">
        <v>388</v>
      </c>
      <c r="BT438" s="222"/>
      <c r="BU438" s="222"/>
      <c r="BV438" s="231" t="s">
        <v>4045</v>
      </c>
      <c r="BW438" s="225" t="s">
        <v>968</v>
      </c>
      <c r="BX438" s="301" t="s">
        <v>620</v>
      </c>
      <c r="BY438" s="301">
        <v>2022</v>
      </c>
    </row>
    <row r="439" spans="1:77" s="33" customFormat="1" ht="13.5" customHeight="1">
      <c r="A439" s="64">
        <f t="shared" si="42"/>
        <v>2022</v>
      </c>
      <c r="B439" s="64">
        <f t="shared" si="43"/>
        <v>7</v>
      </c>
      <c r="C439" s="125" t="s">
        <v>191</v>
      </c>
      <c r="D439" s="168" t="str">
        <f t="shared" si="44"/>
        <v>non maj</v>
      </c>
      <c r="E439" s="222" t="s">
        <v>3302</v>
      </c>
      <c r="F439" s="222" t="s">
        <v>1713</v>
      </c>
      <c r="G439" s="221">
        <v>600</v>
      </c>
      <c r="H439" s="222">
        <v>44694</v>
      </c>
      <c r="I439" s="222">
        <v>44712</v>
      </c>
      <c r="J439" s="275">
        <v>44726</v>
      </c>
      <c r="K439" s="253" t="s">
        <v>3528</v>
      </c>
      <c r="L439" s="222">
        <v>44763</v>
      </c>
      <c r="M439" s="222">
        <v>44763</v>
      </c>
      <c r="N439" s="222">
        <v>44768</v>
      </c>
      <c r="O439" s="279"/>
      <c r="P439" s="222">
        <v>44900</v>
      </c>
      <c r="Q439" s="279"/>
      <c r="R439" s="279"/>
      <c r="S439" s="279"/>
      <c r="T439" s="279"/>
      <c r="U439" s="279"/>
      <c r="V439" s="279"/>
      <c r="W439" s="279"/>
      <c r="X439" s="279"/>
      <c r="Y439" s="222"/>
      <c r="Z439" s="222"/>
      <c r="AA439" s="253">
        <v>3</v>
      </c>
      <c r="AB439" s="225">
        <v>45140</v>
      </c>
      <c r="AC439" s="253">
        <v>260</v>
      </c>
      <c r="AD439" s="222" t="s">
        <v>3529</v>
      </c>
      <c r="AE439" s="253">
        <v>38730</v>
      </c>
      <c r="AF439" s="222" t="s">
        <v>2031</v>
      </c>
      <c r="AG439" s="226">
        <v>660203725</v>
      </c>
      <c r="AH439" s="234" t="s">
        <v>3530</v>
      </c>
      <c r="AI439" s="222" t="s">
        <v>1168</v>
      </c>
      <c r="AJ439" s="279"/>
      <c r="AK439" s="279"/>
      <c r="AL439" s="279"/>
      <c r="AM439" s="279"/>
      <c r="AN439" s="279"/>
      <c r="AO439" s="279"/>
      <c r="AP439" s="222" t="s">
        <v>769</v>
      </c>
      <c r="AQ439" s="239" t="s">
        <v>3531</v>
      </c>
      <c r="AR439" s="225" t="s">
        <v>3444</v>
      </c>
      <c r="AS439" s="240" t="s">
        <v>3532</v>
      </c>
      <c r="AT439" s="226">
        <v>437039915</v>
      </c>
      <c r="AU439" s="279" t="s">
        <v>176</v>
      </c>
      <c r="AV439" s="226" t="s">
        <v>188</v>
      </c>
      <c r="AW439" s="222">
        <v>44797</v>
      </c>
      <c r="AX439" s="222" t="s">
        <v>132</v>
      </c>
      <c r="AY439" s="242">
        <v>1995</v>
      </c>
      <c r="AZ439" s="242" t="s">
        <v>132</v>
      </c>
      <c r="BA439" s="225" t="s">
        <v>267</v>
      </c>
      <c r="BB439" s="242" t="s">
        <v>3533</v>
      </c>
      <c r="BC439" s="222" t="s">
        <v>3534</v>
      </c>
      <c r="BD439" s="242">
        <v>17</v>
      </c>
      <c r="BE439" s="242" t="s">
        <v>3535</v>
      </c>
      <c r="BF439" s="242" t="s">
        <v>3536</v>
      </c>
      <c r="BG439" s="230" t="s">
        <v>3537</v>
      </c>
      <c r="BH439" s="222" t="s">
        <v>1882</v>
      </c>
      <c r="BI439" s="222"/>
      <c r="BJ439" s="230">
        <f>14244.73+1484.3+253+724.5+3902.05+600.13+414+543.38+22166.09</f>
        <v>44332.18</v>
      </c>
      <c r="BK439" s="230"/>
      <c r="BL439" s="230"/>
      <c r="BM439" s="230"/>
      <c r="BN439" s="230">
        <f>1234.2+30</f>
        <v>1264.2</v>
      </c>
      <c r="BO439" s="230">
        <f>BJ439+BN439</f>
        <v>45596.38</v>
      </c>
      <c r="BP439" s="230">
        <f t="shared" si="49"/>
        <v>2507.8008999999997</v>
      </c>
      <c r="BQ439" s="230">
        <f>BO439*1.055</f>
        <v>48104.180899999992</v>
      </c>
      <c r="BR439" s="222"/>
      <c r="BS439" s="222" t="s">
        <v>388</v>
      </c>
      <c r="BT439" s="279"/>
      <c r="BU439" s="279"/>
      <c r="BV439" s="301" t="s">
        <v>4045</v>
      </c>
      <c r="BW439" s="225" t="s">
        <v>968</v>
      </c>
      <c r="BX439" s="301" t="s">
        <v>620</v>
      </c>
      <c r="BY439" s="301" t="s">
        <v>176</v>
      </c>
    </row>
    <row r="440" spans="1:77" s="33" customFormat="1" ht="13.5" customHeight="1">
      <c r="A440" s="64">
        <f t="shared" si="42"/>
        <v>2022</v>
      </c>
      <c r="B440" s="64">
        <f t="shared" si="43"/>
        <v>6</v>
      </c>
      <c r="C440" s="125" t="s">
        <v>191</v>
      </c>
      <c r="D440" s="168" t="str">
        <f t="shared" si="44"/>
        <v>non maj</v>
      </c>
      <c r="E440" s="264" t="s">
        <v>3302</v>
      </c>
      <c r="F440" s="264" t="s">
        <v>1715</v>
      </c>
      <c r="G440" s="221">
        <v>600</v>
      </c>
      <c r="H440" s="222">
        <v>44697</v>
      </c>
      <c r="I440" s="222">
        <v>44697</v>
      </c>
      <c r="J440" s="275">
        <v>44726</v>
      </c>
      <c r="K440" s="239" t="s">
        <v>3538</v>
      </c>
      <c r="L440" s="222">
        <v>44727</v>
      </c>
      <c r="M440" s="222">
        <v>44727</v>
      </c>
      <c r="N440" s="222">
        <v>44729</v>
      </c>
      <c r="O440" s="279"/>
      <c r="P440" s="222">
        <v>44823</v>
      </c>
      <c r="Q440" s="223">
        <v>44772</v>
      </c>
      <c r="R440" s="222" t="s">
        <v>176</v>
      </c>
      <c r="S440" s="222">
        <v>44833</v>
      </c>
      <c r="T440" s="222">
        <v>44833</v>
      </c>
      <c r="U440" s="222">
        <v>44833</v>
      </c>
      <c r="V440" s="279"/>
      <c r="W440" s="279"/>
      <c r="X440" s="279"/>
      <c r="Y440" s="272"/>
      <c r="Z440" s="222"/>
      <c r="AA440" s="253">
        <v>4</v>
      </c>
      <c r="AB440" s="225">
        <v>58926</v>
      </c>
      <c r="AC440" s="253">
        <v>100</v>
      </c>
      <c r="AD440" s="222" t="s">
        <v>3539</v>
      </c>
      <c r="AE440" s="253">
        <v>38210</v>
      </c>
      <c r="AF440" s="222" t="s">
        <v>1903</v>
      </c>
      <c r="AG440" s="226">
        <v>627634076</v>
      </c>
      <c r="AH440" s="240" t="s">
        <v>3540</v>
      </c>
      <c r="AI440" s="222" t="s">
        <v>1168</v>
      </c>
      <c r="AJ440" s="279"/>
      <c r="AK440" s="279"/>
      <c r="AL440" s="279"/>
      <c r="AM440" s="279"/>
      <c r="AN440" s="279"/>
      <c r="AO440" s="279"/>
      <c r="AP440" s="222" t="s">
        <v>2762</v>
      </c>
      <c r="AQ440" s="239" t="s">
        <v>1018</v>
      </c>
      <c r="AR440" s="225" t="s">
        <v>3473</v>
      </c>
      <c r="AS440" s="240" t="s">
        <v>3071</v>
      </c>
      <c r="AT440" s="226">
        <v>679534645</v>
      </c>
      <c r="AU440" s="279" t="s">
        <v>176</v>
      </c>
      <c r="AV440" s="226" t="s">
        <v>188</v>
      </c>
      <c r="AW440" s="222">
        <v>44731</v>
      </c>
      <c r="AX440" s="222" t="s">
        <v>1879</v>
      </c>
      <c r="AY440" s="242">
        <v>1978</v>
      </c>
      <c r="AZ440" s="225" t="s">
        <v>1880</v>
      </c>
      <c r="BA440" s="225" t="s">
        <v>267</v>
      </c>
      <c r="BB440" s="242" t="s">
        <v>3541</v>
      </c>
      <c r="BC440" s="222" t="s">
        <v>3542</v>
      </c>
      <c r="BD440" s="242">
        <v>11</v>
      </c>
      <c r="BE440" s="242">
        <v>10</v>
      </c>
      <c r="BF440" s="242" t="s">
        <v>3543</v>
      </c>
      <c r="BG440" s="230" t="s">
        <v>3544</v>
      </c>
      <c r="BH440" s="222" t="s">
        <v>1882</v>
      </c>
      <c r="BI440" s="222"/>
      <c r="BJ440" s="230">
        <f>4190+344+345+732+201.9+340</f>
        <v>6152.9</v>
      </c>
      <c r="BK440" s="230"/>
      <c r="BL440" s="230"/>
      <c r="BM440" s="230"/>
      <c r="BN440" s="230">
        <f>450+385</f>
        <v>835</v>
      </c>
      <c r="BO440" s="230">
        <f>BJ440+BN440-637.19</f>
        <v>6350.7099999999991</v>
      </c>
      <c r="BP440" s="230">
        <f t="shared" si="49"/>
        <v>349.28904999999997</v>
      </c>
      <c r="BQ440" s="230">
        <f>BO440*1.055</f>
        <v>6699.9990499999985</v>
      </c>
      <c r="BR440" s="230">
        <v>6700</v>
      </c>
      <c r="BS440" s="222" t="s">
        <v>388</v>
      </c>
      <c r="BT440" s="279"/>
      <c r="BU440" s="279"/>
      <c r="BV440" s="231" t="s">
        <v>4045</v>
      </c>
      <c r="BW440" s="225" t="s">
        <v>968</v>
      </c>
      <c r="BX440" s="301" t="s">
        <v>620</v>
      </c>
      <c r="BY440" s="301" t="s">
        <v>176</v>
      </c>
    </row>
    <row r="441" spans="1:77" s="33" customFormat="1" ht="13.5" customHeight="1">
      <c r="A441" s="64">
        <f t="shared" si="42"/>
        <v>2022</v>
      </c>
      <c r="B441" s="64">
        <f t="shared" si="43"/>
        <v>6</v>
      </c>
      <c r="C441" s="125" t="s">
        <v>191</v>
      </c>
      <c r="D441" s="168" t="str">
        <f t="shared" si="44"/>
        <v>maj</v>
      </c>
      <c r="E441" s="264" t="s">
        <v>3302</v>
      </c>
      <c r="F441" s="264" t="s">
        <v>1716</v>
      </c>
      <c r="G441" s="221">
        <v>1000</v>
      </c>
      <c r="H441" s="222">
        <v>44697</v>
      </c>
      <c r="I441" s="222">
        <v>44697</v>
      </c>
      <c r="J441" s="253" t="s">
        <v>176</v>
      </c>
      <c r="K441" s="253" t="s">
        <v>176</v>
      </c>
      <c r="L441" s="222">
        <v>44726</v>
      </c>
      <c r="M441" s="222">
        <v>44726</v>
      </c>
      <c r="N441" s="222">
        <v>44729</v>
      </c>
      <c r="O441" s="279"/>
      <c r="P441" s="222">
        <v>44851</v>
      </c>
      <c r="Q441" s="222">
        <v>44840</v>
      </c>
      <c r="R441" s="222" t="s">
        <v>176</v>
      </c>
      <c r="S441" s="222">
        <v>44874</v>
      </c>
      <c r="T441" s="222">
        <v>44874</v>
      </c>
      <c r="U441" s="222">
        <v>44879</v>
      </c>
      <c r="V441" s="279"/>
      <c r="W441" s="279"/>
      <c r="X441" s="279"/>
      <c r="Y441" s="222"/>
      <c r="Z441" s="222"/>
      <c r="AA441" s="253">
        <v>4</v>
      </c>
      <c r="AB441" s="225">
        <v>35935</v>
      </c>
      <c r="AC441" s="253">
        <v>22</v>
      </c>
      <c r="AD441" s="222" t="s">
        <v>3545</v>
      </c>
      <c r="AE441" s="253">
        <v>38850</v>
      </c>
      <c r="AF441" s="222" t="s">
        <v>1951</v>
      </c>
      <c r="AG441" s="226">
        <v>620302417</v>
      </c>
      <c r="AH441" s="240" t="s">
        <v>3546</v>
      </c>
      <c r="AI441" s="222" t="s">
        <v>1168</v>
      </c>
      <c r="AJ441" s="279"/>
      <c r="AK441" s="279"/>
      <c r="AL441" s="279"/>
      <c r="AM441" s="279"/>
      <c r="AN441" s="279"/>
      <c r="AO441" s="279"/>
      <c r="AP441" s="225" t="s">
        <v>947</v>
      </c>
      <c r="AQ441" s="239" t="s">
        <v>3429</v>
      </c>
      <c r="AR441" s="225" t="s">
        <v>3547</v>
      </c>
      <c r="AS441" s="240" t="s">
        <v>3548</v>
      </c>
      <c r="AT441" s="226"/>
      <c r="AU441" s="279" t="s">
        <v>176</v>
      </c>
      <c r="AV441" s="226" t="s">
        <v>188</v>
      </c>
      <c r="AW441" s="222">
        <v>44856</v>
      </c>
      <c r="AX441" s="225" t="s">
        <v>1880</v>
      </c>
      <c r="AY441" s="242" t="s">
        <v>176</v>
      </c>
      <c r="AZ441" s="225" t="s">
        <v>1880</v>
      </c>
      <c r="BA441" s="225" t="s">
        <v>267</v>
      </c>
      <c r="BB441" s="242" t="s">
        <v>2547</v>
      </c>
      <c r="BC441" s="222" t="s">
        <v>3549</v>
      </c>
      <c r="BD441" s="242">
        <v>10</v>
      </c>
      <c r="BE441" s="242" t="s">
        <v>3550</v>
      </c>
      <c r="BF441" s="242" t="s">
        <v>3551</v>
      </c>
      <c r="BG441" s="230" t="s">
        <v>3552</v>
      </c>
      <c r="BH441" s="222" t="s">
        <v>1882</v>
      </c>
      <c r="BI441" s="222"/>
      <c r="BJ441" s="230">
        <f>2590+901.51+300.24+152.8+155.52+108.86+50</f>
        <v>4258.93</v>
      </c>
      <c r="BK441" s="230"/>
      <c r="BL441" s="230"/>
      <c r="BM441" s="230"/>
      <c r="BN441" s="230">
        <v>750</v>
      </c>
      <c r="BO441" s="230">
        <f>BJ441+BN441-150</f>
        <v>4858.93</v>
      </c>
      <c r="BP441" s="230">
        <f t="shared" si="49"/>
        <v>267.24115</v>
      </c>
      <c r="BQ441" s="230">
        <f>BO441*1.055</f>
        <v>5126.1711500000001</v>
      </c>
      <c r="BR441" s="230">
        <v>5126.17</v>
      </c>
      <c r="BS441" s="222" t="s">
        <v>388</v>
      </c>
      <c r="BT441" s="279"/>
      <c r="BU441" s="279"/>
      <c r="BV441" s="231" t="s">
        <v>4045</v>
      </c>
      <c r="BW441" s="225" t="s">
        <v>968</v>
      </c>
      <c r="BX441" s="222" t="s">
        <v>618</v>
      </c>
      <c r="BY441" s="301" t="s">
        <v>176</v>
      </c>
    </row>
    <row r="442" spans="1:77" s="33" customFormat="1" ht="13.5" customHeight="1">
      <c r="A442" s="64">
        <f t="shared" si="42"/>
        <v>2022</v>
      </c>
      <c r="B442" s="64">
        <f t="shared" si="43"/>
        <v>7</v>
      </c>
      <c r="C442" s="125" t="s">
        <v>191</v>
      </c>
      <c r="D442" s="168" t="str">
        <f t="shared" si="44"/>
        <v>non maj</v>
      </c>
      <c r="E442" s="264" t="s">
        <v>2987</v>
      </c>
      <c r="F442" s="264" t="s">
        <v>1717</v>
      </c>
      <c r="G442" s="221">
        <v>600</v>
      </c>
      <c r="H442" s="222">
        <v>44699</v>
      </c>
      <c r="I442" s="222">
        <v>44700</v>
      </c>
      <c r="J442" s="275">
        <v>44719</v>
      </c>
      <c r="K442" s="253" t="s">
        <v>3303</v>
      </c>
      <c r="L442" s="222">
        <v>44743</v>
      </c>
      <c r="M442" s="222">
        <v>44743</v>
      </c>
      <c r="N442" s="275">
        <v>44750</v>
      </c>
      <c r="O442" s="279"/>
      <c r="P442" s="275">
        <v>44812</v>
      </c>
      <c r="Q442" s="222">
        <v>44803</v>
      </c>
      <c r="R442" s="222" t="s">
        <v>176</v>
      </c>
      <c r="S442" s="222">
        <v>44816</v>
      </c>
      <c r="T442" s="222">
        <v>44816</v>
      </c>
      <c r="U442" s="222">
        <v>44824</v>
      </c>
      <c r="V442" s="279"/>
      <c r="W442" s="279"/>
      <c r="X442" s="279"/>
      <c r="Y442" s="222"/>
      <c r="Z442" s="222"/>
      <c r="AA442" s="253">
        <v>1</v>
      </c>
      <c r="AB442" s="225">
        <v>29875</v>
      </c>
      <c r="AC442" s="253">
        <v>31</v>
      </c>
      <c r="AD442" s="222" t="s">
        <v>3553</v>
      </c>
      <c r="AE442" s="253">
        <v>38850</v>
      </c>
      <c r="AF442" s="222" t="s">
        <v>1951</v>
      </c>
      <c r="AG442" s="226">
        <v>674800279</v>
      </c>
      <c r="AH442" s="240" t="s">
        <v>3554</v>
      </c>
      <c r="AI442" s="222" t="s">
        <v>1168</v>
      </c>
      <c r="AJ442" s="279"/>
      <c r="AK442" s="279"/>
      <c r="AL442" s="279"/>
      <c r="AM442" s="279"/>
      <c r="AN442" s="279"/>
      <c r="AO442" s="279"/>
      <c r="AP442" s="225" t="s">
        <v>1888</v>
      </c>
      <c r="AQ442" s="239" t="s">
        <v>446</v>
      </c>
      <c r="AR442" s="225" t="s">
        <v>1889</v>
      </c>
      <c r="AS442" s="278" t="s">
        <v>269</v>
      </c>
      <c r="AT442" s="226" t="s">
        <v>600</v>
      </c>
      <c r="AU442" s="279"/>
      <c r="AV442" s="226" t="s">
        <v>388</v>
      </c>
      <c r="AW442" s="222">
        <v>44868</v>
      </c>
      <c r="AX442" s="225" t="s">
        <v>4113</v>
      </c>
      <c r="AY442" s="242">
        <v>1984</v>
      </c>
      <c r="AZ442" s="225" t="s">
        <v>4113</v>
      </c>
      <c r="BA442" s="225" t="s">
        <v>380</v>
      </c>
      <c r="BB442" s="242" t="s">
        <v>3555</v>
      </c>
      <c r="BC442" s="222" t="s">
        <v>2928</v>
      </c>
      <c r="BD442" s="242">
        <v>18</v>
      </c>
      <c r="BE442" s="242">
        <v>10.6</v>
      </c>
      <c r="BF442" s="242">
        <v>88</v>
      </c>
      <c r="BG442" s="230">
        <v>6.5040000000000001E-2</v>
      </c>
      <c r="BH442" s="222" t="s">
        <v>1882</v>
      </c>
      <c r="BI442" s="222"/>
      <c r="BJ442" s="230">
        <f>3282.62+138+83+89+90+22+25-498</f>
        <v>3231.62</v>
      </c>
      <c r="BK442" s="230">
        <f>3282.62+138+83+89+90+22+25</f>
        <v>3729.62</v>
      </c>
      <c r="BL442" s="230">
        <f>3282.62+138+83+89+90+22+25</f>
        <v>3729.62</v>
      </c>
      <c r="BM442" s="230">
        <f>3282.62+138+83+89+90+22+25</f>
        <v>3729.62</v>
      </c>
      <c r="BN442" s="230">
        <f>450+420+60</f>
        <v>930</v>
      </c>
      <c r="BO442" s="230">
        <f>BJ442+BN442</f>
        <v>4161.62</v>
      </c>
      <c r="BP442" s="230">
        <f t="shared" si="49"/>
        <v>228.88909999999998</v>
      </c>
      <c r="BQ442" s="230">
        <f>BO442+BP442</f>
        <v>4390.5091000000002</v>
      </c>
      <c r="BR442" s="230">
        <v>4390.51</v>
      </c>
      <c r="BS442" s="222" t="s">
        <v>188</v>
      </c>
      <c r="BT442" s="222"/>
      <c r="BU442" s="222"/>
      <c r="BV442" s="231" t="s">
        <v>4045</v>
      </c>
      <c r="BW442" s="225" t="s">
        <v>968</v>
      </c>
      <c r="BX442" s="301" t="s">
        <v>620</v>
      </c>
      <c r="BY442" s="301">
        <v>2022</v>
      </c>
    </row>
    <row r="443" spans="1:77" s="33" customFormat="1" ht="13.5" customHeight="1">
      <c r="A443" s="64">
        <f t="shared" si="42"/>
        <v>2022</v>
      </c>
      <c r="B443" s="64">
        <f t="shared" si="43"/>
        <v>6</v>
      </c>
      <c r="C443" s="125" t="s">
        <v>191</v>
      </c>
      <c r="D443" s="168" t="str">
        <f t="shared" si="44"/>
        <v>non maj</v>
      </c>
      <c r="E443" s="222" t="s">
        <v>3302</v>
      </c>
      <c r="F443" s="222" t="s">
        <v>1719</v>
      </c>
      <c r="G443" s="221">
        <v>600</v>
      </c>
      <c r="H443" s="222">
        <v>44701</v>
      </c>
      <c r="I443" s="222">
        <v>44712</v>
      </c>
      <c r="J443" s="253" t="s">
        <v>176</v>
      </c>
      <c r="K443" s="239" t="s">
        <v>3556</v>
      </c>
      <c r="L443" s="222">
        <v>44727</v>
      </c>
      <c r="M443" s="222">
        <v>44727</v>
      </c>
      <c r="N443" s="222">
        <v>44729</v>
      </c>
      <c r="O443" s="279"/>
      <c r="P443" s="279">
        <v>44943</v>
      </c>
      <c r="Q443" s="279"/>
      <c r="R443" s="279"/>
      <c r="S443" s="279"/>
      <c r="T443" s="279"/>
      <c r="U443" s="279"/>
      <c r="V443" s="279"/>
      <c r="W443" s="279"/>
      <c r="X443" s="279"/>
      <c r="Y443" s="222"/>
      <c r="Z443" s="222"/>
      <c r="AA443" s="253">
        <v>4</v>
      </c>
      <c r="AB443" s="225">
        <v>48824</v>
      </c>
      <c r="AC443" s="253" t="s">
        <v>3557</v>
      </c>
      <c r="AD443" s="222" t="s">
        <v>3558</v>
      </c>
      <c r="AE443" s="253">
        <v>38140</v>
      </c>
      <c r="AF443" s="225" t="s">
        <v>1924</v>
      </c>
      <c r="AG443" s="226">
        <v>632816965</v>
      </c>
      <c r="AH443" s="240" t="s">
        <v>3559</v>
      </c>
      <c r="AI443" s="222" t="s">
        <v>1168</v>
      </c>
      <c r="AJ443" s="279"/>
      <c r="AK443" s="279"/>
      <c r="AL443" s="279"/>
      <c r="AM443" s="279"/>
      <c r="AN443" s="279"/>
      <c r="AO443" s="279"/>
      <c r="AP443" s="225" t="s">
        <v>759</v>
      </c>
      <c r="AQ443" s="239" t="s">
        <v>2477</v>
      </c>
      <c r="AR443" s="225" t="s">
        <v>3560</v>
      </c>
      <c r="AS443" s="240" t="s">
        <v>3561</v>
      </c>
      <c r="AT443" s="226">
        <v>476911347</v>
      </c>
      <c r="AU443" s="279" t="s">
        <v>176</v>
      </c>
      <c r="AV443" s="226" t="s">
        <v>188</v>
      </c>
      <c r="AW443" s="222">
        <v>45079</v>
      </c>
      <c r="AX443" s="222" t="s">
        <v>176</v>
      </c>
      <c r="AY443" s="242" t="s">
        <v>176</v>
      </c>
      <c r="AZ443" s="225" t="s">
        <v>1880</v>
      </c>
      <c r="BA443" s="225" t="s">
        <v>380</v>
      </c>
      <c r="BB443" s="242" t="s">
        <v>981</v>
      </c>
      <c r="BC443" s="222" t="s">
        <v>3562</v>
      </c>
      <c r="BD443" s="242">
        <v>26</v>
      </c>
      <c r="BE443" s="242">
        <v>8</v>
      </c>
      <c r="BF443" s="242">
        <v>78</v>
      </c>
      <c r="BG443" s="230" t="s">
        <v>690</v>
      </c>
      <c r="BH443" s="222" t="s">
        <v>1882</v>
      </c>
      <c r="BI443" s="222"/>
      <c r="BJ443" s="230">
        <f>3120+200+175+260+340+290+375+397</f>
        <v>5157</v>
      </c>
      <c r="BK443" s="230"/>
      <c r="BL443" s="230"/>
      <c r="BM443" s="230"/>
      <c r="BN443" s="230">
        <v>77.349999999999994</v>
      </c>
      <c r="BO443" s="230">
        <f>BJ443+BN443</f>
        <v>5234.3500000000004</v>
      </c>
      <c r="BP443" s="230">
        <f t="shared" si="49"/>
        <v>287.88925</v>
      </c>
      <c r="BQ443" s="230">
        <f>BO443+BP443</f>
        <v>5522.2392500000005</v>
      </c>
      <c r="BR443" s="222"/>
      <c r="BS443" s="222" t="s">
        <v>191</v>
      </c>
      <c r="BT443" s="279"/>
      <c r="BU443" s="279"/>
      <c r="BV443" s="301" t="s">
        <v>4045</v>
      </c>
      <c r="BW443" s="225" t="s">
        <v>968</v>
      </c>
      <c r="BX443" s="301" t="s">
        <v>620</v>
      </c>
      <c r="BY443" s="301">
        <v>2022</v>
      </c>
    </row>
    <row r="444" spans="1:77" s="33" customFormat="1" ht="13.5" customHeight="1">
      <c r="A444" s="64">
        <f t="shared" si="42"/>
        <v>2022</v>
      </c>
      <c r="B444" s="64">
        <f t="shared" si="43"/>
        <v>6</v>
      </c>
      <c r="C444" s="125" t="s">
        <v>191</v>
      </c>
      <c r="D444" s="168" t="str">
        <f t="shared" si="44"/>
        <v>maj</v>
      </c>
      <c r="E444" s="222" t="s">
        <v>3302</v>
      </c>
      <c r="F444" s="222" t="s">
        <v>1720</v>
      </c>
      <c r="G444" s="221">
        <v>1000</v>
      </c>
      <c r="H444" s="222">
        <v>44701</v>
      </c>
      <c r="I444" s="222">
        <v>44712</v>
      </c>
      <c r="J444" s="275">
        <v>44726</v>
      </c>
      <c r="K444" s="253" t="s">
        <v>1060</v>
      </c>
      <c r="L444" s="222">
        <v>44729</v>
      </c>
      <c r="M444" s="222">
        <v>44729</v>
      </c>
      <c r="N444" s="222">
        <v>44748</v>
      </c>
      <c r="O444" s="279"/>
      <c r="P444" s="279"/>
      <c r="Q444" s="279"/>
      <c r="R444" s="279"/>
      <c r="S444" s="279"/>
      <c r="T444" s="279"/>
      <c r="U444" s="279"/>
      <c r="V444" s="279"/>
      <c r="W444" s="279"/>
      <c r="X444" s="279"/>
      <c r="Y444" s="222"/>
      <c r="Z444" s="222"/>
      <c r="AA444" s="253">
        <v>1</v>
      </c>
      <c r="AB444" s="225">
        <v>12460</v>
      </c>
      <c r="AC444" s="253">
        <v>256</v>
      </c>
      <c r="AD444" s="222" t="s">
        <v>2583</v>
      </c>
      <c r="AE444" s="253">
        <v>38620</v>
      </c>
      <c r="AF444" s="225" t="s">
        <v>2382</v>
      </c>
      <c r="AG444" s="226">
        <v>630899212</v>
      </c>
      <c r="AH444" s="240" t="s">
        <v>3563</v>
      </c>
      <c r="AI444" s="222" t="s">
        <v>1168</v>
      </c>
      <c r="AJ444" s="279"/>
      <c r="AK444" s="279"/>
      <c r="AL444" s="279"/>
      <c r="AM444" s="279"/>
      <c r="AN444" s="279"/>
      <c r="AO444" s="279"/>
      <c r="AP444" s="222" t="s">
        <v>727</v>
      </c>
      <c r="AQ444" s="239" t="s">
        <v>3564</v>
      </c>
      <c r="AR444" s="225" t="s">
        <v>1876</v>
      </c>
      <c r="AS444" s="240" t="s">
        <v>3565</v>
      </c>
      <c r="AT444" s="226">
        <v>476370350</v>
      </c>
      <c r="AU444" s="279" t="s">
        <v>176</v>
      </c>
      <c r="AV444" s="226" t="s">
        <v>188</v>
      </c>
      <c r="AW444" s="222">
        <v>45186</v>
      </c>
      <c r="AX444" s="225" t="s">
        <v>1880</v>
      </c>
      <c r="AY444" s="242">
        <v>1960</v>
      </c>
      <c r="AZ444" s="225" t="s">
        <v>1880</v>
      </c>
      <c r="BA444" s="225" t="s">
        <v>267</v>
      </c>
      <c r="BB444" s="242" t="s">
        <v>3566</v>
      </c>
      <c r="BC444" s="222" t="s">
        <v>3567</v>
      </c>
      <c r="BD444" s="242">
        <v>8</v>
      </c>
      <c r="BE444" s="242">
        <v>9</v>
      </c>
      <c r="BF444" s="242" t="s">
        <v>3568</v>
      </c>
      <c r="BG444" s="230" t="s">
        <v>3569</v>
      </c>
      <c r="BH444" s="222" t="s">
        <v>1882</v>
      </c>
      <c r="BI444" s="222"/>
      <c r="BJ444" s="230">
        <f>3370+790+263+1395+195+198+394</f>
        <v>6605</v>
      </c>
      <c r="BK444" s="230"/>
      <c r="BL444" s="230"/>
      <c r="BM444" s="230"/>
      <c r="BN444" s="230">
        <f>120+350</f>
        <v>470</v>
      </c>
      <c r="BO444" s="230">
        <f>BJ444+BN444</f>
        <v>7075</v>
      </c>
      <c r="BP444" s="230">
        <f t="shared" si="49"/>
        <v>389.125</v>
      </c>
      <c r="BQ444" s="230">
        <f>BO444*1.055</f>
        <v>7464.125</v>
      </c>
      <c r="BR444" s="222"/>
      <c r="BS444" s="222" t="s">
        <v>388</v>
      </c>
      <c r="BT444" s="279"/>
      <c r="BU444" s="279"/>
      <c r="BV444" s="301" t="s">
        <v>4045</v>
      </c>
      <c r="BW444" s="225" t="s">
        <v>968</v>
      </c>
      <c r="BX444" s="222" t="s">
        <v>618</v>
      </c>
      <c r="BY444" s="301" t="s">
        <v>176</v>
      </c>
    </row>
    <row r="445" spans="1:77" s="33" customFormat="1" ht="13.5" customHeight="1">
      <c r="A445" s="64">
        <f t="shared" si="42"/>
        <v>2022</v>
      </c>
      <c r="B445" s="64">
        <f t="shared" si="43"/>
        <v>7</v>
      </c>
      <c r="C445" s="125" t="s">
        <v>191</v>
      </c>
      <c r="D445" s="168" t="str">
        <f t="shared" si="44"/>
        <v>non maj</v>
      </c>
      <c r="E445" s="264" t="s">
        <v>3302</v>
      </c>
      <c r="F445" s="264" t="s">
        <v>1721</v>
      </c>
      <c r="G445" s="221">
        <v>600</v>
      </c>
      <c r="H445" s="222">
        <v>44701</v>
      </c>
      <c r="I445" s="222">
        <v>44712</v>
      </c>
      <c r="J445" s="275">
        <v>44726</v>
      </c>
      <c r="K445" s="239" t="s">
        <v>3570</v>
      </c>
      <c r="L445" s="222">
        <v>44763</v>
      </c>
      <c r="M445" s="222">
        <v>44763</v>
      </c>
      <c r="N445" s="222">
        <v>44768</v>
      </c>
      <c r="O445" s="279"/>
      <c r="P445" s="222">
        <v>44782</v>
      </c>
      <c r="Q445" s="222">
        <v>44769</v>
      </c>
      <c r="R445" s="222" t="s">
        <v>2957</v>
      </c>
      <c r="S445" s="222">
        <v>44823</v>
      </c>
      <c r="T445" s="222">
        <v>44823</v>
      </c>
      <c r="U445" s="222">
        <v>44824</v>
      </c>
      <c r="V445" s="279"/>
      <c r="W445" s="279"/>
      <c r="X445" s="279"/>
      <c r="Y445" s="222"/>
      <c r="Z445" s="222"/>
      <c r="AA445" s="253">
        <v>2</v>
      </c>
      <c r="AB445" s="225">
        <v>31778</v>
      </c>
      <c r="AC445" s="253">
        <v>615</v>
      </c>
      <c r="AD445" s="222" t="s">
        <v>1995</v>
      </c>
      <c r="AE445" s="253">
        <v>38210</v>
      </c>
      <c r="AF445" s="222" t="s">
        <v>1903</v>
      </c>
      <c r="AG445" s="226">
        <v>695310319</v>
      </c>
      <c r="AH445" s="240" t="s">
        <v>3571</v>
      </c>
      <c r="AI445" s="222" t="s">
        <v>1168</v>
      </c>
      <c r="AJ445" s="279"/>
      <c r="AK445" s="279"/>
      <c r="AL445" s="279"/>
      <c r="AM445" s="279"/>
      <c r="AN445" s="279"/>
      <c r="AO445" s="279"/>
      <c r="AP445" s="280" t="s">
        <v>749</v>
      </c>
      <c r="AQ445" s="252" t="s">
        <v>403</v>
      </c>
      <c r="AR445" s="252" t="s">
        <v>749</v>
      </c>
      <c r="AS445" s="252" t="s">
        <v>3572</v>
      </c>
      <c r="AT445" s="281"/>
      <c r="AU445" s="281" t="s">
        <v>3573</v>
      </c>
      <c r="AV445" s="226" t="s">
        <v>188</v>
      </c>
      <c r="AW445" s="222">
        <v>45073</v>
      </c>
      <c r="AX445" s="222" t="s">
        <v>1879</v>
      </c>
      <c r="AY445" s="242">
        <v>1997</v>
      </c>
      <c r="AZ445" s="225" t="s">
        <v>1880</v>
      </c>
      <c r="BA445" s="225" t="s">
        <v>380</v>
      </c>
      <c r="BB445" s="242" t="s">
        <v>3574</v>
      </c>
      <c r="BC445" s="222" t="s">
        <v>3575</v>
      </c>
      <c r="BD445" s="242">
        <v>21</v>
      </c>
      <c r="BE445" s="242" t="s">
        <v>3576</v>
      </c>
      <c r="BF445" s="242">
        <v>78</v>
      </c>
      <c r="BG445" s="230" t="s">
        <v>3577</v>
      </c>
      <c r="BH445" s="222" t="s">
        <v>1882</v>
      </c>
      <c r="BI445" s="222"/>
      <c r="BJ445" s="230">
        <f>(3214.85-940-185)/1.055</f>
        <v>1980.9004739336492</v>
      </c>
      <c r="BK445" s="230"/>
      <c r="BL445" s="230"/>
      <c r="BM445" s="230"/>
      <c r="BN445" s="230">
        <f>(940+185)/1.055</f>
        <v>1066.350710900474</v>
      </c>
      <c r="BO445" s="230">
        <f>BJ445+BN445</f>
        <v>3047.2511848341233</v>
      </c>
      <c r="BP445" s="230">
        <f>BO445*0.055</f>
        <v>167.59881516587677</v>
      </c>
      <c r="BQ445" s="230">
        <f>BO445+BP445</f>
        <v>3214.85</v>
      </c>
      <c r="BR445" s="230">
        <v>3214.85</v>
      </c>
      <c r="BS445" s="222" t="s">
        <v>188</v>
      </c>
      <c r="BT445" s="279"/>
      <c r="BU445" s="279"/>
      <c r="BV445" s="231" t="s">
        <v>4045</v>
      </c>
      <c r="BW445" s="225" t="s">
        <v>968</v>
      </c>
      <c r="BX445" s="301" t="s">
        <v>620</v>
      </c>
      <c r="BY445" s="301">
        <v>2022</v>
      </c>
    </row>
    <row r="446" spans="1:77" s="33" customFormat="1" ht="13.5" customHeight="1">
      <c r="A446" s="64">
        <f t="shared" si="42"/>
        <v>2022</v>
      </c>
      <c r="B446" s="64">
        <f t="shared" si="43"/>
        <v>7</v>
      </c>
      <c r="C446" s="125" t="s">
        <v>191</v>
      </c>
      <c r="D446" s="168" t="str">
        <f t="shared" si="44"/>
        <v>non maj</v>
      </c>
      <c r="E446" s="222" t="s">
        <v>3302</v>
      </c>
      <c r="F446" s="222" t="s">
        <v>1723</v>
      </c>
      <c r="G446" s="221">
        <v>600</v>
      </c>
      <c r="H446" s="222">
        <v>44706</v>
      </c>
      <c r="I446" s="222">
        <v>44712</v>
      </c>
      <c r="J446" s="275">
        <v>44726</v>
      </c>
      <c r="K446" s="253" t="s">
        <v>3303</v>
      </c>
      <c r="L446" s="222">
        <v>44763</v>
      </c>
      <c r="M446" s="222">
        <v>44763</v>
      </c>
      <c r="N446" s="222">
        <v>44768</v>
      </c>
      <c r="O446" s="279"/>
      <c r="P446" s="279"/>
      <c r="Q446" s="279"/>
      <c r="R446" s="279"/>
      <c r="S446" s="279"/>
      <c r="T446" s="279"/>
      <c r="U446" s="279"/>
      <c r="V446" s="279"/>
      <c r="W446" s="279"/>
      <c r="X446" s="279"/>
      <c r="Y446" s="222"/>
      <c r="Z446" s="222"/>
      <c r="AA446" s="253">
        <v>2</v>
      </c>
      <c r="AB446" s="225">
        <v>64007</v>
      </c>
      <c r="AC446" s="253">
        <v>85</v>
      </c>
      <c r="AD446" s="222" t="s">
        <v>3578</v>
      </c>
      <c r="AE446" s="253">
        <v>38500</v>
      </c>
      <c r="AF446" s="222" t="s">
        <v>271</v>
      </c>
      <c r="AG446" s="226">
        <v>601281324</v>
      </c>
      <c r="AH446" s="240" t="s">
        <v>3579</v>
      </c>
      <c r="AI446" s="222" t="s">
        <v>1168</v>
      </c>
      <c r="AJ446" s="279"/>
      <c r="AK446" s="279"/>
      <c r="AL446" s="279"/>
      <c r="AM446" s="279"/>
      <c r="AN446" s="279"/>
      <c r="AO446" s="279"/>
      <c r="AP446" s="222" t="s">
        <v>587</v>
      </c>
      <c r="AQ446" s="239" t="s">
        <v>3580</v>
      </c>
      <c r="AR446" s="225" t="s">
        <v>587</v>
      </c>
      <c r="AS446" s="240" t="s">
        <v>266</v>
      </c>
      <c r="AT446" s="226">
        <v>476069938</v>
      </c>
      <c r="AU446" s="279" t="s">
        <v>176</v>
      </c>
      <c r="AV446" s="226" t="s">
        <v>188</v>
      </c>
      <c r="AW446" s="222">
        <v>45192</v>
      </c>
      <c r="AX446" s="225" t="s">
        <v>4113</v>
      </c>
      <c r="AY446" s="242">
        <v>2000</v>
      </c>
      <c r="AZ446" s="225" t="s">
        <v>4113</v>
      </c>
      <c r="BA446" s="225" t="s">
        <v>380</v>
      </c>
      <c r="BB446" s="242" t="s">
        <v>1042</v>
      </c>
      <c r="BC446" s="222" t="s">
        <v>3581</v>
      </c>
      <c r="BD446" s="242">
        <v>15</v>
      </c>
      <c r="BE446" s="242">
        <v>12.3</v>
      </c>
      <c r="BF446" s="242">
        <v>84.7</v>
      </c>
      <c r="BG446" s="230">
        <v>74.7</v>
      </c>
      <c r="BH446" s="222" t="s">
        <v>3023</v>
      </c>
      <c r="BI446" s="222"/>
      <c r="BJ446" s="230">
        <f>290+790+990+89+6253+790</f>
        <v>9202</v>
      </c>
      <c r="BK446" s="230"/>
      <c r="BL446" s="230"/>
      <c r="BM446" s="230"/>
      <c r="BN446" s="230">
        <v>690</v>
      </c>
      <c r="BO446" s="230">
        <f>BJ446+BN446</f>
        <v>9892</v>
      </c>
      <c r="BP446" s="230">
        <f t="shared" ref="BP446:BP456" si="50">BO446*0.055</f>
        <v>544.06000000000006</v>
      </c>
      <c r="BQ446" s="230">
        <f t="shared" ref="BQ446:BQ456" si="51">BO446*1.055</f>
        <v>10436.06</v>
      </c>
      <c r="BR446" s="222"/>
      <c r="BS446" s="222" t="s">
        <v>388</v>
      </c>
      <c r="BT446" s="279"/>
      <c r="BU446" s="279"/>
      <c r="BV446" s="301" t="s">
        <v>4045</v>
      </c>
      <c r="BW446" s="225" t="s">
        <v>968</v>
      </c>
      <c r="BX446" s="301" t="s">
        <v>620</v>
      </c>
      <c r="BY446" s="301">
        <v>2022</v>
      </c>
    </row>
    <row r="447" spans="1:77" s="33" customFormat="1" ht="13.5" customHeight="1">
      <c r="A447" s="64">
        <f t="shared" si="42"/>
        <v>2022</v>
      </c>
      <c r="B447" s="64">
        <f t="shared" si="43"/>
        <v>7</v>
      </c>
      <c r="C447" s="125" t="s">
        <v>191</v>
      </c>
      <c r="D447" s="168" t="str">
        <f t="shared" si="44"/>
        <v>non maj</v>
      </c>
      <c r="E447" s="222" t="s">
        <v>3302</v>
      </c>
      <c r="F447" s="222" t="s">
        <v>1725</v>
      </c>
      <c r="G447" s="221">
        <v>600</v>
      </c>
      <c r="H447" s="222">
        <v>44706</v>
      </c>
      <c r="I447" s="222">
        <v>44712</v>
      </c>
      <c r="J447" s="275">
        <v>44726</v>
      </c>
      <c r="K447" s="239" t="s">
        <v>3582</v>
      </c>
      <c r="L447" s="222">
        <v>44763</v>
      </c>
      <c r="M447" s="222">
        <v>44763</v>
      </c>
      <c r="N447" s="222">
        <v>44768</v>
      </c>
      <c r="O447" s="279"/>
      <c r="P447" s="222">
        <v>44951</v>
      </c>
      <c r="Q447" s="279"/>
      <c r="R447" s="279"/>
      <c r="S447" s="279"/>
      <c r="T447" s="279"/>
      <c r="U447" s="279"/>
      <c r="V447" s="279"/>
      <c r="W447" s="279"/>
      <c r="X447" s="279"/>
      <c r="Y447" s="222"/>
      <c r="Z447" s="222"/>
      <c r="AA447" s="253">
        <v>2</v>
      </c>
      <c r="AB447" s="225">
        <v>61744</v>
      </c>
      <c r="AC447" s="253">
        <v>370</v>
      </c>
      <c r="AD447" s="222" t="s">
        <v>3583</v>
      </c>
      <c r="AE447" s="253">
        <v>38340</v>
      </c>
      <c r="AF447" s="222" t="s">
        <v>232</v>
      </c>
      <c r="AG447" s="226">
        <v>674282398</v>
      </c>
      <c r="AH447" s="240" t="s">
        <v>3584</v>
      </c>
      <c r="AI447" s="222" t="s">
        <v>1168</v>
      </c>
      <c r="AJ447" s="279"/>
      <c r="AK447" s="279"/>
      <c r="AL447" s="279"/>
      <c r="AM447" s="279"/>
      <c r="AN447" s="279"/>
      <c r="AO447" s="279"/>
      <c r="AP447" s="225" t="s">
        <v>2052</v>
      </c>
      <c r="AQ447" s="225" t="s">
        <v>232</v>
      </c>
      <c r="AR447" s="225" t="s">
        <v>233</v>
      </c>
      <c r="AS447" s="227" t="s">
        <v>3585</v>
      </c>
      <c r="AT447" s="226">
        <v>476500550</v>
      </c>
      <c r="AU447" s="225" t="s">
        <v>176</v>
      </c>
      <c r="AV447" s="241" t="s">
        <v>188</v>
      </c>
      <c r="AW447" s="223">
        <v>44740</v>
      </c>
      <c r="AX447" s="225" t="s">
        <v>1879</v>
      </c>
      <c r="AY447" s="242">
        <v>1980</v>
      </c>
      <c r="AZ447" s="225" t="s">
        <v>1880</v>
      </c>
      <c r="BA447" s="225" t="s">
        <v>380</v>
      </c>
      <c r="BB447" s="222" t="s">
        <v>270</v>
      </c>
      <c r="BC447" s="222" t="s">
        <v>3586</v>
      </c>
      <c r="BD447" s="242">
        <v>26</v>
      </c>
      <c r="BE447" s="242">
        <v>4</v>
      </c>
      <c r="BF447" s="242" t="s">
        <v>3587</v>
      </c>
      <c r="BG447" s="230" t="s">
        <v>3588</v>
      </c>
      <c r="BH447" s="222" t="s">
        <v>1882</v>
      </c>
      <c r="BI447" s="222"/>
      <c r="BJ447" s="230">
        <f>505.75+285.2+393.7+71.09+196.53+650.34+3050+245.3</f>
        <v>5397.9100000000008</v>
      </c>
      <c r="BK447" s="230"/>
      <c r="BL447" s="230"/>
      <c r="BM447" s="230"/>
      <c r="BN447" s="230">
        <v>800</v>
      </c>
      <c r="BO447" s="230">
        <f>BJ447+BN447-284.36</f>
        <v>5913.5500000000011</v>
      </c>
      <c r="BP447" s="230">
        <f t="shared" si="50"/>
        <v>325.24525000000006</v>
      </c>
      <c r="BQ447" s="230">
        <f t="shared" si="51"/>
        <v>6238.795250000001</v>
      </c>
      <c r="BR447" s="222"/>
      <c r="BS447" s="222" t="s">
        <v>191</v>
      </c>
      <c r="BT447" s="279"/>
      <c r="BU447" s="279"/>
      <c r="BV447" s="301" t="s">
        <v>4045</v>
      </c>
      <c r="BW447" s="225" t="s">
        <v>968</v>
      </c>
      <c r="BX447" s="301" t="s">
        <v>620</v>
      </c>
      <c r="BY447" s="301">
        <v>2022</v>
      </c>
    </row>
    <row r="448" spans="1:77" s="33" customFormat="1" ht="13.5" customHeight="1">
      <c r="A448" s="64">
        <f t="shared" si="42"/>
        <v>2022</v>
      </c>
      <c r="B448" s="64">
        <f t="shared" si="43"/>
        <v>8</v>
      </c>
      <c r="C448" s="125" t="s">
        <v>191</v>
      </c>
      <c r="D448" s="168" t="str">
        <f t="shared" si="44"/>
        <v>non maj</v>
      </c>
      <c r="E448" s="272" t="s">
        <v>3302</v>
      </c>
      <c r="F448" s="272" t="s">
        <v>1726</v>
      </c>
      <c r="G448" s="221">
        <v>600</v>
      </c>
      <c r="H448" s="222">
        <v>44711</v>
      </c>
      <c r="I448" s="222">
        <v>44712</v>
      </c>
      <c r="J448" s="275">
        <v>44726</v>
      </c>
      <c r="K448" s="239" t="s">
        <v>3589</v>
      </c>
      <c r="L448" s="222">
        <v>44777</v>
      </c>
      <c r="M448" s="222">
        <v>44777</v>
      </c>
      <c r="N448" s="222">
        <v>44778</v>
      </c>
      <c r="O448" s="279"/>
      <c r="P448" s="222">
        <v>44888</v>
      </c>
      <c r="Q448" s="272">
        <v>44824</v>
      </c>
      <c r="R448" s="222" t="s">
        <v>3590</v>
      </c>
      <c r="S448" s="222">
        <v>44932</v>
      </c>
      <c r="T448" s="222">
        <v>44932</v>
      </c>
      <c r="U448" s="279"/>
      <c r="V448" s="279"/>
      <c r="W448" s="279"/>
      <c r="X448" s="279"/>
      <c r="Y448" s="222"/>
      <c r="Z448" s="222"/>
      <c r="AA448" s="253">
        <v>1</v>
      </c>
      <c r="AB448" s="225">
        <v>21420</v>
      </c>
      <c r="AC448" s="253">
        <v>41</v>
      </c>
      <c r="AD448" s="222" t="s">
        <v>1885</v>
      </c>
      <c r="AE448" s="253">
        <v>38620</v>
      </c>
      <c r="AF448" s="222" t="s">
        <v>2010</v>
      </c>
      <c r="AG448" s="226">
        <v>606491068</v>
      </c>
      <c r="AH448" s="240" t="s">
        <v>3591</v>
      </c>
      <c r="AI448" s="222" t="s">
        <v>1168</v>
      </c>
      <c r="AJ448" s="279"/>
      <c r="AK448" s="279"/>
      <c r="AL448" s="279"/>
      <c r="AM448" s="279"/>
      <c r="AN448" s="279"/>
      <c r="AO448" s="279"/>
      <c r="AP448" s="225" t="s">
        <v>2762</v>
      </c>
      <c r="AQ448" s="225" t="s">
        <v>1018</v>
      </c>
      <c r="AR448" s="225" t="s">
        <v>3333</v>
      </c>
      <c r="AS448" s="227" t="s">
        <v>1019</v>
      </c>
      <c r="AT448" s="226" t="s">
        <v>3072</v>
      </c>
      <c r="AU448" s="225" t="s">
        <v>176</v>
      </c>
      <c r="AV448" s="241" t="s">
        <v>188</v>
      </c>
      <c r="AW448" s="223">
        <v>44731</v>
      </c>
      <c r="AX448" s="225" t="s">
        <v>4113</v>
      </c>
      <c r="AY448" s="242">
        <v>1992</v>
      </c>
      <c r="AZ448" s="225" t="s">
        <v>1880</v>
      </c>
      <c r="BA448" s="225" t="s">
        <v>267</v>
      </c>
      <c r="BB448" s="242" t="s">
        <v>994</v>
      </c>
      <c r="BC448" s="222" t="s">
        <v>3592</v>
      </c>
      <c r="BD448" s="242">
        <v>16</v>
      </c>
      <c r="BE448" s="242">
        <v>9</v>
      </c>
      <c r="BF448" s="242" t="s">
        <v>3593</v>
      </c>
      <c r="BG448" s="230" t="s">
        <v>3594</v>
      </c>
      <c r="BH448" s="222" t="s">
        <v>1882</v>
      </c>
      <c r="BI448" s="222"/>
      <c r="BJ448" s="230">
        <f>3824.15+957+395</f>
        <v>5176.1499999999996</v>
      </c>
      <c r="BK448" s="230"/>
      <c r="BL448" s="230"/>
      <c r="BM448" s="230"/>
      <c r="BN448" s="230">
        <v>500</v>
      </c>
      <c r="BO448" s="230">
        <f>BJ448+BN448-462.88</f>
        <v>5213.2699999999995</v>
      </c>
      <c r="BP448" s="230">
        <f t="shared" si="50"/>
        <v>286.72985</v>
      </c>
      <c r="BQ448" s="230">
        <f t="shared" si="51"/>
        <v>5499.9998499999992</v>
      </c>
      <c r="BR448" s="230">
        <v>5500</v>
      </c>
      <c r="BS448" s="222" t="s">
        <v>188</v>
      </c>
      <c r="BT448" s="279"/>
      <c r="BU448" s="279"/>
      <c r="BV448" s="301" t="s">
        <v>4045</v>
      </c>
      <c r="BW448" s="225" t="s">
        <v>968</v>
      </c>
      <c r="BX448" s="301" t="s">
        <v>620</v>
      </c>
      <c r="BY448" s="301" t="s">
        <v>176</v>
      </c>
    </row>
    <row r="449" spans="1:77" s="33" customFormat="1" ht="13.5" customHeight="1">
      <c r="A449" s="64">
        <f t="shared" si="42"/>
        <v>2022</v>
      </c>
      <c r="B449" s="64">
        <f t="shared" si="43"/>
        <v>6</v>
      </c>
      <c r="C449" s="125" t="s">
        <v>191</v>
      </c>
      <c r="D449" s="168" t="str">
        <f t="shared" si="44"/>
        <v>maj</v>
      </c>
      <c r="E449" s="222" t="s">
        <v>3302</v>
      </c>
      <c r="F449" s="222" t="s">
        <v>3595</v>
      </c>
      <c r="G449" s="221">
        <v>1000</v>
      </c>
      <c r="H449" s="222">
        <v>44711</v>
      </c>
      <c r="I449" s="222">
        <v>44712</v>
      </c>
      <c r="J449" s="275" t="s">
        <v>176</v>
      </c>
      <c r="K449" s="253" t="s">
        <v>176</v>
      </c>
      <c r="L449" s="222">
        <v>44733</v>
      </c>
      <c r="M449" s="222">
        <v>44733</v>
      </c>
      <c r="N449" s="222">
        <v>44749</v>
      </c>
      <c r="O449" s="279"/>
      <c r="P449" s="222">
        <v>44777</v>
      </c>
      <c r="Q449" s="222"/>
      <c r="R449" s="222" t="s">
        <v>2957</v>
      </c>
      <c r="S449" s="279"/>
      <c r="T449" s="279"/>
      <c r="U449" s="279"/>
      <c r="V449" s="279"/>
      <c r="W449" s="279"/>
      <c r="X449" s="279"/>
      <c r="Y449" s="222"/>
      <c r="Z449" s="222"/>
      <c r="AA449" s="253">
        <v>1</v>
      </c>
      <c r="AB449" s="225">
        <v>17151</v>
      </c>
      <c r="AC449" s="253">
        <v>718</v>
      </c>
      <c r="AD449" s="222" t="s">
        <v>3596</v>
      </c>
      <c r="AE449" s="253">
        <v>38850</v>
      </c>
      <c r="AF449" s="222" t="s">
        <v>1931</v>
      </c>
      <c r="AG449" s="226">
        <v>699233968</v>
      </c>
      <c r="AH449" s="240" t="s">
        <v>3597</v>
      </c>
      <c r="AI449" s="222" t="s">
        <v>1168</v>
      </c>
      <c r="AJ449" s="279"/>
      <c r="AK449" s="279"/>
      <c r="AL449" s="279"/>
      <c r="AM449" s="279"/>
      <c r="AN449" s="279"/>
      <c r="AO449" s="279"/>
      <c r="AP449" s="222" t="s">
        <v>587</v>
      </c>
      <c r="AQ449" s="239" t="s">
        <v>3580</v>
      </c>
      <c r="AR449" s="225" t="s">
        <v>587</v>
      </c>
      <c r="AS449" s="240" t="s">
        <v>266</v>
      </c>
      <c r="AT449" s="226">
        <v>476069938</v>
      </c>
      <c r="AU449" s="279" t="s">
        <v>176</v>
      </c>
      <c r="AV449" s="226" t="s">
        <v>188</v>
      </c>
      <c r="AW449" s="222">
        <v>45192</v>
      </c>
      <c r="AX449" s="225" t="s">
        <v>4113</v>
      </c>
      <c r="AY449" s="242">
        <v>1991</v>
      </c>
      <c r="AZ449" s="225" t="s">
        <v>1880</v>
      </c>
      <c r="BA449" s="225" t="s">
        <v>267</v>
      </c>
      <c r="BB449" s="242" t="s">
        <v>433</v>
      </c>
      <c r="BC449" s="222" t="s">
        <v>3598</v>
      </c>
      <c r="BD449" s="242">
        <v>14</v>
      </c>
      <c r="BE449" s="242">
        <v>9.5</v>
      </c>
      <c r="BF449" s="242">
        <v>92.58</v>
      </c>
      <c r="BG449" s="230">
        <v>128</v>
      </c>
      <c r="BH449" s="222" t="s">
        <v>3023</v>
      </c>
      <c r="BI449" s="222"/>
      <c r="BJ449" s="230">
        <f>2511+630+175+430+390+110+3802</f>
        <v>8048</v>
      </c>
      <c r="BK449" s="230"/>
      <c r="BL449" s="230"/>
      <c r="BM449" s="230"/>
      <c r="BN449" s="230">
        <v>690</v>
      </c>
      <c r="BO449" s="230">
        <f>BJ449+BN449</f>
        <v>8738</v>
      </c>
      <c r="BP449" s="230">
        <f t="shared" si="50"/>
        <v>480.59</v>
      </c>
      <c r="BQ449" s="230">
        <f t="shared" si="51"/>
        <v>9218.59</v>
      </c>
      <c r="BR449" s="222"/>
      <c r="BS449" s="222" t="s">
        <v>191</v>
      </c>
      <c r="BT449" s="279"/>
      <c r="BU449" s="279"/>
      <c r="BV449" s="301" t="s">
        <v>4045</v>
      </c>
      <c r="BW449" s="225" t="s">
        <v>968</v>
      </c>
      <c r="BX449" s="222" t="s">
        <v>618</v>
      </c>
      <c r="BY449" s="301" t="s">
        <v>176</v>
      </c>
    </row>
    <row r="450" spans="1:77" s="33" customFormat="1" ht="13.5" customHeight="1">
      <c r="A450" s="64">
        <f t="shared" si="42"/>
        <v>2022</v>
      </c>
      <c r="B450" s="64">
        <f t="shared" si="43"/>
        <v>9</v>
      </c>
      <c r="C450" s="125" t="s">
        <v>191</v>
      </c>
      <c r="D450" s="168" t="str">
        <f t="shared" si="44"/>
        <v>maj</v>
      </c>
      <c r="E450" s="264" t="s">
        <v>3302</v>
      </c>
      <c r="F450" s="264" t="s">
        <v>1727</v>
      </c>
      <c r="G450" s="221">
        <v>1000</v>
      </c>
      <c r="H450" s="222">
        <v>44711</v>
      </c>
      <c r="I450" s="222">
        <v>44712</v>
      </c>
      <c r="J450" s="275">
        <v>44733</v>
      </c>
      <c r="K450" s="239" t="s">
        <v>3599</v>
      </c>
      <c r="L450" s="222">
        <v>44832</v>
      </c>
      <c r="M450" s="222">
        <v>44832</v>
      </c>
      <c r="N450" s="222">
        <v>44837</v>
      </c>
      <c r="O450" s="279"/>
      <c r="P450" s="222">
        <v>44901</v>
      </c>
      <c r="Q450" s="222">
        <v>44851</v>
      </c>
      <c r="R450" s="222" t="s">
        <v>176</v>
      </c>
      <c r="S450" s="222">
        <v>44915</v>
      </c>
      <c r="T450" s="222">
        <v>44915</v>
      </c>
      <c r="U450" s="222">
        <v>44932</v>
      </c>
      <c r="V450" s="279"/>
      <c r="W450" s="279"/>
      <c r="X450" s="279"/>
      <c r="Y450" s="222"/>
      <c r="Z450" s="222"/>
      <c r="AA450" s="253">
        <v>1</v>
      </c>
      <c r="AB450" s="225">
        <v>15307</v>
      </c>
      <c r="AC450" s="253">
        <v>224</v>
      </c>
      <c r="AD450" s="222" t="s">
        <v>3600</v>
      </c>
      <c r="AE450" s="253">
        <v>38430</v>
      </c>
      <c r="AF450" s="225" t="s">
        <v>2081</v>
      </c>
      <c r="AG450" s="226">
        <v>476058984</v>
      </c>
      <c r="AH450" s="240" t="s">
        <v>3601</v>
      </c>
      <c r="AI450" s="222" t="s">
        <v>1168</v>
      </c>
      <c r="AJ450" s="222"/>
      <c r="AK450" s="222"/>
      <c r="AL450" s="222"/>
      <c r="AM450" s="222"/>
      <c r="AN450" s="222"/>
      <c r="AO450" s="222"/>
      <c r="AP450" s="225" t="s">
        <v>1888</v>
      </c>
      <c r="AQ450" s="222" t="s">
        <v>225</v>
      </c>
      <c r="AR450" s="222" t="s">
        <v>419</v>
      </c>
      <c r="AS450" s="240" t="s">
        <v>3602</v>
      </c>
      <c r="AT450" s="226">
        <v>476071461</v>
      </c>
      <c r="AU450" s="222" t="s">
        <v>176</v>
      </c>
      <c r="AV450" s="222" t="s">
        <v>188</v>
      </c>
      <c r="AW450" s="222">
        <v>44868</v>
      </c>
      <c r="AX450" s="225" t="s">
        <v>4113</v>
      </c>
      <c r="AY450" s="242">
        <v>1980</v>
      </c>
      <c r="AZ450" s="225" t="s">
        <v>1880</v>
      </c>
      <c r="BA450" s="225" t="s">
        <v>380</v>
      </c>
      <c r="BB450" s="242" t="s">
        <v>777</v>
      </c>
      <c r="BC450" s="222" t="s">
        <v>3603</v>
      </c>
      <c r="BD450" s="242">
        <v>22</v>
      </c>
      <c r="BE450" s="242">
        <v>7</v>
      </c>
      <c r="BF450" s="242">
        <v>80</v>
      </c>
      <c r="BG450" s="230" t="s">
        <v>3604</v>
      </c>
      <c r="BH450" s="222" t="s">
        <v>1882</v>
      </c>
      <c r="BI450" s="222"/>
      <c r="BJ450" s="230">
        <f>2808+490+101+132+60+60+90+22+47+45+168</f>
        <v>4023</v>
      </c>
      <c r="BK450" s="230"/>
      <c r="BL450" s="230"/>
      <c r="BM450" s="230"/>
      <c r="BN450" s="230">
        <f>15+35+420+30</f>
        <v>500</v>
      </c>
      <c r="BO450" s="230">
        <f>BJ450+BN450-600</f>
        <v>3923</v>
      </c>
      <c r="BP450" s="230">
        <f t="shared" si="50"/>
        <v>215.76500000000001</v>
      </c>
      <c r="BQ450" s="230">
        <f t="shared" si="51"/>
        <v>4138.7649999999994</v>
      </c>
      <c r="BR450" s="230">
        <v>4138.7700000000004</v>
      </c>
      <c r="BS450" s="222" t="s">
        <v>191</v>
      </c>
      <c r="BT450" s="279"/>
      <c r="BU450" s="279"/>
      <c r="BV450" s="301" t="s">
        <v>4045</v>
      </c>
      <c r="BW450" s="225" t="s">
        <v>968</v>
      </c>
      <c r="BX450" s="222" t="s">
        <v>618</v>
      </c>
      <c r="BY450" s="301">
        <v>2022</v>
      </c>
    </row>
    <row r="451" spans="1:77" s="33" customFormat="1" ht="13.5" customHeight="1">
      <c r="A451" s="64">
        <f t="shared" ref="A451:A514" si="52">YEAR(L451)</f>
        <v>2022</v>
      </c>
      <c r="B451" s="64">
        <f t="shared" ref="B451:B514" si="53">MONTH(L451)</f>
        <v>7</v>
      </c>
      <c r="C451" s="125" t="s">
        <v>191</v>
      </c>
      <c r="D451" s="168" t="str">
        <f t="shared" ref="D451:D514" si="54">BX451</f>
        <v>maj</v>
      </c>
      <c r="E451" s="222" t="s">
        <v>3302</v>
      </c>
      <c r="F451" s="222" t="s">
        <v>1728</v>
      </c>
      <c r="G451" s="221">
        <v>1000</v>
      </c>
      <c r="H451" s="222">
        <v>44711</v>
      </c>
      <c r="I451" s="222">
        <v>44715</v>
      </c>
      <c r="J451" s="275">
        <v>44733</v>
      </c>
      <c r="K451" s="239" t="s">
        <v>3605</v>
      </c>
      <c r="L451" s="222">
        <v>44770</v>
      </c>
      <c r="M451" s="222">
        <v>44740</v>
      </c>
      <c r="N451" s="222">
        <v>44749</v>
      </c>
      <c r="O451" s="279"/>
      <c r="P451" s="279"/>
      <c r="Q451" s="279"/>
      <c r="R451" s="279"/>
      <c r="S451" s="279"/>
      <c r="T451" s="279"/>
      <c r="U451" s="279"/>
      <c r="V451" s="279"/>
      <c r="W451" s="279"/>
      <c r="X451" s="279"/>
      <c r="Y451" s="222"/>
      <c r="Z451" s="222"/>
      <c r="AA451" s="253">
        <v>3</v>
      </c>
      <c r="AB451" s="225">
        <v>30335</v>
      </c>
      <c r="AC451" s="253">
        <v>20</v>
      </c>
      <c r="AD451" s="222" t="s">
        <v>3606</v>
      </c>
      <c r="AE451" s="253">
        <v>38490</v>
      </c>
      <c r="AF451" s="222" t="s">
        <v>1018</v>
      </c>
      <c r="AG451" s="226">
        <v>674410488</v>
      </c>
      <c r="AH451" s="234" t="s">
        <v>3607</v>
      </c>
      <c r="AI451" s="222" t="s">
        <v>1168</v>
      </c>
      <c r="AJ451" s="222"/>
      <c r="AK451" s="222"/>
      <c r="AL451" s="222"/>
      <c r="AM451" s="222"/>
      <c r="AN451" s="222"/>
      <c r="AO451" s="222"/>
      <c r="AP451" s="222" t="s">
        <v>2762</v>
      </c>
      <c r="AQ451" s="222" t="s">
        <v>1018</v>
      </c>
      <c r="AR451" s="222" t="s">
        <v>3473</v>
      </c>
      <c r="AS451" s="240" t="s">
        <v>3071</v>
      </c>
      <c r="AT451" s="226">
        <v>476663386</v>
      </c>
      <c r="AU451" s="225" t="s">
        <v>176</v>
      </c>
      <c r="AV451" s="241" t="s">
        <v>188</v>
      </c>
      <c r="AW451" s="223">
        <v>44731</v>
      </c>
      <c r="AX451" s="225" t="s">
        <v>1880</v>
      </c>
      <c r="AY451" s="242" t="s">
        <v>176</v>
      </c>
      <c r="AZ451" s="225" t="s">
        <v>1880</v>
      </c>
      <c r="BA451" s="225" t="s">
        <v>380</v>
      </c>
      <c r="BB451" s="242" t="s">
        <v>994</v>
      </c>
      <c r="BC451" s="222" t="s">
        <v>3608</v>
      </c>
      <c r="BD451" s="242">
        <v>32</v>
      </c>
      <c r="BE451" s="242" t="s">
        <v>3609</v>
      </c>
      <c r="BF451" s="242">
        <v>76</v>
      </c>
      <c r="BG451" s="230" t="s">
        <v>3610</v>
      </c>
      <c r="BH451" s="222" t="s">
        <v>1882</v>
      </c>
      <c r="BI451" s="222"/>
      <c r="BJ451" s="230">
        <f>1826.19+135+360+320+70+385+112+148+420</f>
        <v>3776.19</v>
      </c>
      <c r="BK451" s="230"/>
      <c r="BL451" s="230"/>
      <c r="BM451" s="230"/>
      <c r="BN451" s="230">
        <v>400</v>
      </c>
      <c r="BO451" s="230">
        <f>BJ451+BN451</f>
        <v>4176.1900000000005</v>
      </c>
      <c r="BP451" s="230">
        <f t="shared" si="50"/>
        <v>229.69045000000003</v>
      </c>
      <c r="BQ451" s="230">
        <f t="shared" si="51"/>
        <v>4405.8804500000006</v>
      </c>
      <c r="BR451" s="222"/>
      <c r="BS451" s="222" t="s">
        <v>191</v>
      </c>
      <c r="BT451" s="279"/>
      <c r="BU451" s="279"/>
      <c r="BV451" s="301" t="s">
        <v>4045</v>
      </c>
      <c r="BW451" s="225" t="s">
        <v>968</v>
      </c>
      <c r="BX451" s="222" t="s">
        <v>618</v>
      </c>
      <c r="BY451" s="301">
        <v>2022</v>
      </c>
    </row>
    <row r="452" spans="1:77" s="33" customFormat="1" ht="13.5" customHeight="1">
      <c r="A452" s="64">
        <f t="shared" si="52"/>
        <v>2022</v>
      </c>
      <c r="B452" s="64">
        <f t="shared" si="53"/>
        <v>6</v>
      </c>
      <c r="C452" s="125" t="s">
        <v>191</v>
      </c>
      <c r="D452" s="168" t="str">
        <f t="shared" si="54"/>
        <v>non maj</v>
      </c>
      <c r="E452" s="264" t="s">
        <v>3302</v>
      </c>
      <c r="F452" s="264" t="s">
        <v>1729</v>
      </c>
      <c r="G452" s="221">
        <v>600</v>
      </c>
      <c r="H452" s="222">
        <v>44712</v>
      </c>
      <c r="I452" s="222">
        <v>44715</v>
      </c>
      <c r="J452" s="275" t="s">
        <v>176</v>
      </c>
      <c r="K452" s="253" t="s">
        <v>176</v>
      </c>
      <c r="L452" s="222">
        <v>44733</v>
      </c>
      <c r="M452" s="222">
        <v>44733</v>
      </c>
      <c r="N452" s="222">
        <v>44749</v>
      </c>
      <c r="O452" s="279"/>
      <c r="P452" s="222">
        <v>44889</v>
      </c>
      <c r="Q452" s="222">
        <v>44832</v>
      </c>
      <c r="R452" s="222" t="s">
        <v>2957</v>
      </c>
      <c r="S452" s="222">
        <v>44925</v>
      </c>
      <c r="T452" s="222">
        <v>44925</v>
      </c>
      <c r="U452" s="222">
        <v>44932</v>
      </c>
      <c r="V452" s="279"/>
      <c r="W452" s="279"/>
      <c r="X452" s="279"/>
      <c r="Y452" s="222"/>
      <c r="Z452" s="222"/>
      <c r="AA452" s="253">
        <v>3</v>
      </c>
      <c r="AB452" s="225">
        <v>42710</v>
      </c>
      <c r="AC452" s="253">
        <v>2054</v>
      </c>
      <c r="AD452" s="222" t="s">
        <v>3611</v>
      </c>
      <c r="AE452" s="253">
        <v>38620</v>
      </c>
      <c r="AF452" s="225" t="s">
        <v>2382</v>
      </c>
      <c r="AG452" s="226">
        <v>678272171</v>
      </c>
      <c r="AH452" s="240" t="s">
        <v>3612</v>
      </c>
      <c r="AI452" s="222" t="s">
        <v>1168</v>
      </c>
      <c r="AJ452" s="222"/>
      <c r="AK452" s="222"/>
      <c r="AL452" s="222"/>
      <c r="AM452" s="222"/>
      <c r="AN452" s="222"/>
      <c r="AO452" s="222"/>
      <c r="AP452" s="225" t="s">
        <v>3613</v>
      </c>
      <c r="AQ452" s="222" t="s">
        <v>1875</v>
      </c>
      <c r="AR452" s="222" t="s">
        <v>3614</v>
      </c>
      <c r="AS452" s="240" t="s">
        <v>3565</v>
      </c>
      <c r="AT452" s="226">
        <v>476370350</v>
      </c>
      <c r="AU452" s="222" t="s">
        <v>176</v>
      </c>
      <c r="AV452" s="222" t="s">
        <v>188</v>
      </c>
      <c r="AW452" s="222">
        <v>45172</v>
      </c>
      <c r="AX452" s="225" t="s">
        <v>4113</v>
      </c>
      <c r="AY452" s="242">
        <v>1995</v>
      </c>
      <c r="AZ452" s="225" t="s">
        <v>1880</v>
      </c>
      <c r="BA452" s="225" t="s">
        <v>267</v>
      </c>
      <c r="BB452" s="242" t="s">
        <v>3566</v>
      </c>
      <c r="BC452" s="222" t="s">
        <v>3615</v>
      </c>
      <c r="BD452" s="242">
        <v>15</v>
      </c>
      <c r="BE452" s="242">
        <v>12</v>
      </c>
      <c r="BF452" s="242" t="s">
        <v>3501</v>
      </c>
      <c r="BG452" s="230" t="s">
        <v>3616</v>
      </c>
      <c r="BH452" s="222" t="s">
        <v>1882</v>
      </c>
      <c r="BI452" s="222"/>
      <c r="BJ452" s="230">
        <f>4820+1496+128+463+235+295+156</f>
        <v>7593</v>
      </c>
      <c r="BK452" s="230"/>
      <c r="BL452" s="230"/>
      <c r="BM452" s="230"/>
      <c r="BN452" s="230">
        <v>790</v>
      </c>
      <c r="BO452" s="230">
        <f>BJ452+BN452</f>
        <v>8383</v>
      </c>
      <c r="BP452" s="230">
        <f t="shared" si="50"/>
        <v>461.065</v>
      </c>
      <c r="BQ452" s="230">
        <f t="shared" si="51"/>
        <v>8844.0649999999987</v>
      </c>
      <c r="BR452" s="230">
        <v>8844.06</v>
      </c>
      <c r="BS452" s="222" t="s">
        <v>188</v>
      </c>
      <c r="BT452" s="279"/>
      <c r="BU452" s="279"/>
      <c r="BV452" s="301" t="s">
        <v>4045</v>
      </c>
      <c r="BW452" s="225" t="s">
        <v>968</v>
      </c>
      <c r="BX452" s="301" t="s">
        <v>620</v>
      </c>
      <c r="BY452" s="301" t="s">
        <v>176</v>
      </c>
    </row>
    <row r="453" spans="1:77" s="33" customFormat="1" ht="13.5" customHeight="1">
      <c r="A453" s="64">
        <f t="shared" si="52"/>
        <v>2022</v>
      </c>
      <c r="B453" s="64">
        <f t="shared" si="53"/>
        <v>6</v>
      </c>
      <c r="C453" s="125" t="s">
        <v>191</v>
      </c>
      <c r="D453" s="168" t="str">
        <f t="shared" si="54"/>
        <v>non maj</v>
      </c>
      <c r="E453" s="222" t="s">
        <v>3302</v>
      </c>
      <c r="F453" s="222" t="s">
        <v>1730</v>
      </c>
      <c r="G453" s="221">
        <v>600</v>
      </c>
      <c r="H453" s="222">
        <v>44715</v>
      </c>
      <c r="I453" s="222">
        <v>44720</v>
      </c>
      <c r="J453" s="275">
        <v>44733</v>
      </c>
      <c r="K453" s="239" t="s">
        <v>3617</v>
      </c>
      <c r="L453" s="222">
        <v>44739</v>
      </c>
      <c r="M453" s="222">
        <v>44739</v>
      </c>
      <c r="N453" s="222">
        <v>44749</v>
      </c>
      <c r="O453" s="279"/>
      <c r="P453" s="279"/>
      <c r="Q453" s="279"/>
      <c r="R453" s="279"/>
      <c r="S453" s="279"/>
      <c r="T453" s="279"/>
      <c r="U453" s="279"/>
      <c r="V453" s="279"/>
      <c r="W453" s="279"/>
      <c r="X453" s="279"/>
      <c r="Y453" s="222"/>
      <c r="Z453" s="253"/>
      <c r="AA453" s="267">
        <v>4</v>
      </c>
      <c r="AB453" s="225">
        <v>70082</v>
      </c>
      <c r="AC453" s="253">
        <v>40</v>
      </c>
      <c r="AD453" s="222" t="s">
        <v>2522</v>
      </c>
      <c r="AE453" s="253">
        <v>38500</v>
      </c>
      <c r="AF453" s="222" t="s">
        <v>271</v>
      </c>
      <c r="AG453" s="226">
        <v>648200239</v>
      </c>
      <c r="AH453" s="240" t="s">
        <v>3618</v>
      </c>
      <c r="AI453" s="222" t="s">
        <v>1168</v>
      </c>
      <c r="AJ453" s="222"/>
      <c r="AK453" s="222"/>
      <c r="AL453" s="222"/>
      <c r="AM453" s="222"/>
      <c r="AN453" s="222"/>
      <c r="AO453" s="222"/>
      <c r="AP453" s="225" t="s">
        <v>1888</v>
      </c>
      <c r="AQ453" s="239" t="s">
        <v>446</v>
      </c>
      <c r="AR453" s="225" t="s">
        <v>1889</v>
      </c>
      <c r="AS453" s="278" t="s">
        <v>269</v>
      </c>
      <c r="AT453" s="226" t="s">
        <v>600</v>
      </c>
      <c r="AU453" s="279"/>
      <c r="AV453" s="226" t="s">
        <v>388</v>
      </c>
      <c r="AW453" s="222">
        <v>44868</v>
      </c>
      <c r="AX453" s="222" t="s">
        <v>1879</v>
      </c>
      <c r="AY453" s="242">
        <v>1990</v>
      </c>
      <c r="AZ453" s="225" t="s">
        <v>1880</v>
      </c>
      <c r="BA453" s="225" t="s">
        <v>380</v>
      </c>
      <c r="BB453" s="242" t="s">
        <v>3619</v>
      </c>
      <c r="BC453" s="222" t="s">
        <v>1048</v>
      </c>
      <c r="BD453" s="242">
        <v>22</v>
      </c>
      <c r="BE453" s="242">
        <v>7</v>
      </c>
      <c r="BF453" s="242">
        <v>80</v>
      </c>
      <c r="BG453" s="222" t="s">
        <v>3620</v>
      </c>
      <c r="BH453" s="222" t="s">
        <v>1882</v>
      </c>
      <c r="BI453" s="222"/>
      <c r="BJ453" s="230">
        <f>3213.92+350+101+88+85+168+558.76</f>
        <v>4564.68</v>
      </c>
      <c r="BK453" s="230"/>
      <c r="BL453" s="230"/>
      <c r="BM453" s="230"/>
      <c r="BN453" s="230">
        <f>15+30+455</f>
        <v>500</v>
      </c>
      <c r="BO453" s="230">
        <f>BJ453+BN453-582.57</f>
        <v>4482.1100000000006</v>
      </c>
      <c r="BP453" s="230">
        <f t="shared" si="50"/>
        <v>246.51605000000004</v>
      </c>
      <c r="BQ453" s="230">
        <f t="shared" si="51"/>
        <v>4728.6260500000008</v>
      </c>
      <c r="BR453" s="222"/>
      <c r="BS453" s="222" t="s">
        <v>188</v>
      </c>
      <c r="BT453" s="279"/>
      <c r="BU453" s="279"/>
      <c r="BV453" s="301" t="s">
        <v>4045</v>
      </c>
      <c r="BW453" s="225" t="s">
        <v>968</v>
      </c>
      <c r="BX453" s="301" t="s">
        <v>620</v>
      </c>
      <c r="BY453" s="301">
        <v>2022</v>
      </c>
    </row>
    <row r="454" spans="1:77" s="33" customFormat="1" ht="13.5" customHeight="1">
      <c r="A454" s="64">
        <f t="shared" si="52"/>
        <v>2022</v>
      </c>
      <c r="B454" s="64">
        <f t="shared" si="53"/>
        <v>6</v>
      </c>
      <c r="C454" s="125" t="s">
        <v>191</v>
      </c>
      <c r="D454" s="168" t="str">
        <f t="shared" si="54"/>
        <v>non maj</v>
      </c>
      <c r="E454" s="264" t="s">
        <v>3302</v>
      </c>
      <c r="F454" s="264" t="s">
        <v>1731</v>
      </c>
      <c r="G454" s="221">
        <v>600</v>
      </c>
      <c r="H454" s="222">
        <v>44718</v>
      </c>
      <c r="I454" s="222">
        <v>44720</v>
      </c>
      <c r="J454" s="275">
        <v>44733</v>
      </c>
      <c r="K454" s="239" t="s">
        <v>1061</v>
      </c>
      <c r="L454" s="222">
        <v>44736</v>
      </c>
      <c r="M454" s="222">
        <v>44736</v>
      </c>
      <c r="N454" s="222">
        <v>44749</v>
      </c>
      <c r="O454" s="279"/>
      <c r="P454" s="222">
        <v>44879</v>
      </c>
      <c r="Q454" s="222">
        <v>44760</v>
      </c>
      <c r="R454" s="222" t="s">
        <v>176</v>
      </c>
      <c r="S454" s="222">
        <v>44895</v>
      </c>
      <c r="T454" s="222">
        <v>44895</v>
      </c>
      <c r="U454" s="238">
        <v>44897</v>
      </c>
      <c r="V454" s="279"/>
      <c r="W454" s="279"/>
      <c r="X454" s="279"/>
      <c r="Y454" s="222"/>
      <c r="Z454" s="222"/>
      <c r="AA454" s="253">
        <v>4</v>
      </c>
      <c r="AB454" s="225">
        <v>50612</v>
      </c>
      <c r="AC454" s="253">
        <v>80</v>
      </c>
      <c r="AD454" s="222" t="s">
        <v>3621</v>
      </c>
      <c r="AE454" s="253">
        <v>38140</v>
      </c>
      <c r="AF454" s="225" t="s">
        <v>1924</v>
      </c>
      <c r="AG454" s="226">
        <v>622573714</v>
      </c>
      <c r="AH454" s="240" t="s">
        <v>3622</v>
      </c>
      <c r="AI454" s="222" t="s">
        <v>1168</v>
      </c>
      <c r="AJ454" s="222"/>
      <c r="AK454" s="222"/>
      <c r="AL454" s="222"/>
      <c r="AM454" s="222"/>
      <c r="AN454" s="222"/>
      <c r="AO454" s="222"/>
      <c r="AP454" s="222" t="s">
        <v>587</v>
      </c>
      <c r="AQ454" s="239" t="s">
        <v>3580</v>
      </c>
      <c r="AR454" s="225" t="s">
        <v>587</v>
      </c>
      <c r="AS454" s="240" t="s">
        <v>266</v>
      </c>
      <c r="AT454" s="226">
        <v>476069938</v>
      </c>
      <c r="AU454" s="279" t="s">
        <v>176</v>
      </c>
      <c r="AV454" s="226" t="s">
        <v>188</v>
      </c>
      <c r="AW454" s="222">
        <v>45192</v>
      </c>
      <c r="AX454" s="225" t="s">
        <v>4113</v>
      </c>
      <c r="AY454" s="242">
        <v>1987</v>
      </c>
      <c r="AZ454" s="225" t="s">
        <v>1880</v>
      </c>
      <c r="BA454" s="225" t="s">
        <v>267</v>
      </c>
      <c r="BB454" s="242" t="s">
        <v>433</v>
      </c>
      <c r="BC454" s="222" t="s">
        <v>855</v>
      </c>
      <c r="BD454" s="242">
        <v>15</v>
      </c>
      <c r="BE454" s="242">
        <v>7.4</v>
      </c>
      <c r="BF454" s="242">
        <v>92.5</v>
      </c>
      <c r="BG454" s="230">
        <v>153</v>
      </c>
      <c r="BH454" s="222" t="s">
        <v>3023</v>
      </c>
      <c r="BI454" s="222"/>
      <c r="BJ454" s="230">
        <f>3370+275+89+990+490</f>
        <v>5214</v>
      </c>
      <c r="BK454" s="230"/>
      <c r="BL454" s="230"/>
      <c r="BM454" s="230"/>
      <c r="BN454" s="230">
        <v>420</v>
      </c>
      <c r="BO454" s="230">
        <f>BJ454+BN454</f>
        <v>5634</v>
      </c>
      <c r="BP454" s="230">
        <f t="shared" si="50"/>
        <v>309.87</v>
      </c>
      <c r="BQ454" s="230">
        <f t="shared" si="51"/>
        <v>5943.87</v>
      </c>
      <c r="BR454" s="230">
        <v>5943.88</v>
      </c>
      <c r="BS454" s="222" t="s">
        <v>188</v>
      </c>
      <c r="BT454" s="279"/>
      <c r="BU454" s="279"/>
      <c r="BV454" s="231" t="s">
        <v>4045</v>
      </c>
      <c r="BW454" s="225" t="s">
        <v>968</v>
      </c>
      <c r="BX454" s="301" t="s">
        <v>620</v>
      </c>
      <c r="BY454" s="301" t="s">
        <v>176</v>
      </c>
    </row>
    <row r="455" spans="1:77" s="33" customFormat="1" ht="13.5" customHeight="1">
      <c r="A455" s="64">
        <f t="shared" si="52"/>
        <v>2022</v>
      </c>
      <c r="B455" s="64">
        <f t="shared" si="53"/>
        <v>6</v>
      </c>
      <c r="C455" s="125" t="s">
        <v>191</v>
      </c>
      <c r="D455" s="168" t="str">
        <f t="shared" si="54"/>
        <v>non maj</v>
      </c>
      <c r="E455" s="264" t="s">
        <v>3302</v>
      </c>
      <c r="F455" s="264" t="s">
        <v>1732</v>
      </c>
      <c r="G455" s="221">
        <v>600</v>
      </c>
      <c r="H455" s="222">
        <v>44719</v>
      </c>
      <c r="I455" s="222">
        <v>44720</v>
      </c>
      <c r="J455" s="275" t="s">
        <v>176</v>
      </c>
      <c r="K455" s="279" t="s">
        <v>176</v>
      </c>
      <c r="L455" s="222">
        <v>44733</v>
      </c>
      <c r="M455" s="222">
        <v>44733</v>
      </c>
      <c r="N455" s="222">
        <v>44749</v>
      </c>
      <c r="O455" s="279"/>
      <c r="P455" s="222">
        <v>44854</v>
      </c>
      <c r="Q455" s="222">
        <v>44852</v>
      </c>
      <c r="R455" s="222" t="s">
        <v>176</v>
      </c>
      <c r="S455" s="222">
        <v>44874</v>
      </c>
      <c r="T455" s="222">
        <v>44874</v>
      </c>
      <c r="U455" s="222">
        <v>44879</v>
      </c>
      <c r="V455" s="279"/>
      <c r="W455" s="279"/>
      <c r="X455" s="279"/>
      <c r="Y455" s="222"/>
      <c r="Z455" s="222"/>
      <c r="AA455" s="253">
        <v>2</v>
      </c>
      <c r="AB455" s="225">
        <v>54852</v>
      </c>
      <c r="AC455" s="253">
        <v>302</v>
      </c>
      <c r="AD455" s="222" t="s">
        <v>3279</v>
      </c>
      <c r="AE455" s="253">
        <v>38340</v>
      </c>
      <c r="AF455" s="222" t="s">
        <v>232</v>
      </c>
      <c r="AG455" s="226">
        <v>476500556</v>
      </c>
      <c r="AH455" s="240" t="s">
        <v>3623</v>
      </c>
      <c r="AI455" s="222" t="s">
        <v>1168</v>
      </c>
      <c r="AJ455" s="222"/>
      <c r="AK455" s="222"/>
      <c r="AL455" s="222"/>
      <c r="AM455" s="222"/>
      <c r="AN455" s="222"/>
      <c r="AO455" s="222"/>
      <c r="AP455" s="225" t="s">
        <v>2052</v>
      </c>
      <c r="AQ455" s="225" t="s">
        <v>232</v>
      </c>
      <c r="AR455" s="225" t="s">
        <v>233</v>
      </c>
      <c r="AS455" s="241" t="s">
        <v>234</v>
      </c>
      <c r="AT455" s="226">
        <v>476500550</v>
      </c>
      <c r="AU455" s="225" t="s">
        <v>176</v>
      </c>
      <c r="AV455" s="241" t="s">
        <v>188</v>
      </c>
      <c r="AW455" s="223">
        <v>44740</v>
      </c>
      <c r="AX455" s="225" t="s">
        <v>1879</v>
      </c>
      <c r="AY455" s="242">
        <v>1972</v>
      </c>
      <c r="AZ455" s="225" t="s">
        <v>1880</v>
      </c>
      <c r="BA455" s="225" t="s">
        <v>380</v>
      </c>
      <c r="BB455" s="242" t="s">
        <v>270</v>
      </c>
      <c r="BC455" s="222" t="s">
        <v>1059</v>
      </c>
      <c r="BD455" s="242">
        <v>32</v>
      </c>
      <c r="BE455" s="242">
        <v>7</v>
      </c>
      <c r="BF455" s="242" t="s">
        <v>3624</v>
      </c>
      <c r="BG455" s="222" t="s">
        <v>3604</v>
      </c>
      <c r="BH455" s="222" t="s">
        <v>1882</v>
      </c>
      <c r="BI455" s="222"/>
      <c r="BJ455" s="230">
        <f>3625+185.2+71.09+530.64+125+222.45+185.2+545.2+245.3+58.2</f>
        <v>5793.28</v>
      </c>
      <c r="BK455" s="230"/>
      <c r="BL455" s="230"/>
      <c r="BM455" s="230"/>
      <c r="BN455" s="230">
        <v>750</v>
      </c>
      <c r="BO455" s="230">
        <f>BJ455+BN455-284.36</f>
        <v>6258.92</v>
      </c>
      <c r="BP455" s="230">
        <f t="shared" si="50"/>
        <v>344.24060000000003</v>
      </c>
      <c r="BQ455" s="230">
        <f t="shared" si="51"/>
        <v>6603.1605999999992</v>
      </c>
      <c r="BR455" s="230">
        <v>6368.48</v>
      </c>
      <c r="BS455" s="222" t="s">
        <v>188</v>
      </c>
      <c r="BT455" s="279"/>
      <c r="BU455" s="279"/>
      <c r="BV455" s="231" t="s">
        <v>4045</v>
      </c>
      <c r="BW455" s="225" t="s">
        <v>968</v>
      </c>
      <c r="BX455" s="301" t="s">
        <v>620</v>
      </c>
      <c r="BY455" s="301">
        <v>2022</v>
      </c>
    </row>
    <row r="456" spans="1:77" s="33" customFormat="1" ht="13.5" customHeight="1">
      <c r="A456" s="64">
        <f t="shared" si="52"/>
        <v>2022</v>
      </c>
      <c r="B456" s="64">
        <f t="shared" si="53"/>
        <v>6</v>
      </c>
      <c r="C456" s="125" t="s">
        <v>191</v>
      </c>
      <c r="D456" s="168" t="str">
        <f t="shared" si="54"/>
        <v>maj</v>
      </c>
      <c r="E456" s="264" t="s">
        <v>3302</v>
      </c>
      <c r="F456" s="264" t="s">
        <v>1733</v>
      </c>
      <c r="G456" s="221">
        <v>1000</v>
      </c>
      <c r="H456" s="222">
        <v>44719</v>
      </c>
      <c r="I456" s="222">
        <v>44720</v>
      </c>
      <c r="J456" s="275">
        <v>44733</v>
      </c>
      <c r="K456" s="239" t="s">
        <v>3625</v>
      </c>
      <c r="L456" s="222">
        <v>44740</v>
      </c>
      <c r="M456" s="222">
        <v>44740</v>
      </c>
      <c r="N456" s="222">
        <v>44749</v>
      </c>
      <c r="O456" s="279"/>
      <c r="P456" s="222">
        <v>44846</v>
      </c>
      <c r="Q456" s="223">
        <v>44809</v>
      </c>
      <c r="R456" s="222" t="s">
        <v>176</v>
      </c>
      <c r="S456" s="222">
        <v>44873</v>
      </c>
      <c r="T456" s="222">
        <v>44873</v>
      </c>
      <c r="U456" s="222">
        <v>44879</v>
      </c>
      <c r="V456" s="279"/>
      <c r="W456" s="279"/>
      <c r="X456" s="279"/>
      <c r="Y456" s="222"/>
      <c r="Z456" s="222"/>
      <c r="AA456" s="253">
        <v>4</v>
      </c>
      <c r="AB456" s="225">
        <v>14749</v>
      </c>
      <c r="AC456" s="253">
        <v>126</v>
      </c>
      <c r="AD456" s="222" t="s">
        <v>3019</v>
      </c>
      <c r="AE456" s="253">
        <v>38500</v>
      </c>
      <c r="AF456" s="222" t="s">
        <v>225</v>
      </c>
      <c r="AG456" s="226">
        <v>632395609</v>
      </c>
      <c r="AH456" s="240" t="s">
        <v>3626</v>
      </c>
      <c r="AI456" s="222" t="s">
        <v>1168</v>
      </c>
      <c r="AJ456" s="222"/>
      <c r="AK456" s="222"/>
      <c r="AL456" s="222"/>
      <c r="AM456" s="222"/>
      <c r="AN456" s="222"/>
      <c r="AO456" s="222"/>
      <c r="AP456" s="222" t="s">
        <v>587</v>
      </c>
      <c r="AQ456" s="239" t="s">
        <v>3580</v>
      </c>
      <c r="AR456" s="225" t="s">
        <v>587</v>
      </c>
      <c r="AS456" s="240" t="s">
        <v>266</v>
      </c>
      <c r="AT456" s="226">
        <v>476069938</v>
      </c>
      <c r="AU456" s="279" t="s">
        <v>176</v>
      </c>
      <c r="AV456" s="226" t="s">
        <v>188</v>
      </c>
      <c r="AW456" s="222">
        <v>45192</v>
      </c>
      <c r="AX456" s="225" t="s">
        <v>1880</v>
      </c>
      <c r="AY456" s="242">
        <v>1996</v>
      </c>
      <c r="AZ456" s="225" t="s">
        <v>1880</v>
      </c>
      <c r="BA456" s="225" t="s">
        <v>380</v>
      </c>
      <c r="BB456" s="242" t="s">
        <v>3627</v>
      </c>
      <c r="BC456" s="222" t="s">
        <v>3628</v>
      </c>
      <c r="BD456" s="242">
        <v>28</v>
      </c>
      <c r="BE456" s="242">
        <v>8</v>
      </c>
      <c r="BF456" s="242" t="s">
        <v>3629</v>
      </c>
      <c r="BG456" s="222" t="s">
        <v>3630</v>
      </c>
      <c r="BH456" s="222" t="s">
        <v>1882</v>
      </c>
      <c r="BI456" s="222"/>
      <c r="BJ456" s="230">
        <f>645.65+1+275+150+89+4191</f>
        <v>5351.65</v>
      </c>
      <c r="BK456" s="230"/>
      <c r="BL456" s="230"/>
      <c r="BM456" s="230"/>
      <c r="BN456" s="230">
        <v>330</v>
      </c>
      <c r="BO456" s="230">
        <f t="shared" ref="BO456:BO461" si="55">BJ456+BN456</f>
        <v>5681.65</v>
      </c>
      <c r="BP456" s="230">
        <f t="shared" si="50"/>
        <v>312.49074999999999</v>
      </c>
      <c r="BQ456" s="230">
        <f t="shared" si="51"/>
        <v>5994.1407499999996</v>
      </c>
      <c r="BR456" s="230">
        <v>5994.16</v>
      </c>
      <c r="BS456" s="222" t="s">
        <v>188</v>
      </c>
      <c r="BT456" s="279"/>
      <c r="BU456" s="279"/>
      <c r="BV456" s="231" t="s">
        <v>4045</v>
      </c>
      <c r="BW456" s="225" t="s">
        <v>968</v>
      </c>
      <c r="BX456" s="222" t="s">
        <v>618</v>
      </c>
      <c r="BY456" s="301">
        <v>2022</v>
      </c>
    </row>
    <row r="457" spans="1:77" s="33" customFormat="1" ht="13.5" customHeight="1">
      <c r="A457" s="64">
        <f t="shared" si="52"/>
        <v>2022</v>
      </c>
      <c r="B457" s="64">
        <f t="shared" si="53"/>
        <v>9</v>
      </c>
      <c r="C457" s="125" t="s">
        <v>191</v>
      </c>
      <c r="D457" s="168" t="str">
        <f t="shared" si="54"/>
        <v>non maj</v>
      </c>
      <c r="E457" s="222" t="s">
        <v>3302</v>
      </c>
      <c r="F457" s="222" t="s">
        <v>1734</v>
      </c>
      <c r="G457" s="221">
        <v>600</v>
      </c>
      <c r="H457" s="222">
        <v>44726</v>
      </c>
      <c r="I457" s="222">
        <v>44728</v>
      </c>
      <c r="J457" s="275">
        <v>44733</v>
      </c>
      <c r="K457" s="239" t="s">
        <v>3631</v>
      </c>
      <c r="L457" s="222">
        <v>44832</v>
      </c>
      <c r="M457" s="222">
        <v>44832</v>
      </c>
      <c r="N457" s="222">
        <v>44837</v>
      </c>
      <c r="O457" s="279"/>
      <c r="P457" s="279"/>
      <c r="Q457" s="279"/>
      <c r="R457" s="279"/>
      <c r="S457" s="279"/>
      <c r="T457" s="279"/>
      <c r="U457" s="279"/>
      <c r="V457" s="279"/>
      <c r="W457" s="279"/>
      <c r="X457" s="279"/>
      <c r="Y457" s="222"/>
      <c r="Z457" s="222"/>
      <c r="AA457" s="253">
        <v>2</v>
      </c>
      <c r="AB457" s="225">
        <v>40430</v>
      </c>
      <c r="AC457" s="253">
        <v>150</v>
      </c>
      <c r="AD457" s="222" t="s">
        <v>3632</v>
      </c>
      <c r="AE457" s="253">
        <v>38960</v>
      </c>
      <c r="AF457" s="225" t="s">
        <v>2088</v>
      </c>
      <c r="AG457" s="226">
        <v>699645147</v>
      </c>
      <c r="AH457" s="240" t="s">
        <v>3633</v>
      </c>
      <c r="AI457" s="222" t="s">
        <v>1168</v>
      </c>
      <c r="AJ457" s="222"/>
      <c r="AK457" s="222"/>
      <c r="AL457" s="222"/>
      <c r="AM457" s="222"/>
      <c r="AN457" s="222"/>
      <c r="AO457" s="222"/>
      <c r="AP457" s="222" t="s">
        <v>818</v>
      </c>
      <c r="AQ457" s="222" t="s">
        <v>225</v>
      </c>
      <c r="AR457" s="222" t="s">
        <v>3634</v>
      </c>
      <c r="AS457" s="240" t="s">
        <v>226</v>
      </c>
      <c r="AT457" s="226">
        <v>476323235</v>
      </c>
      <c r="AU457" s="222" t="s">
        <v>176</v>
      </c>
      <c r="AV457" s="222" t="s">
        <v>188</v>
      </c>
      <c r="AW457" s="222">
        <v>44794</v>
      </c>
      <c r="AX457" s="225" t="s">
        <v>1880</v>
      </c>
      <c r="AY457" s="242">
        <v>1980</v>
      </c>
      <c r="AZ457" s="225" t="s">
        <v>1880</v>
      </c>
      <c r="BA457" s="225" t="s">
        <v>380</v>
      </c>
      <c r="BB457" s="222" t="s">
        <v>3635</v>
      </c>
      <c r="BC457" s="222" t="s">
        <v>875</v>
      </c>
      <c r="BD457" s="242">
        <v>11</v>
      </c>
      <c r="BE457" s="242">
        <v>8.8000000000000007</v>
      </c>
      <c r="BF457" s="242">
        <v>82</v>
      </c>
      <c r="BG457" s="222" t="s">
        <v>3636</v>
      </c>
      <c r="BH457" s="222" t="s">
        <v>1882</v>
      </c>
      <c r="BI457" s="222"/>
      <c r="BJ457" s="230">
        <f>2790+190+79+48+31+29+120</f>
        <v>3287</v>
      </c>
      <c r="BK457" s="230"/>
      <c r="BL457" s="230"/>
      <c r="BM457" s="230"/>
      <c r="BN457" s="230">
        <f>40+60+480+15</f>
        <v>595</v>
      </c>
      <c r="BO457" s="230">
        <f t="shared" si="55"/>
        <v>3882</v>
      </c>
      <c r="BP457" s="230">
        <f>BO457*0.2</f>
        <v>776.40000000000009</v>
      </c>
      <c r="BQ457" s="230">
        <f t="shared" ref="BQ457:BQ477" si="56">BO457+BP457</f>
        <v>4658.3999999999996</v>
      </c>
      <c r="BR457" s="222"/>
      <c r="BS457" s="222" t="s">
        <v>519</v>
      </c>
      <c r="BT457" s="279"/>
      <c r="BU457" s="279"/>
      <c r="BV457" s="301" t="s">
        <v>4045</v>
      </c>
      <c r="BW457" s="225" t="s">
        <v>968</v>
      </c>
      <c r="BX457" s="301" t="s">
        <v>620</v>
      </c>
      <c r="BY457" s="301">
        <v>2022</v>
      </c>
    </row>
    <row r="458" spans="1:77" s="33" customFormat="1" ht="13.5" customHeight="1">
      <c r="A458" s="64">
        <f t="shared" si="52"/>
        <v>2022</v>
      </c>
      <c r="B458" s="64">
        <f t="shared" si="53"/>
        <v>8</v>
      </c>
      <c r="C458" s="125" t="s">
        <v>191</v>
      </c>
      <c r="D458" s="168" t="str">
        <f t="shared" si="54"/>
        <v>non maj</v>
      </c>
      <c r="E458" s="264" t="s">
        <v>3302</v>
      </c>
      <c r="F458" s="264" t="s">
        <v>1735</v>
      </c>
      <c r="G458" s="221">
        <v>600</v>
      </c>
      <c r="H458" s="222">
        <v>44716</v>
      </c>
      <c r="I458" s="222">
        <v>44728</v>
      </c>
      <c r="J458" s="275">
        <v>44762</v>
      </c>
      <c r="K458" s="239" t="s">
        <v>3538</v>
      </c>
      <c r="L458" s="222">
        <v>44777</v>
      </c>
      <c r="M458" s="222">
        <v>44777</v>
      </c>
      <c r="N458" s="222">
        <v>44778</v>
      </c>
      <c r="O458" s="279"/>
      <c r="P458" s="222">
        <v>44883</v>
      </c>
      <c r="Q458" s="222">
        <v>44824</v>
      </c>
      <c r="R458" s="222" t="s">
        <v>176</v>
      </c>
      <c r="S458" s="222">
        <v>44895</v>
      </c>
      <c r="T458" s="222">
        <v>44895</v>
      </c>
      <c r="U458" s="238">
        <v>44897</v>
      </c>
      <c r="V458" s="279"/>
      <c r="W458" s="279"/>
      <c r="X458" s="279"/>
      <c r="Y458" s="222"/>
      <c r="Z458" s="222"/>
      <c r="AA458" s="253">
        <v>5</v>
      </c>
      <c r="AB458" s="225">
        <v>113758</v>
      </c>
      <c r="AC458" s="253">
        <v>1394</v>
      </c>
      <c r="AD458" s="222" t="s">
        <v>3637</v>
      </c>
      <c r="AE458" s="253">
        <v>38500</v>
      </c>
      <c r="AF458" s="222" t="s">
        <v>225</v>
      </c>
      <c r="AG458" s="226">
        <v>680211765</v>
      </c>
      <c r="AH458" s="240" t="s">
        <v>3638</v>
      </c>
      <c r="AI458" s="222" t="s">
        <v>1168</v>
      </c>
      <c r="AJ458" s="279"/>
      <c r="AK458" s="279"/>
      <c r="AL458" s="279"/>
      <c r="AM458" s="279"/>
      <c r="AN458" s="279"/>
      <c r="AO458" s="279"/>
      <c r="AP458" s="222" t="s">
        <v>818</v>
      </c>
      <c r="AQ458" s="222" t="s">
        <v>225</v>
      </c>
      <c r="AR458" s="222" t="s">
        <v>3634</v>
      </c>
      <c r="AS458" s="240" t="s">
        <v>226</v>
      </c>
      <c r="AT458" s="226">
        <v>476323235</v>
      </c>
      <c r="AU458" s="222" t="s">
        <v>176</v>
      </c>
      <c r="AV458" s="222" t="s">
        <v>188</v>
      </c>
      <c r="AW458" s="222">
        <v>44794</v>
      </c>
      <c r="AX458" s="225" t="s">
        <v>1879</v>
      </c>
      <c r="AY458" s="242">
        <v>1975</v>
      </c>
      <c r="AZ458" s="225" t="s">
        <v>1880</v>
      </c>
      <c r="BA458" s="225" t="s">
        <v>380</v>
      </c>
      <c r="BB458" s="242" t="s">
        <v>277</v>
      </c>
      <c r="BC458" s="222" t="s">
        <v>886</v>
      </c>
      <c r="BD458" s="242">
        <v>7</v>
      </c>
      <c r="BE458" s="242">
        <v>8</v>
      </c>
      <c r="BF458" s="242">
        <v>78</v>
      </c>
      <c r="BG458" s="222" t="s">
        <v>3639</v>
      </c>
      <c r="BH458" s="222" t="s">
        <v>1882</v>
      </c>
      <c r="BI458" s="222"/>
      <c r="BJ458" s="230">
        <f>30+2332+475+4890+78+30+115+65+80</f>
        <v>8095</v>
      </c>
      <c r="BK458" s="230"/>
      <c r="BL458" s="230"/>
      <c r="BM458" s="230"/>
      <c r="BN458" s="230">
        <f>395+15</f>
        <v>410</v>
      </c>
      <c r="BO458" s="230">
        <f t="shared" si="55"/>
        <v>8505</v>
      </c>
      <c r="BP458" s="230">
        <f>BO458*0.055</f>
        <v>467.77499999999998</v>
      </c>
      <c r="BQ458" s="230">
        <f t="shared" si="56"/>
        <v>8972.7749999999996</v>
      </c>
      <c r="BR458" s="242">
        <f>5501.83+3120.7</f>
        <v>8622.5299999999988</v>
      </c>
      <c r="BS458" s="222" t="s">
        <v>388</v>
      </c>
      <c r="BT458" s="279"/>
      <c r="BU458" s="279"/>
      <c r="BV458" s="231" t="s">
        <v>4045</v>
      </c>
      <c r="BW458" s="225" t="s">
        <v>968</v>
      </c>
      <c r="BX458" s="301" t="s">
        <v>620</v>
      </c>
      <c r="BY458" s="301">
        <v>2022</v>
      </c>
    </row>
    <row r="459" spans="1:77" s="33" customFormat="1" ht="13.5" customHeight="1">
      <c r="A459" s="64">
        <f t="shared" si="52"/>
        <v>2022</v>
      </c>
      <c r="B459" s="64">
        <f t="shared" si="53"/>
        <v>7</v>
      </c>
      <c r="C459" s="125" t="s">
        <v>191</v>
      </c>
      <c r="D459" s="168" t="str">
        <f t="shared" si="54"/>
        <v>non maj</v>
      </c>
      <c r="E459" s="264" t="s">
        <v>3302</v>
      </c>
      <c r="F459" s="264" t="s">
        <v>1738</v>
      </c>
      <c r="G459" s="221">
        <v>600</v>
      </c>
      <c r="H459" s="222">
        <v>44727</v>
      </c>
      <c r="I459" s="222">
        <v>44732</v>
      </c>
      <c r="J459" s="275" t="s">
        <v>176</v>
      </c>
      <c r="K459" s="239" t="s">
        <v>176</v>
      </c>
      <c r="L459" s="222">
        <v>44761</v>
      </c>
      <c r="M459" s="222">
        <v>44761</v>
      </c>
      <c r="N459" s="222">
        <v>44768</v>
      </c>
      <c r="O459" s="279"/>
      <c r="P459" s="222">
        <v>44782</v>
      </c>
      <c r="Q459" s="222">
        <v>44774</v>
      </c>
      <c r="R459" s="222" t="s">
        <v>176</v>
      </c>
      <c r="S459" s="222">
        <v>44795</v>
      </c>
      <c r="T459" s="222">
        <v>44795</v>
      </c>
      <c r="U459" s="222">
        <v>44796</v>
      </c>
      <c r="V459" s="279"/>
      <c r="W459" s="279"/>
      <c r="X459" s="279"/>
      <c r="Y459" s="222"/>
      <c r="Z459" s="222"/>
      <c r="AA459" s="253">
        <v>2</v>
      </c>
      <c r="AB459" s="225">
        <v>35756</v>
      </c>
      <c r="AC459" s="253">
        <v>40</v>
      </c>
      <c r="AD459" s="222" t="s">
        <v>3640</v>
      </c>
      <c r="AE459" s="253">
        <v>38850</v>
      </c>
      <c r="AF459" s="222" t="s">
        <v>2151</v>
      </c>
      <c r="AG459" s="226">
        <v>476066472</v>
      </c>
      <c r="AH459" s="240" t="s">
        <v>3641</v>
      </c>
      <c r="AI459" s="222" t="s">
        <v>1168</v>
      </c>
      <c r="AJ459" s="279"/>
      <c r="AK459" s="279"/>
      <c r="AL459" s="279"/>
      <c r="AM459" s="279"/>
      <c r="AN459" s="279"/>
      <c r="AO459" s="279"/>
      <c r="AP459" s="225" t="s">
        <v>2762</v>
      </c>
      <c r="AQ459" s="225" t="s">
        <v>1018</v>
      </c>
      <c r="AR459" s="225" t="s">
        <v>3333</v>
      </c>
      <c r="AS459" s="227" t="s">
        <v>1019</v>
      </c>
      <c r="AT459" s="226" t="s">
        <v>3072</v>
      </c>
      <c r="AU459" s="225" t="s">
        <v>176</v>
      </c>
      <c r="AV459" s="241" t="s">
        <v>188</v>
      </c>
      <c r="AW459" s="223">
        <v>44731</v>
      </c>
      <c r="AX459" s="225" t="s">
        <v>1879</v>
      </c>
      <c r="AY459" s="242">
        <v>1977</v>
      </c>
      <c r="AZ459" s="225" t="s">
        <v>4113</v>
      </c>
      <c r="BA459" s="225" t="s">
        <v>380</v>
      </c>
      <c r="BB459" s="242" t="s">
        <v>994</v>
      </c>
      <c r="BC459" s="222" t="s">
        <v>2841</v>
      </c>
      <c r="BD459" s="242">
        <v>34</v>
      </c>
      <c r="BE459" s="242" t="s">
        <v>3642</v>
      </c>
      <c r="BF459" s="242" t="s">
        <v>3643</v>
      </c>
      <c r="BG459" s="222" t="s">
        <v>3487</v>
      </c>
      <c r="BH459" s="222" t="s">
        <v>1882</v>
      </c>
      <c r="BI459" s="222"/>
      <c r="BJ459" s="230">
        <f>1723.06+395+280+510+340+167+295+567+82.2+44.8</f>
        <v>4404.0599999999995</v>
      </c>
      <c r="BK459" s="230"/>
      <c r="BL459" s="230"/>
      <c r="BM459" s="230"/>
      <c r="BN459" s="230">
        <v>750</v>
      </c>
      <c r="BO459" s="230">
        <f t="shared" si="55"/>
        <v>5154.0599999999995</v>
      </c>
      <c r="BP459" s="230">
        <f>BO459*0.055</f>
        <v>283.47329999999999</v>
      </c>
      <c r="BQ459" s="230">
        <f t="shared" si="56"/>
        <v>5437.5332999999991</v>
      </c>
      <c r="BR459" s="230">
        <v>5437.53</v>
      </c>
      <c r="BS459" s="222"/>
      <c r="BT459" s="279"/>
      <c r="BU459" s="279"/>
      <c r="BV459" s="231" t="s">
        <v>4045</v>
      </c>
      <c r="BW459" s="225" t="s">
        <v>968</v>
      </c>
      <c r="BX459" s="301" t="s">
        <v>620</v>
      </c>
      <c r="BY459" s="301">
        <v>2022</v>
      </c>
    </row>
    <row r="460" spans="1:77" s="33" customFormat="1" ht="13.5" customHeight="1">
      <c r="A460" s="64">
        <f t="shared" si="52"/>
        <v>2022</v>
      </c>
      <c r="B460" s="64">
        <f t="shared" si="53"/>
        <v>9</v>
      </c>
      <c r="C460" s="125" t="s">
        <v>191</v>
      </c>
      <c r="D460" s="168" t="str">
        <f t="shared" si="54"/>
        <v>non maj</v>
      </c>
      <c r="E460" s="222" t="s">
        <v>3302</v>
      </c>
      <c r="F460" s="222" t="s">
        <v>1739</v>
      </c>
      <c r="G460" s="221">
        <v>600</v>
      </c>
      <c r="H460" s="222">
        <v>44728</v>
      </c>
      <c r="I460" s="222">
        <v>44733</v>
      </c>
      <c r="J460" s="222">
        <v>44761</v>
      </c>
      <c r="K460" s="222" t="s">
        <v>3644</v>
      </c>
      <c r="L460" s="222">
        <v>44832</v>
      </c>
      <c r="M460" s="222">
        <v>44832</v>
      </c>
      <c r="N460" s="222">
        <v>44837</v>
      </c>
      <c r="O460" s="222"/>
      <c r="P460" s="222">
        <v>44951</v>
      </c>
      <c r="Q460" s="222">
        <v>44859</v>
      </c>
      <c r="R460" s="222" t="s">
        <v>176</v>
      </c>
      <c r="S460" s="222">
        <v>44974</v>
      </c>
      <c r="T460" s="222">
        <v>44974</v>
      </c>
      <c r="U460" s="222"/>
      <c r="V460" s="222"/>
      <c r="W460" s="222"/>
      <c r="X460" s="222"/>
      <c r="Y460" s="222"/>
      <c r="Z460" s="222"/>
      <c r="AA460" s="253">
        <v>3</v>
      </c>
      <c r="AB460" s="225">
        <v>55998</v>
      </c>
      <c r="AC460" s="253">
        <v>2280</v>
      </c>
      <c r="AD460" s="222" t="s">
        <v>3645</v>
      </c>
      <c r="AE460" s="253">
        <v>38340</v>
      </c>
      <c r="AF460" s="222" t="s">
        <v>232</v>
      </c>
      <c r="AG460" s="226">
        <v>620409310</v>
      </c>
      <c r="AH460" s="240" t="s">
        <v>3646</v>
      </c>
      <c r="AI460" s="222" t="s">
        <v>1168</v>
      </c>
      <c r="AJ460" s="222"/>
      <c r="AK460" s="222"/>
      <c r="AL460" s="222"/>
      <c r="AM460" s="222"/>
      <c r="AN460" s="222"/>
      <c r="AO460" s="222"/>
      <c r="AP460" s="222" t="s">
        <v>778</v>
      </c>
      <c r="AQ460" s="222" t="s">
        <v>1926</v>
      </c>
      <c r="AR460" s="222" t="s">
        <v>3647</v>
      </c>
      <c r="AS460" s="240" t="s">
        <v>251</v>
      </c>
      <c r="AT460" s="226">
        <v>474934316</v>
      </c>
      <c r="AU460" s="222" t="s">
        <v>176</v>
      </c>
      <c r="AV460" s="222" t="s">
        <v>188</v>
      </c>
      <c r="AW460" s="222">
        <v>45006</v>
      </c>
      <c r="AX460" s="225" t="s">
        <v>1880</v>
      </c>
      <c r="AY460" s="242">
        <v>2000</v>
      </c>
      <c r="AZ460" s="225" t="s">
        <v>1880</v>
      </c>
      <c r="BA460" s="225" t="s">
        <v>267</v>
      </c>
      <c r="BB460" s="222" t="s">
        <v>244</v>
      </c>
      <c r="BC460" s="222" t="s">
        <v>3648</v>
      </c>
      <c r="BD460" s="242">
        <v>16</v>
      </c>
      <c r="BE460" s="242" t="s">
        <v>3649</v>
      </c>
      <c r="BF460" s="242" t="s">
        <v>3650</v>
      </c>
      <c r="BG460" s="222" t="s">
        <v>3651</v>
      </c>
      <c r="BH460" s="222" t="s">
        <v>1882</v>
      </c>
      <c r="BI460" s="222"/>
      <c r="BJ460" s="230">
        <f>3901+242+1105+862</f>
        <v>6110</v>
      </c>
      <c r="BK460" s="222"/>
      <c r="BL460" s="222"/>
      <c r="BM460" s="222"/>
      <c r="BN460" s="230">
        <v>850</v>
      </c>
      <c r="BO460" s="230">
        <f t="shared" si="55"/>
        <v>6960</v>
      </c>
      <c r="BP460" s="230">
        <f>BO460*0.055</f>
        <v>382.8</v>
      </c>
      <c r="BQ460" s="230">
        <f t="shared" si="56"/>
        <v>7342.8</v>
      </c>
      <c r="BR460" s="230">
        <v>7343</v>
      </c>
      <c r="BS460" s="222" t="s">
        <v>388</v>
      </c>
      <c r="BT460" s="222"/>
      <c r="BU460" s="222"/>
      <c r="BV460" s="301" t="s">
        <v>4045</v>
      </c>
      <c r="BW460" s="225" t="s">
        <v>968</v>
      </c>
      <c r="BX460" s="301" t="s">
        <v>620</v>
      </c>
      <c r="BY460" s="301" t="s">
        <v>176</v>
      </c>
    </row>
    <row r="461" spans="1:77" s="33" customFormat="1" ht="13.5" customHeight="1">
      <c r="A461" s="64">
        <f t="shared" si="52"/>
        <v>2022</v>
      </c>
      <c r="B461" s="64">
        <f t="shared" si="53"/>
        <v>7</v>
      </c>
      <c r="C461" s="125" t="s">
        <v>191</v>
      </c>
      <c r="D461" s="168" t="str">
        <f t="shared" si="54"/>
        <v>maj</v>
      </c>
      <c r="E461" s="264" t="s">
        <v>3302</v>
      </c>
      <c r="F461" s="264" t="s">
        <v>3652</v>
      </c>
      <c r="G461" s="221">
        <v>1000</v>
      </c>
      <c r="H461" s="222">
        <v>44728</v>
      </c>
      <c r="I461" s="222">
        <v>44739</v>
      </c>
      <c r="J461" s="272">
        <v>44762</v>
      </c>
      <c r="K461" s="239" t="s">
        <v>3653</v>
      </c>
      <c r="L461" s="222">
        <v>44763</v>
      </c>
      <c r="M461" s="222">
        <v>44763</v>
      </c>
      <c r="N461" s="222">
        <v>44768</v>
      </c>
      <c r="O461" s="222"/>
      <c r="P461" s="272">
        <v>44903</v>
      </c>
      <c r="Q461" s="222">
        <v>44879</v>
      </c>
      <c r="R461" s="222" t="s">
        <v>176</v>
      </c>
      <c r="S461" s="222">
        <v>44915</v>
      </c>
      <c r="T461" s="222">
        <v>44915</v>
      </c>
      <c r="U461" s="222">
        <v>44932</v>
      </c>
      <c r="V461" s="222"/>
      <c r="W461" s="222"/>
      <c r="X461" s="222"/>
      <c r="Y461" s="222"/>
      <c r="Z461" s="222"/>
      <c r="AA461" s="253">
        <v>4</v>
      </c>
      <c r="AB461" s="225">
        <v>31659</v>
      </c>
      <c r="AC461" s="253">
        <v>471</v>
      </c>
      <c r="AD461" s="222" t="s">
        <v>3654</v>
      </c>
      <c r="AE461" s="253">
        <v>38500</v>
      </c>
      <c r="AF461" s="222" t="s">
        <v>1907</v>
      </c>
      <c r="AG461" s="226">
        <v>658814228</v>
      </c>
      <c r="AH461" s="240" t="s">
        <v>3655</v>
      </c>
      <c r="AI461" s="222" t="s">
        <v>1168</v>
      </c>
      <c r="AJ461" s="222"/>
      <c r="AK461" s="222"/>
      <c r="AL461" s="222"/>
      <c r="AM461" s="222"/>
      <c r="AN461" s="222"/>
      <c r="AO461" s="222"/>
      <c r="AP461" s="222" t="s">
        <v>579</v>
      </c>
      <c r="AQ461" s="225" t="s">
        <v>1895</v>
      </c>
      <c r="AR461" s="222" t="s">
        <v>1046</v>
      </c>
      <c r="AS461" s="240" t="s">
        <v>201</v>
      </c>
      <c r="AT461" s="226">
        <v>438029038</v>
      </c>
      <c r="AU461" s="222" t="s">
        <v>176</v>
      </c>
      <c r="AV461" s="222" t="s">
        <v>188</v>
      </c>
      <c r="AW461" s="222">
        <v>45147</v>
      </c>
      <c r="AX461" s="225" t="s">
        <v>1879</v>
      </c>
      <c r="AY461" s="242">
        <v>1958</v>
      </c>
      <c r="AZ461" s="225" t="s">
        <v>1880</v>
      </c>
      <c r="BA461" s="225" t="s">
        <v>380</v>
      </c>
      <c r="BB461" s="222" t="s">
        <v>3656</v>
      </c>
      <c r="BC461" s="222" t="s">
        <v>3657</v>
      </c>
      <c r="BD461" s="242">
        <v>8</v>
      </c>
      <c r="BE461" s="242" t="s">
        <v>3658</v>
      </c>
      <c r="BF461" s="242">
        <v>81</v>
      </c>
      <c r="BG461" s="222" t="s">
        <v>3659</v>
      </c>
      <c r="BH461" s="222" t="s">
        <v>1882</v>
      </c>
      <c r="BI461" s="222"/>
      <c r="BJ461" s="230">
        <f>4887+1650</f>
        <v>6537</v>
      </c>
      <c r="BK461" s="222"/>
      <c r="BL461" s="222"/>
      <c r="BM461" s="222"/>
      <c r="BN461" s="230">
        <f>850+65</f>
        <v>915</v>
      </c>
      <c r="BO461" s="230">
        <f t="shared" si="55"/>
        <v>7452</v>
      </c>
      <c r="BP461" s="230">
        <f>BO461*0.055</f>
        <v>409.86</v>
      </c>
      <c r="BQ461" s="230">
        <f t="shared" si="56"/>
        <v>7861.86</v>
      </c>
      <c r="BR461" s="230">
        <v>7500</v>
      </c>
      <c r="BS461" s="222" t="s">
        <v>188</v>
      </c>
      <c r="BT461" s="222"/>
      <c r="BU461" s="222"/>
      <c r="BV461" s="301" t="s">
        <v>4045</v>
      </c>
      <c r="BW461" s="225" t="s">
        <v>968</v>
      </c>
      <c r="BX461" s="222" t="s">
        <v>618</v>
      </c>
      <c r="BY461" s="301">
        <v>2022</v>
      </c>
    </row>
    <row r="462" spans="1:77" s="33" customFormat="1" ht="13.5" customHeight="1">
      <c r="A462" s="64">
        <f t="shared" si="52"/>
        <v>2022</v>
      </c>
      <c r="B462" s="64">
        <f t="shared" si="53"/>
        <v>7</v>
      </c>
      <c r="C462" s="125" t="s">
        <v>191</v>
      </c>
      <c r="D462" s="168" t="str">
        <f t="shared" si="54"/>
        <v>maj</v>
      </c>
      <c r="E462" s="264" t="s">
        <v>3302</v>
      </c>
      <c r="F462" s="264" t="s">
        <v>1741</v>
      </c>
      <c r="G462" s="221">
        <v>1000</v>
      </c>
      <c r="H462" s="222">
        <v>44732</v>
      </c>
      <c r="I462" s="222">
        <v>44741</v>
      </c>
      <c r="J462" s="222" t="s">
        <v>176</v>
      </c>
      <c r="K462" s="239" t="s">
        <v>176</v>
      </c>
      <c r="L462" s="222">
        <v>44762</v>
      </c>
      <c r="M462" s="222">
        <v>44762</v>
      </c>
      <c r="N462" s="222">
        <v>44769</v>
      </c>
      <c r="O462" s="222"/>
      <c r="P462" s="222">
        <v>44879</v>
      </c>
      <c r="Q462" s="222">
        <v>44859</v>
      </c>
      <c r="R462" s="222" t="s">
        <v>3660</v>
      </c>
      <c r="S462" s="222">
        <v>44925</v>
      </c>
      <c r="T462" s="222">
        <v>44925</v>
      </c>
      <c r="U462" s="222">
        <v>44932</v>
      </c>
      <c r="V462" s="222"/>
      <c r="W462" s="222"/>
      <c r="X462" s="222"/>
      <c r="Y462" s="222"/>
      <c r="Z462" s="222"/>
      <c r="AA462" s="253">
        <v>1</v>
      </c>
      <c r="AB462" s="225">
        <v>2021</v>
      </c>
      <c r="AC462" s="253">
        <v>354</v>
      </c>
      <c r="AD462" s="222" t="s">
        <v>3661</v>
      </c>
      <c r="AE462" s="253">
        <v>38430</v>
      </c>
      <c r="AF462" s="222" t="s">
        <v>1893</v>
      </c>
      <c r="AG462" s="226">
        <v>476353571</v>
      </c>
      <c r="AH462" s="282" t="s">
        <v>3662</v>
      </c>
      <c r="AI462" s="222" t="s">
        <v>1168</v>
      </c>
      <c r="AJ462" s="222"/>
      <c r="AK462" s="222"/>
      <c r="AL462" s="222"/>
      <c r="AM462" s="222"/>
      <c r="AN462" s="222"/>
      <c r="AO462" s="222"/>
      <c r="AP462" s="222" t="s">
        <v>675</v>
      </c>
      <c r="AQ462" s="222" t="s">
        <v>864</v>
      </c>
      <c r="AR462" s="222" t="s">
        <v>3663</v>
      </c>
      <c r="AS462" s="240" t="s">
        <v>673</v>
      </c>
      <c r="AT462" s="226">
        <v>665630048</v>
      </c>
      <c r="AU462" s="222" t="s">
        <v>176</v>
      </c>
      <c r="AV462" s="222" t="s">
        <v>188</v>
      </c>
      <c r="AW462" s="222">
        <v>44798</v>
      </c>
      <c r="AX462" s="225" t="s">
        <v>4113</v>
      </c>
      <c r="AY462" s="242">
        <v>1982</v>
      </c>
      <c r="AZ462" s="225" t="s">
        <v>1880</v>
      </c>
      <c r="BA462" s="225" t="s">
        <v>267</v>
      </c>
      <c r="BB462" s="222" t="s">
        <v>413</v>
      </c>
      <c r="BC462" s="222" t="s">
        <v>3664</v>
      </c>
      <c r="BD462" s="242">
        <v>13</v>
      </c>
      <c r="BE462" s="242" t="s">
        <v>3665</v>
      </c>
      <c r="BF462" s="242" t="s">
        <v>3666</v>
      </c>
      <c r="BG462" s="222" t="s">
        <v>3667</v>
      </c>
      <c r="BH462" s="222" t="s">
        <v>1882</v>
      </c>
      <c r="BI462" s="222"/>
      <c r="BJ462" s="230">
        <f>3647.5+350.83+340.5+271.35+247.8+209.9+35</f>
        <v>5102.88</v>
      </c>
      <c r="BK462" s="222"/>
      <c r="BL462" s="222"/>
      <c r="BM462" s="222"/>
      <c r="BN462" s="230">
        <v>630</v>
      </c>
      <c r="BO462" s="230">
        <f>BJ462+BN462-847.13</f>
        <v>4885.75</v>
      </c>
      <c r="BP462" s="230">
        <f>BO462*0.055</f>
        <v>268.71625</v>
      </c>
      <c r="BQ462" s="230">
        <f t="shared" si="56"/>
        <v>5154.4662500000004</v>
      </c>
      <c r="BR462" s="230">
        <v>5154.47</v>
      </c>
      <c r="BS462" s="222" t="s">
        <v>191</v>
      </c>
      <c r="BT462" s="222"/>
      <c r="BU462" s="222"/>
      <c r="BV462" s="301" t="s">
        <v>4045</v>
      </c>
      <c r="BW462" s="225" t="s">
        <v>968</v>
      </c>
      <c r="BX462" s="222" t="s">
        <v>618</v>
      </c>
      <c r="BY462" s="301" t="s">
        <v>176</v>
      </c>
    </row>
    <row r="463" spans="1:77" s="33" customFormat="1" ht="13.5" customHeight="1">
      <c r="A463" s="64">
        <f t="shared" si="52"/>
        <v>2022</v>
      </c>
      <c r="B463" s="64">
        <f t="shared" si="53"/>
        <v>7</v>
      </c>
      <c r="C463" s="125" t="s">
        <v>191</v>
      </c>
      <c r="D463" s="168" t="str">
        <f t="shared" si="54"/>
        <v>non maj</v>
      </c>
      <c r="E463" s="222" t="s">
        <v>3302</v>
      </c>
      <c r="F463" s="222" t="s">
        <v>1742</v>
      </c>
      <c r="G463" s="221">
        <v>600</v>
      </c>
      <c r="H463" s="222">
        <v>44736</v>
      </c>
      <c r="I463" s="222">
        <v>44741</v>
      </c>
      <c r="J463" s="222">
        <v>44762</v>
      </c>
      <c r="K463" s="239" t="s">
        <v>3668</v>
      </c>
      <c r="L463" s="222">
        <v>44763</v>
      </c>
      <c r="M463" s="222">
        <v>44763</v>
      </c>
      <c r="N463" s="222">
        <v>44768</v>
      </c>
      <c r="O463" s="222"/>
      <c r="P463" s="222"/>
      <c r="Q463" s="222"/>
      <c r="R463" s="222"/>
      <c r="S463" s="222"/>
      <c r="T463" s="222"/>
      <c r="U463" s="222"/>
      <c r="V463" s="222"/>
      <c r="W463" s="222"/>
      <c r="X463" s="222"/>
      <c r="Y463" s="222"/>
      <c r="Z463" s="222"/>
      <c r="AA463" s="253">
        <v>4</v>
      </c>
      <c r="AB463" s="225">
        <v>62329</v>
      </c>
      <c r="AC463" s="253">
        <v>57</v>
      </c>
      <c r="AD463" s="222" t="s">
        <v>3669</v>
      </c>
      <c r="AE463" s="253">
        <v>38140</v>
      </c>
      <c r="AF463" s="222" t="s">
        <v>1971</v>
      </c>
      <c r="AG463" s="226">
        <v>765735555</v>
      </c>
      <c r="AH463" s="240" t="s">
        <v>3670</v>
      </c>
      <c r="AI463" s="222" t="s">
        <v>1168</v>
      </c>
      <c r="AJ463" s="222"/>
      <c r="AK463" s="222"/>
      <c r="AL463" s="222"/>
      <c r="AM463" s="222"/>
      <c r="AN463" s="222"/>
      <c r="AO463" s="222"/>
      <c r="AP463" s="222" t="s">
        <v>678</v>
      </c>
      <c r="AQ463" s="222" t="s">
        <v>3671</v>
      </c>
      <c r="AR463" s="222" t="s">
        <v>3672</v>
      </c>
      <c r="AS463" s="240" t="s">
        <v>905</v>
      </c>
      <c r="AT463" s="226">
        <v>457939338</v>
      </c>
      <c r="AU463" s="222" t="s">
        <v>176</v>
      </c>
      <c r="AV463" s="222" t="s">
        <v>188</v>
      </c>
      <c r="AW463" s="222">
        <v>44998</v>
      </c>
      <c r="AX463" s="225" t="s">
        <v>4113</v>
      </c>
      <c r="AY463" s="242">
        <v>1985</v>
      </c>
      <c r="AZ463" s="225" t="s">
        <v>1880</v>
      </c>
      <c r="BA463" s="225" t="s">
        <v>380</v>
      </c>
      <c r="BB463" s="222" t="s">
        <v>3673</v>
      </c>
      <c r="BC463" s="222" t="s">
        <v>3674</v>
      </c>
      <c r="BD463" s="242">
        <v>40</v>
      </c>
      <c r="BE463" s="242">
        <v>7</v>
      </c>
      <c r="BF463" s="242" t="s">
        <v>3675</v>
      </c>
      <c r="BG463" s="222" t="s">
        <v>690</v>
      </c>
      <c r="BH463" s="222" t="s">
        <v>1882</v>
      </c>
      <c r="BI463" s="222"/>
      <c r="BJ463" s="230">
        <f>(6192.26-1141.98-109)/1.055</f>
        <v>4683.677725118484</v>
      </c>
      <c r="BK463" s="222"/>
      <c r="BL463" s="222"/>
      <c r="BM463" s="222"/>
      <c r="BN463" s="230">
        <f>1141.98/1.055+109/1.2</f>
        <v>1173.2788309636651</v>
      </c>
      <c r="BO463" s="230">
        <f>BJ463+BN463</f>
        <v>5856.9565560821493</v>
      </c>
      <c r="BP463" s="230">
        <f>317.13+18.17</f>
        <v>335.3</v>
      </c>
      <c r="BQ463" s="230">
        <f t="shared" si="56"/>
        <v>6192.2565560821495</v>
      </c>
      <c r="BR463" s="222"/>
      <c r="BS463" s="222" t="s">
        <v>188</v>
      </c>
      <c r="BT463" s="222"/>
      <c r="BU463" s="222"/>
      <c r="BV463" s="301" t="s">
        <v>4045</v>
      </c>
      <c r="BW463" s="225" t="s">
        <v>968</v>
      </c>
      <c r="BX463" s="301" t="s">
        <v>620</v>
      </c>
      <c r="BY463" s="301">
        <v>2022</v>
      </c>
    </row>
    <row r="464" spans="1:77" s="33" customFormat="1" ht="13.5" customHeight="1">
      <c r="A464" s="64">
        <f t="shared" si="52"/>
        <v>2022</v>
      </c>
      <c r="B464" s="64">
        <f t="shared" si="53"/>
        <v>7</v>
      </c>
      <c r="C464" s="125" t="s">
        <v>191</v>
      </c>
      <c r="D464" s="168" t="str">
        <f t="shared" si="54"/>
        <v>non maj</v>
      </c>
      <c r="E464" s="264" t="s">
        <v>3302</v>
      </c>
      <c r="F464" s="264" t="s">
        <v>1743</v>
      </c>
      <c r="G464" s="221">
        <v>600</v>
      </c>
      <c r="H464" s="222">
        <v>44739</v>
      </c>
      <c r="I464" s="222">
        <v>44741</v>
      </c>
      <c r="J464" s="222" t="s">
        <v>176</v>
      </c>
      <c r="K464" s="239" t="s">
        <v>176</v>
      </c>
      <c r="L464" s="222">
        <v>44762</v>
      </c>
      <c r="M464" s="222">
        <v>44762</v>
      </c>
      <c r="N464" s="222">
        <v>44769</v>
      </c>
      <c r="O464" s="222"/>
      <c r="P464" s="222">
        <v>44854</v>
      </c>
      <c r="Q464" s="222">
        <v>44840</v>
      </c>
      <c r="R464" s="222" t="s">
        <v>176</v>
      </c>
      <c r="S464" s="222">
        <v>44874</v>
      </c>
      <c r="T464" s="222">
        <v>44874</v>
      </c>
      <c r="U464" s="222">
        <v>44879</v>
      </c>
      <c r="V464" s="222"/>
      <c r="W464" s="222"/>
      <c r="X464" s="222"/>
      <c r="Y464" s="222"/>
      <c r="Z464" s="222"/>
      <c r="AA464" s="253">
        <v>3</v>
      </c>
      <c r="AB464" s="225">
        <v>56320</v>
      </c>
      <c r="AC464" s="253">
        <v>20</v>
      </c>
      <c r="AD464" s="222" t="s">
        <v>3676</v>
      </c>
      <c r="AE464" s="253">
        <v>38500</v>
      </c>
      <c r="AF464" s="222" t="s">
        <v>225</v>
      </c>
      <c r="AG464" s="226">
        <v>616997410</v>
      </c>
      <c r="AH464" s="240" t="s">
        <v>3677</v>
      </c>
      <c r="AI464" s="222" t="s">
        <v>1168</v>
      </c>
      <c r="AJ464" s="222"/>
      <c r="AK464" s="222"/>
      <c r="AL464" s="222"/>
      <c r="AM464" s="222"/>
      <c r="AN464" s="222"/>
      <c r="AO464" s="222"/>
      <c r="AP464" s="225" t="s">
        <v>1888</v>
      </c>
      <c r="AQ464" s="222" t="s">
        <v>225</v>
      </c>
      <c r="AR464" s="222" t="s">
        <v>419</v>
      </c>
      <c r="AS464" s="240" t="s">
        <v>269</v>
      </c>
      <c r="AT464" s="226">
        <v>476071461</v>
      </c>
      <c r="AU464" s="222" t="s">
        <v>176</v>
      </c>
      <c r="AV464" s="222" t="s">
        <v>188</v>
      </c>
      <c r="AW464" s="222">
        <v>44868</v>
      </c>
      <c r="AX464" s="222" t="s">
        <v>1879</v>
      </c>
      <c r="AY464" s="242">
        <v>1990</v>
      </c>
      <c r="AZ464" s="225" t="s">
        <v>1880</v>
      </c>
      <c r="BA464" s="225" t="s">
        <v>380</v>
      </c>
      <c r="BB464" s="222" t="s">
        <v>1936</v>
      </c>
      <c r="BC464" s="222" t="s">
        <v>2404</v>
      </c>
      <c r="BD464" s="242">
        <v>22</v>
      </c>
      <c r="BE464" s="242">
        <v>7</v>
      </c>
      <c r="BF464" s="242">
        <v>80</v>
      </c>
      <c r="BG464" s="222" t="s">
        <v>3604</v>
      </c>
      <c r="BH464" s="222" t="s">
        <v>1882</v>
      </c>
      <c r="BI464" s="222"/>
      <c r="BJ464" s="230">
        <f>3665.62+525+101+93+120+37+90+48+22+89+168</f>
        <v>4958.62</v>
      </c>
      <c r="BK464" s="222"/>
      <c r="BL464" s="222"/>
      <c r="BM464" s="222"/>
      <c r="BN464" s="230">
        <f>450+15+30+420+30</f>
        <v>945</v>
      </c>
      <c r="BO464" s="230">
        <f>BJ464+BN464-733</f>
        <v>5170.62</v>
      </c>
      <c r="BP464" s="230">
        <f t="shared" ref="BP464:BP477" si="57">BO464*0.055</f>
        <v>284.38409999999999</v>
      </c>
      <c r="BQ464" s="230">
        <f t="shared" si="56"/>
        <v>5455.0041000000001</v>
      </c>
      <c r="BR464" s="230">
        <v>5455</v>
      </c>
      <c r="BS464" s="222" t="s">
        <v>188</v>
      </c>
      <c r="BT464" s="222"/>
      <c r="BU464" s="222"/>
      <c r="BV464" s="231" t="s">
        <v>4045</v>
      </c>
      <c r="BW464" s="225" t="s">
        <v>968</v>
      </c>
      <c r="BX464" s="301" t="s">
        <v>620</v>
      </c>
      <c r="BY464" s="301">
        <v>2022</v>
      </c>
    </row>
    <row r="465" spans="1:77" s="33" customFormat="1" ht="13.5" customHeight="1">
      <c r="A465" s="64">
        <f t="shared" si="52"/>
        <v>2022</v>
      </c>
      <c r="B465" s="64">
        <f t="shared" si="53"/>
        <v>7</v>
      </c>
      <c r="C465" s="125" t="s">
        <v>191</v>
      </c>
      <c r="D465" s="168" t="str">
        <f t="shared" si="54"/>
        <v>non maj</v>
      </c>
      <c r="E465" s="222" t="s">
        <v>3302</v>
      </c>
      <c r="F465" s="222" t="s">
        <v>1744</v>
      </c>
      <c r="G465" s="221">
        <v>600</v>
      </c>
      <c r="H465" s="222">
        <v>44740</v>
      </c>
      <c r="I465" s="222">
        <v>44741</v>
      </c>
      <c r="J465" s="222" t="s">
        <v>176</v>
      </c>
      <c r="K465" s="272" t="s">
        <v>176</v>
      </c>
      <c r="L465" s="222">
        <v>44762</v>
      </c>
      <c r="M465" s="222">
        <v>44762</v>
      </c>
      <c r="N465" s="222">
        <v>44769</v>
      </c>
      <c r="O465" s="222"/>
      <c r="P465" s="222"/>
      <c r="Q465" s="222"/>
      <c r="R465" s="222"/>
      <c r="S465" s="222"/>
      <c r="T465" s="222"/>
      <c r="U465" s="222"/>
      <c r="V465" s="222"/>
      <c r="W465" s="222"/>
      <c r="X465" s="222"/>
      <c r="Y465" s="222"/>
      <c r="Z465" s="222"/>
      <c r="AA465" s="253">
        <v>4</v>
      </c>
      <c r="AB465" s="225">
        <v>82040</v>
      </c>
      <c r="AC465" s="253">
        <v>7</v>
      </c>
      <c r="AD465" s="222" t="s">
        <v>3678</v>
      </c>
      <c r="AE465" s="253">
        <v>38960</v>
      </c>
      <c r="AF465" s="225" t="s">
        <v>2088</v>
      </c>
      <c r="AG465" s="226">
        <v>687815852</v>
      </c>
      <c r="AH465" s="240" t="s">
        <v>3679</v>
      </c>
      <c r="AI465" s="222" t="s">
        <v>1168</v>
      </c>
      <c r="AJ465" s="222"/>
      <c r="AK465" s="222"/>
      <c r="AL465" s="222"/>
      <c r="AM465" s="222"/>
      <c r="AN465" s="222"/>
      <c r="AO465" s="222"/>
      <c r="AP465" s="222" t="s">
        <v>681</v>
      </c>
      <c r="AQ465" s="222" t="s">
        <v>3680</v>
      </c>
      <c r="AR465" s="222" t="s">
        <v>3681</v>
      </c>
      <c r="AS465" s="240" t="s">
        <v>278</v>
      </c>
      <c r="AT465" s="226">
        <v>479324446</v>
      </c>
      <c r="AU465" s="222" t="s">
        <v>176</v>
      </c>
      <c r="AV465" s="222" t="s">
        <v>188</v>
      </c>
      <c r="AW465" s="222">
        <v>44857</v>
      </c>
      <c r="AX465" s="225" t="s">
        <v>4113</v>
      </c>
      <c r="AY465" s="242">
        <v>1985</v>
      </c>
      <c r="AZ465" s="222" t="s">
        <v>4113</v>
      </c>
      <c r="BA465" s="225" t="s">
        <v>380</v>
      </c>
      <c r="BB465" s="222" t="s">
        <v>1004</v>
      </c>
      <c r="BC465" s="222" t="s">
        <v>3682</v>
      </c>
      <c r="BD465" s="242">
        <v>12</v>
      </c>
      <c r="BE465" s="242">
        <v>10</v>
      </c>
      <c r="BF465" s="242">
        <v>87</v>
      </c>
      <c r="BG465" s="242">
        <v>56</v>
      </c>
      <c r="BH465" s="222" t="s">
        <v>3023</v>
      </c>
      <c r="BI465" s="222"/>
      <c r="BJ465" s="230">
        <f>9723.46+400+612.5+935+231+125.32+701.96+93.33+45.32+21.54+1500+670+670+465+144.46+460.08+135+49.38+75</f>
        <v>17058.349999999999</v>
      </c>
      <c r="BK465" s="222"/>
      <c r="BL465" s="222"/>
      <c r="BM465" s="222"/>
      <c r="BN465" s="230">
        <v>2500</v>
      </c>
      <c r="BO465" s="230">
        <f>BJ465+BN465-601.02</f>
        <v>18957.329999999998</v>
      </c>
      <c r="BP465" s="230">
        <f t="shared" si="57"/>
        <v>1042.6531499999999</v>
      </c>
      <c r="BQ465" s="230">
        <f t="shared" si="56"/>
        <v>19999.983149999996</v>
      </c>
      <c r="BR465" s="222"/>
      <c r="BS465" s="222" t="s">
        <v>191</v>
      </c>
      <c r="BT465" s="222"/>
      <c r="BU465" s="222"/>
      <c r="BV465" s="301" t="s">
        <v>4045</v>
      </c>
      <c r="BW465" s="225" t="s">
        <v>968</v>
      </c>
      <c r="BX465" s="301" t="s">
        <v>620</v>
      </c>
      <c r="BY465" s="301">
        <v>2022</v>
      </c>
    </row>
    <row r="466" spans="1:77" s="33" customFormat="1" ht="13.5" customHeight="1">
      <c r="A466" s="64">
        <f t="shared" si="52"/>
        <v>2022</v>
      </c>
      <c r="B466" s="64">
        <f t="shared" si="53"/>
        <v>7</v>
      </c>
      <c r="C466" s="125" t="s">
        <v>191</v>
      </c>
      <c r="D466" s="168" t="str">
        <f t="shared" si="54"/>
        <v>non maj</v>
      </c>
      <c r="E466" s="264" t="s">
        <v>3302</v>
      </c>
      <c r="F466" s="264" t="s">
        <v>1745</v>
      </c>
      <c r="G466" s="221">
        <v>600</v>
      </c>
      <c r="H466" s="222">
        <v>44741</v>
      </c>
      <c r="I466" s="222">
        <v>44741</v>
      </c>
      <c r="J466" s="222">
        <v>44762</v>
      </c>
      <c r="K466" s="239" t="s">
        <v>3668</v>
      </c>
      <c r="L466" s="222">
        <v>44763</v>
      </c>
      <c r="M466" s="222">
        <v>44763</v>
      </c>
      <c r="N466" s="222">
        <v>44768</v>
      </c>
      <c r="O466" s="222"/>
      <c r="P466" s="222">
        <v>44829</v>
      </c>
      <c r="Q466" s="222">
        <v>44796</v>
      </c>
      <c r="R466" s="222" t="s">
        <v>176</v>
      </c>
      <c r="S466" s="222">
        <v>44873</v>
      </c>
      <c r="T466" s="222">
        <v>44873</v>
      </c>
      <c r="U466" s="222">
        <v>44879</v>
      </c>
      <c r="V466" s="222"/>
      <c r="W466" s="222"/>
      <c r="X466" s="222"/>
      <c r="Y466" s="222"/>
      <c r="Z466" s="222"/>
      <c r="AA466" s="253">
        <v>2</v>
      </c>
      <c r="AB466" s="225">
        <v>55250</v>
      </c>
      <c r="AC466" s="253">
        <v>400</v>
      </c>
      <c r="AD466" s="222" t="s">
        <v>3683</v>
      </c>
      <c r="AE466" s="253">
        <v>38620</v>
      </c>
      <c r="AF466" s="225" t="s">
        <v>2382</v>
      </c>
      <c r="AG466" s="226">
        <v>674335954</v>
      </c>
      <c r="AH466" s="240" t="s">
        <v>3684</v>
      </c>
      <c r="AI466" s="222" t="s">
        <v>1168</v>
      </c>
      <c r="AJ466" s="222"/>
      <c r="AK466" s="222"/>
      <c r="AL466" s="222"/>
      <c r="AM466" s="222"/>
      <c r="AN466" s="222"/>
      <c r="AO466" s="222"/>
      <c r="AP466" s="222" t="s">
        <v>579</v>
      </c>
      <c r="AQ466" s="222" t="s">
        <v>1895</v>
      </c>
      <c r="AR466" s="222" t="s">
        <v>1046</v>
      </c>
      <c r="AS466" s="240" t="s">
        <v>201</v>
      </c>
      <c r="AT466" s="226">
        <v>438029038</v>
      </c>
      <c r="AU466" s="222" t="s">
        <v>176</v>
      </c>
      <c r="AV466" s="222" t="s">
        <v>188</v>
      </c>
      <c r="AW466" s="222">
        <v>45147</v>
      </c>
      <c r="AX466" s="225" t="s">
        <v>1880</v>
      </c>
      <c r="AY466" s="242">
        <v>1990</v>
      </c>
      <c r="AZ466" s="225" t="s">
        <v>1880</v>
      </c>
      <c r="BA466" s="225" t="s">
        <v>380</v>
      </c>
      <c r="BB466" s="222" t="s">
        <v>971</v>
      </c>
      <c r="BC466" s="222" t="s">
        <v>3685</v>
      </c>
      <c r="BD466" s="225">
        <v>31</v>
      </c>
      <c r="BE466" s="242">
        <v>6.5</v>
      </c>
      <c r="BF466" s="242">
        <v>87</v>
      </c>
      <c r="BG466" s="242">
        <v>1074</v>
      </c>
      <c r="BH466" s="222" t="s">
        <v>3023</v>
      </c>
      <c r="BI466" s="222"/>
      <c r="BJ466" s="230">
        <f>(6366+45)/1.055</f>
        <v>6076.7772511848343</v>
      </c>
      <c r="BK466" s="222"/>
      <c r="BL466" s="222"/>
      <c r="BM466" s="222"/>
      <c r="BN466" s="230">
        <f>480/1.055</f>
        <v>454.97630331753555</v>
      </c>
      <c r="BO466" s="230">
        <f>BJ466+BN466</f>
        <v>6531.7535545023702</v>
      </c>
      <c r="BP466" s="230">
        <f t="shared" si="57"/>
        <v>359.24644549763036</v>
      </c>
      <c r="BQ466" s="230">
        <f t="shared" si="56"/>
        <v>6891.0000000000009</v>
      </c>
      <c r="BR466" s="230">
        <v>7221</v>
      </c>
      <c r="BS466" s="222" t="s">
        <v>388</v>
      </c>
      <c r="BT466" s="222"/>
      <c r="BU466" s="222"/>
      <c r="BV466" s="231" t="s">
        <v>4045</v>
      </c>
      <c r="BW466" s="225" t="s">
        <v>968</v>
      </c>
      <c r="BX466" s="301" t="s">
        <v>620</v>
      </c>
      <c r="BY466" s="301">
        <v>2022</v>
      </c>
    </row>
    <row r="467" spans="1:77" s="33" customFormat="1" ht="13.5" customHeight="1">
      <c r="A467" s="64">
        <f t="shared" si="52"/>
        <v>2022</v>
      </c>
      <c r="B467" s="64">
        <f t="shared" si="53"/>
        <v>7</v>
      </c>
      <c r="C467" s="125" t="s">
        <v>191</v>
      </c>
      <c r="D467" s="168" t="str">
        <f t="shared" si="54"/>
        <v>non maj</v>
      </c>
      <c r="E467" s="264" t="s">
        <v>3302</v>
      </c>
      <c r="F467" s="264" t="s">
        <v>1746</v>
      </c>
      <c r="G467" s="221">
        <v>600</v>
      </c>
      <c r="H467" s="222">
        <v>44741</v>
      </c>
      <c r="I467" s="222">
        <v>44747</v>
      </c>
      <c r="J467" s="222" t="s">
        <v>176</v>
      </c>
      <c r="K467" s="239" t="s">
        <v>176</v>
      </c>
      <c r="L467" s="222">
        <v>44762</v>
      </c>
      <c r="M467" s="222">
        <v>44762</v>
      </c>
      <c r="N467" s="222">
        <v>44769</v>
      </c>
      <c r="O467" s="222"/>
      <c r="P467" s="222">
        <v>44877</v>
      </c>
      <c r="Q467" s="222">
        <v>44812</v>
      </c>
      <c r="R467" s="222" t="s">
        <v>176</v>
      </c>
      <c r="S467" s="222">
        <v>44895</v>
      </c>
      <c r="T467" s="222">
        <v>44895</v>
      </c>
      <c r="U467" s="238">
        <v>44897</v>
      </c>
      <c r="V467" s="222"/>
      <c r="W467" s="222"/>
      <c r="X467" s="222"/>
      <c r="Y467" s="222"/>
      <c r="Z467" s="222"/>
      <c r="AA467" s="253">
        <v>4</v>
      </c>
      <c r="AB467" s="225">
        <v>50452</v>
      </c>
      <c r="AC467" s="253">
        <v>205</v>
      </c>
      <c r="AD467" s="222" t="s">
        <v>3686</v>
      </c>
      <c r="AE467" s="253">
        <v>38210</v>
      </c>
      <c r="AF467" s="222" t="s">
        <v>1903</v>
      </c>
      <c r="AG467" s="226">
        <v>678721755</v>
      </c>
      <c r="AH467" s="240" t="s">
        <v>3687</v>
      </c>
      <c r="AI467" s="222" t="s">
        <v>1168</v>
      </c>
      <c r="AJ467" s="222"/>
      <c r="AK467" s="222"/>
      <c r="AL467" s="222"/>
      <c r="AM467" s="222"/>
      <c r="AN467" s="222"/>
      <c r="AO467" s="222"/>
      <c r="AP467" s="222" t="s">
        <v>585</v>
      </c>
      <c r="AQ467" s="222" t="s">
        <v>227</v>
      </c>
      <c r="AR467" s="222" t="s">
        <v>1054</v>
      </c>
      <c r="AS467" s="222" t="s">
        <v>176</v>
      </c>
      <c r="AT467" s="226">
        <v>476134004</v>
      </c>
      <c r="AU467" s="222" t="s">
        <v>176</v>
      </c>
      <c r="AV467" s="222" t="s">
        <v>188</v>
      </c>
      <c r="AW467" s="222">
        <v>44879</v>
      </c>
      <c r="AX467" s="225" t="s">
        <v>4113</v>
      </c>
      <c r="AY467" s="242">
        <v>1985</v>
      </c>
      <c r="AZ467" s="225" t="s">
        <v>1880</v>
      </c>
      <c r="BA467" s="225" t="s">
        <v>267</v>
      </c>
      <c r="BB467" s="222" t="s">
        <v>287</v>
      </c>
      <c r="BC467" s="222" t="s">
        <v>596</v>
      </c>
      <c r="BD467" s="242">
        <v>20</v>
      </c>
      <c r="BE467" s="242" t="s">
        <v>3688</v>
      </c>
      <c r="BF467" s="242">
        <v>91</v>
      </c>
      <c r="BG467" s="222" t="s">
        <v>3343</v>
      </c>
      <c r="BH467" s="222" t="s">
        <v>1882</v>
      </c>
      <c r="BI467" s="222"/>
      <c r="BJ467" s="230">
        <f>4459+17+67+360+90+79+89+300+50</f>
        <v>5511</v>
      </c>
      <c r="BK467" s="222"/>
      <c r="BL467" s="222"/>
      <c r="BM467" s="222"/>
      <c r="BN467" s="230">
        <v>740</v>
      </c>
      <c r="BO467" s="230">
        <f>BJ467+BN467-300</f>
        <v>5951</v>
      </c>
      <c r="BP467" s="230">
        <f t="shared" si="57"/>
        <v>327.30500000000001</v>
      </c>
      <c r="BQ467" s="230">
        <f t="shared" si="56"/>
        <v>6278.3050000000003</v>
      </c>
      <c r="BR467" s="230">
        <v>6278.31</v>
      </c>
      <c r="BS467" s="222" t="s">
        <v>188</v>
      </c>
      <c r="BT467" s="222"/>
      <c r="BU467" s="222"/>
      <c r="BV467" s="231" t="s">
        <v>4045</v>
      </c>
      <c r="BW467" s="225" t="s">
        <v>968</v>
      </c>
      <c r="BX467" s="301" t="s">
        <v>620</v>
      </c>
      <c r="BY467" s="301" t="s">
        <v>176</v>
      </c>
    </row>
    <row r="468" spans="1:77" s="33" customFormat="1" ht="13.5" customHeight="1">
      <c r="A468" s="64">
        <f t="shared" si="52"/>
        <v>2022</v>
      </c>
      <c r="B468" s="64">
        <f t="shared" si="53"/>
        <v>7</v>
      </c>
      <c r="C468" s="125" t="s">
        <v>191</v>
      </c>
      <c r="D468" s="168" t="str">
        <f t="shared" si="54"/>
        <v>maj</v>
      </c>
      <c r="E468" s="222" t="s">
        <v>3302</v>
      </c>
      <c r="F468" s="222" t="s">
        <v>1748</v>
      </c>
      <c r="G468" s="221">
        <v>1000</v>
      </c>
      <c r="H468" s="222">
        <v>44742</v>
      </c>
      <c r="I468" s="222">
        <v>44747</v>
      </c>
      <c r="J468" s="222" t="s">
        <v>176</v>
      </c>
      <c r="K468" s="239" t="s">
        <v>176</v>
      </c>
      <c r="L468" s="222">
        <v>44762</v>
      </c>
      <c r="M468" s="222">
        <v>44762</v>
      </c>
      <c r="N468" s="222">
        <v>44769</v>
      </c>
      <c r="O468" s="222"/>
      <c r="P468" s="222">
        <v>44937</v>
      </c>
      <c r="Q468" s="222"/>
      <c r="R468" s="222"/>
      <c r="S468" s="222"/>
      <c r="T468" s="222"/>
      <c r="U468" s="222"/>
      <c r="V468" s="222"/>
      <c r="W468" s="222"/>
      <c r="X468" s="222"/>
      <c r="Y468" s="222"/>
      <c r="Z468" s="222"/>
      <c r="AA468" s="253">
        <v>1</v>
      </c>
      <c r="AB468" s="225">
        <v>18700</v>
      </c>
      <c r="AC468" s="253">
        <v>3</v>
      </c>
      <c r="AD468" s="222" t="s">
        <v>3689</v>
      </c>
      <c r="AE468" s="253">
        <v>38360</v>
      </c>
      <c r="AF468" s="225" t="s">
        <v>2088</v>
      </c>
      <c r="AG468" s="226">
        <v>652353147</v>
      </c>
      <c r="AH468" s="240" t="s">
        <v>3690</v>
      </c>
      <c r="AI468" s="222" t="s">
        <v>1168</v>
      </c>
      <c r="AJ468" s="222"/>
      <c r="AK468" s="222"/>
      <c r="AL468" s="222"/>
      <c r="AM468" s="222"/>
      <c r="AN468" s="222"/>
      <c r="AO468" s="222"/>
      <c r="AP468" s="222" t="s">
        <v>675</v>
      </c>
      <c r="AQ468" s="222" t="s">
        <v>864</v>
      </c>
      <c r="AR468" s="222" t="s">
        <v>3663</v>
      </c>
      <c r="AS468" s="240" t="s">
        <v>673</v>
      </c>
      <c r="AT468" s="226">
        <v>972179856</v>
      </c>
      <c r="AU468" s="222" t="s">
        <v>176</v>
      </c>
      <c r="AV468" s="222" t="s">
        <v>188</v>
      </c>
      <c r="AW468" s="222">
        <v>44798</v>
      </c>
      <c r="AX468" s="225" t="s">
        <v>4113</v>
      </c>
      <c r="AY468" s="242">
        <v>1979</v>
      </c>
      <c r="AZ468" s="225" t="s">
        <v>1880</v>
      </c>
      <c r="BA468" s="225" t="s">
        <v>267</v>
      </c>
      <c r="BB468" s="222" t="s">
        <v>413</v>
      </c>
      <c r="BC468" s="222" t="s">
        <v>3691</v>
      </c>
      <c r="BD468" s="242">
        <v>13</v>
      </c>
      <c r="BE468" s="242" t="s">
        <v>3665</v>
      </c>
      <c r="BF468" s="242" t="s">
        <v>3692</v>
      </c>
      <c r="BG468" s="222" t="s">
        <v>3667</v>
      </c>
      <c r="BH468" s="222" t="s">
        <v>1882</v>
      </c>
      <c r="BI468" s="222"/>
      <c r="BJ468" s="230">
        <f>3765+211.52+340.5+271.35+118+269.9+600+35</f>
        <v>5611.27</v>
      </c>
      <c r="BK468" s="222"/>
      <c r="BL468" s="222"/>
      <c r="BM468" s="222"/>
      <c r="BN468" s="230">
        <v>830</v>
      </c>
      <c r="BO468" s="230">
        <f>BJ468+BN468-600</f>
        <v>5841.27</v>
      </c>
      <c r="BP468" s="230">
        <f t="shared" si="57"/>
        <v>321.26985000000002</v>
      </c>
      <c r="BQ468" s="230">
        <f t="shared" si="56"/>
        <v>6162.5398500000001</v>
      </c>
      <c r="BR468" s="222"/>
      <c r="BS468" s="222" t="s">
        <v>188</v>
      </c>
      <c r="BT468" s="222"/>
      <c r="BU468" s="222"/>
      <c r="BV468" s="301" t="s">
        <v>4045</v>
      </c>
      <c r="BW468" s="225" t="s">
        <v>968</v>
      </c>
      <c r="BX468" s="222" t="s">
        <v>618</v>
      </c>
      <c r="BY468" s="301" t="s">
        <v>176</v>
      </c>
    </row>
    <row r="469" spans="1:77" s="33" customFormat="1" ht="13.5" customHeight="1">
      <c r="A469" s="64">
        <f t="shared" si="52"/>
        <v>2022</v>
      </c>
      <c r="B469" s="64">
        <f t="shared" si="53"/>
        <v>7</v>
      </c>
      <c r="C469" s="125" t="s">
        <v>191</v>
      </c>
      <c r="D469" s="168" t="str">
        <f t="shared" si="54"/>
        <v>non maj</v>
      </c>
      <c r="E469" s="264" t="s">
        <v>3302</v>
      </c>
      <c r="F469" s="264" t="s">
        <v>1749</v>
      </c>
      <c r="G469" s="221">
        <v>600</v>
      </c>
      <c r="H469" s="222">
        <v>44743</v>
      </c>
      <c r="I469" s="222">
        <v>44747</v>
      </c>
      <c r="J469" s="222" t="s">
        <v>176</v>
      </c>
      <c r="K469" s="239" t="s">
        <v>176</v>
      </c>
      <c r="L469" s="222">
        <v>44762</v>
      </c>
      <c r="M469" s="222">
        <v>44762</v>
      </c>
      <c r="N469" s="222">
        <v>44769</v>
      </c>
      <c r="O469" s="222"/>
      <c r="P469" s="222">
        <v>44897</v>
      </c>
      <c r="Q469" s="222">
        <v>44858</v>
      </c>
      <c r="R469" s="222" t="s">
        <v>176</v>
      </c>
      <c r="S469" s="222">
        <v>44915</v>
      </c>
      <c r="T469" s="222">
        <v>44915</v>
      </c>
      <c r="U469" s="222">
        <v>44932</v>
      </c>
      <c r="V469" s="222"/>
      <c r="W469" s="222"/>
      <c r="X469" s="222"/>
      <c r="Y469" s="222"/>
      <c r="Z469" s="222"/>
      <c r="AA469" s="253">
        <v>1</v>
      </c>
      <c r="AB469" s="225">
        <v>20364</v>
      </c>
      <c r="AC469" s="253">
        <v>421</v>
      </c>
      <c r="AD469" s="222" t="s">
        <v>3693</v>
      </c>
      <c r="AE469" s="253">
        <v>38500</v>
      </c>
      <c r="AF469" s="222" t="s">
        <v>271</v>
      </c>
      <c r="AG469" s="226">
        <v>673508524</v>
      </c>
      <c r="AH469" s="240" t="s">
        <v>3694</v>
      </c>
      <c r="AI469" s="222" t="s">
        <v>1168</v>
      </c>
      <c r="AJ469" s="222"/>
      <c r="AK469" s="222"/>
      <c r="AL469" s="222"/>
      <c r="AM469" s="222"/>
      <c r="AN469" s="222"/>
      <c r="AO469" s="222"/>
      <c r="AP469" s="225" t="s">
        <v>2762</v>
      </c>
      <c r="AQ469" s="225" t="s">
        <v>1018</v>
      </c>
      <c r="AR469" s="225" t="s">
        <v>3333</v>
      </c>
      <c r="AS469" s="227" t="s">
        <v>1019</v>
      </c>
      <c r="AT469" s="226" t="s">
        <v>3072</v>
      </c>
      <c r="AU469" s="225" t="s">
        <v>176</v>
      </c>
      <c r="AV469" s="241" t="s">
        <v>188</v>
      </c>
      <c r="AW469" s="223">
        <v>44731</v>
      </c>
      <c r="AX469" s="225" t="s">
        <v>1879</v>
      </c>
      <c r="AY469" s="242">
        <v>1970</v>
      </c>
      <c r="AZ469" s="225" t="s">
        <v>4113</v>
      </c>
      <c r="BA469" s="225" t="s">
        <v>380</v>
      </c>
      <c r="BB469" s="225" t="s">
        <v>3404</v>
      </c>
      <c r="BC469" s="222" t="s">
        <v>2841</v>
      </c>
      <c r="BD469" s="242">
        <v>34</v>
      </c>
      <c r="BE469" s="242" t="s">
        <v>3642</v>
      </c>
      <c r="BF469" s="242" t="s">
        <v>3643</v>
      </c>
      <c r="BG469" s="222" t="s">
        <v>3487</v>
      </c>
      <c r="BH469" s="222" t="s">
        <v>1882</v>
      </c>
      <c r="BI469" s="222"/>
      <c r="BJ469" s="230">
        <f>1723.06+875+425+340+280+167+395+567+385</f>
        <v>5157.0599999999995</v>
      </c>
      <c r="BK469" s="222"/>
      <c r="BL469" s="222"/>
      <c r="BM469" s="222"/>
      <c r="BN469" s="230">
        <v>750</v>
      </c>
      <c r="BO469" s="230">
        <f>BJ469+BN469-219.86</f>
        <v>5687.2</v>
      </c>
      <c r="BP469" s="230">
        <f t="shared" si="57"/>
        <v>312.79599999999999</v>
      </c>
      <c r="BQ469" s="230">
        <f t="shared" si="56"/>
        <v>5999.9960000000001</v>
      </c>
      <c r="BR469" s="230">
        <v>6000</v>
      </c>
      <c r="BS469" s="222" t="s">
        <v>188</v>
      </c>
      <c r="BT469" s="222"/>
      <c r="BU469" s="222"/>
      <c r="BV469" s="301" t="s">
        <v>4045</v>
      </c>
      <c r="BW469" s="225" t="s">
        <v>968</v>
      </c>
      <c r="BX469" s="301" t="s">
        <v>620</v>
      </c>
      <c r="BY469" s="301">
        <v>2022</v>
      </c>
    </row>
    <row r="470" spans="1:77" s="33" customFormat="1" ht="13.5" customHeight="1">
      <c r="A470" s="64">
        <f t="shared" si="52"/>
        <v>2022</v>
      </c>
      <c r="B470" s="64">
        <f t="shared" si="53"/>
        <v>7</v>
      </c>
      <c r="C470" s="125" t="s">
        <v>191</v>
      </c>
      <c r="D470" s="168" t="str">
        <f t="shared" si="54"/>
        <v>maj</v>
      </c>
      <c r="E470" s="264" t="s">
        <v>3302</v>
      </c>
      <c r="F470" s="264" t="s">
        <v>1750</v>
      </c>
      <c r="G470" s="221">
        <v>1000</v>
      </c>
      <c r="H470" s="222">
        <v>44743</v>
      </c>
      <c r="I470" s="222">
        <v>44747</v>
      </c>
      <c r="J470" s="222" t="s">
        <v>176</v>
      </c>
      <c r="K470" s="239" t="s">
        <v>176</v>
      </c>
      <c r="L470" s="222">
        <v>44762</v>
      </c>
      <c r="M470" s="222">
        <v>44762</v>
      </c>
      <c r="N470" s="222">
        <v>44769</v>
      </c>
      <c r="O470" s="222"/>
      <c r="P470" s="222">
        <v>44839</v>
      </c>
      <c r="Q470" s="222">
        <v>44776</v>
      </c>
      <c r="R470" s="222" t="s">
        <v>176</v>
      </c>
      <c r="S470" s="222">
        <v>44873</v>
      </c>
      <c r="T470" s="222">
        <v>44873</v>
      </c>
      <c r="U470" s="222">
        <v>44879</v>
      </c>
      <c r="V470" s="222"/>
      <c r="W470" s="222"/>
      <c r="X470" s="222"/>
      <c r="Y470" s="222"/>
      <c r="Z470" s="222"/>
      <c r="AA470" s="253">
        <v>1</v>
      </c>
      <c r="AB470" s="225">
        <v>19267</v>
      </c>
      <c r="AC470" s="253">
        <v>44</v>
      </c>
      <c r="AD470" s="222" t="s">
        <v>3695</v>
      </c>
      <c r="AE470" s="253">
        <v>38620</v>
      </c>
      <c r="AF470" s="222" t="s">
        <v>2010</v>
      </c>
      <c r="AG470" s="226">
        <v>476324094</v>
      </c>
      <c r="AH470" s="240" t="s">
        <v>3696</v>
      </c>
      <c r="AI470" s="222" t="s">
        <v>1168</v>
      </c>
      <c r="AJ470" s="222"/>
      <c r="AK470" s="222"/>
      <c r="AL470" s="222"/>
      <c r="AM470" s="222"/>
      <c r="AN470" s="222"/>
      <c r="AO470" s="222"/>
      <c r="AP470" s="225" t="s">
        <v>2762</v>
      </c>
      <c r="AQ470" s="225" t="s">
        <v>1018</v>
      </c>
      <c r="AR470" s="225" t="s">
        <v>3333</v>
      </c>
      <c r="AS470" s="227" t="s">
        <v>1019</v>
      </c>
      <c r="AT470" s="226" t="s">
        <v>3072</v>
      </c>
      <c r="AU470" s="225" t="s">
        <v>176</v>
      </c>
      <c r="AV470" s="241" t="s">
        <v>188</v>
      </c>
      <c r="AW470" s="223">
        <v>44731</v>
      </c>
      <c r="AX470" s="225" t="s">
        <v>1880</v>
      </c>
      <c r="AY470" s="242">
        <v>1995</v>
      </c>
      <c r="AZ470" s="225" t="s">
        <v>1880</v>
      </c>
      <c r="BA470" s="225" t="s">
        <v>267</v>
      </c>
      <c r="BB470" s="222" t="s">
        <v>243</v>
      </c>
      <c r="BC470" s="222" t="s">
        <v>3697</v>
      </c>
      <c r="BD470" s="242">
        <v>14</v>
      </c>
      <c r="BE470" s="242">
        <v>8</v>
      </c>
      <c r="BF470" s="242" t="s">
        <v>3698</v>
      </c>
      <c r="BG470" s="222" t="s">
        <v>3699</v>
      </c>
      <c r="BH470" s="222" t="s">
        <v>1882</v>
      </c>
      <c r="BI470" s="222"/>
      <c r="BJ470" s="230">
        <f>2526+76.9+495+468+55.4+187+67+60.06</f>
        <v>3935.36</v>
      </c>
      <c r="BK470" s="222"/>
      <c r="BL470" s="222"/>
      <c r="BM470" s="222"/>
      <c r="BN470" s="230">
        <f>550+90</f>
        <v>640</v>
      </c>
      <c r="BO470" s="230">
        <f t="shared" ref="BO470:BO477" si="58">BJ470+BN470</f>
        <v>4575.3600000000006</v>
      </c>
      <c r="BP470" s="230">
        <f t="shared" si="57"/>
        <v>251.64480000000003</v>
      </c>
      <c r="BQ470" s="230">
        <f t="shared" si="56"/>
        <v>4827.0048000000006</v>
      </c>
      <c r="BR470" s="230">
        <v>4827</v>
      </c>
      <c r="BS470" s="222" t="s">
        <v>191</v>
      </c>
      <c r="BT470" s="222"/>
      <c r="BU470" s="222"/>
      <c r="BV470" s="231" t="s">
        <v>4045</v>
      </c>
      <c r="BW470" s="225" t="s">
        <v>968</v>
      </c>
      <c r="BX470" s="222" t="s">
        <v>618</v>
      </c>
      <c r="BY470" s="301" t="s">
        <v>176</v>
      </c>
    </row>
    <row r="471" spans="1:77" s="33" customFormat="1" ht="13.5" customHeight="1">
      <c r="A471" s="64">
        <f t="shared" si="52"/>
        <v>2022</v>
      </c>
      <c r="B471" s="64">
        <f t="shared" si="53"/>
        <v>7</v>
      </c>
      <c r="C471" s="125" t="s">
        <v>191</v>
      </c>
      <c r="D471" s="168" t="str">
        <f t="shared" si="54"/>
        <v>maj</v>
      </c>
      <c r="E471" s="222" t="s">
        <v>3302</v>
      </c>
      <c r="F471" s="222" t="s">
        <v>1752</v>
      </c>
      <c r="G471" s="221">
        <v>1000</v>
      </c>
      <c r="H471" s="222">
        <v>44749</v>
      </c>
      <c r="I471" s="222">
        <v>44754</v>
      </c>
      <c r="J471" s="222">
        <v>44762</v>
      </c>
      <c r="K471" s="239" t="s">
        <v>1008</v>
      </c>
      <c r="L471" s="222">
        <v>44763</v>
      </c>
      <c r="M471" s="222">
        <v>44763</v>
      </c>
      <c r="N471" s="222">
        <v>44768</v>
      </c>
      <c r="O471" s="222"/>
      <c r="P471" s="222"/>
      <c r="Q471" s="222"/>
      <c r="R471" s="222"/>
      <c r="S471" s="222"/>
      <c r="T471" s="222"/>
      <c r="U471" s="222"/>
      <c r="V471" s="222"/>
      <c r="W471" s="222"/>
      <c r="X471" s="222"/>
      <c r="Y471" s="222"/>
      <c r="Z471" s="222"/>
      <c r="AA471" s="253">
        <v>5</v>
      </c>
      <c r="AB471" s="225">
        <f>18282+18769</f>
        <v>37051</v>
      </c>
      <c r="AC471" s="253">
        <v>13</v>
      </c>
      <c r="AD471" s="222" t="s">
        <v>3700</v>
      </c>
      <c r="AE471" s="253">
        <v>38850</v>
      </c>
      <c r="AF471" s="222" t="s">
        <v>1931</v>
      </c>
      <c r="AG471" s="226">
        <v>676335158</v>
      </c>
      <c r="AH471" s="240" t="s">
        <v>3701</v>
      </c>
      <c r="AI471" s="222" t="s">
        <v>1168</v>
      </c>
      <c r="AJ471" s="222"/>
      <c r="AK471" s="222"/>
      <c r="AL471" s="222"/>
      <c r="AM471" s="222"/>
      <c r="AN471" s="222"/>
      <c r="AO471" s="222"/>
      <c r="AP471" s="225" t="s">
        <v>768</v>
      </c>
      <c r="AQ471" s="225" t="s">
        <v>225</v>
      </c>
      <c r="AR471" s="225" t="s">
        <v>2895</v>
      </c>
      <c r="AS471" s="241" t="s">
        <v>281</v>
      </c>
      <c r="AT471" s="226">
        <v>685231565</v>
      </c>
      <c r="AU471" s="225" t="s">
        <v>176</v>
      </c>
      <c r="AV471" s="241" t="s">
        <v>188</v>
      </c>
      <c r="AW471" s="223">
        <v>45006</v>
      </c>
      <c r="AX471" s="225" t="s">
        <v>1880</v>
      </c>
      <c r="AY471" s="242">
        <v>2002</v>
      </c>
      <c r="AZ471" s="225" t="s">
        <v>1880</v>
      </c>
      <c r="BA471" s="225" t="s">
        <v>267</v>
      </c>
      <c r="BB471" s="222" t="s">
        <v>394</v>
      </c>
      <c r="BC471" s="222" t="s">
        <v>899</v>
      </c>
      <c r="BD471" s="242">
        <v>12</v>
      </c>
      <c r="BE471" s="242" t="s">
        <v>3702</v>
      </c>
      <c r="BF471" s="242" t="s">
        <v>3703</v>
      </c>
      <c r="BG471" s="222" t="s">
        <v>3704</v>
      </c>
      <c r="BH471" s="222" t="s">
        <v>1882</v>
      </c>
      <c r="BI471" s="222"/>
      <c r="BJ471" s="230">
        <f>3300+55+40+190+45+227+49+65+50+105+115+150+190+50+42+30+120</f>
        <v>4823</v>
      </c>
      <c r="BK471" s="222"/>
      <c r="BL471" s="222"/>
      <c r="BM471" s="222"/>
      <c r="BN471" s="230">
        <v>1200</v>
      </c>
      <c r="BO471" s="230">
        <f t="shared" si="58"/>
        <v>6023</v>
      </c>
      <c r="BP471" s="230">
        <f t="shared" si="57"/>
        <v>331.26499999999999</v>
      </c>
      <c r="BQ471" s="230">
        <f t="shared" si="56"/>
        <v>6354.2650000000003</v>
      </c>
      <c r="BR471" s="222"/>
      <c r="BS471" s="222" t="s">
        <v>191</v>
      </c>
      <c r="BT471" s="222"/>
      <c r="BU471" s="222"/>
      <c r="BV471" s="301" t="s">
        <v>4045</v>
      </c>
      <c r="BW471" s="225" t="s">
        <v>968</v>
      </c>
      <c r="BX471" s="222" t="s">
        <v>618</v>
      </c>
      <c r="BY471" s="301" t="s">
        <v>176</v>
      </c>
    </row>
    <row r="472" spans="1:77" s="33" customFormat="1" ht="13.5" customHeight="1">
      <c r="A472" s="64">
        <f t="shared" si="52"/>
        <v>2022</v>
      </c>
      <c r="B472" s="64">
        <f t="shared" si="53"/>
        <v>7</v>
      </c>
      <c r="C472" s="125" t="s">
        <v>191</v>
      </c>
      <c r="D472" s="168" t="str">
        <f t="shared" si="54"/>
        <v>non maj</v>
      </c>
      <c r="E472" s="264" t="s">
        <v>3302</v>
      </c>
      <c r="F472" s="264" t="s">
        <v>1754</v>
      </c>
      <c r="G472" s="221">
        <v>600</v>
      </c>
      <c r="H472" s="222">
        <v>44749</v>
      </c>
      <c r="I472" s="222">
        <v>44754</v>
      </c>
      <c r="J472" s="222">
        <v>44762</v>
      </c>
      <c r="K472" s="239" t="s">
        <v>3705</v>
      </c>
      <c r="L472" s="222">
        <v>44764</v>
      </c>
      <c r="M472" s="272">
        <v>44764</v>
      </c>
      <c r="N472" s="222">
        <v>44768</v>
      </c>
      <c r="O472" s="222"/>
      <c r="P472" s="222">
        <v>44900</v>
      </c>
      <c r="Q472" s="222">
        <v>44874</v>
      </c>
      <c r="R472" s="222" t="s">
        <v>176</v>
      </c>
      <c r="S472" s="222">
        <v>44915</v>
      </c>
      <c r="T472" s="222">
        <v>44915</v>
      </c>
      <c r="U472" s="222">
        <v>44932</v>
      </c>
      <c r="V472" s="222"/>
      <c r="W472" s="222"/>
      <c r="X472" s="222"/>
      <c r="Y472" s="222"/>
      <c r="Z472" s="222"/>
      <c r="AA472" s="253">
        <v>5</v>
      </c>
      <c r="AB472" s="225">
        <v>102089</v>
      </c>
      <c r="AC472" s="253">
        <v>135</v>
      </c>
      <c r="AD472" s="222" t="s">
        <v>3706</v>
      </c>
      <c r="AE472" s="253">
        <v>38430</v>
      </c>
      <c r="AF472" s="225" t="s">
        <v>2081</v>
      </c>
      <c r="AG472" s="226">
        <v>644268689</v>
      </c>
      <c r="AH472" s="240" t="s">
        <v>3707</v>
      </c>
      <c r="AI472" s="222" t="s">
        <v>1168</v>
      </c>
      <c r="AJ472" s="222"/>
      <c r="AK472" s="222"/>
      <c r="AL472" s="222"/>
      <c r="AM472" s="222"/>
      <c r="AN472" s="222"/>
      <c r="AO472" s="222"/>
      <c r="AP472" s="225" t="s">
        <v>2052</v>
      </c>
      <c r="AQ472" s="225" t="s">
        <v>232</v>
      </c>
      <c r="AR472" s="225" t="s">
        <v>233</v>
      </c>
      <c r="AS472" s="241" t="s">
        <v>234</v>
      </c>
      <c r="AT472" s="226">
        <v>476500550</v>
      </c>
      <c r="AU472" s="225" t="s">
        <v>176</v>
      </c>
      <c r="AV472" s="241" t="s">
        <v>188</v>
      </c>
      <c r="AW472" s="277">
        <v>45137</v>
      </c>
      <c r="AX472" s="225" t="s">
        <v>4113</v>
      </c>
      <c r="AY472" s="242">
        <v>1968</v>
      </c>
      <c r="AZ472" s="225" t="s">
        <v>1880</v>
      </c>
      <c r="BA472" s="225" t="s">
        <v>380</v>
      </c>
      <c r="BB472" s="222" t="s">
        <v>270</v>
      </c>
      <c r="BC472" s="222" t="s">
        <v>3708</v>
      </c>
      <c r="BD472" s="242">
        <v>29</v>
      </c>
      <c r="BE472" s="242" t="s">
        <v>3709</v>
      </c>
      <c r="BF472" s="242" t="s">
        <v>3479</v>
      </c>
      <c r="BG472" s="222" t="s">
        <v>3710</v>
      </c>
      <c r="BH472" s="222" t="s">
        <v>1882</v>
      </c>
      <c r="BI472" s="222"/>
      <c r="BJ472" s="230">
        <f>901.2+71.1+266.21+129.45+3083.33+168.1</f>
        <v>4619.3900000000003</v>
      </c>
      <c r="BK472" s="222"/>
      <c r="BL472" s="222"/>
      <c r="BM472" s="222"/>
      <c r="BN472" s="230">
        <v>1020</v>
      </c>
      <c r="BO472" s="230">
        <f t="shared" si="58"/>
        <v>5639.39</v>
      </c>
      <c r="BP472" s="230">
        <f t="shared" si="57"/>
        <v>310.16645</v>
      </c>
      <c r="BQ472" s="230">
        <f t="shared" si="56"/>
        <v>5949.55645</v>
      </c>
      <c r="BR472" s="230">
        <v>5901.03</v>
      </c>
      <c r="BS472" s="222" t="s">
        <v>191</v>
      </c>
      <c r="BT472" s="222"/>
      <c r="BU472" s="222"/>
      <c r="BV472" s="301" t="s">
        <v>4045</v>
      </c>
      <c r="BW472" s="225" t="s">
        <v>968</v>
      </c>
      <c r="BX472" s="301" t="s">
        <v>620</v>
      </c>
      <c r="BY472" s="301">
        <v>2022</v>
      </c>
    </row>
    <row r="473" spans="1:77" s="33" customFormat="1" ht="13.5" customHeight="1">
      <c r="A473" s="64">
        <f t="shared" si="52"/>
        <v>2022</v>
      </c>
      <c r="B473" s="64">
        <f t="shared" si="53"/>
        <v>7</v>
      </c>
      <c r="C473" s="125" t="s">
        <v>191</v>
      </c>
      <c r="D473" s="168" t="str">
        <f t="shared" si="54"/>
        <v>maj</v>
      </c>
      <c r="E473" s="264" t="s">
        <v>3302</v>
      </c>
      <c r="F473" s="264" t="s">
        <v>1757</v>
      </c>
      <c r="G473" s="221">
        <v>1000</v>
      </c>
      <c r="H473" s="222">
        <v>44750</v>
      </c>
      <c r="I473" s="222">
        <v>44754</v>
      </c>
      <c r="J473" s="222" t="s">
        <v>176</v>
      </c>
      <c r="K473" s="239" t="s">
        <v>176</v>
      </c>
      <c r="L473" s="222">
        <v>44762</v>
      </c>
      <c r="M473" s="222">
        <v>44762</v>
      </c>
      <c r="N473" s="222">
        <v>44769</v>
      </c>
      <c r="O473" s="222"/>
      <c r="P473" s="222">
        <v>44881</v>
      </c>
      <c r="Q473" s="222">
        <v>44813</v>
      </c>
      <c r="R473" s="222" t="s">
        <v>176</v>
      </c>
      <c r="S473" s="222">
        <v>44895</v>
      </c>
      <c r="T473" s="222">
        <v>44895</v>
      </c>
      <c r="U473" s="238">
        <v>44897</v>
      </c>
      <c r="V473" s="222"/>
      <c r="W473" s="222"/>
      <c r="X473" s="222"/>
      <c r="Y473" s="222"/>
      <c r="Z473" s="222"/>
      <c r="AA473" s="253">
        <v>1</v>
      </c>
      <c r="AB473" s="225">
        <v>17869</v>
      </c>
      <c r="AC473" s="253">
        <v>200</v>
      </c>
      <c r="AD473" s="222" t="s">
        <v>3711</v>
      </c>
      <c r="AE473" s="253">
        <v>38500</v>
      </c>
      <c r="AF473" s="222" t="s">
        <v>2151</v>
      </c>
      <c r="AG473" s="226">
        <v>766829126</v>
      </c>
      <c r="AH473" s="240" t="s">
        <v>3712</v>
      </c>
      <c r="AI473" s="222" t="s">
        <v>1168</v>
      </c>
      <c r="AJ473" s="222"/>
      <c r="AK473" s="222"/>
      <c r="AL473" s="222"/>
      <c r="AM473" s="222"/>
      <c r="AN473" s="222"/>
      <c r="AO473" s="222"/>
      <c r="AP473" s="225" t="s">
        <v>2762</v>
      </c>
      <c r="AQ473" s="225" t="s">
        <v>1018</v>
      </c>
      <c r="AR473" s="225" t="s">
        <v>3333</v>
      </c>
      <c r="AS473" s="227" t="s">
        <v>1019</v>
      </c>
      <c r="AT473" s="226" t="s">
        <v>3072</v>
      </c>
      <c r="AU473" s="225" t="s">
        <v>176</v>
      </c>
      <c r="AV473" s="241" t="s">
        <v>188</v>
      </c>
      <c r="AW473" s="223">
        <v>45096</v>
      </c>
      <c r="AX473" s="225" t="s">
        <v>4113</v>
      </c>
      <c r="AY473" s="242">
        <v>1995</v>
      </c>
      <c r="AZ473" s="225" t="s">
        <v>1880</v>
      </c>
      <c r="BA473" s="225" t="s">
        <v>267</v>
      </c>
      <c r="BB473" s="222" t="s">
        <v>243</v>
      </c>
      <c r="BC473" s="222" t="s">
        <v>3697</v>
      </c>
      <c r="BD473" s="242">
        <v>14</v>
      </c>
      <c r="BE473" s="242">
        <v>8</v>
      </c>
      <c r="BF473" s="242" t="s">
        <v>3698</v>
      </c>
      <c r="BG473" s="222" t="s">
        <v>3699</v>
      </c>
      <c r="BH473" s="222" t="s">
        <v>1882</v>
      </c>
      <c r="BI473" s="222"/>
      <c r="BJ473" s="230">
        <f>2726+588+238+325+155+90+129</f>
        <v>4251</v>
      </c>
      <c r="BK473" s="222"/>
      <c r="BL473" s="222"/>
      <c r="BM473" s="222"/>
      <c r="BN473" s="230">
        <v>750</v>
      </c>
      <c r="BO473" s="230">
        <f t="shared" si="58"/>
        <v>5001</v>
      </c>
      <c r="BP473" s="230">
        <f t="shared" si="57"/>
        <v>275.05500000000001</v>
      </c>
      <c r="BQ473" s="230">
        <f t="shared" si="56"/>
        <v>5276.0550000000003</v>
      </c>
      <c r="BR473" s="242">
        <v>5276.06</v>
      </c>
      <c r="BS473" s="222" t="s">
        <v>191</v>
      </c>
      <c r="BT473" s="222"/>
      <c r="BU473" s="222"/>
      <c r="BV473" s="231" t="s">
        <v>4045</v>
      </c>
      <c r="BW473" s="225" t="s">
        <v>968</v>
      </c>
      <c r="BX473" s="222" t="s">
        <v>618</v>
      </c>
      <c r="BY473" s="301" t="s">
        <v>176</v>
      </c>
    </row>
    <row r="474" spans="1:77" s="33" customFormat="1" ht="13.5" customHeight="1">
      <c r="A474" s="64">
        <f t="shared" si="52"/>
        <v>2022</v>
      </c>
      <c r="B474" s="64">
        <f t="shared" si="53"/>
        <v>7</v>
      </c>
      <c r="C474" s="125" t="s">
        <v>191</v>
      </c>
      <c r="D474" s="168" t="str">
        <f t="shared" si="54"/>
        <v>maj</v>
      </c>
      <c r="E474" s="222" t="s">
        <v>3302</v>
      </c>
      <c r="F474" s="222" t="s">
        <v>1759</v>
      </c>
      <c r="G474" s="221">
        <v>1000</v>
      </c>
      <c r="H474" s="222">
        <v>44750</v>
      </c>
      <c r="I474" s="222">
        <v>44754</v>
      </c>
      <c r="J474" s="222" t="s">
        <v>176</v>
      </c>
      <c r="K474" s="239" t="s">
        <v>176</v>
      </c>
      <c r="L474" s="222">
        <v>44762</v>
      </c>
      <c r="M474" s="222">
        <v>44762</v>
      </c>
      <c r="N474" s="222">
        <v>44769</v>
      </c>
      <c r="O474" s="222"/>
      <c r="P474" s="222"/>
      <c r="Q474" s="222"/>
      <c r="R474" s="222"/>
      <c r="S474" s="222"/>
      <c r="T474" s="222"/>
      <c r="U474" s="222"/>
      <c r="V474" s="222"/>
      <c r="W474" s="222"/>
      <c r="X474" s="222"/>
      <c r="Y474" s="222"/>
      <c r="Z474" s="222"/>
      <c r="AA474" s="253">
        <v>1</v>
      </c>
      <c r="AB474" s="225">
        <v>18559</v>
      </c>
      <c r="AC474" s="253">
        <v>74</v>
      </c>
      <c r="AD474" s="222" t="s">
        <v>3713</v>
      </c>
      <c r="AE474" s="253">
        <v>38620</v>
      </c>
      <c r="AF474" s="222" t="s">
        <v>1871</v>
      </c>
      <c r="AG474" s="226">
        <v>642554818</v>
      </c>
      <c r="AH474" s="240" t="s">
        <v>3714</v>
      </c>
      <c r="AI474" s="222" t="s">
        <v>1168</v>
      </c>
      <c r="AJ474" s="222"/>
      <c r="AK474" s="222"/>
      <c r="AL474" s="222"/>
      <c r="AM474" s="222"/>
      <c r="AN474" s="222"/>
      <c r="AO474" s="222"/>
      <c r="AP474" s="225" t="s">
        <v>1874</v>
      </c>
      <c r="AQ474" s="225" t="s">
        <v>1875</v>
      </c>
      <c r="AR474" s="225" t="s">
        <v>1876</v>
      </c>
      <c r="AS474" s="246" t="s">
        <v>1877</v>
      </c>
      <c r="AT474" s="226" t="s">
        <v>434</v>
      </c>
      <c r="AU474" s="225" t="s">
        <v>176</v>
      </c>
      <c r="AV474" s="241" t="s">
        <v>1878</v>
      </c>
      <c r="AW474" s="223">
        <v>44821</v>
      </c>
      <c r="AX474" s="225" t="s">
        <v>1879</v>
      </c>
      <c r="AY474" s="242">
        <v>1990</v>
      </c>
      <c r="AZ474" s="225" t="s">
        <v>1880</v>
      </c>
      <c r="BA474" s="225" t="s">
        <v>267</v>
      </c>
      <c r="BB474" s="222" t="s">
        <v>190</v>
      </c>
      <c r="BC474" s="222" t="s">
        <v>3715</v>
      </c>
      <c r="BD474" s="242">
        <v>15</v>
      </c>
      <c r="BE474" s="242">
        <v>9</v>
      </c>
      <c r="BF474" s="242">
        <v>91</v>
      </c>
      <c r="BG474" s="222" t="s">
        <v>3716</v>
      </c>
      <c r="BH474" s="222" t="s">
        <v>1882</v>
      </c>
      <c r="BI474" s="222"/>
      <c r="BJ474" s="230">
        <f>3460+995+288.5+193+198+225+150+115</f>
        <v>5624.5</v>
      </c>
      <c r="BK474" s="222"/>
      <c r="BL474" s="222"/>
      <c r="BM474" s="222"/>
      <c r="BN474" s="230">
        <v>890</v>
      </c>
      <c r="BO474" s="230">
        <f t="shared" si="58"/>
        <v>6514.5</v>
      </c>
      <c r="BP474" s="230">
        <f t="shared" si="57"/>
        <v>358.29750000000001</v>
      </c>
      <c r="BQ474" s="230">
        <f t="shared" si="56"/>
        <v>6872.7974999999997</v>
      </c>
      <c r="BR474" s="222"/>
      <c r="BS474" s="222" t="s">
        <v>188</v>
      </c>
      <c r="BT474" s="222"/>
      <c r="BU474" s="222"/>
      <c r="BV474" s="301" t="s">
        <v>4045</v>
      </c>
      <c r="BW474" s="225" t="s">
        <v>968</v>
      </c>
      <c r="BX474" s="222" t="s">
        <v>618</v>
      </c>
      <c r="BY474" s="301" t="s">
        <v>176</v>
      </c>
    </row>
    <row r="475" spans="1:77" s="33" customFormat="1" ht="13.5" customHeight="1">
      <c r="A475" s="64">
        <f t="shared" si="52"/>
        <v>2022</v>
      </c>
      <c r="B475" s="64">
        <f t="shared" si="53"/>
        <v>7</v>
      </c>
      <c r="C475" s="125" t="s">
        <v>191</v>
      </c>
      <c r="D475" s="168" t="str">
        <f t="shared" si="54"/>
        <v>non maj</v>
      </c>
      <c r="E475" s="264" t="s">
        <v>3302</v>
      </c>
      <c r="F475" s="264" t="s">
        <v>1760</v>
      </c>
      <c r="G475" s="221">
        <v>600</v>
      </c>
      <c r="H475" s="222">
        <v>44751</v>
      </c>
      <c r="I475" s="222">
        <v>44754</v>
      </c>
      <c r="J475" s="222" t="s">
        <v>176</v>
      </c>
      <c r="K475" s="239" t="s">
        <v>176</v>
      </c>
      <c r="L475" s="222">
        <v>44762</v>
      </c>
      <c r="M475" s="222">
        <v>44762</v>
      </c>
      <c r="N475" s="222">
        <v>44769</v>
      </c>
      <c r="O475" s="222"/>
      <c r="P475" s="222">
        <v>44882</v>
      </c>
      <c r="Q475" s="222">
        <v>44873</v>
      </c>
      <c r="R475" s="222" t="s">
        <v>176</v>
      </c>
      <c r="S475" s="222">
        <v>44895</v>
      </c>
      <c r="T475" s="222">
        <v>44895</v>
      </c>
      <c r="U475" s="283">
        <v>44897</v>
      </c>
      <c r="V475" s="222"/>
      <c r="W475" s="222"/>
      <c r="X475" s="222"/>
      <c r="Y475" s="222"/>
      <c r="Z475" s="222"/>
      <c r="AA475" s="253">
        <v>2</v>
      </c>
      <c r="AB475" s="225">
        <v>37223</v>
      </c>
      <c r="AC475" s="253">
        <v>177</v>
      </c>
      <c r="AD475" s="222" t="s">
        <v>3717</v>
      </c>
      <c r="AE475" s="253">
        <v>38430</v>
      </c>
      <c r="AF475" s="225" t="s">
        <v>2081</v>
      </c>
      <c r="AG475" s="226">
        <v>677013042</v>
      </c>
      <c r="AH475" s="240" t="s">
        <v>3718</v>
      </c>
      <c r="AI475" s="222" t="s">
        <v>1168</v>
      </c>
      <c r="AJ475" s="222"/>
      <c r="AK475" s="222"/>
      <c r="AL475" s="222"/>
      <c r="AM475" s="222"/>
      <c r="AN475" s="222"/>
      <c r="AO475" s="222"/>
      <c r="AP475" s="225" t="s">
        <v>675</v>
      </c>
      <c r="AQ475" s="225" t="s">
        <v>225</v>
      </c>
      <c r="AR475" s="225" t="s">
        <v>1948</v>
      </c>
      <c r="AS475" s="241" t="s">
        <v>673</v>
      </c>
      <c r="AT475" s="226">
        <v>951096343</v>
      </c>
      <c r="AU475" s="225" t="s">
        <v>176</v>
      </c>
      <c r="AV475" s="241" t="s">
        <v>188</v>
      </c>
      <c r="AW475" s="223">
        <v>44798</v>
      </c>
      <c r="AX475" s="225" t="s">
        <v>1880</v>
      </c>
      <c r="AY475" s="242">
        <v>1980</v>
      </c>
      <c r="AZ475" s="225" t="s">
        <v>1880</v>
      </c>
      <c r="BA475" s="225" t="s">
        <v>267</v>
      </c>
      <c r="BB475" s="222" t="s">
        <v>287</v>
      </c>
      <c r="BC475" s="222" t="s">
        <v>3719</v>
      </c>
      <c r="BD475" s="242">
        <v>20</v>
      </c>
      <c r="BE475" s="242" t="s">
        <v>3550</v>
      </c>
      <c r="BF475" s="242">
        <v>92</v>
      </c>
      <c r="BG475" s="222" t="s">
        <v>3343</v>
      </c>
      <c r="BH475" s="222" t="s">
        <v>1882</v>
      </c>
      <c r="BI475" s="222"/>
      <c r="BJ475" s="230">
        <f>269+5990+400.5+271.35+295+569.9+35</f>
        <v>7830.75</v>
      </c>
      <c r="BK475" s="222"/>
      <c r="BL475" s="222"/>
      <c r="BM475" s="222"/>
      <c r="BN475" s="230">
        <v>630</v>
      </c>
      <c r="BO475" s="230">
        <f t="shared" si="58"/>
        <v>8460.75</v>
      </c>
      <c r="BP475" s="230">
        <f t="shared" si="57"/>
        <v>465.34125</v>
      </c>
      <c r="BQ475" s="230">
        <f t="shared" si="56"/>
        <v>8926.0912499999995</v>
      </c>
      <c r="BR475" s="242">
        <v>8926.09</v>
      </c>
      <c r="BS475" s="222" t="s">
        <v>188</v>
      </c>
      <c r="BT475" s="222"/>
      <c r="BU475" s="222"/>
      <c r="BV475" s="231" t="s">
        <v>4045</v>
      </c>
      <c r="BW475" s="225" t="s">
        <v>968</v>
      </c>
      <c r="BX475" s="301" t="s">
        <v>620</v>
      </c>
      <c r="BY475" s="301" t="s">
        <v>176</v>
      </c>
    </row>
    <row r="476" spans="1:77" s="33" customFormat="1" ht="13.5" customHeight="1">
      <c r="A476" s="64">
        <f t="shared" si="52"/>
        <v>2022</v>
      </c>
      <c r="B476" s="64">
        <f t="shared" si="53"/>
        <v>8</v>
      </c>
      <c r="C476" s="125" t="s">
        <v>191</v>
      </c>
      <c r="D476" s="168" t="str">
        <f t="shared" si="54"/>
        <v>maj</v>
      </c>
      <c r="E476" s="272" t="s">
        <v>3302</v>
      </c>
      <c r="F476" s="272" t="s">
        <v>1761</v>
      </c>
      <c r="G476" s="221">
        <v>1000</v>
      </c>
      <c r="H476" s="222">
        <v>44753</v>
      </c>
      <c r="I476" s="222">
        <v>44754</v>
      </c>
      <c r="J476" s="222">
        <v>44762</v>
      </c>
      <c r="K476" s="239" t="s">
        <v>3303</v>
      </c>
      <c r="L476" s="222">
        <v>44802</v>
      </c>
      <c r="M476" s="222">
        <v>44802</v>
      </c>
      <c r="N476" s="222">
        <v>44824</v>
      </c>
      <c r="O476" s="222"/>
      <c r="P476" s="222">
        <v>44903</v>
      </c>
      <c r="Q476" s="222">
        <v>44888</v>
      </c>
      <c r="R476" s="222" t="s">
        <v>3720</v>
      </c>
      <c r="S476" s="222">
        <v>44932</v>
      </c>
      <c r="T476" s="222">
        <v>44932</v>
      </c>
      <c r="U476" s="222"/>
      <c r="V476" s="222"/>
      <c r="W476" s="222"/>
      <c r="X476" s="222"/>
      <c r="Y476" s="222"/>
      <c r="Z476" s="222"/>
      <c r="AA476" s="253">
        <v>1</v>
      </c>
      <c r="AB476" s="225">
        <v>19528</v>
      </c>
      <c r="AC476" s="253">
        <v>22</v>
      </c>
      <c r="AD476" s="222" t="s">
        <v>3721</v>
      </c>
      <c r="AE476" s="253">
        <v>38210</v>
      </c>
      <c r="AF476" s="222" t="s">
        <v>265</v>
      </c>
      <c r="AG476" s="284">
        <v>610024236</v>
      </c>
      <c r="AH476" s="240" t="s">
        <v>3722</v>
      </c>
      <c r="AI476" s="222" t="s">
        <v>1168</v>
      </c>
      <c r="AJ476" s="222"/>
      <c r="AK476" s="222"/>
      <c r="AL476" s="222"/>
      <c r="AM476" s="222"/>
      <c r="AN476" s="222"/>
      <c r="AO476" s="222"/>
      <c r="AP476" s="222" t="s">
        <v>624</v>
      </c>
      <c r="AQ476" s="222" t="s">
        <v>2999</v>
      </c>
      <c r="AR476" s="222" t="s">
        <v>3460</v>
      </c>
      <c r="AS476" s="240" t="s">
        <v>3341</v>
      </c>
      <c r="AT476" s="226">
        <v>476389584</v>
      </c>
      <c r="AU476" s="225" t="s">
        <v>176</v>
      </c>
      <c r="AV476" s="241" t="s">
        <v>188</v>
      </c>
      <c r="AW476" s="223">
        <v>44867</v>
      </c>
      <c r="AX476" s="225" t="s">
        <v>1880</v>
      </c>
      <c r="AY476" s="242">
        <v>1990</v>
      </c>
      <c r="AZ476" s="225" t="s">
        <v>1880</v>
      </c>
      <c r="BA476" s="225" t="s">
        <v>267</v>
      </c>
      <c r="BB476" s="222" t="s">
        <v>433</v>
      </c>
      <c r="BC476" s="222" t="s">
        <v>892</v>
      </c>
      <c r="BD476" s="242">
        <v>15</v>
      </c>
      <c r="BE476" s="242">
        <v>7.4</v>
      </c>
      <c r="BF476" s="242">
        <v>92.5</v>
      </c>
      <c r="BG476" s="242">
        <v>0.01</v>
      </c>
      <c r="BH476" s="222" t="s">
        <v>3023</v>
      </c>
      <c r="BI476" s="222"/>
      <c r="BJ476" s="230">
        <f>3856+1639.12</f>
        <v>5495.12</v>
      </c>
      <c r="BK476" s="222"/>
      <c r="BL476" s="222"/>
      <c r="BM476" s="222"/>
      <c r="BN476" s="230">
        <f>128.7+585</f>
        <v>713.7</v>
      </c>
      <c r="BO476" s="230">
        <f t="shared" si="58"/>
        <v>6208.82</v>
      </c>
      <c r="BP476" s="230">
        <f t="shared" si="57"/>
        <v>341.48509999999999</v>
      </c>
      <c r="BQ476" s="230">
        <f t="shared" si="56"/>
        <v>6550.3050999999996</v>
      </c>
      <c r="BR476" s="230">
        <v>6550.31</v>
      </c>
      <c r="BS476" s="222" t="s">
        <v>188</v>
      </c>
      <c r="BT476" s="222"/>
      <c r="BU476" s="222"/>
      <c r="BV476" s="301" t="s">
        <v>4045</v>
      </c>
      <c r="BW476" s="225" t="s">
        <v>968</v>
      </c>
      <c r="BX476" s="222" t="s">
        <v>618</v>
      </c>
      <c r="BY476" s="301" t="s">
        <v>176</v>
      </c>
    </row>
    <row r="477" spans="1:77" s="33" customFormat="1" ht="13.5" customHeight="1">
      <c r="A477" s="64">
        <f t="shared" si="52"/>
        <v>2022</v>
      </c>
      <c r="B477" s="64">
        <f t="shared" si="53"/>
        <v>9</v>
      </c>
      <c r="C477" s="125" t="s">
        <v>191</v>
      </c>
      <c r="D477" s="168" t="str">
        <f t="shared" si="54"/>
        <v>maj</v>
      </c>
      <c r="E477" s="222" t="s">
        <v>3302</v>
      </c>
      <c r="F477" s="222" t="s">
        <v>1762</v>
      </c>
      <c r="G477" s="221">
        <v>1000</v>
      </c>
      <c r="H477" s="222">
        <v>44754</v>
      </c>
      <c r="I477" s="222">
        <v>44755</v>
      </c>
      <c r="J477" s="222">
        <v>44762</v>
      </c>
      <c r="K477" s="239" t="s">
        <v>3723</v>
      </c>
      <c r="L477" s="222">
        <v>44832</v>
      </c>
      <c r="M477" s="222">
        <v>44832</v>
      </c>
      <c r="N477" s="222">
        <v>44837</v>
      </c>
      <c r="O477" s="222"/>
      <c r="P477" s="222"/>
      <c r="Q477" s="222"/>
      <c r="R477" s="222"/>
      <c r="S477" s="222"/>
      <c r="T477" s="222"/>
      <c r="U477" s="222"/>
      <c r="V477" s="222"/>
      <c r="W477" s="222"/>
      <c r="X477" s="222"/>
      <c r="Y477" s="222"/>
      <c r="Z477" s="222"/>
      <c r="AA477" s="253">
        <v>1</v>
      </c>
      <c r="AB477" s="225">
        <v>14196</v>
      </c>
      <c r="AC477" s="253">
        <v>838</v>
      </c>
      <c r="AD477" s="222" t="s">
        <v>3724</v>
      </c>
      <c r="AE477" s="253">
        <v>38620</v>
      </c>
      <c r="AF477" s="222" t="s">
        <v>1871</v>
      </c>
      <c r="AG477" s="226">
        <v>476076265</v>
      </c>
      <c r="AH477" s="240" t="s">
        <v>3725</v>
      </c>
      <c r="AI477" s="222" t="s">
        <v>1168</v>
      </c>
      <c r="AJ477" s="222"/>
      <c r="AK477" s="222"/>
      <c r="AL477" s="222"/>
      <c r="AM477" s="222"/>
      <c r="AN477" s="222"/>
      <c r="AO477" s="222"/>
      <c r="AP477" s="222" t="s">
        <v>818</v>
      </c>
      <c r="AQ477" s="225" t="s">
        <v>225</v>
      </c>
      <c r="AR477" s="225" t="s">
        <v>1973</v>
      </c>
      <c r="AS477" s="227" t="s">
        <v>226</v>
      </c>
      <c r="AT477" s="226">
        <v>476323235</v>
      </c>
      <c r="AU477" s="225" t="s">
        <v>176</v>
      </c>
      <c r="AV477" s="241" t="s">
        <v>188</v>
      </c>
      <c r="AW477" s="223">
        <v>44429</v>
      </c>
      <c r="AX477" s="225" t="s">
        <v>1179</v>
      </c>
      <c r="AY477" s="242">
        <v>1996</v>
      </c>
      <c r="AZ477" s="225" t="s">
        <v>1179</v>
      </c>
      <c r="BA477" s="225" t="s">
        <v>380</v>
      </c>
      <c r="BB477" s="222" t="s">
        <v>394</v>
      </c>
      <c r="BC477" s="222" t="s">
        <v>3726</v>
      </c>
      <c r="BD477" s="242">
        <v>30</v>
      </c>
      <c r="BE477" s="242" t="s">
        <v>3727</v>
      </c>
      <c r="BF477" s="242" t="s">
        <v>3728</v>
      </c>
      <c r="BG477" s="222" t="s">
        <v>3729</v>
      </c>
      <c r="BH477" s="222" t="s">
        <v>1882</v>
      </c>
      <c r="BI477" s="222"/>
      <c r="BJ477" s="230">
        <f>2950+90+78+48*2+32+29+82+15</f>
        <v>3372</v>
      </c>
      <c r="BK477" s="222"/>
      <c r="BL477" s="222"/>
      <c r="BM477" s="222"/>
      <c r="BN477" s="230">
        <f>75+260</f>
        <v>335</v>
      </c>
      <c r="BO477" s="230">
        <f t="shared" si="58"/>
        <v>3707</v>
      </c>
      <c r="BP477" s="230">
        <f t="shared" si="57"/>
        <v>203.88499999999999</v>
      </c>
      <c r="BQ477" s="230">
        <f t="shared" si="56"/>
        <v>3910.8850000000002</v>
      </c>
      <c r="BR477" s="222"/>
      <c r="BS477" s="222" t="s">
        <v>191</v>
      </c>
      <c r="BT477" s="222"/>
      <c r="BU477" s="222"/>
      <c r="BV477" s="301" t="s">
        <v>4045</v>
      </c>
      <c r="BW477" s="225" t="s">
        <v>968</v>
      </c>
      <c r="BX477" s="222" t="s">
        <v>618</v>
      </c>
      <c r="BY477" s="301">
        <v>2022</v>
      </c>
    </row>
    <row r="478" spans="1:77" s="33" customFormat="1" ht="13.5" customHeight="1">
      <c r="A478" s="64">
        <f t="shared" si="52"/>
        <v>2022</v>
      </c>
      <c r="B478" s="64">
        <f t="shared" si="53"/>
        <v>8</v>
      </c>
      <c r="C478" s="125" t="s">
        <v>191</v>
      </c>
      <c r="D478" s="168" t="str">
        <f t="shared" si="54"/>
        <v>maj</v>
      </c>
      <c r="E478" s="222" t="s">
        <v>2987</v>
      </c>
      <c r="F478" s="222" t="s">
        <v>1763</v>
      </c>
      <c r="G478" s="221">
        <v>1000</v>
      </c>
      <c r="H478" s="222">
        <v>44754</v>
      </c>
      <c r="I478" s="222">
        <v>44776</v>
      </c>
      <c r="J478" s="222"/>
      <c r="K478" s="239"/>
      <c r="L478" s="222">
        <v>44790</v>
      </c>
      <c r="M478" s="222">
        <v>44790</v>
      </c>
      <c r="N478" s="222">
        <v>44792</v>
      </c>
      <c r="O478" s="222"/>
      <c r="P478" s="222"/>
      <c r="Q478" s="222"/>
      <c r="R478" s="222"/>
      <c r="S478" s="222"/>
      <c r="T478" s="222"/>
      <c r="U478" s="222"/>
      <c r="V478" s="222"/>
      <c r="W478" s="222"/>
      <c r="X478" s="222"/>
      <c r="Y478" s="222"/>
      <c r="Z478" s="222"/>
      <c r="AA478" s="253">
        <v>4</v>
      </c>
      <c r="AB478" s="225">
        <v>34906</v>
      </c>
      <c r="AC478" s="253">
        <v>157</v>
      </c>
      <c r="AD478" s="222" t="s">
        <v>3730</v>
      </c>
      <c r="AE478" s="253">
        <v>38850</v>
      </c>
      <c r="AF478" s="222" t="s">
        <v>1916</v>
      </c>
      <c r="AG478" s="226">
        <v>680255505</v>
      </c>
      <c r="AH478" s="234" t="s">
        <v>3731</v>
      </c>
      <c r="AI478" s="222" t="s">
        <v>1168</v>
      </c>
      <c r="AJ478" s="222"/>
      <c r="AK478" s="222"/>
      <c r="AL478" s="222"/>
      <c r="AM478" s="222"/>
      <c r="AN478" s="222"/>
      <c r="AO478" s="222"/>
      <c r="AP478" s="222" t="s">
        <v>778</v>
      </c>
      <c r="AQ478" s="222" t="s">
        <v>1926</v>
      </c>
      <c r="AR478" s="222" t="s">
        <v>698</v>
      </c>
      <c r="AS478" s="240" t="s">
        <v>251</v>
      </c>
      <c r="AT478" s="226">
        <v>474934316</v>
      </c>
      <c r="AU478" s="222" t="s">
        <v>257</v>
      </c>
      <c r="AV478" s="222" t="s">
        <v>188</v>
      </c>
      <c r="AW478" s="222">
        <v>45006</v>
      </c>
      <c r="AX478" s="225" t="s">
        <v>4113</v>
      </c>
      <c r="AY478" s="242">
        <v>1985</v>
      </c>
      <c r="AZ478" s="225" t="s">
        <v>1880</v>
      </c>
      <c r="BA478" s="225" t="s">
        <v>380</v>
      </c>
      <c r="BB478" s="222" t="s">
        <v>244</v>
      </c>
      <c r="BC478" s="222" t="s">
        <v>414</v>
      </c>
      <c r="BD478" s="242">
        <v>29</v>
      </c>
      <c r="BE478" s="242">
        <v>8</v>
      </c>
      <c r="BF478" s="242">
        <v>77</v>
      </c>
      <c r="BG478" s="242">
        <v>0.05</v>
      </c>
      <c r="BH478" s="222" t="s">
        <v>1882</v>
      </c>
      <c r="BI478" s="222"/>
      <c r="BJ478" s="230">
        <f>SUM(1329+1821)</f>
        <v>3150</v>
      </c>
      <c r="BK478" s="222"/>
      <c r="BL478" s="222"/>
      <c r="BM478" s="222"/>
      <c r="BN478" s="230">
        <v>892</v>
      </c>
      <c r="BO478" s="230">
        <f>SUM(BJ478+BN478)</f>
        <v>4042</v>
      </c>
      <c r="BP478" s="230">
        <f>SUM(BO478*0.055)</f>
        <v>222.31</v>
      </c>
      <c r="BQ478" s="230">
        <f>SUM(BO478+BP478)</f>
        <v>4264.3100000000004</v>
      </c>
      <c r="BR478" s="222"/>
      <c r="BS478" s="222" t="s">
        <v>188</v>
      </c>
      <c r="BT478" s="222"/>
      <c r="BU478" s="222"/>
      <c r="BV478" s="301" t="s">
        <v>4045</v>
      </c>
      <c r="BW478" s="225" t="s">
        <v>968</v>
      </c>
      <c r="BX478" s="222" t="s">
        <v>618</v>
      </c>
      <c r="BY478" s="301">
        <v>2022</v>
      </c>
    </row>
    <row r="479" spans="1:77" s="33" customFormat="1" ht="13.5" customHeight="1">
      <c r="A479" s="64">
        <f t="shared" si="52"/>
        <v>1900</v>
      </c>
      <c r="B479" s="64">
        <f t="shared" si="53"/>
        <v>1</v>
      </c>
      <c r="C479" s="125" t="s">
        <v>191</v>
      </c>
      <c r="D479" s="168" t="str">
        <f t="shared" si="54"/>
        <v>non maj</v>
      </c>
      <c r="E479" s="222" t="s">
        <v>2987</v>
      </c>
      <c r="F479" s="222" t="s">
        <v>1764</v>
      </c>
      <c r="G479" s="221">
        <v>600</v>
      </c>
      <c r="H479" s="222">
        <v>44760</v>
      </c>
      <c r="I479" s="222">
        <v>44776</v>
      </c>
      <c r="J479" s="222">
        <v>44799</v>
      </c>
      <c r="K479" s="239" t="s">
        <v>3732</v>
      </c>
      <c r="L479" s="222"/>
      <c r="M479" s="222"/>
      <c r="N479" s="222"/>
      <c r="O479" s="222"/>
      <c r="P479" s="222"/>
      <c r="Q479" s="222"/>
      <c r="R479" s="222"/>
      <c r="S479" s="222"/>
      <c r="T479" s="222"/>
      <c r="U479" s="222"/>
      <c r="V479" s="222"/>
      <c r="W479" s="222"/>
      <c r="X479" s="222"/>
      <c r="Y479" s="222"/>
      <c r="Z479" s="222"/>
      <c r="AA479" s="253">
        <v>3</v>
      </c>
      <c r="AB479" s="225">
        <v>108177</v>
      </c>
      <c r="AC479" s="253">
        <v>6</v>
      </c>
      <c r="AD479" s="222" t="s">
        <v>3733</v>
      </c>
      <c r="AE479" s="253">
        <v>38500</v>
      </c>
      <c r="AF479" s="222" t="s">
        <v>225</v>
      </c>
      <c r="AG479" s="226">
        <v>633329393</v>
      </c>
      <c r="AH479" s="234" t="s">
        <v>3734</v>
      </c>
      <c r="AI479" s="222" t="s">
        <v>1168</v>
      </c>
      <c r="AJ479" s="222"/>
      <c r="AK479" s="222"/>
      <c r="AL479" s="222"/>
      <c r="AM479" s="222"/>
      <c r="AN479" s="222"/>
      <c r="AO479" s="222"/>
      <c r="AP479" s="225" t="s">
        <v>1888</v>
      </c>
      <c r="AQ479" s="222" t="s">
        <v>225</v>
      </c>
      <c r="AR479" s="222" t="s">
        <v>1889</v>
      </c>
      <c r="AS479" s="234" t="s">
        <v>3297</v>
      </c>
      <c r="AT479" s="226" t="s">
        <v>600</v>
      </c>
      <c r="AU479" s="222"/>
      <c r="AV479" s="222" t="s">
        <v>188</v>
      </c>
      <c r="AW479" s="222">
        <v>44868</v>
      </c>
      <c r="AX479" s="225" t="s">
        <v>1879</v>
      </c>
      <c r="AY479" s="242">
        <v>2001</v>
      </c>
      <c r="AZ479" s="222"/>
      <c r="BA479" s="222"/>
      <c r="BB479" s="222"/>
      <c r="BC479" s="222"/>
      <c r="BD479" s="242"/>
      <c r="BE479" s="242"/>
      <c r="BF479" s="242"/>
      <c r="BG479" s="222"/>
      <c r="BH479" s="222"/>
      <c r="BI479" s="222"/>
      <c r="BJ479" s="230"/>
      <c r="BK479" s="222"/>
      <c r="BL479" s="222"/>
      <c r="BM479" s="222"/>
      <c r="BN479" s="230"/>
      <c r="BO479" s="230"/>
      <c r="BP479" s="230"/>
      <c r="BQ479" s="230"/>
      <c r="BR479" s="222"/>
      <c r="BS479" s="222" t="s">
        <v>188</v>
      </c>
      <c r="BT479" s="222"/>
      <c r="BU479" s="222"/>
      <c r="BV479" s="301" t="s">
        <v>4045</v>
      </c>
      <c r="BW479" s="222"/>
      <c r="BX479" s="301" t="s">
        <v>620</v>
      </c>
      <c r="BY479" s="222"/>
    </row>
    <row r="480" spans="1:77" s="33" customFormat="1" ht="13.5" customHeight="1">
      <c r="A480" s="64">
        <f t="shared" si="52"/>
        <v>2022</v>
      </c>
      <c r="B480" s="64">
        <f t="shared" si="53"/>
        <v>8</v>
      </c>
      <c r="C480" s="125" t="s">
        <v>191</v>
      </c>
      <c r="D480" s="168" t="str">
        <f t="shared" si="54"/>
        <v>maj</v>
      </c>
      <c r="E480" s="264" t="s">
        <v>2987</v>
      </c>
      <c r="F480" s="264" t="s">
        <v>1766</v>
      </c>
      <c r="G480" s="221">
        <v>1000</v>
      </c>
      <c r="H480" s="222">
        <v>44763</v>
      </c>
      <c r="I480" s="222">
        <v>44776</v>
      </c>
      <c r="J480" s="222">
        <v>44790</v>
      </c>
      <c r="K480" s="239" t="s">
        <v>3303</v>
      </c>
      <c r="L480" s="222">
        <v>44798</v>
      </c>
      <c r="M480" s="222">
        <v>44798</v>
      </c>
      <c r="N480" s="222">
        <v>44823</v>
      </c>
      <c r="O480" s="222"/>
      <c r="P480" s="222">
        <v>44865</v>
      </c>
      <c r="Q480" s="222">
        <v>44837</v>
      </c>
      <c r="R480" s="222" t="s">
        <v>176</v>
      </c>
      <c r="S480" s="222">
        <v>44874</v>
      </c>
      <c r="T480" s="222">
        <v>44874</v>
      </c>
      <c r="U480" s="222">
        <v>44879</v>
      </c>
      <c r="V480" s="222"/>
      <c r="W480" s="222"/>
      <c r="X480" s="222"/>
      <c r="Y480" s="222"/>
      <c r="Z480" s="222"/>
      <c r="AA480" s="253">
        <v>5</v>
      </c>
      <c r="AB480" s="225">
        <v>45718</v>
      </c>
      <c r="AC480" s="253">
        <v>108</v>
      </c>
      <c r="AD480" s="222" t="s">
        <v>3735</v>
      </c>
      <c r="AE480" s="253">
        <v>38850</v>
      </c>
      <c r="AF480" s="222" t="s">
        <v>1951</v>
      </c>
      <c r="AG480" s="226">
        <v>627990892</v>
      </c>
      <c r="AH480" s="240" t="s">
        <v>3736</v>
      </c>
      <c r="AI480" s="222" t="s">
        <v>1168</v>
      </c>
      <c r="AJ480" s="222"/>
      <c r="AK480" s="222"/>
      <c r="AL480" s="222"/>
      <c r="AM480" s="222"/>
      <c r="AN480" s="222"/>
      <c r="AO480" s="222"/>
      <c r="AP480" s="222" t="s">
        <v>625</v>
      </c>
      <c r="AQ480" s="222" t="s">
        <v>2038</v>
      </c>
      <c r="AR480" s="222" t="s">
        <v>3737</v>
      </c>
      <c r="AS480" s="234" t="s">
        <v>224</v>
      </c>
      <c r="AT480" s="226" t="s">
        <v>669</v>
      </c>
      <c r="AU480" s="222"/>
      <c r="AV480" s="222" t="s">
        <v>188</v>
      </c>
      <c r="AW480" s="222">
        <v>45163</v>
      </c>
      <c r="AX480" s="225" t="s">
        <v>1879</v>
      </c>
      <c r="AY480" s="242">
        <v>1983</v>
      </c>
      <c r="AZ480" s="225" t="s">
        <v>1880</v>
      </c>
      <c r="BA480" s="225" t="s">
        <v>267</v>
      </c>
      <c r="BB480" s="222" t="s">
        <v>221</v>
      </c>
      <c r="BC480" s="222" t="s">
        <v>3738</v>
      </c>
      <c r="BD480" s="242">
        <v>20</v>
      </c>
      <c r="BE480" s="242">
        <v>8.8000000000000007</v>
      </c>
      <c r="BF480" s="242">
        <v>90.9</v>
      </c>
      <c r="BG480" s="242">
        <v>6.0000000000000001E-3</v>
      </c>
      <c r="BH480" s="222" t="s">
        <v>1882</v>
      </c>
      <c r="BI480" s="222"/>
      <c r="BJ480" s="230">
        <f>SUM(76+92+462+99+95+175+285+280+260+4451.78+1.67)</f>
        <v>6277.45</v>
      </c>
      <c r="BK480" s="222"/>
      <c r="BL480" s="222"/>
      <c r="BM480" s="222"/>
      <c r="BN480" s="230">
        <f>SUM(870+55)</f>
        <v>925</v>
      </c>
      <c r="BO480" s="230">
        <f t="shared" ref="BO480:BO500" si="59">SUM(BJ480+BN480)</f>
        <v>7202.45</v>
      </c>
      <c r="BP480" s="230">
        <f t="shared" ref="BP480:BP489" si="60">SUM(BO480*0.055)</f>
        <v>396.13475</v>
      </c>
      <c r="BQ480" s="230">
        <f t="shared" ref="BQ480:BQ489" si="61">SUM(BO480+BP480)</f>
        <v>7598.58475</v>
      </c>
      <c r="BR480" s="230">
        <f>5321.58+2277</f>
        <v>7598.58</v>
      </c>
      <c r="BS480" s="222" t="s">
        <v>188</v>
      </c>
      <c r="BT480" s="222"/>
      <c r="BU480" s="222"/>
      <c r="BV480" s="231" t="s">
        <v>4045</v>
      </c>
      <c r="BW480" s="225" t="s">
        <v>968</v>
      </c>
      <c r="BX480" s="222" t="s">
        <v>618</v>
      </c>
      <c r="BY480" s="301" t="s">
        <v>176</v>
      </c>
    </row>
    <row r="481" spans="1:77" s="33" customFormat="1" ht="13.5" customHeight="1">
      <c r="A481" s="64">
        <f t="shared" si="52"/>
        <v>2022</v>
      </c>
      <c r="B481" s="64">
        <f t="shared" si="53"/>
        <v>8</v>
      </c>
      <c r="C481" s="125" t="s">
        <v>191</v>
      </c>
      <c r="D481" s="168" t="str">
        <f t="shared" si="54"/>
        <v>maj</v>
      </c>
      <c r="E481" s="222" t="s">
        <v>2987</v>
      </c>
      <c r="F481" s="222" t="s">
        <v>1768</v>
      </c>
      <c r="G481" s="221">
        <v>1000</v>
      </c>
      <c r="H481" s="222">
        <v>44764</v>
      </c>
      <c r="I481" s="222">
        <v>44776</v>
      </c>
      <c r="J481" s="222"/>
      <c r="K481" s="239"/>
      <c r="L481" s="222">
        <v>44790</v>
      </c>
      <c r="M481" s="222">
        <v>44790</v>
      </c>
      <c r="N481" s="222">
        <v>44792</v>
      </c>
      <c r="O481" s="222"/>
      <c r="P481" s="222"/>
      <c r="Q481" s="222"/>
      <c r="R481" s="222"/>
      <c r="S481" s="222"/>
      <c r="T481" s="222"/>
      <c r="U481" s="222"/>
      <c r="V481" s="222"/>
      <c r="W481" s="222"/>
      <c r="X481" s="222"/>
      <c r="Y481" s="222"/>
      <c r="Z481" s="222"/>
      <c r="AA481" s="253">
        <v>2</v>
      </c>
      <c r="AB481" s="225">
        <v>26355</v>
      </c>
      <c r="AC481" s="253">
        <v>163</v>
      </c>
      <c r="AD481" s="222" t="s">
        <v>3739</v>
      </c>
      <c r="AE481" s="253">
        <v>38850</v>
      </c>
      <c r="AF481" s="222" t="s">
        <v>2151</v>
      </c>
      <c r="AG481" s="226">
        <v>667999770</v>
      </c>
      <c r="AH481" s="240" t="s">
        <v>3740</v>
      </c>
      <c r="AI481" s="222" t="s">
        <v>1168</v>
      </c>
      <c r="AJ481" s="222"/>
      <c r="AK481" s="222"/>
      <c r="AL481" s="222"/>
      <c r="AM481" s="222"/>
      <c r="AN481" s="222"/>
      <c r="AO481" s="222"/>
      <c r="AP481" s="222" t="s">
        <v>845</v>
      </c>
      <c r="AQ481" s="222" t="s">
        <v>3053</v>
      </c>
      <c r="AR481" s="222" t="s">
        <v>3741</v>
      </c>
      <c r="AS481" s="234" t="s">
        <v>3742</v>
      </c>
      <c r="AT481" s="226" t="s">
        <v>3743</v>
      </c>
      <c r="AU481" s="222"/>
      <c r="AV481" s="222" t="s">
        <v>188</v>
      </c>
      <c r="AW481" s="222">
        <v>45052</v>
      </c>
      <c r="AX481" s="225" t="s">
        <v>4113</v>
      </c>
      <c r="AY481" s="242">
        <v>2000</v>
      </c>
      <c r="AZ481" s="225" t="s">
        <v>4113</v>
      </c>
      <c r="BA481" s="225" t="s">
        <v>380</v>
      </c>
      <c r="BB481" s="222" t="s">
        <v>689</v>
      </c>
      <c r="BC481" s="222" t="s">
        <v>3744</v>
      </c>
      <c r="BD481" s="242">
        <v>24</v>
      </c>
      <c r="BE481" s="242">
        <v>10</v>
      </c>
      <c r="BF481" s="242">
        <v>77</v>
      </c>
      <c r="BG481" s="242">
        <v>9.9000000000000005E-2</v>
      </c>
      <c r="BH481" s="222" t="s">
        <v>3023</v>
      </c>
      <c r="BI481" s="222"/>
      <c r="BJ481" s="230">
        <f>SUM(2205+55+238+704+224+320+326+75+46+328.2+320)</f>
        <v>4841.2</v>
      </c>
      <c r="BK481" s="222"/>
      <c r="BL481" s="222"/>
      <c r="BM481" s="222"/>
      <c r="BN481" s="230">
        <v>800</v>
      </c>
      <c r="BO481" s="230">
        <f t="shared" si="59"/>
        <v>5641.2</v>
      </c>
      <c r="BP481" s="230">
        <f t="shared" si="60"/>
        <v>310.26600000000002</v>
      </c>
      <c r="BQ481" s="230">
        <f t="shared" si="61"/>
        <v>5951.4659999999994</v>
      </c>
      <c r="BR481" s="222"/>
      <c r="BS481" s="222" t="s">
        <v>188</v>
      </c>
      <c r="BT481" s="222"/>
      <c r="BU481" s="222"/>
      <c r="BV481" s="301" t="s">
        <v>4045</v>
      </c>
      <c r="BW481" s="225" t="s">
        <v>968</v>
      </c>
      <c r="BX481" s="222" t="s">
        <v>618</v>
      </c>
      <c r="BY481" s="301">
        <v>2022</v>
      </c>
    </row>
    <row r="482" spans="1:77" s="33" customFormat="1" ht="13.5" customHeight="1">
      <c r="A482" s="64">
        <f t="shared" si="52"/>
        <v>2022</v>
      </c>
      <c r="B482" s="64">
        <f t="shared" si="53"/>
        <v>8</v>
      </c>
      <c r="C482" s="125" t="s">
        <v>191</v>
      </c>
      <c r="D482" s="168" t="str">
        <f t="shared" si="54"/>
        <v>non maj</v>
      </c>
      <c r="E482" s="264" t="s">
        <v>2987</v>
      </c>
      <c r="F482" s="264" t="s">
        <v>1769</v>
      </c>
      <c r="G482" s="221">
        <v>600</v>
      </c>
      <c r="H482" s="222">
        <v>44764</v>
      </c>
      <c r="I482" s="222">
        <v>44776</v>
      </c>
      <c r="J482" s="222">
        <v>44790</v>
      </c>
      <c r="K482" s="239" t="s">
        <v>3745</v>
      </c>
      <c r="L482" s="222">
        <v>44798</v>
      </c>
      <c r="M482" s="222">
        <v>44798</v>
      </c>
      <c r="N482" s="222">
        <v>44823</v>
      </c>
      <c r="O482" s="222"/>
      <c r="P482" s="222">
        <v>44865</v>
      </c>
      <c r="Q482" s="222">
        <v>44860</v>
      </c>
      <c r="R482" s="222" t="s">
        <v>176</v>
      </c>
      <c r="S482" s="222">
        <v>44874</v>
      </c>
      <c r="T482" s="222">
        <v>44874</v>
      </c>
      <c r="U482" s="222">
        <v>44879</v>
      </c>
      <c r="V482" s="222"/>
      <c r="W482" s="222"/>
      <c r="X482" s="222"/>
      <c r="Y482" s="222"/>
      <c r="Z482" s="222"/>
      <c r="AA482" s="253">
        <v>2</v>
      </c>
      <c r="AB482" s="225">
        <v>102076</v>
      </c>
      <c r="AC482" s="253">
        <v>348</v>
      </c>
      <c r="AD482" s="222" t="s">
        <v>1906</v>
      </c>
      <c r="AE482" s="253">
        <v>38500</v>
      </c>
      <c r="AF482" s="222" t="s">
        <v>1907</v>
      </c>
      <c r="AG482" s="226">
        <v>789543024</v>
      </c>
      <c r="AH482" s="240" t="s">
        <v>3746</v>
      </c>
      <c r="AI482" s="222" t="s">
        <v>1168</v>
      </c>
      <c r="AJ482" s="222"/>
      <c r="AK482" s="222"/>
      <c r="AL482" s="222"/>
      <c r="AM482" s="222"/>
      <c r="AN482" s="222"/>
      <c r="AO482" s="222"/>
      <c r="AP482" s="222" t="s">
        <v>587</v>
      </c>
      <c r="AQ482" s="222" t="s">
        <v>225</v>
      </c>
      <c r="AR482" s="222" t="s">
        <v>3747</v>
      </c>
      <c r="AS482" s="234" t="s">
        <v>266</v>
      </c>
      <c r="AT482" s="226" t="s">
        <v>588</v>
      </c>
      <c r="AU482" s="222"/>
      <c r="AV482" s="222" t="s">
        <v>188</v>
      </c>
      <c r="AW482" s="222">
        <v>44822</v>
      </c>
      <c r="AX482" s="225" t="s">
        <v>1879</v>
      </c>
      <c r="AY482" s="242">
        <v>1991</v>
      </c>
      <c r="AZ482" s="225" t="s">
        <v>1880</v>
      </c>
      <c r="BA482" s="225" t="s">
        <v>267</v>
      </c>
      <c r="BB482" s="222" t="s">
        <v>3627</v>
      </c>
      <c r="BC482" s="222" t="s">
        <v>3748</v>
      </c>
      <c r="BD482" s="242">
        <v>15</v>
      </c>
      <c r="BE482" s="242">
        <v>8</v>
      </c>
      <c r="BF482" s="242">
        <v>90</v>
      </c>
      <c r="BG482" s="242">
        <v>1.92E-3</v>
      </c>
      <c r="BH482" s="222" t="s">
        <v>1882</v>
      </c>
      <c r="BI482" s="222"/>
      <c r="BJ482" s="230">
        <f>SUM(990+275+89+319+5658)</f>
        <v>7331</v>
      </c>
      <c r="BK482" s="222"/>
      <c r="BL482" s="222"/>
      <c r="BM482" s="222"/>
      <c r="BN482" s="230">
        <f>SUM(690+490+420)</f>
        <v>1600</v>
      </c>
      <c r="BO482" s="230">
        <f t="shared" si="59"/>
        <v>8931</v>
      </c>
      <c r="BP482" s="230">
        <f t="shared" si="60"/>
        <v>491.20499999999998</v>
      </c>
      <c r="BQ482" s="230">
        <f t="shared" si="61"/>
        <v>9422.2049999999999</v>
      </c>
      <c r="BR482" s="230">
        <v>9422.2199999999993</v>
      </c>
      <c r="BS482" s="222" t="s">
        <v>188</v>
      </c>
      <c r="BT482" s="222"/>
      <c r="BU482" s="222"/>
      <c r="BV482" s="231" t="s">
        <v>4045</v>
      </c>
      <c r="BW482" s="225" t="s">
        <v>968</v>
      </c>
      <c r="BX482" s="301" t="s">
        <v>620</v>
      </c>
      <c r="BY482" s="301" t="s">
        <v>176</v>
      </c>
    </row>
    <row r="483" spans="1:77" s="33" customFormat="1" ht="13.5" customHeight="1">
      <c r="A483" s="64">
        <f t="shared" si="52"/>
        <v>2022</v>
      </c>
      <c r="B483" s="64">
        <f t="shared" si="53"/>
        <v>9</v>
      </c>
      <c r="C483" s="125" t="s">
        <v>191</v>
      </c>
      <c r="D483" s="168" t="str">
        <f t="shared" si="54"/>
        <v>non maj</v>
      </c>
      <c r="E483" s="264" t="s">
        <v>2987</v>
      </c>
      <c r="F483" s="264" t="s">
        <v>1771</v>
      </c>
      <c r="G483" s="221">
        <v>600</v>
      </c>
      <c r="H483" s="222">
        <v>44768</v>
      </c>
      <c r="I483" s="222">
        <v>44776</v>
      </c>
      <c r="J483" s="222">
        <v>44790</v>
      </c>
      <c r="K483" s="239" t="s">
        <v>3749</v>
      </c>
      <c r="L483" s="222">
        <v>44809</v>
      </c>
      <c r="M483" s="222">
        <v>44809</v>
      </c>
      <c r="N483" s="222">
        <v>44830</v>
      </c>
      <c r="O483" s="222"/>
      <c r="P483" s="222">
        <v>44884</v>
      </c>
      <c r="Q483" s="222">
        <v>44852</v>
      </c>
      <c r="R483" s="222" t="s">
        <v>3660</v>
      </c>
      <c r="S483" s="222">
        <v>44897</v>
      </c>
      <c r="T483" s="222">
        <v>44897</v>
      </c>
      <c r="U483" s="222">
        <v>44900</v>
      </c>
      <c r="V483" s="222"/>
      <c r="W483" s="222"/>
      <c r="X483" s="222"/>
      <c r="Y483" s="222"/>
      <c r="Z483" s="222"/>
      <c r="AA483" s="253">
        <v>1</v>
      </c>
      <c r="AB483" s="225">
        <v>23475</v>
      </c>
      <c r="AC483" s="253">
        <v>59</v>
      </c>
      <c r="AD483" s="222" t="s">
        <v>3750</v>
      </c>
      <c r="AE483" s="253">
        <v>38620</v>
      </c>
      <c r="AF483" s="222" t="s">
        <v>1871</v>
      </c>
      <c r="AG483" s="226">
        <v>650302119</v>
      </c>
      <c r="AH483" s="240" t="s">
        <v>3751</v>
      </c>
      <c r="AI483" s="222" t="s">
        <v>1168</v>
      </c>
      <c r="AJ483" s="222"/>
      <c r="AK483" s="222"/>
      <c r="AL483" s="222"/>
      <c r="AM483" s="222"/>
      <c r="AN483" s="222"/>
      <c r="AO483" s="222"/>
      <c r="AP483" s="222" t="s">
        <v>2018</v>
      </c>
      <c r="AQ483" s="222" t="s">
        <v>225</v>
      </c>
      <c r="AR483" s="222" t="s">
        <v>3752</v>
      </c>
      <c r="AS483" s="285" t="s">
        <v>273</v>
      </c>
      <c r="AT483" s="226" t="s">
        <v>671</v>
      </c>
      <c r="AU483" s="222"/>
      <c r="AV483" s="222" t="s">
        <v>188</v>
      </c>
      <c r="AW483" s="222">
        <v>45154</v>
      </c>
      <c r="AX483" s="225" t="s">
        <v>1879</v>
      </c>
      <c r="AY483" s="242">
        <v>1984</v>
      </c>
      <c r="AZ483" s="225" t="s">
        <v>1880</v>
      </c>
      <c r="BA483" s="225" t="s">
        <v>380</v>
      </c>
      <c r="BB483" s="222" t="s">
        <v>208</v>
      </c>
      <c r="BC483" s="222" t="s">
        <v>3753</v>
      </c>
      <c r="BD483" s="242">
        <v>25</v>
      </c>
      <c r="BE483" s="242">
        <v>8</v>
      </c>
      <c r="BF483" s="242">
        <v>83.2</v>
      </c>
      <c r="BG483" s="242">
        <v>793</v>
      </c>
      <c r="BH483" s="222" t="s">
        <v>1899</v>
      </c>
      <c r="BI483" s="222"/>
      <c r="BJ483" s="230">
        <f>SUM(3150+1061.45+708)</f>
        <v>4919.45</v>
      </c>
      <c r="BK483" s="222"/>
      <c r="BL483" s="222"/>
      <c r="BM483" s="222"/>
      <c r="BN483" s="230">
        <f>SUM(944+703)</f>
        <v>1647</v>
      </c>
      <c r="BO483" s="230">
        <f t="shared" si="59"/>
        <v>6566.45</v>
      </c>
      <c r="BP483" s="230">
        <f t="shared" si="60"/>
        <v>361.15474999999998</v>
      </c>
      <c r="BQ483" s="230">
        <f t="shared" si="61"/>
        <v>6927.6047499999995</v>
      </c>
      <c r="BR483" s="242">
        <v>7237.61</v>
      </c>
      <c r="BS483" s="222" t="s">
        <v>188</v>
      </c>
      <c r="BT483" s="222"/>
      <c r="BU483" s="222"/>
      <c r="BV483" s="231" t="s">
        <v>4045</v>
      </c>
      <c r="BW483" s="225" t="s">
        <v>968</v>
      </c>
      <c r="BX483" s="301" t="s">
        <v>620</v>
      </c>
      <c r="BY483" s="301">
        <v>2022</v>
      </c>
    </row>
    <row r="484" spans="1:77" s="33" customFormat="1" ht="13.5" customHeight="1">
      <c r="A484" s="64">
        <f t="shared" si="52"/>
        <v>2022</v>
      </c>
      <c r="B484" s="64">
        <f t="shared" si="53"/>
        <v>8</v>
      </c>
      <c r="C484" s="125" t="s">
        <v>191</v>
      </c>
      <c r="D484" s="168" t="str">
        <f t="shared" si="54"/>
        <v>non maj</v>
      </c>
      <c r="E484" s="264" t="s">
        <v>2987</v>
      </c>
      <c r="F484" s="264" t="s">
        <v>1773</v>
      </c>
      <c r="G484" s="221">
        <v>600</v>
      </c>
      <c r="H484" s="222">
        <v>44768</v>
      </c>
      <c r="I484" s="222">
        <v>44776</v>
      </c>
      <c r="J484" s="222"/>
      <c r="K484" s="239"/>
      <c r="L484" s="222">
        <v>44790</v>
      </c>
      <c r="M484" s="222">
        <v>44790</v>
      </c>
      <c r="N484" s="222">
        <v>44792</v>
      </c>
      <c r="O484" s="222"/>
      <c r="P484" s="222">
        <v>44861</v>
      </c>
      <c r="Q484" s="222">
        <v>44855</v>
      </c>
      <c r="R484" s="222" t="s">
        <v>176</v>
      </c>
      <c r="S484" s="222">
        <v>44874</v>
      </c>
      <c r="T484" s="222">
        <v>44874</v>
      </c>
      <c r="U484" s="222">
        <v>44879</v>
      </c>
      <c r="V484" s="222"/>
      <c r="W484" s="222"/>
      <c r="X484" s="222"/>
      <c r="Y484" s="222"/>
      <c r="Z484" s="222"/>
      <c r="AA484" s="253">
        <v>4</v>
      </c>
      <c r="AB484" s="225">
        <v>53299</v>
      </c>
      <c r="AC484" s="253">
        <v>160</v>
      </c>
      <c r="AD484" s="222" t="s">
        <v>3754</v>
      </c>
      <c r="AE484" s="253">
        <v>38140</v>
      </c>
      <c r="AF484" s="222" t="s">
        <v>1971</v>
      </c>
      <c r="AG484" s="226">
        <v>638545957</v>
      </c>
      <c r="AH484" s="240" t="s">
        <v>3755</v>
      </c>
      <c r="AI484" s="222" t="s">
        <v>1168</v>
      </c>
      <c r="AJ484" s="222"/>
      <c r="AK484" s="222"/>
      <c r="AL484" s="222"/>
      <c r="AM484" s="222"/>
      <c r="AN484" s="222"/>
      <c r="AO484" s="222"/>
      <c r="AP484" s="222" t="s">
        <v>268</v>
      </c>
      <c r="AQ484" s="222" t="s">
        <v>1893</v>
      </c>
      <c r="AR484" s="222" t="s">
        <v>3756</v>
      </c>
      <c r="AS484" s="234" t="s">
        <v>1934</v>
      </c>
      <c r="AT484" s="226" t="s">
        <v>3027</v>
      </c>
      <c r="AU484" s="222"/>
      <c r="AV484" s="222" t="s">
        <v>188</v>
      </c>
      <c r="AW484" s="222">
        <v>44883</v>
      </c>
      <c r="AX484" s="225" t="s">
        <v>4113</v>
      </c>
      <c r="AY484" s="242">
        <v>1985</v>
      </c>
      <c r="AZ484" s="225" t="s">
        <v>4113</v>
      </c>
      <c r="BA484" s="225" t="s">
        <v>380</v>
      </c>
      <c r="BB484" s="222" t="s">
        <v>1936</v>
      </c>
      <c r="BC484" s="222" t="s">
        <v>3273</v>
      </c>
      <c r="BD484" s="242">
        <v>23</v>
      </c>
      <c r="BE484" s="242">
        <v>11</v>
      </c>
      <c r="BF484" s="242">
        <v>78</v>
      </c>
      <c r="BG484" s="242">
        <v>7.0000000000000007E-2</v>
      </c>
      <c r="BH484" s="222" t="s">
        <v>1882</v>
      </c>
      <c r="BI484" s="222"/>
      <c r="BJ484" s="230">
        <f>SUM(650+38.47+68.25+1985+557+266.4+148+118.25)</f>
        <v>3831.3700000000003</v>
      </c>
      <c r="BK484" s="222"/>
      <c r="BL484" s="222"/>
      <c r="BM484" s="222"/>
      <c r="BN484" s="230">
        <f>SUM(356+99.09+1085)</f>
        <v>1540.0900000000001</v>
      </c>
      <c r="BO484" s="230">
        <f t="shared" si="59"/>
        <v>5371.4600000000009</v>
      </c>
      <c r="BP484" s="230">
        <f t="shared" si="60"/>
        <v>295.43030000000005</v>
      </c>
      <c r="BQ484" s="230">
        <f t="shared" si="61"/>
        <v>5666.8903000000009</v>
      </c>
      <c r="BR484" s="230">
        <v>5666.89</v>
      </c>
      <c r="BS484" s="222" t="s">
        <v>188</v>
      </c>
      <c r="BT484" s="222"/>
      <c r="BU484" s="222"/>
      <c r="BV484" s="231" t="s">
        <v>4045</v>
      </c>
      <c r="BW484" s="225" t="s">
        <v>968</v>
      </c>
      <c r="BX484" s="301" t="s">
        <v>620</v>
      </c>
      <c r="BY484" s="301">
        <v>2022</v>
      </c>
    </row>
    <row r="485" spans="1:77" s="33" customFormat="1" ht="13.5" customHeight="1">
      <c r="A485" s="64">
        <f t="shared" si="52"/>
        <v>1900</v>
      </c>
      <c r="B485" s="64">
        <f t="shared" si="53"/>
        <v>1</v>
      </c>
      <c r="C485" s="125" t="s">
        <v>188</v>
      </c>
      <c r="D485" s="168" t="str">
        <f t="shared" si="54"/>
        <v>NC</v>
      </c>
      <c r="E485" s="286" t="s">
        <v>2987</v>
      </c>
      <c r="F485" s="286" t="s">
        <v>3757</v>
      </c>
      <c r="G485" s="221">
        <v>600</v>
      </c>
      <c r="H485" s="222">
        <v>44768</v>
      </c>
      <c r="I485" s="222">
        <v>44776</v>
      </c>
      <c r="J485" s="222"/>
      <c r="K485" s="239"/>
      <c r="L485" s="222"/>
      <c r="M485" s="222"/>
      <c r="N485" s="222"/>
      <c r="O485" s="222"/>
      <c r="P485" s="222"/>
      <c r="Q485" s="222"/>
      <c r="R485" s="222"/>
      <c r="S485" s="222"/>
      <c r="T485" s="222"/>
      <c r="U485" s="222"/>
      <c r="V485" s="222"/>
      <c r="W485" s="222">
        <v>44790</v>
      </c>
      <c r="X485" s="222" t="s">
        <v>3758</v>
      </c>
      <c r="Y485" s="222"/>
      <c r="Z485" s="222"/>
      <c r="AA485" s="253">
        <v>2</v>
      </c>
      <c r="AB485" s="225">
        <v>35034</v>
      </c>
      <c r="AC485" s="253">
        <v>1723</v>
      </c>
      <c r="AD485" s="222" t="s">
        <v>2919</v>
      </c>
      <c r="AE485" s="253">
        <v>38850</v>
      </c>
      <c r="AF485" s="222" t="s">
        <v>2151</v>
      </c>
      <c r="AG485" s="226">
        <v>681657173</v>
      </c>
      <c r="AH485" s="240" t="s">
        <v>3759</v>
      </c>
      <c r="AI485" s="222" t="s">
        <v>1168</v>
      </c>
      <c r="AJ485" s="222"/>
      <c r="AK485" s="222"/>
      <c r="AL485" s="222"/>
      <c r="AM485" s="222"/>
      <c r="AN485" s="222"/>
      <c r="AO485" s="222"/>
      <c r="AP485" s="222"/>
      <c r="AQ485" s="222"/>
      <c r="AR485" s="222"/>
      <c r="AS485" s="242"/>
      <c r="AT485" s="226"/>
      <c r="AU485" s="222"/>
      <c r="AV485" s="222"/>
      <c r="AW485" s="222"/>
      <c r="AX485" s="222"/>
      <c r="AY485" s="242"/>
      <c r="AZ485" s="222"/>
      <c r="BA485" s="222"/>
      <c r="BB485" s="222"/>
      <c r="BC485" s="222"/>
      <c r="BD485" s="242"/>
      <c r="BE485" s="242"/>
      <c r="BF485" s="242"/>
      <c r="BG485" s="222"/>
      <c r="BH485" s="222"/>
      <c r="BI485" s="222"/>
      <c r="BJ485" s="230"/>
      <c r="BK485" s="222"/>
      <c r="BL485" s="222"/>
      <c r="BM485" s="222"/>
      <c r="BN485" s="230"/>
      <c r="BO485" s="230">
        <f t="shared" si="59"/>
        <v>0</v>
      </c>
      <c r="BP485" s="230">
        <f t="shared" si="60"/>
        <v>0</v>
      </c>
      <c r="BQ485" s="230">
        <f t="shared" si="61"/>
        <v>0</v>
      </c>
      <c r="BR485" s="222"/>
      <c r="BS485" s="222"/>
      <c r="BT485" s="222"/>
      <c r="BU485" s="222"/>
      <c r="BV485" s="242">
        <v>0</v>
      </c>
      <c r="BW485" s="222" t="s">
        <v>3118</v>
      </c>
      <c r="BX485" s="301" t="s">
        <v>214</v>
      </c>
      <c r="BY485" s="222"/>
    </row>
    <row r="486" spans="1:77" s="33" customFormat="1" ht="13.5" customHeight="1">
      <c r="A486" s="64">
        <f t="shared" si="52"/>
        <v>2022</v>
      </c>
      <c r="B486" s="64">
        <f t="shared" si="53"/>
        <v>9</v>
      </c>
      <c r="C486" s="125" t="s">
        <v>191</v>
      </c>
      <c r="D486" s="168" t="str">
        <f t="shared" si="54"/>
        <v>non maj</v>
      </c>
      <c r="E486" s="264" t="s">
        <v>2987</v>
      </c>
      <c r="F486" s="264" t="s">
        <v>1774</v>
      </c>
      <c r="G486" s="221">
        <v>600</v>
      </c>
      <c r="H486" s="222">
        <v>44770</v>
      </c>
      <c r="I486" s="222">
        <v>44776</v>
      </c>
      <c r="J486" s="222">
        <v>44790</v>
      </c>
      <c r="K486" s="239" t="s">
        <v>3760</v>
      </c>
      <c r="L486" s="222">
        <v>44809</v>
      </c>
      <c r="M486" s="222">
        <v>44809</v>
      </c>
      <c r="N486" s="222">
        <v>44830</v>
      </c>
      <c r="O486" s="222"/>
      <c r="P486" s="222">
        <v>44881</v>
      </c>
      <c r="Q486" s="222">
        <v>44874</v>
      </c>
      <c r="R486" s="222" t="s">
        <v>176</v>
      </c>
      <c r="S486" s="222">
        <v>44895</v>
      </c>
      <c r="T486" s="222">
        <v>44895</v>
      </c>
      <c r="U486" s="238">
        <v>44897</v>
      </c>
      <c r="V486" s="222"/>
      <c r="W486" s="222"/>
      <c r="X486" s="222"/>
      <c r="Y486" s="222"/>
      <c r="Z486" s="222"/>
      <c r="AA486" s="253">
        <v>1</v>
      </c>
      <c r="AB486" s="225">
        <v>23376</v>
      </c>
      <c r="AC486" s="253">
        <v>1346</v>
      </c>
      <c r="AD486" s="222" t="s">
        <v>3471</v>
      </c>
      <c r="AE486" s="253">
        <v>38620</v>
      </c>
      <c r="AF486" s="222" t="s">
        <v>2249</v>
      </c>
      <c r="AG486" s="226">
        <v>641288955</v>
      </c>
      <c r="AH486" s="240" t="s">
        <v>3761</v>
      </c>
      <c r="AI486" s="222" t="s">
        <v>1168</v>
      </c>
      <c r="AJ486" s="222"/>
      <c r="AK486" s="222"/>
      <c r="AL486" s="222"/>
      <c r="AM486" s="222"/>
      <c r="AN486" s="222"/>
      <c r="AO486" s="222"/>
      <c r="AP486" s="222" t="s">
        <v>727</v>
      </c>
      <c r="AQ486" s="222" t="s">
        <v>1875</v>
      </c>
      <c r="AR486" s="222" t="s">
        <v>3762</v>
      </c>
      <c r="AS486" s="234" t="s">
        <v>3763</v>
      </c>
      <c r="AT486" s="226" t="s">
        <v>434</v>
      </c>
      <c r="AU486" s="222"/>
      <c r="AV486" s="222" t="s">
        <v>188</v>
      </c>
      <c r="AW486" s="222">
        <v>44821</v>
      </c>
      <c r="AX486" s="225" t="s">
        <v>4113</v>
      </c>
      <c r="AY486" s="242">
        <v>1980</v>
      </c>
      <c r="AZ486" s="225" t="s">
        <v>1179</v>
      </c>
      <c r="BA486" s="225" t="s">
        <v>380</v>
      </c>
      <c r="BB486" s="222" t="s">
        <v>2109</v>
      </c>
      <c r="BC486" s="222" t="s">
        <v>3764</v>
      </c>
      <c r="BD486" s="242">
        <v>20</v>
      </c>
      <c r="BE486" s="242">
        <v>8</v>
      </c>
      <c r="BF486" s="242">
        <v>78</v>
      </c>
      <c r="BG486" s="242">
        <v>0.1</v>
      </c>
      <c r="BH486" s="222" t="s">
        <v>1882</v>
      </c>
      <c r="BI486" s="222"/>
      <c r="BJ486" s="230">
        <f>SUM(3240+1395+195+945+138)</f>
        <v>5913</v>
      </c>
      <c r="BK486" s="222"/>
      <c r="BL486" s="222"/>
      <c r="BM486" s="222"/>
      <c r="BN486" s="230">
        <f>SUM(690)</f>
        <v>690</v>
      </c>
      <c r="BO486" s="230">
        <f t="shared" si="59"/>
        <v>6603</v>
      </c>
      <c r="BP486" s="230">
        <f t="shared" si="60"/>
        <v>363.16500000000002</v>
      </c>
      <c r="BQ486" s="230">
        <f t="shared" si="61"/>
        <v>6966.165</v>
      </c>
      <c r="BR486" s="242">
        <v>6966.16</v>
      </c>
      <c r="BS486" s="222" t="s">
        <v>188</v>
      </c>
      <c r="BT486" s="222"/>
      <c r="BU486" s="222"/>
      <c r="BV486" s="231" t="s">
        <v>4045</v>
      </c>
      <c r="BW486" s="225" t="s">
        <v>968</v>
      </c>
      <c r="BX486" s="301" t="s">
        <v>620</v>
      </c>
      <c r="BY486" s="301">
        <v>2022</v>
      </c>
    </row>
    <row r="487" spans="1:77" s="33" customFormat="1" ht="13.5" customHeight="1">
      <c r="A487" s="64">
        <f t="shared" si="52"/>
        <v>2022</v>
      </c>
      <c r="B487" s="64">
        <f t="shared" si="53"/>
        <v>8</v>
      </c>
      <c r="C487" s="125" t="s">
        <v>191</v>
      </c>
      <c r="D487" s="168" t="str">
        <f t="shared" si="54"/>
        <v>maj</v>
      </c>
      <c r="E487" s="222" t="s">
        <v>2987</v>
      </c>
      <c r="F487" s="222" t="s">
        <v>1775</v>
      </c>
      <c r="G487" s="221">
        <v>1000</v>
      </c>
      <c r="H487" s="222">
        <v>44771</v>
      </c>
      <c r="I487" s="222">
        <v>44776</v>
      </c>
      <c r="J487" s="222">
        <v>44790</v>
      </c>
      <c r="K487" s="239" t="s">
        <v>3765</v>
      </c>
      <c r="L487" s="222">
        <v>44798</v>
      </c>
      <c r="M487" s="222">
        <v>44798</v>
      </c>
      <c r="N487" s="222">
        <v>44823</v>
      </c>
      <c r="O487" s="222"/>
      <c r="P487" s="222"/>
      <c r="Q487" s="222"/>
      <c r="R487" s="222"/>
      <c r="S487" s="222"/>
      <c r="T487" s="222"/>
      <c r="U487" s="222"/>
      <c r="V487" s="222"/>
      <c r="W487" s="222"/>
      <c r="X487" s="222"/>
      <c r="Y487" s="222"/>
      <c r="Z487" s="222"/>
      <c r="AA487" s="253">
        <v>3</v>
      </c>
      <c r="AB487" s="225">
        <v>2848</v>
      </c>
      <c r="AC487" s="253">
        <v>350</v>
      </c>
      <c r="AD487" s="222" t="s">
        <v>3766</v>
      </c>
      <c r="AE487" s="253">
        <v>38620</v>
      </c>
      <c r="AF487" s="222" t="s">
        <v>2010</v>
      </c>
      <c r="AG487" s="226">
        <v>768380032</v>
      </c>
      <c r="AH487" s="240" t="s">
        <v>3767</v>
      </c>
      <c r="AI487" s="222" t="s">
        <v>1168</v>
      </c>
      <c r="AJ487" s="222"/>
      <c r="AK487" s="222"/>
      <c r="AL487" s="222"/>
      <c r="AM487" s="222"/>
      <c r="AN487" s="222"/>
      <c r="AO487" s="222"/>
      <c r="AP487" s="222" t="s">
        <v>2762</v>
      </c>
      <c r="AQ487" s="222" t="s">
        <v>1018</v>
      </c>
      <c r="AR487" s="222" t="s">
        <v>3768</v>
      </c>
      <c r="AS487" s="234" t="s">
        <v>3071</v>
      </c>
      <c r="AT487" s="226" t="s">
        <v>1020</v>
      </c>
      <c r="AU487" s="222"/>
      <c r="AV487" s="222" t="s">
        <v>188</v>
      </c>
      <c r="AW487" s="222">
        <v>45096</v>
      </c>
      <c r="AX487" s="225" t="s">
        <v>1880</v>
      </c>
      <c r="AY487" s="242">
        <v>2000</v>
      </c>
      <c r="AZ487" s="225" t="s">
        <v>1880</v>
      </c>
      <c r="BA487" s="225" t="s">
        <v>267</v>
      </c>
      <c r="BB487" s="222" t="s">
        <v>3769</v>
      </c>
      <c r="BC487" s="222" t="s">
        <v>3770</v>
      </c>
      <c r="BD487" s="242">
        <v>14</v>
      </c>
      <c r="BE487" s="242">
        <v>9</v>
      </c>
      <c r="BF487" s="242">
        <v>92.7</v>
      </c>
      <c r="BG487" s="242">
        <v>6.8799999999999998E-3</v>
      </c>
      <c r="BH487" s="222" t="s">
        <v>1882</v>
      </c>
      <c r="BI487" s="222"/>
      <c r="BJ487" s="230">
        <f>SUM(3826+298+165.63+464+159+35)</f>
        <v>4947.63</v>
      </c>
      <c r="BK487" s="222"/>
      <c r="BL487" s="222"/>
      <c r="BM487" s="222"/>
      <c r="BN487" s="230">
        <f>SUM(550)</f>
        <v>550</v>
      </c>
      <c r="BO487" s="230">
        <f t="shared" si="59"/>
        <v>5497.63</v>
      </c>
      <c r="BP487" s="230">
        <f t="shared" si="60"/>
        <v>302.36965000000004</v>
      </c>
      <c r="BQ487" s="230">
        <f t="shared" si="61"/>
        <v>5799.9996499999997</v>
      </c>
      <c r="BR487" s="222"/>
      <c r="BS487" s="222" t="s">
        <v>191</v>
      </c>
      <c r="BT487" s="222"/>
      <c r="BU487" s="222"/>
      <c r="BV487" s="301" t="s">
        <v>4045</v>
      </c>
      <c r="BW487" s="225" t="s">
        <v>968</v>
      </c>
      <c r="BX487" s="222" t="s">
        <v>618</v>
      </c>
      <c r="BY487" s="301" t="s">
        <v>176</v>
      </c>
    </row>
    <row r="488" spans="1:77" s="33" customFormat="1" ht="13.5" customHeight="1">
      <c r="A488" s="64">
        <f t="shared" si="52"/>
        <v>2022</v>
      </c>
      <c r="B488" s="64">
        <f t="shared" si="53"/>
        <v>8</v>
      </c>
      <c r="C488" s="125" t="s">
        <v>191</v>
      </c>
      <c r="D488" s="168" t="str">
        <f t="shared" si="54"/>
        <v>non maj</v>
      </c>
      <c r="E488" s="222" t="s">
        <v>2987</v>
      </c>
      <c r="F488" s="222" t="s">
        <v>1776</v>
      </c>
      <c r="G488" s="221">
        <v>600</v>
      </c>
      <c r="H488" s="222">
        <v>44774</v>
      </c>
      <c r="I488" s="222">
        <v>44776</v>
      </c>
      <c r="J488" s="222"/>
      <c r="K488" s="239"/>
      <c r="L488" s="222">
        <v>44790</v>
      </c>
      <c r="M488" s="222">
        <v>44790</v>
      </c>
      <c r="N488" s="222">
        <v>44792</v>
      </c>
      <c r="O488" s="222"/>
      <c r="P488" s="222"/>
      <c r="Q488" s="222"/>
      <c r="R488" s="222"/>
      <c r="S488" s="222"/>
      <c r="T488" s="222"/>
      <c r="U488" s="222"/>
      <c r="V488" s="222"/>
      <c r="W488" s="222"/>
      <c r="X488" s="222"/>
      <c r="Y488" s="222"/>
      <c r="Z488" s="222"/>
      <c r="AA488" s="253">
        <v>4</v>
      </c>
      <c r="AB488" s="225">
        <v>76028</v>
      </c>
      <c r="AC488" s="253">
        <v>8</v>
      </c>
      <c r="AD488" s="222" t="s">
        <v>3771</v>
      </c>
      <c r="AE488" s="253">
        <v>38500</v>
      </c>
      <c r="AF488" s="222" t="s">
        <v>1907</v>
      </c>
      <c r="AG488" s="226">
        <v>670681068</v>
      </c>
      <c r="AH488" s="240" t="s">
        <v>3772</v>
      </c>
      <c r="AI488" s="222" t="s">
        <v>1168</v>
      </c>
      <c r="AJ488" s="222"/>
      <c r="AK488" s="222"/>
      <c r="AL488" s="222"/>
      <c r="AM488" s="222"/>
      <c r="AN488" s="222"/>
      <c r="AO488" s="222"/>
      <c r="AP488" s="222" t="s">
        <v>832</v>
      </c>
      <c r="AQ488" s="222" t="s">
        <v>2493</v>
      </c>
      <c r="AR488" s="222" t="s">
        <v>3773</v>
      </c>
      <c r="AS488" s="234" t="s">
        <v>260</v>
      </c>
      <c r="AT488" s="226" t="s">
        <v>3774</v>
      </c>
      <c r="AU488" s="222"/>
      <c r="AV488" s="222" t="s">
        <v>519</v>
      </c>
      <c r="AW488" s="222">
        <v>45092</v>
      </c>
      <c r="AX488" s="225" t="s">
        <v>1880</v>
      </c>
      <c r="AY488" s="242">
        <v>2000</v>
      </c>
      <c r="AZ488" s="225" t="s">
        <v>1880</v>
      </c>
      <c r="BA488" s="225" t="s">
        <v>380</v>
      </c>
      <c r="BB488" s="222" t="s">
        <v>1037</v>
      </c>
      <c r="BC488" s="222" t="s">
        <v>1038</v>
      </c>
      <c r="BD488" s="242">
        <v>26</v>
      </c>
      <c r="BE488" s="242">
        <v>5.6</v>
      </c>
      <c r="BF488" s="242">
        <v>82.8</v>
      </c>
      <c r="BG488" s="242">
        <v>5.0160000000000003E-2</v>
      </c>
      <c r="BH488" s="222" t="s">
        <v>1882</v>
      </c>
      <c r="BI488" s="222"/>
      <c r="BJ488" s="230">
        <f>SUM(272.9+585.9+141.2+152.6+255.6+174.5+78.2+49.5+88.5+88.5+128+95+78.9+49.8+117.8+42.5+3350)</f>
        <v>5749.4</v>
      </c>
      <c r="BK488" s="222"/>
      <c r="BL488" s="222"/>
      <c r="BM488" s="222"/>
      <c r="BN488" s="230">
        <f>SUM(1410)</f>
        <v>1410</v>
      </c>
      <c r="BO488" s="230">
        <f t="shared" si="59"/>
        <v>7159.4</v>
      </c>
      <c r="BP488" s="230">
        <f t="shared" si="60"/>
        <v>393.767</v>
      </c>
      <c r="BQ488" s="230">
        <f t="shared" si="61"/>
        <v>7553.1669999999995</v>
      </c>
      <c r="BR488" s="222"/>
      <c r="BS488" s="222" t="s">
        <v>188</v>
      </c>
      <c r="BT488" s="222"/>
      <c r="BU488" s="222"/>
      <c r="BV488" s="301" t="s">
        <v>4045</v>
      </c>
      <c r="BW488" s="225" t="s">
        <v>968</v>
      </c>
      <c r="BX488" s="301" t="s">
        <v>620</v>
      </c>
      <c r="BY488" s="301">
        <v>2022</v>
      </c>
    </row>
    <row r="489" spans="1:77" s="33" customFormat="1" ht="13.5" customHeight="1">
      <c r="A489" s="64">
        <f t="shared" si="52"/>
        <v>2022</v>
      </c>
      <c r="B489" s="64">
        <f t="shared" si="53"/>
        <v>8</v>
      </c>
      <c r="C489" s="125" t="s">
        <v>191</v>
      </c>
      <c r="D489" s="168" t="str">
        <f t="shared" si="54"/>
        <v>non maj</v>
      </c>
      <c r="E489" s="264" t="s">
        <v>2987</v>
      </c>
      <c r="F489" s="264" t="s">
        <v>1777</v>
      </c>
      <c r="G489" s="221">
        <v>600</v>
      </c>
      <c r="H489" s="222">
        <v>44777</v>
      </c>
      <c r="I489" s="222">
        <v>44781</v>
      </c>
      <c r="J489" s="222">
        <v>44790</v>
      </c>
      <c r="K489" s="239" t="s">
        <v>3775</v>
      </c>
      <c r="L489" s="222">
        <v>44798</v>
      </c>
      <c r="M489" s="222">
        <v>44798</v>
      </c>
      <c r="N489" s="222">
        <v>44823</v>
      </c>
      <c r="O489" s="222"/>
      <c r="P489" s="222">
        <v>44903</v>
      </c>
      <c r="Q489" s="222">
        <v>44894</v>
      </c>
      <c r="R489" s="222" t="s">
        <v>176</v>
      </c>
      <c r="S489" s="222">
        <v>44915</v>
      </c>
      <c r="T489" s="222">
        <v>44915</v>
      </c>
      <c r="U489" s="222">
        <v>44932</v>
      </c>
      <c r="V489" s="222"/>
      <c r="W489" s="222"/>
      <c r="X489" s="222"/>
      <c r="Y489" s="222"/>
      <c r="Z489" s="222"/>
      <c r="AA489" s="253">
        <v>2</v>
      </c>
      <c r="AB489" s="225">
        <v>43251</v>
      </c>
      <c r="AC489" s="253">
        <v>71</v>
      </c>
      <c r="AD489" s="222" t="s">
        <v>3776</v>
      </c>
      <c r="AE489" s="253">
        <v>38240</v>
      </c>
      <c r="AF489" s="222" t="s">
        <v>232</v>
      </c>
      <c r="AG489" s="226">
        <v>661054926</v>
      </c>
      <c r="AH489" s="240" t="s">
        <v>3777</v>
      </c>
      <c r="AI489" s="222" t="s">
        <v>1168</v>
      </c>
      <c r="AJ489" s="222"/>
      <c r="AK489" s="222"/>
      <c r="AL489" s="222"/>
      <c r="AM489" s="222"/>
      <c r="AN489" s="222"/>
      <c r="AO489" s="222"/>
      <c r="AP489" s="222" t="s">
        <v>579</v>
      </c>
      <c r="AQ489" s="225" t="s">
        <v>1895</v>
      </c>
      <c r="AR489" s="222" t="s">
        <v>1046</v>
      </c>
      <c r="AS489" s="287" t="s">
        <v>201</v>
      </c>
      <c r="AT489" s="226">
        <v>438029038</v>
      </c>
      <c r="AU489" s="222" t="s">
        <v>176</v>
      </c>
      <c r="AV489" s="222" t="s">
        <v>388</v>
      </c>
      <c r="AW489" s="222">
        <v>45147</v>
      </c>
      <c r="AX489" s="225" t="s">
        <v>1879</v>
      </c>
      <c r="AY489" s="242" t="s">
        <v>1935</v>
      </c>
      <c r="AZ489" s="225" t="s">
        <v>4113</v>
      </c>
      <c r="BA489" s="225" t="s">
        <v>380</v>
      </c>
      <c r="BB489" s="222" t="s">
        <v>784</v>
      </c>
      <c r="BC489" s="222" t="s">
        <v>3778</v>
      </c>
      <c r="BD489" s="242">
        <v>21</v>
      </c>
      <c r="BE489" s="242">
        <v>11.9</v>
      </c>
      <c r="BF489" s="242">
        <v>80.8</v>
      </c>
      <c r="BG489" s="280"/>
      <c r="BH489" s="222" t="s">
        <v>3023</v>
      </c>
      <c r="BI489" s="222"/>
      <c r="BJ489" s="230">
        <f>SUM(4445+609+250+896+85.1+74.5+35)</f>
        <v>6394.6</v>
      </c>
      <c r="BK489" s="222"/>
      <c r="BL489" s="222"/>
      <c r="BM489" s="222"/>
      <c r="BN489" s="230">
        <f>SUM(230+950)</f>
        <v>1180</v>
      </c>
      <c r="BO489" s="230">
        <f t="shared" si="59"/>
        <v>7574.6</v>
      </c>
      <c r="BP489" s="230">
        <f t="shared" si="60"/>
        <v>416.60300000000001</v>
      </c>
      <c r="BQ489" s="230">
        <f t="shared" si="61"/>
        <v>7991.2030000000004</v>
      </c>
      <c r="BR489" s="230">
        <v>7800</v>
      </c>
      <c r="BS489" s="222" t="s">
        <v>188</v>
      </c>
      <c r="BT489" s="222"/>
      <c r="BU489" s="222"/>
      <c r="BV489" s="301" t="s">
        <v>4045</v>
      </c>
      <c r="BW489" s="225" t="s">
        <v>968</v>
      </c>
      <c r="BX489" s="301" t="s">
        <v>620</v>
      </c>
      <c r="BY489" s="301">
        <v>2022</v>
      </c>
    </row>
    <row r="490" spans="1:77" s="33" customFormat="1" ht="13.5" customHeight="1">
      <c r="A490" s="64">
        <f t="shared" si="52"/>
        <v>1900</v>
      </c>
      <c r="B490" s="64">
        <f t="shared" si="53"/>
        <v>1</v>
      </c>
      <c r="C490" s="125" t="s">
        <v>188</v>
      </c>
      <c r="D490" s="168" t="str">
        <f t="shared" si="54"/>
        <v>NC</v>
      </c>
      <c r="E490" s="286" t="s">
        <v>2987</v>
      </c>
      <c r="F490" s="286" t="s">
        <v>3779</v>
      </c>
      <c r="G490" s="221">
        <v>1000</v>
      </c>
      <c r="H490" s="222">
        <v>44778</v>
      </c>
      <c r="I490" s="222">
        <v>44781</v>
      </c>
      <c r="J490" s="222" t="s">
        <v>257</v>
      </c>
      <c r="K490" s="239"/>
      <c r="L490" s="242"/>
      <c r="M490" s="242"/>
      <c r="N490" s="242"/>
      <c r="O490" s="242"/>
      <c r="P490" s="222"/>
      <c r="Q490" s="222"/>
      <c r="R490" s="222"/>
      <c r="S490" s="222"/>
      <c r="T490" s="222"/>
      <c r="U490" s="222"/>
      <c r="V490" s="222"/>
      <c r="W490" s="222">
        <v>44790</v>
      </c>
      <c r="X490" s="222" t="s">
        <v>3256</v>
      </c>
      <c r="Y490" s="222"/>
      <c r="Z490" s="222"/>
      <c r="AA490" s="253">
        <v>4</v>
      </c>
      <c r="AB490" s="225">
        <v>26152</v>
      </c>
      <c r="AC490" s="253">
        <v>18</v>
      </c>
      <c r="AD490" s="222" t="s">
        <v>3780</v>
      </c>
      <c r="AE490" s="253">
        <v>38340</v>
      </c>
      <c r="AF490" s="222" t="s">
        <v>232</v>
      </c>
      <c r="AG490" s="226">
        <v>641381086</v>
      </c>
      <c r="AH490" s="234" t="s">
        <v>3781</v>
      </c>
      <c r="AI490" s="222" t="s">
        <v>1168</v>
      </c>
      <c r="AJ490" s="222"/>
      <c r="AK490" s="222"/>
      <c r="AL490" s="222"/>
      <c r="AM490" s="222"/>
      <c r="AN490" s="222"/>
      <c r="AO490" s="222"/>
      <c r="AP490" s="222"/>
      <c r="AQ490" s="222"/>
      <c r="AR490" s="222"/>
      <c r="AS490" s="242"/>
      <c r="AT490" s="222"/>
      <c r="AU490" s="222"/>
      <c r="AV490" s="222"/>
      <c r="AW490" s="222"/>
      <c r="AX490" s="222"/>
      <c r="AY490" s="242"/>
      <c r="AZ490" s="222"/>
      <c r="BA490" s="222"/>
      <c r="BB490" s="222"/>
      <c r="BC490" s="222"/>
      <c r="BD490" s="242"/>
      <c r="BE490" s="242"/>
      <c r="BF490" s="242"/>
      <c r="BG490" s="222"/>
      <c r="BH490" s="222"/>
      <c r="BI490" s="222"/>
      <c r="BJ490" s="230"/>
      <c r="BK490" s="222"/>
      <c r="BL490" s="222"/>
      <c r="BM490" s="222"/>
      <c r="BN490" s="230"/>
      <c r="BO490" s="230">
        <f t="shared" si="59"/>
        <v>0</v>
      </c>
      <c r="BP490" s="230">
        <f t="shared" ref="BP490:BP502" si="62">SUM(BO490*0.055)</f>
        <v>0</v>
      </c>
      <c r="BQ490" s="230">
        <f t="shared" ref="BQ490:BQ502" si="63">SUM(BO490+BP490)</f>
        <v>0</v>
      </c>
      <c r="BR490" s="222"/>
      <c r="BS490" s="222"/>
      <c r="BT490" s="222"/>
      <c r="BU490" s="222"/>
      <c r="BV490" s="242">
        <v>0</v>
      </c>
      <c r="BW490" s="222" t="s">
        <v>3118</v>
      </c>
      <c r="BX490" s="301" t="s">
        <v>214</v>
      </c>
      <c r="BY490" s="222"/>
    </row>
    <row r="491" spans="1:77" s="33" customFormat="1" ht="13.5" customHeight="1">
      <c r="A491" s="64">
        <f t="shared" si="52"/>
        <v>1900</v>
      </c>
      <c r="B491" s="64">
        <f t="shared" si="53"/>
        <v>1</v>
      </c>
      <c r="C491" s="125" t="s">
        <v>191</v>
      </c>
      <c r="D491" s="168" t="str">
        <f t="shared" si="54"/>
        <v>maj</v>
      </c>
      <c r="E491" s="222" t="s">
        <v>2987</v>
      </c>
      <c r="F491" s="222" t="s">
        <v>1778</v>
      </c>
      <c r="G491" s="221">
        <v>1000</v>
      </c>
      <c r="H491" s="222">
        <v>44782</v>
      </c>
      <c r="I491" s="222">
        <v>44783</v>
      </c>
      <c r="J491" s="222">
        <v>44790</v>
      </c>
      <c r="K491" s="239" t="s">
        <v>3782</v>
      </c>
      <c r="L491" s="222"/>
      <c r="M491" s="222"/>
      <c r="N491" s="222"/>
      <c r="O491" s="222"/>
      <c r="P491" s="222"/>
      <c r="Q491" s="222"/>
      <c r="R491" s="222"/>
      <c r="S491" s="222"/>
      <c r="T491" s="222"/>
      <c r="U491" s="222"/>
      <c r="V491" s="222"/>
      <c r="W491" s="222"/>
      <c r="X491" s="222"/>
      <c r="Y491" s="222"/>
      <c r="Z491" s="222"/>
      <c r="AA491" s="253">
        <v>1</v>
      </c>
      <c r="AB491" s="225">
        <v>6228</v>
      </c>
      <c r="AC491" s="253">
        <v>276</v>
      </c>
      <c r="AD491" s="222" t="s">
        <v>3783</v>
      </c>
      <c r="AE491" s="253">
        <v>38490</v>
      </c>
      <c r="AF491" s="222" t="s">
        <v>1018</v>
      </c>
      <c r="AG491" s="226"/>
      <c r="AH491" s="240" t="s">
        <v>3784</v>
      </c>
      <c r="AI491" s="222" t="s">
        <v>1168</v>
      </c>
      <c r="AJ491" s="222"/>
      <c r="AK491" s="222"/>
      <c r="AL491" s="222"/>
      <c r="AM491" s="222"/>
      <c r="AN491" s="222"/>
      <c r="AO491" s="222"/>
      <c r="AP491" s="222" t="s">
        <v>2762</v>
      </c>
      <c r="AQ491" s="222" t="s">
        <v>1018</v>
      </c>
      <c r="AR491" s="222" t="s">
        <v>3785</v>
      </c>
      <c r="AS491" s="234" t="s">
        <v>3071</v>
      </c>
      <c r="AT491" s="222" t="s">
        <v>1020</v>
      </c>
      <c r="AU491" s="222"/>
      <c r="AV491" s="222" t="s">
        <v>188</v>
      </c>
      <c r="AW491" s="222">
        <v>45096</v>
      </c>
      <c r="AX491" s="225" t="s">
        <v>1880</v>
      </c>
      <c r="AY491" s="222" t="s">
        <v>1935</v>
      </c>
      <c r="AZ491" s="225" t="s">
        <v>1880</v>
      </c>
      <c r="BA491" s="225" t="s">
        <v>380</v>
      </c>
      <c r="BB491" s="222" t="s">
        <v>893</v>
      </c>
      <c r="BC491" s="222" t="s">
        <v>3786</v>
      </c>
      <c r="BD491" s="242">
        <v>32</v>
      </c>
      <c r="BE491" s="242">
        <v>8.4</v>
      </c>
      <c r="BF491" s="242">
        <v>76</v>
      </c>
      <c r="BG491" s="242">
        <v>0.04</v>
      </c>
      <c r="BH491" s="222" t="s">
        <v>1882</v>
      </c>
      <c r="BI491" s="222"/>
      <c r="BJ491" s="230">
        <f>SUM(1854+385+1190+81.2+125+225+87)</f>
        <v>3947.2</v>
      </c>
      <c r="BK491" s="222"/>
      <c r="BL491" s="222"/>
      <c r="BM491" s="222"/>
      <c r="BN491" s="230">
        <f>SUM(700)</f>
        <v>700</v>
      </c>
      <c r="BO491" s="230">
        <f t="shared" si="59"/>
        <v>4647.2</v>
      </c>
      <c r="BP491" s="230">
        <f t="shared" si="62"/>
        <v>255.596</v>
      </c>
      <c r="BQ491" s="230">
        <f t="shared" si="63"/>
        <v>4902.7960000000003</v>
      </c>
      <c r="BR491" s="222"/>
      <c r="BS491" s="222" t="s">
        <v>214</v>
      </c>
      <c r="BT491" s="222"/>
      <c r="BU491" s="222"/>
      <c r="BV491" s="301"/>
      <c r="BW491" s="222"/>
      <c r="BX491" s="222" t="s">
        <v>618</v>
      </c>
      <c r="BY491" s="222"/>
    </row>
    <row r="492" spans="1:77" s="33" customFormat="1" ht="13.5" customHeight="1">
      <c r="A492" s="64">
        <f t="shared" si="52"/>
        <v>2022</v>
      </c>
      <c r="B492" s="64">
        <f t="shared" si="53"/>
        <v>8</v>
      </c>
      <c r="C492" s="125" t="s">
        <v>191</v>
      </c>
      <c r="D492" s="168" t="str">
        <f t="shared" si="54"/>
        <v>maj</v>
      </c>
      <c r="E492" s="264" t="s">
        <v>2987</v>
      </c>
      <c r="F492" s="264" t="s">
        <v>1779</v>
      </c>
      <c r="G492" s="221">
        <v>1000</v>
      </c>
      <c r="H492" s="222">
        <v>44781</v>
      </c>
      <c r="I492" s="222">
        <v>44783</v>
      </c>
      <c r="J492" s="222">
        <v>44790</v>
      </c>
      <c r="K492" s="239" t="s">
        <v>3787</v>
      </c>
      <c r="L492" s="222">
        <v>44798</v>
      </c>
      <c r="M492" s="222">
        <v>44798</v>
      </c>
      <c r="N492" s="222">
        <v>44823</v>
      </c>
      <c r="O492" s="222"/>
      <c r="P492" s="222">
        <v>44855</v>
      </c>
      <c r="Q492" s="222">
        <v>44838</v>
      </c>
      <c r="R492" s="222" t="s">
        <v>176</v>
      </c>
      <c r="S492" s="222">
        <v>44874</v>
      </c>
      <c r="T492" s="222">
        <v>44874</v>
      </c>
      <c r="U492" s="222">
        <v>44879</v>
      </c>
      <c r="V492" s="222"/>
      <c r="W492" s="222"/>
      <c r="X492" s="222"/>
      <c r="Y492" s="222"/>
      <c r="Z492" s="222"/>
      <c r="AA492" s="253">
        <v>5</v>
      </c>
      <c r="AB492" s="225">
        <v>44878</v>
      </c>
      <c r="AC492" s="253">
        <v>104</v>
      </c>
      <c r="AD492" s="222" t="s">
        <v>3788</v>
      </c>
      <c r="AE492" s="253">
        <v>38620</v>
      </c>
      <c r="AF492" s="225" t="s">
        <v>2888</v>
      </c>
      <c r="AG492" s="226">
        <v>688615701</v>
      </c>
      <c r="AH492" s="240" t="s">
        <v>3789</v>
      </c>
      <c r="AI492" s="222" t="s">
        <v>1168</v>
      </c>
      <c r="AJ492" s="222"/>
      <c r="AK492" s="222"/>
      <c r="AL492" s="222"/>
      <c r="AM492" s="222"/>
      <c r="AN492" s="222"/>
      <c r="AO492" s="222"/>
      <c r="AP492" s="222" t="s">
        <v>587</v>
      </c>
      <c r="AQ492" s="222" t="s">
        <v>225</v>
      </c>
      <c r="AR492" s="222" t="s">
        <v>3790</v>
      </c>
      <c r="AS492" s="234" t="s">
        <v>266</v>
      </c>
      <c r="AT492" s="222" t="s">
        <v>588</v>
      </c>
      <c r="AU492" s="222"/>
      <c r="AV492" s="222" t="s">
        <v>188</v>
      </c>
      <c r="AW492" s="222">
        <v>44822</v>
      </c>
      <c r="AX492" s="225" t="s">
        <v>1879</v>
      </c>
      <c r="AY492" s="242">
        <v>1983</v>
      </c>
      <c r="AZ492" s="225" t="s">
        <v>1880</v>
      </c>
      <c r="BA492" s="225" t="s">
        <v>380</v>
      </c>
      <c r="BB492" s="222" t="s">
        <v>280</v>
      </c>
      <c r="BC492" s="222" t="s">
        <v>883</v>
      </c>
      <c r="BD492" s="242">
        <v>40</v>
      </c>
      <c r="BE492" s="242">
        <v>6</v>
      </c>
      <c r="BF492" s="242">
        <v>83.6</v>
      </c>
      <c r="BG492" s="242">
        <v>7.3599999999999999E-2</v>
      </c>
      <c r="BH492" s="222" t="s">
        <v>1882</v>
      </c>
      <c r="BI492" s="222"/>
      <c r="BJ492" s="230">
        <f>SUM(506+275+89+3110)</f>
        <v>3980</v>
      </c>
      <c r="BK492" s="222"/>
      <c r="BL492" s="222"/>
      <c r="BM492" s="222"/>
      <c r="BN492" s="230">
        <f>SUM(490)</f>
        <v>490</v>
      </c>
      <c r="BO492" s="230">
        <f t="shared" si="59"/>
        <v>4470</v>
      </c>
      <c r="BP492" s="230">
        <f t="shared" si="62"/>
        <v>245.85</v>
      </c>
      <c r="BQ492" s="230">
        <f t="shared" si="63"/>
        <v>4715.8500000000004</v>
      </c>
      <c r="BR492" s="230">
        <v>4715.8599999999997</v>
      </c>
      <c r="BS492" s="222" t="s">
        <v>388</v>
      </c>
      <c r="BT492" s="222"/>
      <c r="BU492" s="222"/>
      <c r="BV492" s="231" t="s">
        <v>4045</v>
      </c>
      <c r="BW492" s="225" t="s">
        <v>968</v>
      </c>
      <c r="BX492" s="222" t="s">
        <v>618</v>
      </c>
      <c r="BY492" s="301">
        <v>2022</v>
      </c>
    </row>
    <row r="493" spans="1:77" s="33" customFormat="1" ht="13.5" customHeight="1">
      <c r="A493" s="64">
        <f t="shared" si="52"/>
        <v>2022</v>
      </c>
      <c r="B493" s="64">
        <f t="shared" si="53"/>
        <v>8</v>
      </c>
      <c r="C493" s="125" t="s">
        <v>191</v>
      </c>
      <c r="D493" s="168" t="str">
        <f t="shared" si="54"/>
        <v>non maj</v>
      </c>
      <c r="E493" s="264" t="s">
        <v>2987</v>
      </c>
      <c r="F493" s="264" t="s">
        <v>1780</v>
      </c>
      <c r="G493" s="221">
        <v>600</v>
      </c>
      <c r="H493" s="222">
        <v>44781</v>
      </c>
      <c r="I493" s="222">
        <v>44783</v>
      </c>
      <c r="J493" s="222">
        <v>44790</v>
      </c>
      <c r="K493" s="239" t="s">
        <v>3791</v>
      </c>
      <c r="L493" s="222">
        <v>44798</v>
      </c>
      <c r="M493" s="222">
        <v>44798</v>
      </c>
      <c r="N493" s="222">
        <v>44823</v>
      </c>
      <c r="O493" s="222"/>
      <c r="P493" s="222">
        <v>44846</v>
      </c>
      <c r="Q493" s="222">
        <v>44824</v>
      </c>
      <c r="R493" s="222" t="s">
        <v>176</v>
      </c>
      <c r="S493" s="222">
        <v>44873</v>
      </c>
      <c r="T493" s="222">
        <v>44873</v>
      </c>
      <c r="U493" s="222">
        <v>44879</v>
      </c>
      <c r="V493" s="222"/>
      <c r="W493" s="222"/>
      <c r="X493" s="222"/>
      <c r="Y493" s="222"/>
      <c r="Z493" s="222"/>
      <c r="AA493" s="253">
        <v>5</v>
      </c>
      <c r="AB493" s="225">
        <v>181799</v>
      </c>
      <c r="AC493" s="253">
        <v>380</v>
      </c>
      <c r="AD493" s="222" t="s">
        <v>3792</v>
      </c>
      <c r="AE493" s="253">
        <v>38960</v>
      </c>
      <c r="AF493" s="225" t="s">
        <v>2088</v>
      </c>
      <c r="AG493" s="226">
        <v>771164948</v>
      </c>
      <c r="AH493" s="240" t="s">
        <v>3793</v>
      </c>
      <c r="AI493" s="222" t="s">
        <v>1168</v>
      </c>
      <c r="AJ493" s="222"/>
      <c r="AK493" s="222"/>
      <c r="AL493" s="222"/>
      <c r="AM493" s="222"/>
      <c r="AN493" s="222"/>
      <c r="AO493" s="222"/>
      <c r="AP493" s="222" t="s">
        <v>579</v>
      </c>
      <c r="AQ493" s="222" t="s">
        <v>1895</v>
      </c>
      <c r="AR493" s="222" t="s">
        <v>3794</v>
      </c>
      <c r="AS493" s="234" t="s">
        <v>201</v>
      </c>
      <c r="AT493" s="222" t="s">
        <v>580</v>
      </c>
      <c r="AU493" s="222" t="s">
        <v>3795</v>
      </c>
      <c r="AV493" s="222" t="s">
        <v>188</v>
      </c>
      <c r="AW493" s="222">
        <v>45147</v>
      </c>
      <c r="AX493" s="225" t="s">
        <v>1879</v>
      </c>
      <c r="AY493" s="222" t="s">
        <v>1935</v>
      </c>
      <c r="AZ493" s="225" t="s">
        <v>4113</v>
      </c>
      <c r="BA493" s="225" t="s">
        <v>380</v>
      </c>
      <c r="BB493" s="222" t="s">
        <v>784</v>
      </c>
      <c r="BC493" s="222" t="s">
        <v>3796</v>
      </c>
      <c r="BD493" s="242">
        <v>20</v>
      </c>
      <c r="BE493" s="242">
        <v>16</v>
      </c>
      <c r="BF493" s="242">
        <v>76</v>
      </c>
      <c r="BG493" s="222"/>
      <c r="BH493" s="222" t="s">
        <v>3023</v>
      </c>
      <c r="BI493" s="222"/>
      <c r="BJ493" s="230">
        <f>SUM(4384.83+80.57+597.16+65.4+142.18+85.31)</f>
        <v>5355.45</v>
      </c>
      <c r="BK493" s="222"/>
      <c r="BL493" s="222"/>
      <c r="BM493" s="222"/>
      <c r="BN493" s="230">
        <f>SUM(796.21)</f>
        <v>796.21</v>
      </c>
      <c r="BO493" s="230">
        <f t="shared" si="59"/>
        <v>6151.66</v>
      </c>
      <c r="BP493" s="230">
        <f t="shared" si="62"/>
        <v>338.34129999999999</v>
      </c>
      <c r="BQ493" s="230">
        <f t="shared" si="63"/>
        <v>6490.0012999999999</v>
      </c>
      <c r="BR493" s="230">
        <v>6766</v>
      </c>
      <c r="BS493" s="222" t="s">
        <v>388</v>
      </c>
      <c r="BT493" s="222"/>
      <c r="BU493" s="222"/>
      <c r="BV493" s="231" t="s">
        <v>4045</v>
      </c>
      <c r="BW493" s="225" t="s">
        <v>968</v>
      </c>
      <c r="BX493" s="301" t="s">
        <v>620</v>
      </c>
      <c r="BY493" s="301">
        <v>2022</v>
      </c>
    </row>
    <row r="494" spans="1:77" s="33" customFormat="1" ht="13.5" customHeight="1">
      <c r="A494" s="64">
        <f t="shared" si="52"/>
        <v>2022</v>
      </c>
      <c r="B494" s="64">
        <f t="shared" si="53"/>
        <v>9</v>
      </c>
      <c r="C494" s="125" t="s">
        <v>191</v>
      </c>
      <c r="D494" s="168" t="str">
        <f t="shared" si="54"/>
        <v>non maj</v>
      </c>
      <c r="E494" s="264" t="s">
        <v>2987</v>
      </c>
      <c r="F494" s="264" t="s">
        <v>1781</v>
      </c>
      <c r="G494" s="221">
        <v>600</v>
      </c>
      <c r="H494" s="222">
        <v>44795</v>
      </c>
      <c r="I494" s="222">
        <v>44795</v>
      </c>
      <c r="J494" s="222">
        <v>44818</v>
      </c>
      <c r="K494" s="239" t="s">
        <v>3797</v>
      </c>
      <c r="L494" s="222">
        <v>44831</v>
      </c>
      <c r="M494" s="222">
        <v>44831</v>
      </c>
      <c r="N494" s="222">
        <v>44834</v>
      </c>
      <c r="O494" s="222"/>
      <c r="P494" s="222">
        <v>44911</v>
      </c>
      <c r="Q494" s="222">
        <v>44884</v>
      </c>
      <c r="R494" s="222" t="s">
        <v>176</v>
      </c>
      <c r="S494" s="222">
        <v>44915</v>
      </c>
      <c r="T494" s="222">
        <v>44915</v>
      </c>
      <c r="U494" s="222">
        <v>44932</v>
      </c>
      <c r="V494" s="222"/>
      <c r="W494" s="222"/>
      <c r="X494" s="222"/>
      <c r="Y494" s="222"/>
      <c r="Z494" s="222"/>
      <c r="AA494" s="253">
        <v>2</v>
      </c>
      <c r="AB494" s="225">
        <v>41419</v>
      </c>
      <c r="AC494" s="253">
        <v>736</v>
      </c>
      <c r="AD494" s="222" t="s">
        <v>3798</v>
      </c>
      <c r="AE494" s="253">
        <v>38960</v>
      </c>
      <c r="AF494" s="225" t="s">
        <v>2088</v>
      </c>
      <c r="AG494" s="226">
        <v>632900189</v>
      </c>
      <c r="AH494" s="234" t="s">
        <v>3799</v>
      </c>
      <c r="AI494" s="222" t="s">
        <v>1168</v>
      </c>
      <c r="AJ494" s="222"/>
      <c r="AK494" s="222"/>
      <c r="AL494" s="222"/>
      <c r="AM494" s="222"/>
      <c r="AN494" s="222"/>
      <c r="AO494" s="222"/>
      <c r="AP494" s="222" t="s">
        <v>778</v>
      </c>
      <c r="AQ494" s="222" t="s">
        <v>1926</v>
      </c>
      <c r="AR494" s="222" t="s">
        <v>3800</v>
      </c>
      <c r="AS494" s="234" t="s">
        <v>251</v>
      </c>
      <c r="AT494" s="222" t="s">
        <v>3801</v>
      </c>
      <c r="AU494" s="222"/>
      <c r="AV494" s="222" t="s">
        <v>188</v>
      </c>
      <c r="AW494" s="222">
        <v>45006</v>
      </c>
      <c r="AX494" s="225" t="s">
        <v>4113</v>
      </c>
      <c r="AY494" s="222" t="s">
        <v>1935</v>
      </c>
      <c r="AZ494" s="225" t="s">
        <v>1880</v>
      </c>
      <c r="BA494" s="225" t="s">
        <v>380</v>
      </c>
      <c r="BB494" s="222" t="s">
        <v>244</v>
      </c>
      <c r="BC494" s="222" t="s">
        <v>255</v>
      </c>
      <c r="BD494" s="242">
        <v>38</v>
      </c>
      <c r="BE494" s="242">
        <v>8.5</v>
      </c>
      <c r="BF494" s="242">
        <v>75.400000000000006</v>
      </c>
      <c r="BG494" s="242">
        <v>0.08</v>
      </c>
      <c r="BH494" s="222" t="s">
        <v>1882</v>
      </c>
      <c r="BI494" s="222"/>
      <c r="BJ494" s="230">
        <f>SUM(1988+2570+417)</f>
        <v>4975</v>
      </c>
      <c r="BK494" s="222"/>
      <c r="BL494" s="222"/>
      <c r="BM494" s="222"/>
      <c r="BN494" s="230">
        <v>995</v>
      </c>
      <c r="BO494" s="230">
        <f t="shared" si="59"/>
        <v>5970</v>
      </c>
      <c r="BP494" s="230">
        <f t="shared" si="62"/>
        <v>328.35</v>
      </c>
      <c r="BQ494" s="242">
        <f t="shared" si="63"/>
        <v>6298.35</v>
      </c>
      <c r="BR494" s="230">
        <v>6000</v>
      </c>
      <c r="BS494" s="222" t="s">
        <v>388</v>
      </c>
      <c r="BT494" s="222"/>
      <c r="BU494" s="222"/>
      <c r="BV494" s="301" t="s">
        <v>4045</v>
      </c>
      <c r="BW494" s="225" t="s">
        <v>968</v>
      </c>
      <c r="BX494" s="301" t="s">
        <v>620</v>
      </c>
      <c r="BY494" s="301">
        <v>2022</v>
      </c>
    </row>
    <row r="495" spans="1:77" s="33" customFormat="1" ht="13.5" customHeight="1">
      <c r="A495" s="64">
        <f t="shared" si="52"/>
        <v>2022</v>
      </c>
      <c r="B495" s="64">
        <f t="shared" si="53"/>
        <v>9</v>
      </c>
      <c r="C495" s="125" t="s">
        <v>191</v>
      </c>
      <c r="D495" s="168" t="str">
        <f t="shared" si="54"/>
        <v>maj</v>
      </c>
      <c r="E495" s="264" t="s">
        <v>2987</v>
      </c>
      <c r="F495" s="264" t="s">
        <v>1782</v>
      </c>
      <c r="G495" s="221">
        <v>1000</v>
      </c>
      <c r="H495" s="222">
        <v>44795</v>
      </c>
      <c r="I495" s="222">
        <v>44795</v>
      </c>
      <c r="J495" s="222"/>
      <c r="K495" s="239"/>
      <c r="L495" s="222">
        <v>44818</v>
      </c>
      <c r="M495" s="222">
        <v>44818</v>
      </c>
      <c r="N495" s="222">
        <v>44830</v>
      </c>
      <c r="O495" s="222"/>
      <c r="P495" s="222">
        <v>44852</v>
      </c>
      <c r="Q495" s="222">
        <v>44834</v>
      </c>
      <c r="R495" s="222" t="s">
        <v>176</v>
      </c>
      <c r="S495" s="222">
        <v>44874</v>
      </c>
      <c r="T495" s="222">
        <v>44874</v>
      </c>
      <c r="U495" s="222">
        <v>44879</v>
      </c>
      <c r="V495" s="222"/>
      <c r="W495" s="222"/>
      <c r="X495" s="222"/>
      <c r="Y495" s="222"/>
      <c r="Z495" s="222"/>
      <c r="AA495" s="253">
        <v>3</v>
      </c>
      <c r="AB495" s="225">
        <v>14607</v>
      </c>
      <c r="AC495" s="253">
        <v>80</v>
      </c>
      <c r="AD495" s="222" t="s">
        <v>3802</v>
      </c>
      <c r="AE495" s="253">
        <v>38140</v>
      </c>
      <c r="AF495" s="222" t="s">
        <v>1946</v>
      </c>
      <c r="AG495" s="226">
        <v>670044484</v>
      </c>
      <c r="AH495" s="234" t="s">
        <v>3803</v>
      </c>
      <c r="AI495" s="222" t="s">
        <v>1168</v>
      </c>
      <c r="AJ495" s="222"/>
      <c r="AK495" s="222"/>
      <c r="AL495" s="222"/>
      <c r="AM495" s="222"/>
      <c r="AN495" s="222"/>
      <c r="AO495" s="222"/>
      <c r="AP495" s="222" t="s">
        <v>818</v>
      </c>
      <c r="AQ495" s="222" t="s">
        <v>225</v>
      </c>
      <c r="AR495" s="222" t="s">
        <v>3804</v>
      </c>
      <c r="AS495" s="234" t="s">
        <v>226</v>
      </c>
      <c r="AT495" s="222" t="s">
        <v>3805</v>
      </c>
      <c r="AU495" s="222"/>
      <c r="AV495" s="222" t="s">
        <v>188</v>
      </c>
      <c r="AW495" s="222">
        <v>45159</v>
      </c>
      <c r="AX495" s="225" t="s">
        <v>4113</v>
      </c>
      <c r="AY495" s="222">
        <v>1995</v>
      </c>
      <c r="AZ495" s="225" t="s">
        <v>1880</v>
      </c>
      <c r="BA495" s="225" t="s">
        <v>380</v>
      </c>
      <c r="BB495" s="222" t="s">
        <v>256</v>
      </c>
      <c r="BC495" s="222" t="s">
        <v>3806</v>
      </c>
      <c r="BD495" s="242">
        <v>22</v>
      </c>
      <c r="BE495" s="242">
        <v>8.5</v>
      </c>
      <c r="BF495" s="242">
        <v>78</v>
      </c>
      <c r="BG495" s="242">
        <v>5.04E-2</v>
      </c>
      <c r="BH495" s="222" t="s">
        <v>1882</v>
      </c>
      <c r="BI495" s="222"/>
      <c r="BJ495" s="230">
        <f>SUM(30+590+35+265+352+2990+120+115+78+96+32+30+60+15)</f>
        <v>4808</v>
      </c>
      <c r="BK495" s="222"/>
      <c r="BL495" s="222"/>
      <c r="BM495" s="222"/>
      <c r="BN495" s="230">
        <f>SUM(48+380)</f>
        <v>428</v>
      </c>
      <c r="BO495" s="230">
        <f t="shared" si="59"/>
        <v>5236</v>
      </c>
      <c r="BP495" s="230">
        <f t="shared" si="62"/>
        <v>287.98</v>
      </c>
      <c r="BQ495" s="242">
        <f t="shared" si="63"/>
        <v>5523.98</v>
      </c>
      <c r="BR495" s="230">
        <v>5422.7</v>
      </c>
      <c r="BS495" s="222" t="s">
        <v>388</v>
      </c>
      <c r="BT495" s="222"/>
      <c r="BU495" s="222"/>
      <c r="BV495" s="231" t="s">
        <v>4045</v>
      </c>
      <c r="BW495" s="225" t="s">
        <v>968</v>
      </c>
      <c r="BX495" s="222" t="s">
        <v>618</v>
      </c>
      <c r="BY495" s="301">
        <v>2022</v>
      </c>
    </row>
    <row r="496" spans="1:77" s="33" customFormat="1" ht="13.5" customHeight="1">
      <c r="A496" s="64">
        <f t="shared" si="52"/>
        <v>2022</v>
      </c>
      <c r="B496" s="64">
        <f t="shared" si="53"/>
        <v>9</v>
      </c>
      <c r="C496" s="125" t="s">
        <v>191</v>
      </c>
      <c r="D496" s="168" t="str">
        <f t="shared" si="54"/>
        <v>non maj</v>
      </c>
      <c r="E496" s="222" t="s">
        <v>2987</v>
      </c>
      <c r="F496" s="222" t="s">
        <v>1783</v>
      </c>
      <c r="G496" s="221">
        <v>600</v>
      </c>
      <c r="H496" s="222">
        <v>44796</v>
      </c>
      <c r="I496" s="222">
        <v>44798</v>
      </c>
      <c r="J496" s="222">
        <v>44818</v>
      </c>
      <c r="K496" s="239" t="s">
        <v>3807</v>
      </c>
      <c r="L496" s="222">
        <v>44831</v>
      </c>
      <c r="M496" s="222">
        <v>44831</v>
      </c>
      <c r="N496" s="222">
        <v>44834</v>
      </c>
      <c r="O496" s="222"/>
      <c r="P496" s="222"/>
      <c r="Q496" s="222"/>
      <c r="R496" s="222"/>
      <c r="S496" s="222"/>
      <c r="T496" s="222"/>
      <c r="U496" s="222"/>
      <c r="V496" s="222"/>
      <c r="W496" s="222"/>
      <c r="X496" s="222"/>
      <c r="Y496" s="222"/>
      <c r="Z496" s="222"/>
      <c r="AA496" s="253">
        <v>3</v>
      </c>
      <c r="AB496" s="225">
        <v>81442</v>
      </c>
      <c r="AC496" s="253">
        <v>26</v>
      </c>
      <c r="AD496" s="222" t="s">
        <v>3808</v>
      </c>
      <c r="AE496" s="253">
        <v>38500</v>
      </c>
      <c r="AF496" s="222" t="s">
        <v>1907</v>
      </c>
      <c r="AG496" s="226">
        <v>687167368</v>
      </c>
      <c r="AH496" s="240" t="s">
        <v>3809</v>
      </c>
      <c r="AI496" s="222"/>
      <c r="AJ496" s="222"/>
      <c r="AK496" s="222"/>
      <c r="AL496" s="222"/>
      <c r="AM496" s="222"/>
      <c r="AN496" s="222"/>
      <c r="AO496" s="222"/>
      <c r="AP496" s="222" t="s">
        <v>1071</v>
      </c>
      <c r="AQ496" s="222" t="s">
        <v>232</v>
      </c>
      <c r="AR496" s="222" t="s">
        <v>3810</v>
      </c>
      <c r="AS496" s="234" t="s">
        <v>3811</v>
      </c>
      <c r="AT496" s="222" t="s">
        <v>3812</v>
      </c>
      <c r="AU496" s="222"/>
      <c r="AV496" s="222" t="s">
        <v>519</v>
      </c>
      <c r="AW496" s="222">
        <v>45102</v>
      </c>
      <c r="AX496" s="225" t="s">
        <v>1879</v>
      </c>
      <c r="AY496" s="222" t="s">
        <v>1935</v>
      </c>
      <c r="AZ496" s="225" t="s">
        <v>1880</v>
      </c>
      <c r="BA496" s="225" t="s">
        <v>380</v>
      </c>
      <c r="BB496" s="222" t="s">
        <v>788</v>
      </c>
      <c r="BC496" s="222" t="s">
        <v>3813</v>
      </c>
      <c r="BD496" s="242">
        <v>21</v>
      </c>
      <c r="BE496" s="242">
        <v>6</v>
      </c>
      <c r="BF496" s="242">
        <v>80</v>
      </c>
      <c r="BG496" s="242">
        <v>0.04</v>
      </c>
      <c r="BH496" s="222" t="s">
        <v>1882</v>
      </c>
      <c r="BI496" s="222"/>
      <c r="BJ496" s="230">
        <f>SUM(2806+49+95.1+45+243+86.4+94+50+54+171+144+1113+60+120+29)</f>
        <v>5159.5</v>
      </c>
      <c r="BK496" s="222"/>
      <c r="BL496" s="222"/>
      <c r="BM496" s="222"/>
      <c r="BN496" s="230">
        <v>1440</v>
      </c>
      <c r="BO496" s="230">
        <f t="shared" si="59"/>
        <v>6599.5</v>
      </c>
      <c r="BP496" s="230">
        <f t="shared" si="62"/>
        <v>362.97250000000003</v>
      </c>
      <c r="BQ496" s="230">
        <f t="shared" si="63"/>
        <v>6962.4724999999999</v>
      </c>
      <c r="BR496" s="222"/>
      <c r="BS496" s="222" t="s">
        <v>388</v>
      </c>
      <c r="BT496" s="222"/>
      <c r="BU496" s="222"/>
      <c r="BV496" s="301" t="s">
        <v>4045</v>
      </c>
      <c r="BW496" s="225" t="s">
        <v>968</v>
      </c>
      <c r="BX496" s="301" t="s">
        <v>620</v>
      </c>
      <c r="BY496" s="301">
        <v>2022</v>
      </c>
    </row>
    <row r="497" spans="1:77" s="33" customFormat="1" ht="13.5" customHeight="1">
      <c r="A497" s="64">
        <f t="shared" si="52"/>
        <v>2022</v>
      </c>
      <c r="B497" s="64">
        <f t="shared" si="53"/>
        <v>9</v>
      </c>
      <c r="C497" s="125" t="s">
        <v>191</v>
      </c>
      <c r="D497" s="168" t="str">
        <f t="shared" si="54"/>
        <v>non maj</v>
      </c>
      <c r="E497" s="222" t="s">
        <v>2987</v>
      </c>
      <c r="F497" s="222" t="s">
        <v>1785</v>
      </c>
      <c r="G497" s="221">
        <v>600</v>
      </c>
      <c r="H497" s="222">
        <v>44802</v>
      </c>
      <c r="I497" s="222">
        <v>44802</v>
      </c>
      <c r="J497" s="222">
        <v>44818</v>
      </c>
      <c r="K497" s="239" t="s">
        <v>3814</v>
      </c>
      <c r="L497" s="222">
        <v>44831</v>
      </c>
      <c r="M497" s="222">
        <v>44831</v>
      </c>
      <c r="N497" s="222">
        <v>44834</v>
      </c>
      <c r="O497" s="222"/>
      <c r="P497" s="222">
        <v>44932</v>
      </c>
      <c r="Q497" s="222"/>
      <c r="R497" s="222" t="s">
        <v>3815</v>
      </c>
      <c r="S497" s="222"/>
      <c r="T497" s="222"/>
      <c r="U497" s="222"/>
      <c r="V497" s="222"/>
      <c r="W497" s="222"/>
      <c r="X497" s="222"/>
      <c r="Y497" s="222"/>
      <c r="Z497" s="222"/>
      <c r="AA497" s="253">
        <v>2</v>
      </c>
      <c r="AB497" s="225">
        <v>71078</v>
      </c>
      <c r="AC497" s="253">
        <v>1431</v>
      </c>
      <c r="AD497" s="222" t="s">
        <v>3816</v>
      </c>
      <c r="AE497" s="253">
        <v>38960</v>
      </c>
      <c r="AF497" s="225" t="s">
        <v>1964</v>
      </c>
      <c r="AG497" s="226">
        <v>695457598</v>
      </c>
      <c r="AH497" s="240" t="s">
        <v>3817</v>
      </c>
      <c r="AI497" s="222" t="s">
        <v>1168</v>
      </c>
      <c r="AJ497" s="222"/>
      <c r="AK497" s="222"/>
      <c r="AL497" s="222"/>
      <c r="AM497" s="222"/>
      <c r="AN497" s="222"/>
      <c r="AO497" s="222"/>
      <c r="AP497" s="222" t="s">
        <v>740</v>
      </c>
      <c r="AQ497" s="222" t="s">
        <v>851</v>
      </c>
      <c r="AR497" s="222" t="s">
        <v>3818</v>
      </c>
      <c r="AS497" s="234" t="s">
        <v>3819</v>
      </c>
      <c r="AT497" s="222" t="s">
        <v>801</v>
      </c>
      <c r="AU497" s="222"/>
      <c r="AV497" s="222" t="s">
        <v>188</v>
      </c>
      <c r="AW497" s="222">
        <v>44844</v>
      </c>
      <c r="AX497" s="225" t="s">
        <v>1880</v>
      </c>
      <c r="AY497" s="222" t="s">
        <v>1935</v>
      </c>
      <c r="AZ497" s="225" t="s">
        <v>1880</v>
      </c>
      <c r="BA497" s="225" t="s">
        <v>380</v>
      </c>
      <c r="BB497" s="222" t="s">
        <v>2066</v>
      </c>
      <c r="BC497" s="222" t="s">
        <v>3820</v>
      </c>
      <c r="BD497" s="242">
        <v>15</v>
      </c>
      <c r="BE497" s="242">
        <v>11</v>
      </c>
      <c r="BF497" s="242">
        <v>78</v>
      </c>
      <c r="BG497" s="242">
        <v>0.09</v>
      </c>
      <c r="BH497" s="222" t="s">
        <v>1882</v>
      </c>
      <c r="BI497" s="222"/>
      <c r="BJ497" s="230">
        <f>SUM(3779.146+1387.677)</f>
        <v>5166.8230000000003</v>
      </c>
      <c r="BK497" s="222"/>
      <c r="BL497" s="222"/>
      <c r="BM497" s="222"/>
      <c r="BN497" s="230">
        <v>800</v>
      </c>
      <c r="BO497" s="230">
        <f t="shared" si="59"/>
        <v>5966.8230000000003</v>
      </c>
      <c r="BP497" s="230">
        <f t="shared" si="62"/>
        <v>328.17526500000002</v>
      </c>
      <c r="BQ497" s="230">
        <f t="shared" si="63"/>
        <v>6294.9982650000002</v>
      </c>
      <c r="BR497" s="222"/>
      <c r="BS497" s="222" t="s">
        <v>388</v>
      </c>
      <c r="BT497" s="222"/>
      <c r="BU497" s="222"/>
      <c r="BV497" s="301" t="s">
        <v>4045</v>
      </c>
      <c r="BW497" s="225" t="s">
        <v>968</v>
      </c>
      <c r="BX497" s="301" t="s">
        <v>620</v>
      </c>
      <c r="BY497" s="301">
        <v>2022</v>
      </c>
    </row>
    <row r="498" spans="1:77" s="33" customFormat="1" ht="13.5" customHeight="1">
      <c r="A498" s="64">
        <f t="shared" si="52"/>
        <v>2022</v>
      </c>
      <c r="B498" s="64">
        <f t="shared" si="53"/>
        <v>9</v>
      </c>
      <c r="C498" s="125" t="s">
        <v>191</v>
      </c>
      <c r="D498" s="168" t="str">
        <f t="shared" si="54"/>
        <v>maj</v>
      </c>
      <c r="E498" s="264" t="s">
        <v>2987</v>
      </c>
      <c r="F498" s="264" t="s">
        <v>1787</v>
      </c>
      <c r="G498" s="221">
        <v>1000</v>
      </c>
      <c r="H498" s="222">
        <v>44803</v>
      </c>
      <c r="I498" s="222">
        <v>44803</v>
      </c>
      <c r="J498" s="222">
        <v>44818</v>
      </c>
      <c r="K498" s="239" t="s">
        <v>3821</v>
      </c>
      <c r="L498" s="222">
        <v>44831</v>
      </c>
      <c r="M498" s="222">
        <v>44831</v>
      </c>
      <c r="N498" s="222">
        <v>44834</v>
      </c>
      <c r="O498" s="222"/>
      <c r="P498" s="222">
        <v>44855</v>
      </c>
      <c r="Q498" s="222">
        <v>44839</v>
      </c>
      <c r="R498" s="222" t="s">
        <v>176</v>
      </c>
      <c r="S498" s="222">
        <v>44874</v>
      </c>
      <c r="T498" s="222">
        <v>44874</v>
      </c>
      <c r="U498" s="222">
        <v>44879</v>
      </c>
      <c r="V498" s="222"/>
      <c r="W498" s="222"/>
      <c r="X498" s="222"/>
      <c r="Y498" s="222"/>
      <c r="Z498" s="222"/>
      <c r="AA498" s="253">
        <v>4</v>
      </c>
      <c r="AB498" s="225">
        <v>39107</v>
      </c>
      <c r="AC498" s="253">
        <v>312</v>
      </c>
      <c r="AD498" s="222" t="s">
        <v>3822</v>
      </c>
      <c r="AE498" s="253">
        <v>38850</v>
      </c>
      <c r="AF498" s="222" t="s">
        <v>1931</v>
      </c>
      <c r="AG498" s="226">
        <v>609124235</v>
      </c>
      <c r="AH498" s="240" t="s">
        <v>3823</v>
      </c>
      <c r="AI498" s="222" t="s">
        <v>1168</v>
      </c>
      <c r="AJ498" s="222"/>
      <c r="AK498" s="222"/>
      <c r="AL498" s="222"/>
      <c r="AM498" s="222"/>
      <c r="AN498" s="222"/>
      <c r="AO498" s="222"/>
      <c r="AP498" s="222" t="s">
        <v>845</v>
      </c>
      <c r="AQ498" s="222" t="s">
        <v>3053</v>
      </c>
      <c r="AR498" s="222" t="s">
        <v>3824</v>
      </c>
      <c r="AS498" s="234" t="s">
        <v>3742</v>
      </c>
      <c r="AT498" s="222" t="s">
        <v>906</v>
      </c>
      <c r="AU498" s="222"/>
      <c r="AV498" s="222" t="s">
        <v>188</v>
      </c>
      <c r="AW498" s="222">
        <v>45052</v>
      </c>
      <c r="AX498" s="225" t="s">
        <v>1880</v>
      </c>
      <c r="AY498" s="222" t="s">
        <v>1935</v>
      </c>
      <c r="AZ498" s="225" t="s">
        <v>1880</v>
      </c>
      <c r="BA498" s="225" t="s">
        <v>380</v>
      </c>
      <c r="BB498" s="222" t="s">
        <v>853</v>
      </c>
      <c r="BC498" s="222" t="s">
        <v>3825</v>
      </c>
      <c r="BD498" s="242">
        <v>15</v>
      </c>
      <c r="BE498" s="242">
        <v>7.3</v>
      </c>
      <c r="BF498" s="242">
        <v>91.9</v>
      </c>
      <c r="BG498" s="242">
        <v>5.4400000000000004E-3</v>
      </c>
      <c r="BH498" s="222" t="s">
        <v>1882</v>
      </c>
      <c r="BI498" s="222"/>
      <c r="BJ498" s="230">
        <f>SUM(3370+180+249+998+102+120)</f>
        <v>5019</v>
      </c>
      <c r="BK498" s="222"/>
      <c r="BL498" s="222"/>
      <c r="BM498" s="222"/>
      <c r="BN498" s="230">
        <v>730</v>
      </c>
      <c r="BO498" s="230">
        <f t="shared" si="59"/>
        <v>5749</v>
      </c>
      <c r="BP498" s="230">
        <f t="shared" si="62"/>
        <v>316.19499999999999</v>
      </c>
      <c r="BQ498" s="230">
        <f t="shared" si="63"/>
        <v>6065.1949999999997</v>
      </c>
      <c r="BR498" s="230">
        <v>6065.2</v>
      </c>
      <c r="BS498" s="222" t="s">
        <v>388</v>
      </c>
      <c r="BT498" s="222"/>
      <c r="BU498" s="222"/>
      <c r="BV498" s="231" t="s">
        <v>4045</v>
      </c>
      <c r="BW498" s="225" t="s">
        <v>968</v>
      </c>
      <c r="BX498" s="222" t="s">
        <v>618</v>
      </c>
      <c r="BY498" s="301">
        <v>2022</v>
      </c>
    </row>
    <row r="499" spans="1:77" s="33" customFormat="1" ht="13.5" customHeight="1">
      <c r="A499" s="64">
        <f t="shared" si="52"/>
        <v>2022</v>
      </c>
      <c r="B499" s="64">
        <f t="shared" si="53"/>
        <v>10</v>
      </c>
      <c r="C499" s="125" t="s">
        <v>191</v>
      </c>
      <c r="D499" s="168" t="str">
        <f t="shared" si="54"/>
        <v>non maj</v>
      </c>
      <c r="E499" s="222" t="s">
        <v>2987</v>
      </c>
      <c r="F499" s="222" t="s">
        <v>1788</v>
      </c>
      <c r="G499" s="221">
        <v>600</v>
      </c>
      <c r="H499" s="222">
        <v>44810</v>
      </c>
      <c r="I499" s="222">
        <v>44813</v>
      </c>
      <c r="J499" s="222">
        <v>44818</v>
      </c>
      <c r="K499" s="222" t="s">
        <v>3826</v>
      </c>
      <c r="L499" s="222">
        <v>44837</v>
      </c>
      <c r="M499" s="222">
        <v>44837</v>
      </c>
      <c r="N499" s="222">
        <v>44840</v>
      </c>
      <c r="O499" s="222"/>
      <c r="P499" s="222"/>
      <c r="Q499" s="222"/>
      <c r="R499" s="222"/>
      <c r="S499" s="222"/>
      <c r="T499" s="222"/>
      <c r="U499" s="222"/>
      <c r="V499" s="222"/>
      <c r="W499" s="222"/>
      <c r="X499" s="222"/>
      <c r="Y499" s="222"/>
      <c r="Z499" s="222"/>
      <c r="AA499" s="253">
        <v>2</v>
      </c>
      <c r="AB499" s="225">
        <v>37106</v>
      </c>
      <c r="AC499" s="253">
        <v>429</v>
      </c>
      <c r="AD499" s="222" t="s">
        <v>3827</v>
      </c>
      <c r="AE499" s="253">
        <v>38490</v>
      </c>
      <c r="AF499" s="222" t="s">
        <v>1018</v>
      </c>
      <c r="AG499" s="226">
        <v>610023393</v>
      </c>
      <c r="AH499" s="240" t="s">
        <v>3828</v>
      </c>
      <c r="AI499" s="222"/>
      <c r="AJ499" s="222"/>
      <c r="AK499" s="222"/>
      <c r="AL499" s="222"/>
      <c r="AM499" s="222"/>
      <c r="AN499" s="222"/>
      <c r="AO499" s="222"/>
      <c r="AP499" s="222" t="s">
        <v>845</v>
      </c>
      <c r="AQ499" s="222" t="s">
        <v>3053</v>
      </c>
      <c r="AR499" s="222" t="s">
        <v>3824</v>
      </c>
      <c r="AS499" s="234" t="s">
        <v>3829</v>
      </c>
      <c r="AT499" s="222" t="s">
        <v>906</v>
      </c>
      <c r="AU499" s="222"/>
      <c r="AV499" s="222" t="s">
        <v>188</v>
      </c>
      <c r="AW499" s="222">
        <v>45052</v>
      </c>
      <c r="AX499" s="225" t="s">
        <v>1879</v>
      </c>
      <c r="AY499" s="222" t="s">
        <v>1935</v>
      </c>
      <c r="AZ499" s="225" t="s">
        <v>1880</v>
      </c>
      <c r="BA499" s="225" t="s">
        <v>267</v>
      </c>
      <c r="BB499" s="222" t="s">
        <v>853</v>
      </c>
      <c r="BC499" s="222" t="s">
        <v>3830</v>
      </c>
      <c r="BD499" s="242">
        <v>15</v>
      </c>
      <c r="BE499" s="242">
        <v>7.9</v>
      </c>
      <c r="BF499" s="242">
        <v>91.4</v>
      </c>
      <c r="BG499" s="242">
        <v>4.5599999999999998E-3</v>
      </c>
      <c r="BH499" s="222" t="s">
        <v>1882</v>
      </c>
      <c r="BI499" s="222"/>
      <c r="BJ499" s="242">
        <f>SUM(3880+249+592+162+46)</f>
        <v>4929</v>
      </c>
      <c r="BK499" s="242"/>
      <c r="BL499" s="242"/>
      <c r="BM499" s="242"/>
      <c r="BN499" s="242">
        <v>365</v>
      </c>
      <c r="BO499" s="242">
        <f t="shared" si="59"/>
        <v>5294</v>
      </c>
      <c r="BP499" s="242">
        <f t="shared" si="62"/>
        <v>291.17</v>
      </c>
      <c r="BQ499" s="242">
        <f t="shared" si="63"/>
        <v>5585.17</v>
      </c>
      <c r="BR499" s="222"/>
      <c r="BS499" s="222" t="s">
        <v>388</v>
      </c>
      <c r="BT499" s="222"/>
      <c r="BU499" s="222"/>
      <c r="BV499" s="301" t="s">
        <v>4045</v>
      </c>
      <c r="BW499" s="225" t="s">
        <v>968</v>
      </c>
      <c r="BX499" s="301" t="s">
        <v>620</v>
      </c>
      <c r="BY499" s="301" t="s">
        <v>176</v>
      </c>
    </row>
    <row r="500" spans="1:77" s="33" customFormat="1" ht="13.5" customHeight="1">
      <c r="A500" s="64">
        <f t="shared" si="52"/>
        <v>2022</v>
      </c>
      <c r="B500" s="64">
        <f t="shared" si="53"/>
        <v>9</v>
      </c>
      <c r="C500" s="125" t="s">
        <v>191</v>
      </c>
      <c r="D500" s="168" t="str">
        <f t="shared" si="54"/>
        <v>non maj</v>
      </c>
      <c r="E500" s="264" t="s">
        <v>2987</v>
      </c>
      <c r="F500" s="264" t="s">
        <v>1789</v>
      </c>
      <c r="G500" s="221">
        <v>600</v>
      </c>
      <c r="H500" s="222">
        <v>44811</v>
      </c>
      <c r="I500" s="222">
        <v>44813</v>
      </c>
      <c r="J500" s="222">
        <v>44818</v>
      </c>
      <c r="K500" s="222" t="s">
        <v>3831</v>
      </c>
      <c r="L500" s="222">
        <v>44832</v>
      </c>
      <c r="M500" s="222">
        <v>44832</v>
      </c>
      <c r="N500" s="222">
        <v>44834</v>
      </c>
      <c r="O500" s="222"/>
      <c r="P500" s="222">
        <v>44893</v>
      </c>
      <c r="Q500" s="222">
        <v>44887</v>
      </c>
      <c r="R500" s="222" t="s">
        <v>176</v>
      </c>
      <c r="S500" s="222">
        <v>44915</v>
      </c>
      <c r="T500" s="222">
        <v>44915</v>
      </c>
      <c r="U500" s="222">
        <v>44932</v>
      </c>
      <c r="V500" s="222"/>
      <c r="W500" s="222"/>
      <c r="X500" s="222"/>
      <c r="Y500" s="222"/>
      <c r="Z500" s="222"/>
      <c r="AA500" s="253">
        <v>3</v>
      </c>
      <c r="AB500" s="225">
        <v>53953</v>
      </c>
      <c r="AC500" s="253">
        <v>284</v>
      </c>
      <c r="AD500" s="222" t="s">
        <v>3508</v>
      </c>
      <c r="AE500" s="253">
        <v>38960</v>
      </c>
      <c r="AF500" s="225" t="s">
        <v>2088</v>
      </c>
      <c r="AG500" s="226">
        <v>672159033</v>
      </c>
      <c r="AH500" s="240" t="s">
        <v>3832</v>
      </c>
      <c r="AI500" s="222"/>
      <c r="AJ500" s="222"/>
      <c r="AK500" s="222"/>
      <c r="AL500" s="222"/>
      <c r="AM500" s="222"/>
      <c r="AN500" s="222"/>
      <c r="AO500" s="222"/>
      <c r="AP500" s="222" t="s">
        <v>587</v>
      </c>
      <c r="AQ500" s="222" t="s">
        <v>225</v>
      </c>
      <c r="AR500" s="222" t="s">
        <v>3790</v>
      </c>
      <c r="AS500" s="285" t="s">
        <v>266</v>
      </c>
      <c r="AT500" s="222" t="s">
        <v>588</v>
      </c>
      <c r="AU500" s="222"/>
      <c r="AV500" s="222" t="s">
        <v>188</v>
      </c>
      <c r="AW500" s="222">
        <v>44822</v>
      </c>
      <c r="AX500" s="225" t="s">
        <v>1879</v>
      </c>
      <c r="AY500" s="222" t="s">
        <v>1935</v>
      </c>
      <c r="AZ500" s="225" t="s">
        <v>1880</v>
      </c>
      <c r="BA500" s="225" t="s">
        <v>380</v>
      </c>
      <c r="BB500" s="222" t="s">
        <v>676</v>
      </c>
      <c r="BC500" s="222" t="s">
        <v>3833</v>
      </c>
      <c r="BD500" s="242">
        <v>22</v>
      </c>
      <c r="BE500" s="242">
        <v>7</v>
      </c>
      <c r="BF500" s="242">
        <v>82</v>
      </c>
      <c r="BG500" s="242">
        <v>0.08</v>
      </c>
      <c r="BH500" s="222" t="s">
        <v>1882</v>
      </c>
      <c r="BI500" s="222"/>
      <c r="BJ500" s="242">
        <f>SUM(4261+170+3605+194)</f>
        <v>8230</v>
      </c>
      <c r="BK500" s="242"/>
      <c r="BL500" s="242"/>
      <c r="BM500" s="242"/>
      <c r="BN500" s="242">
        <f>SUM(530+330)</f>
        <v>860</v>
      </c>
      <c r="BO500" s="242">
        <f t="shared" si="59"/>
        <v>9090</v>
      </c>
      <c r="BP500" s="242">
        <f t="shared" si="62"/>
        <v>499.95</v>
      </c>
      <c r="BQ500" s="242">
        <f t="shared" si="63"/>
        <v>9589.9500000000007</v>
      </c>
      <c r="BR500" s="230">
        <v>9589.9599999999991</v>
      </c>
      <c r="BS500" s="222" t="s">
        <v>388</v>
      </c>
      <c r="BT500" s="222"/>
      <c r="BU500" s="222"/>
      <c r="BV500" s="301" t="s">
        <v>4045</v>
      </c>
      <c r="BW500" s="225" t="s">
        <v>968</v>
      </c>
      <c r="BX500" s="301" t="s">
        <v>620</v>
      </c>
      <c r="BY500" s="301">
        <v>2022</v>
      </c>
    </row>
    <row r="501" spans="1:77" s="33" customFormat="1" ht="13.5" customHeight="1">
      <c r="A501" s="64">
        <f t="shared" si="52"/>
        <v>2022</v>
      </c>
      <c r="B501" s="64">
        <f t="shared" si="53"/>
        <v>10</v>
      </c>
      <c r="C501" s="125" t="s">
        <v>191</v>
      </c>
      <c r="D501" s="168" t="str">
        <f t="shared" si="54"/>
        <v>maj</v>
      </c>
      <c r="E501" s="272" t="s">
        <v>3302</v>
      </c>
      <c r="F501" s="272" t="s">
        <v>1791</v>
      </c>
      <c r="G501" s="221">
        <v>1000</v>
      </c>
      <c r="H501" s="222">
        <v>44815</v>
      </c>
      <c r="I501" s="222">
        <v>44825</v>
      </c>
      <c r="J501" s="222">
        <v>44852</v>
      </c>
      <c r="K501" s="222" t="s">
        <v>3834</v>
      </c>
      <c r="L501" s="222">
        <v>44859</v>
      </c>
      <c r="M501" s="222">
        <v>44859</v>
      </c>
      <c r="N501" s="222">
        <v>44879</v>
      </c>
      <c r="O501" s="222"/>
      <c r="P501" s="222">
        <v>44925</v>
      </c>
      <c r="Q501" s="222">
        <v>44895</v>
      </c>
      <c r="R501" s="222" t="s">
        <v>176</v>
      </c>
      <c r="S501" s="222">
        <v>44932</v>
      </c>
      <c r="T501" s="222">
        <v>44932</v>
      </c>
      <c r="U501" s="222"/>
      <c r="V501" s="222"/>
      <c r="W501" s="222"/>
      <c r="X501" s="222"/>
      <c r="Y501" s="222"/>
      <c r="Z501" s="222"/>
      <c r="AA501" s="253">
        <v>4</v>
      </c>
      <c r="AB501" s="225">
        <v>38110</v>
      </c>
      <c r="AC501" s="253">
        <v>110</v>
      </c>
      <c r="AD501" s="222" t="s">
        <v>797</v>
      </c>
      <c r="AE501" s="253">
        <v>38500</v>
      </c>
      <c r="AF501" s="222" t="s">
        <v>225</v>
      </c>
      <c r="AG501" s="226">
        <v>676814213</v>
      </c>
      <c r="AH501" s="234" t="s">
        <v>3835</v>
      </c>
      <c r="AI501" s="222" t="s">
        <v>1168</v>
      </c>
      <c r="AJ501" s="222"/>
      <c r="AK501" s="222"/>
      <c r="AL501" s="222"/>
      <c r="AM501" s="222"/>
      <c r="AN501" s="222"/>
      <c r="AO501" s="222"/>
      <c r="AP501" s="222" t="s">
        <v>587</v>
      </c>
      <c r="AQ501" s="222" t="s">
        <v>225</v>
      </c>
      <c r="AR501" s="222" t="s">
        <v>3790</v>
      </c>
      <c r="AS501" s="285" t="s">
        <v>266</v>
      </c>
      <c r="AT501" s="222" t="s">
        <v>588</v>
      </c>
      <c r="AU501" s="222"/>
      <c r="AV501" s="222" t="s">
        <v>188</v>
      </c>
      <c r="AW501" s="222" t="s">
        <v>3836</v>
      </c>
      <c r="AX501" s="225" t="s">
        <v>4113</v>
      </c>
      <c r="AY501" s="222" t="s">
        <v>1935</v>
      </c>
      <c r="AZ501" s="225" t="s">
        <v>1880</v>
      </c>
      <c r="BA501" s="225" t="s">
        <v>267</v>
      </c>
      <c r="BB501" s="222" t="s">
        <v>433</v>
      </c>
      <c r="BC501" s="222" t="s">
        <v>855</v>
      </c>
      <c r="BD501" s="242">
        <v>15</v>
      </c>
      <c r="BE501" s="242">
        <v>7.4</v>
      </c>
      <c r="BF501" s="242">
        <v>92.5</v>
      </c>
      <c r="BG501" s="242">
        <v>153</v>
      </c>
      <c r="BH501" s="222" t="s">
        <v>3023</v>
      </c>
      <c r="BI501" s="222"/>
      <c r="BJ501" s="242">
        <f>490+1190+3608+89+55</f>
        <v>5432</v>
      </c>
      <c r="BK501" s="242"/>
      <c r="BL501" s="242"/>
      <c r="BM501" s="242"/>
      <c r="BN501" s="242">
        <v>72.260000000000005</v>
      </c>
      <c r="BO501" s="242">
        <f>BJ501+BN501</f>
        <v>5504.26</v>
      </c>
      <c r="BP501" s="230">
        <f t="shared" si="62"/>
        <v>302.73430000000002</v>
      </c>
      <c r="BQ501" s="230">
        <f t="shared" si="63"/>
        <v>5806.9943000000003</v>
      </c>
      <c r="BR501" s="230">
        <v>6039.1</v>
      </c>
      <c r="BS501" s="222" t="s">
        <v>388</v>
      </c>
      <c r="BT501" s="222"/>
      <c r="BU501" s="222"/>
      <c r="BV501" s="301" t="s">
        <v>4045</v>
      </c>
      <c r="BW501" s="225" t="s">
        <v>968</v>
      </c>
      <c r="BX501" s="222" t="s">
        <v>618</v>
      </c>
      <c r="BY501" s="301" t="s">
        <v>176</v>
      </c>
    </row>
    <row r="502" spans="1:77" s="33" customFormat="1" ht="13.5" customHeight="1">
      <c r="A502" s="64">
        <f t="shared" si="52"/>
        <v>2022</v>
      </c>
      <c r="B502" s="64">
        <f t="shared" si="53"/>
        <v>10</v>
      </c>
      <c r="C502" s="125" t="s">
        <v>191</v>
      </c>
      <c r="D502" s="168" t="str">
        <f t="shared" si="54"/>
        <v>maj</v>
      </c>
      <c r="E502" s="222" t="s">
        <v>3302</v>
      </c>
      <c r="F502" s="222" t="s">
        <v>1792</v>
      </c>
      <c r="G502" s="221">
        <v>1000</v>
      </c>
      <c r="H502" s="222">
        <v>44816</v>
      </c>
      <c r="I502" s="222">
        <v>44825</v>
      </c>
      <c r="J502" s="222" t="s">
        <v>176</v>
      </c>
      <c r="K502" s="222" t="s">
        <v>176</v>
      </c>
      <c r="L502" s="222">
        <v>44852</v>
      </c>
      <c r="M502" s="222">
        <v>44852</v>
      </c>
      <c r="N502" s="222">
        <v>44855</v>
      </c>
      <c r="O502" s="222"/>
      <c r="P502" s="222"/>
      <c r="Q502" s="222"/>
      <c r="R502" s="222"/>
      <c r="S502" s="222"/>
      <c r="T502" s="222"/>
      <c r="U502" s="222"/>
      <c r="V502" s="222"/>
      <c r="W502" s="222"/>
      <c r="X502" s="222"/>
      <c r="Y502" s="222"/>
      <c r="Z502" s="222"/>
      <c r="AA502" s="253">
        <v>4</v>
      </c>
      <c r="AB502" s="225">
        <v>38075</v>
      </c>
      <c r="AC502" s="253">
        <v>71</v>
      </c>
      <c r="AD502" s="222" t="s">
        <v>3837</v>
      </c>
      <c r="AE502" s="253">
        <v>38620</v>
      </c>
      <c r="AF502" s="225" t="s">
        <v>2382</v>
      </c>
      <c r="AG502" s="226">
        <v>609161179</v>
      </c>
      <c r="AH502" s="240" t="s">
        <v>3838</v>
      </c>
      <c r="AI502" s="222" t="s">
        <v>1168</v>
      </c>
      <c r="AJ502" s="222"/>
      <c r="AK502" s="222"/>
      <c r="AL502" s="222"/>
      <c r="AM502" s="222"/>
      <c r="AN502" s="222"/>
      <c r="AO502" s="222"/>
      <c r="AP502" s="222" t="s">
        <v>2762</v>
      </c>
      <c r="AQ502" s="222" t="s">
        <v>1018</v>
      </c>
      <c r="AR502" s="222" t="s">
        <v>3785</v>
      </c>
      <c r="AS502" s="234" t="s">
        <v>3071</v>
      </c>
      <c r="AT502" s="222" t="s">
        <v>1020</v>
      </c>
      <c r="AU502" s="222"/>
      <c r="AV502" s="222" t="s">
        <v>188</v>
      </c>
      <c r="AW502" s="222">
        <v>45096</v>
      </c>
      <c r="AX502" s="225" t="s">
        <v>4113</v>
      </c>
      <c r="AY502" s="222" t="s">
        <v>1967</v>
      </c>
      <c r="AZ502" s="225" t="s">
        <v>1880</v>
      </c>
      <c r="BA502" s="225" t="s">
        <v>380</v>
      </c>
      <c r="BB502" s="222" t="s">
        <v>3404</v>
      </c>
      <c r="BC502" s="222" t="s">
        <v>3839</v>
      </c>
      <c r="BD502" s="242">
        <v>29</v>
      </c>
      <c r="BE502" s="242" t="s">
        <v>3840</v>
      </c>
      <c r="BF502" s="242">
        <v>75</v>
      </c>
      <c r="BG502" s="242" t="s">
        <v>3841</v>
      </c>
      <c r="BH502" s="222" t="s">
        <v>1882</v>
      </c>
      <c r="BI502" s="222"/>
      <c r="BJ502" s="242">
        <f>4392+280+2449.2+295+567+211+167</f>
        <v>8361.2000000000007</v>
      </c>
      <c r="BK502" s="242"/>
      <c r="BL502" s="242"/>
      <c r="BM502" s="242"/>
      <c r="BN502" s="242">
        <v>750</v>
      </c>
      <c r="BO502" s="242">
        <f>BJ502+BN502-769.97</f>
        <v>8341.2300000000014</v>
      </c>
      <c r="BP502" s="230">
        <f t="shared" si="62"/>
        <v>458.76765000000006</v>
      </c>
      <c r="BQ502" s="230">
        <f t="shared" si="63"/>
        <v>8799.9976500000012</v>
      </c>
      <c r="BR502" s="222"/>
      <c r="BS502" s="222" t="s">
        <v>519</v>
      </c>
      <c r="BT502" s="222"/>
      <c r="BU502" s="222"/>
      <c r="BV502" s="301" t="s">
        <v>4045</v>
      </c>
      <c r="BW502" s="225" t="s">
        <v>968</v>
      </c>
      <c r="BX502" s="222" t="s">
        <v>618</v>
      </c>
      <c r="BY502" s="301">
        <v>2022</v>
      </c>
    </row>
    <row r="503" spans="1:77" s="33" customFormat="1" ht="13.5" customHeight="1">
      <c r="A503" s="64">
        <f t="shared" si="52"/>
        <v>1900</v>
      </c>
      <c r="B503" s="64">
        <f t="shared" si="53"/>
        <v>1</v>
      </c>
      <c r="C503" s="125" t="s">
        <v>191</v>
      </c>
      <c r="D503" s="168">
        <f t="shared" si="54"/>
        <v>0</v>
      </c>
      <c r="E503" s="222" t="s">
        <v>3302</v>
      </c>
      <c r="F503" s="222" t="s">
        <v>1793</v>
      </c>
      <c r="G503" s="221"/>
      <c r="H503" s="222">
        <v>44818</v>
      </c>
      <c r="I503" s="222">
        <v>44825</v>
      </c>
      <c r="J503" s="222">
        <v>44852</v>
      </c>
      <c r="K503" s="222" t="s">
        <v>3842</v>
      </c>
      <c r="L503" s="222"/>
      <c r="M503" s="222"/>
      <c r="N503" s="222"/>
      <c r="O503" s="222"/>
      <c r="P503" s="222"/>
      <c r="Q503" s="222"/>
      <c r="R503" s="222"/>
      <c r="S503" s="222"/>
      <c r="T503" s="222"/>
      <c r="U503" s="222"/>
      <c r="V503" s="222"/>
      <c r="W503" s="222"/>
      <c r="X503" s="222"/>
      <c r="Y503" s="222"/>
      <c r="Z503" s="222"/>
      <c r="AA503" s="253">
        <v>5</v>
      </c>
      <c r="AB503" s="225">
        <v>45647</v>
      </c>
      <c r="AC503" s="253">
        <v>455</v>
      </c>
      <c r="AD503" s="222" t="s">
        <v>3654</v>
      </c>
      <c r="AE503" s="253">
        <v>38500</v>
      </c>
      <c r="AF503" s="222" t="s">
        <v>1907</v>
      </c>
      <c r="AG503" s="226">
        <v>678091498</v>
      </c>
      <c r="AH503" s="240" t="s">
        <v>3843</v>
      </c>
      <c r="AI503" s="222" t="s">
        <v>1168</v>
      </c>
      <c r="AJ503" s="222"/>
      <c r="AK503" s="222"/>
      <c r="AL503" s="222"/>
      <c r="AM503" s="222"/>
      <c r="AN503" s="222"/>
      <c r="AO503" s="222"/>
      <c r="AP503" s="222" t="s">
        <v>1071</v>
      </c>
      <c r="AQ503" s="222" t="s">
        <v>232</v>
      </c>
      <c r="AR503" s="222" t="s">
        <v>3810</v>
      </c>
      <c r="AS503" s="234" t="s">
        <v>3811</v>
      </c>
      <c r="AT503" s="222" t="s">
        <v>3812</v>
      </c>
      <c r="AU503" s="222"/>
      <c r="AV503" s="222" t="s">
        <v>188</v>
      </c>
      <c r="AW503" s="222">
        <v>45102</v>
      </c>
      <c r="AX503" s="225" t="s">
        <v>4113</v>
      </c>
      <c r="AY503" s="242">
        <v>1973</v>
      </c>
      <c r="AZ503" s="225" t="s">
        <v>1880</v>
      </c>
      <c r="BA503" s="225" t="s">
        <v>380</v>
      </c>
      <c r="BB503" s="222"/>
      <c r="BC503" s="222"/>
      <c r="BD503" s="242"/>
      <c r="BE503" s="242"/>
      <c r="BF503" s="242"/>
      <c r="BG503" s="242"/>
      <c r="BH503" s="222"/>
      <c r="BI503" s="222"/>
      <c r="BJ503" s="242"/>
      <c r="BK503" s="242"/>
      <c r="BL503" s="242"/>
      <c r="BM503" s="242"/>
      <c r="BN503" s="242"/>
      <c r="BO503" s="242"/>
      <c r="BP503" s="230"/>
      <c r="BQ503" s="242"/>
      <c r="BR503" s="222"/>
      <c r="BS503" s="222"/>
      <c r="BT503" s="222"/>
      <c r="BU503" s="222"/>
      <c r="BV503" s="242"/>
      <c r="BW503" s="222"/>
      <c r="BX503" s="222"/>
      <c r="BY503" s="222"/>
    </row>
    <row r="504" spans="1:77" s="33" customFormat="1" ht="13.5" customHeight="1">
      <c r="A504" s="64">
        <f t="shared" si="52"/>
        <v>2022</v>
      </c>
      <c r="B504" s="64">
        <f t="shared" si="53"/>
        <v>10</v>
      </c>
      <c r="C504" s="125" t="s">
        <v>191</v>
      </c>
      <c r="D504" s="168" t="str">
        <f t="shared" si="54"/>
        <v>maj</v>
      </c>
      <c r="E504" s="264" t="s">
        <v>3302</v>
      </c>
      <c r="F504" s="264" t="s">
        <v>1795</v>
      </c>
      <c r="G504" s="221">
        <v>1000</v>
      </c>
      <c r="H504" s="222">
        <v>44818</v>
      </c>
      <c r="I504" s="222">
        <v>44825</v>
      </c>
      <c r="J504" s="222">
        <v>44852</v>
      </c>
      <c r="K504" s="222" t="s">
        <v>3844</v>
      </c>
      <c r="L504" s="222">
        <v>44853</v>
      </c>
      <c r="M504" s="222">
        <v>44853</v>
      </c>
      <c r="N504" s="222">
        <v>44855</v>
      </c>
      <c r="O504" s="222"/>
      <c r="P504" s="222">
        <v>44879</v>
      </c>
      <c r="Q504" s="222">
        <v>44868</v>
      </c>
      <c r="R504" s="222" t="s">
        <v>176</v>
      </c>
      <c r="S504" s="222">
        <v>44895</v>
      </c>
      <c r="T504" s="222">
        <v>44895</v>
      </c>
      <c r="U504" s="238">
        <v>44897</v>
      </c>
      <c r="V504" s="222"/>
      <c r="W504" s="222"/>
      <c r="X504" s="222"/>
      <c r="Y504" s="222"/>
      <c r="Z504" s="222"/>
      <c r="AA504" s="253">
        <v>1</v>
      </c>
      <c r="AB504" s="225">
        <v>17747</v>
      </c>
      <c r="AC504" s="253">
        <v>44</v>
      </c>
      <c r="AD504" s="222" t="s">
        <v>3845</v>
      </c>
      <c r="AE504" s="253">
        <v>38850</v>
      </c>
      <c r="AF504" s="222" t="s">
        <v>1931</v>
      </c>
      <c r="AG504" s="226">
        <v>671958230</v>
      </c>
      <c r="AH504" s="240" t="s">
        <v>3846</v>
      </c>
      <c r="AI504" s="222" t="s">
        <v>1168</v>
      </c>
      <c r="AJ504" s="222"/>
      <c r="AK504" s="222"/>
      <c r="AL504" s="222"/>
      <c r="AM504" s="222"/>
      <c r="AN504" s="222"/>
      <c r="AO504" s="222"/>
      <c r="AP504" s="222" t="s">
        <v>587</v>
      </c>
      <c r="AQ504" s="222" t="s">
        <v>225</v>
      </c>
      <c r="AR504" s="222" t="s">
        <v>3790</v>
      </c>
      <c r="AS504" s="285" t="s">
        <v>266</v>
      </c>
      <c r="AT504" s="222" t="s">
        <v>588</v>
      </c>
      <c r="AU504" s="222"/>
      <c r="AV504" s="222" t="s">
        <v>188</v>
      </c>
      <c r="AW504" s="222" t="s">
        <v>3836</v>
      </c>
      <c r="AX504" s="225" t="s">
        <v>4113</v>
      </c>
      <c r="AY504" s="242">
        <v>1980</v>
      </c>
      <c r="AZ504" s="225" t="s">
        <v>1880</v>
      </c>
      <c r="BA504" s="225" t="s">
        <v>380</v>
      </c>
      <c r="BB504" s="222" t="s">
        <v>280</v>
      </c>
      <c r="BC504" s="222" t="s">
        <v>3210</v>
      </c>
      <c r="BD504" s="242">
        <v>17</v>
      </c>
      <c r="BE504" s="242">
        <v>9</v>
      </c>
      <c r="BF504" s="242">
        <v>79.5</v>
      </c>
      <c r="BG504" s="242" t="s">
        <v>3847</v>
      </c>
      <c r="BH504" s="222" t="s">
        <v>1882</v>
      </c>
      <c r="BI504" s="222"/>
      <c r="BJ504" s="242">
        <f>690+605+490+275+89+3110+550</f>
        <v>5809</v>
      </c>
      <c r="BK504" s="242"/>
      <c r="BL504" s="242"/>
      <c r="BM504" s="242"/>
      <c r="BN504" s="242">
        <v>330</v>
      </c>
      <c r="BO504" s="242">
        <f t="shared" ref="BO504:BO509" si="64">BJ504+BN504</f>
        <v>6139</v>
      </c>
      <c r="BP504" s="230">
        <f t="shared" ref="BP504:BP511" si="65">BO504*0.055</f>
        <v>337.64499999999998</v>
      </c>
      <c r="BQ504" s="230">
        <f t="shared" ref="BQ504:BQ511" si="66">BO504+BP504</f>
        <v>6476.6450000000004</v>
      </c>
      <c r="BR504" s="242">
        <v>6476.66</v>
      </c>
      <c r="BS504" s="222" t="s">
        <v>388</v>
      </c>
      <c r="BT504" s="222"/>
      <c r="BU504" s="222"/>
      <c r="BV504" s="231" t="s">
        <v>4045</v>
      </c>
      <c r="BW504" s="225" t="s">
        <v>968</v>
      </c>
      <c r="BX504" s="222" t="s">
        <v>618</v>
      </c>
      <c r="BY504" s="301">
        <v>2022</v>
      </c>
    </row>
    <row r="505" spans="1:77" s="33" customFormat="1" ht="13.5" customHeight="1">
      <c r="A505" s="64">
        <f t="shared" si="52"/>
        <v>2022</v>
      </c>
      <c r="B505" s="64">
        <f t="shared" si="53"/>
        <v>11</v>
      </c>
      <c r="C505" s="125" t="s">
        <v>191</v>
      </c>
      <c r="D505" s="168" t="str">
        <f t="shared" si="54"/>
        <v>non maj</v>
      </c>
      <c r="E505" s="222" t="s">
        <v>3302</v>
      </c>
      <c r="F505" s="222" t="s">
        <v>1796</v>
      </c>
      <c r="G505" s="221">
        <v>600</v>
      </c>
      <c r="H505" s="222">
        <v>44818</v>
      </c>
      <c r="I505" s="222">
        <v>44825</v>
      </c>
      <c r="J505" s="222">
        <v>44852</v>
      </c>
      <c r="K505" s="222" t="s">
        <v>3848</v>
      </c>
      <c r="L505" s="222">
        <v>44867</v>
      </c>
      <c r="M505" s="222">
        <v>44867</v>
      </c>
      <c r="N505" s="222">
        <v>44879</v>
      </c>
      <c r="O505" s="222"/>
      <c r="P505" s="222"/>
      <c r="Q505" s="222"/>
      <c r="R505" s="222"/>
      <c r="S505" s="222"/>
      <c r="T505" s="222"/>
      <c r="U505" s="222"/>
      <c r="V505" s="222"/>
      <c r="W505" s="222"/>
      <c r="X505" s="222"/>
      <c r="Y505" s="222"/>
      <c r="Z505" s="222"/>
      <c r="AA505" s="253">
        <v>1</v>
      </c>
      <c r="AB505" s="225">
        <v>25075</v>
      </c>
      <c r="AC505" s="253">
        <v>215</v>
      </c>
      <c r="AD505" s="222" t="s">
        <v>3849</v>
      </c>
      <c r="AE505" s="253">
        <v>38134</v>
      </c>
      <c r="AF505" s="222" t="s">
        <v>2134</v>
      </c>
      <c r="AG505" s="226">
        <v>647932773</v>
      </c>
      <c r="AH505" s="240" t="s">
        <v>3850</v>
      </c>
      <c r="AI505" s="222" t="s">
        <v>1168</v>
      </c>
      <c r="AJ505" s="222"/>
      <c r="AK505" s="222"/>
      <c r="AL505" s="222"/>
      <c r="AM505" s="222"/>
      <c r="AN505" s="222"/>
      <c r="AO505" s="222"/>
      <c r="AP505" s="225" t="s">
        <v>768</v>
      </c>
      <c r="AQ505" s="225" t="s">
        <v>225</v>
      </c>
      <c r="AR505" s="225" t="s">
        <v>2895</v>
      </c>
      <c r="AS505" s="241" t="s">
        <v>281</v>
      </c>
      <c r="AT505" s="226">
        <v>685231565</v>
      </c>
      <c r="AU505" s="225" t="s">
        <v>176</v>
      </c>
      <c r="AV505" s="241" t="s">
        <v>188</v>
      </c>
      <c r="AW505" s="223">
        <v>45006</v>
      </c>
      <c r="AX505" s="225" t="s">
        <v>1880</v>
      </c>
      <c r="AY505" s="242">
        <v>2000</v>
      </c>
      <c r="AZ505" s="225" t="s">
        <v>1880</v>
      </c>
      <c r="BA505" s="225" t="s">
        <v>267</v>
      </c>
      <c r="BB505" s="222" t="s">
        <v>433</v>
      </c>
      <c r="BC505" s="222" t="s">
        <v>3851</v>
      </c>
      <c r="BD505" s="242">
        <v>14</v>
      </c>
      <c r="BE505" s="242">
        <v>15</v>
      </c>
      <c r="BF505" s="242">
        <v>95.9</v>
      </c>
      <c r="BG505" s="242">
        <v>92</v>
      </c>
      <c r="BH505" s="222" t="s">
        <v>3023</v>
      </c>
      <c r="BI505" s="222"/>
      <c r="BJ505" s="242">
        <f>5500+425+390+190</f>
        <v>6505</v>
      </c>
      <c r="BK505" s="242"/>
      <c r="BL505" s="242"/>
      <c r="BM505" s="242"/>
      <c r="BN505" s="242">
        <v>1450</v>
      </c>
      <c r="BO505" s="242">
        <f>BJ505+BN505</f>
        <v>7955</v>
      </c>
      <c r="BP505" s="230">
        <f>BO505*0.055</f>
        <v>437.52499999999998</v>
      </c>
      <c r="BQ505" s="230">
        <f>BO505+BP505</f>
        <v>8392.5249999999996</v>
      </c>
      <c r="BR505" s="222"/>
      <c r="BS505" s="222" t="s">
        <v>519</v>
      </c>
      <c r="BT505" s="222"/>
      <c r="BU505" s="222"/>
      <c r="BV505" s="301" t="s">
        <v>4045</v>
      </c>
      <c r="BW505" s="225" t="s">
        <v>968</v>
      </c>
      <c r="BX505" s="301" t="s">
        <v>620</v>
      </c>
      <c r="BY505" s="301" t="s">
        <v>176</v>
      </c>
    </row>
    <row r="506" spans="1:77" s="33" customFormat="1" ht="13.5" customHeight="1">
      <c r="A506" s="64">
        <f t="shared" si="52"/>
        <v>2022</v>
      </c>
      <c r="B506" s="64">
        <f t="shared" si="53"/>
        <v>10</v>
      </c>
      <c r="C506" s="125" t="s">
        <v>191</v>
      </c>
      <c r="D506" s="168" t="str">
        <f t="shared" si="54"/>
        <v>maj</v>
      </c>
      <c r="E506" s="222" t="s">
        <v>3302</v>
      </c>
      <c r="F506" s="222" t="s">
        <v>1797</v>
      </c>
      <c r="G506" s="221">
        <v>1000</v>
      </c>
      <c r="H506" s="222">
        <v>44820</v>
      </c>
      <c r="I506" s="222">
        <v>44825</v>
      </c>
      <c r="J506" s="222" t="s">
        <v>176</v>
      </c>
      <c r="K506" s="222" t="s">
        <v>176</v>
      </c>
      <c r="L506" s="222">
        <v>44852</v>
      </c>
      <c r="M506" s="222">
        <v>44852</v>
      </c>
      <c r="N506" s="222">
        <v>44855</v>
      </c>
      <c r="O506" s="222"/>
      <c r="P506" s="222"/>
      <c r="Q506" s="222"/>
      <c r="R506" s="222"/>
      <c r="S506" s="222"/>
      <c r="T506" s="222"/>
      <c r="U506" s="222"/>
      <c r="V506" s="222"/>
      <c r="W506" s="222"/>
      <c r="X506" s="222"/>
      <c r="Y506" s="222"/>
      <c r="Z506" s="222"/>
      <c r="AA506" s="253">
        <v>5</v>
      </c>
      <c r="AB506" s="225">
        <v>39448</v>
      </c>
      <c r="AC506" s="253">
        <v>8</v>
      </c>
      <c r="AD506" s="222" t="s">
        <v>3264</v>
      </c>
      <c r="AE506" s="253">
        <v>38210</v>
      </c>
      <c r="AF506" s="222" t="s">
        <v>265</v>
      </c>
      <c r="AG506" s="226">
        <v>683176639</v>
      </c>
      <c r="AH506" s="240" t="s">
        <v>3852</v>
      </c>
      <c r="AI506" s="222" t="s">
        <v>1168</v>
      </c>
      <c r="AJ506" s="222"/>
      <c r="AK506" s="222"/>
      <c r="AL506" s="222"/>
      <c r="AM506" s="222"/>
      <c r="AN506" s="222"/>
      <c r="AO506" s="222"/>
      <c r="AP506" s="222" t="s">
        <v>587</v>
      </c>
      <c r="AQ506" s="222" t="s">
        <v>225</v>
      </c>
      <c r="AR506" s="222" t="s">
        <v>3790</v>
      </c>
      <c r="AS506" s="285" t="s">
        <v>266</v>
      </c>
      <c r="AT506" s="222" t="s">
        <v>588</v>
      </c>
      <c r="AU506" s="222"/>
      <c r="AV506" s="222" t="s">
        <v>188</v>
      </c>
      <c r="AW506" s="222" t="s">
        <v>3836</v>
      </c>
      <c r="AX506" s="222" t="s">
        <v>1879</v>
      </c>
      <c r="AY506" s="242" t="s">
        <v>1935</v>
      </c>
      <c r="AZ506" s="225" t="s">
        <v>4113</v>
      </c>
      <c r="BA506" s="225" t="s">
        <v>380</v>
      </c>
      <c r="BB506" s="222" t="s">
        <v>280</v>
      </c>
      <c r="BC506" s="222" t="s">
        <v>3853</v>
      </c>
      <c r="BD506" s="242">
        <v>28</v>
      </c>
      <c r="BE506" s="242">
        <v>10</v>
      </c>
      <c r="BF506" s="242">
        <v>81</v>
      </c>
      <c r="BG506" s="242" t="s">
        <v>3854</v>
      </c>
      <c r="BH506" s="222" t="s">
        <v>1882</v>
      </c>
      <c r="BI506" s="222"/>
      <c r="BJ506" s="242">
        <f>790+1470+490+150+89+2750+990+290+590</f>
        <v>7609</v>
      </c>
      <c r="BK506" s="242"/>
      <c r="BL506" s="242"/>
      <c r="BM506" s="242"/>
      <c r="BN506" s="242">
        <v>840</v>
      </c>
      <c r="BO506" s="242">
        <f t="shared" si="64"/>
        <v>8449</v>
      </c>
      <c r="BP506" s="230">
        <f t="shared" si="65"/>
        <v>464.69499999999999</v>
      </c>
      <c r="BQ506" s="230">
        <f t="shared" si="66"/>
        <v>8913.6949999999997</v>
      </c>
      <c r="BR506" s="222"/>
      <c r="BS506" s="222" t="s">
        <v>188</v>
      </c>
      <c r="BT506" s="222"/>
      <c r="BU506" s="222"/>
      <c r="BV506" s="301" t="s">
        <v>4045</v>
      </c>
      <c r="BW506" s="225" t="s">
        <v>968</v>
      </c>
      <c r="BX506" s="222" t="s">
        <v>618</v>
      </c>
      <c r="BY506" s="301">
        <v>2022</v>
      </c>
    </row>
    <row r="507" spans="1:77" s="33" customFormat="1" ht="13.5" customHeight="1">
      <c r="A507" s="64">
        <f t="shared" si="52"/>
        <v>2022</v>
      </c>
      <c r="B507" s="64">
        <f t="shared" si="53"/>
        <v>10</v>
      </c>
      <c r="C507" s="125" t="s">
        <v>191</v>
      </c>
      <c r="D507" s="168" t="str">
        <f t="shared" si="54"/>
        <v>non maj</v>
      </c>
      <c r="E507" s="222" t="s">
        <v>3302</v>
      </c>
      <c r="F507" s="222" t="s">
        <v>1798</v>
      </c>
      <c r="G507" s="221">
        <v>600</v>
      </c>
      <c r="H507" s="222">
        <v>44823</v>
      </c>
      <c r="I507" s="222">
        <v>44825</v>
      </c>
      <c r="J507" s="222">
        <v>44852</v>
      </c>
      <c r="K507" s="222" t="s">
        <v>3855</v>
      </c>
      <c r="L507" s="222">
        <v>44859</v>
      </c>
      <c r="M507" s="222">
        <v>44859</v>
      </c>
      <c r="N507" s="222">
        <v>44879</v>
      </c>
      <c r="O507" s="222"/>
      <c r="P507" s="222"/>
      <c r="Q507" s="222"/>
      <c r="R507" s="222"/>
      <c r="S507" s="222"/>
      <c r="T507" s="222"/>
      <c r="U507" s="222"/>
      <c r="V507" s="222"/>
      <c r="W507" s="222"/>
      <c r="X507" s="222"/>
      <c r="Y507" s="222"/>
      <c r="Z507" s="222"/>
      <c r="AA507" s="253">
        <v>2</v>
      </c>
      <c r="AB507" s="225">
        <v>37573</v>
      </c>
      <c r="AC507" s="253">
        <v>275</v>
      </c>
      <c r="AD507" s="222" t="s">
        <v>3170</v>
      </c>
      <c r="AE507" s="253">
        <v>38850</v>
      </c>
      <c r="AF507" s="222" t="s">
        <v>2151</v>
      </c>
      <c r="AG507" s="226">
        <v>699797111</v>
      </c>
      <c r="AH507" s="240" t="s">
        <v>3856</v>
      </c>
      <c r="AI507" s="222" t="s">
        <v>1168</v>
      </c>
      <c r="AJ507" s="222"/>
      <c r="AK507" s="222"/>
      <c r="AL507" s="222"/>
      <c r="AM507" s="222"/>
      <c r="AN507" s="222"/>
      <c r="AO507" s="222"/>
      <c r="AP507" s="225" t="s">
        <v>1888</v>
      </c>
      <c r="AQ507" s="222" t="s">
        <v>225</v>
      </c>
      <c r="AR507" s="222" t="s">
        <v>1889</v>
      </c>
      <c r="AS507" s="234" t="s">
        <v>3297</v>
      </c>
      <c r="AT507" s="226" t="s">
        <v>600</v>
      </c>
      <c r="AU507" s="222"/>
      <c r="AV507" s="222" t="s">
        <v>188</v>
      </c>
      <c r="AW507" s="222">
        <v>44868</v>
      </c>
      <c r="AX507" s="225" t="s">
        <v>1880</v>
      </c>
      <c r="AY507" s="242">
        <v>1985</v>
      </c>
      <c r="AZ507" s="225" t="s">
        <v>1880</v>
      </c>
      <c r="BA507" s="225" t="s">
        <v>267</v>
      </c>
      <c r="BB507" s="222" t="s">
        <v>221</v>
      </c>
      <c r="BC507" s="222" t="s">
        <v>3857</v>
      </c>
      <c r="BD507" s="242">
        <v>14</v>
      </c>
      <c r="BE507" s="242" t="s">
        <v>3486</v>
      </c>
      <c r="BF507" s="242">
        <v>90.8</v>
      </c>
      <c r="BG507" s="242" t="s">
        <v>3858</v>
      </c>
      <c r="BH507" s="222" t="s">
        <v>1882</v>
      </c>
      <c r="BI507" s="222"/>
      <c r="BJ507" s="242">
        <f>3975+650+101+88+318.98+85+120+132+90+45+22</f>
        <v>5626.98</v>
      </c>
      <c r="BK507" s="242"/>
      <c r="BL507" s="242"/>
      <c r="BM507" s="242"/>
      <c r="BN507" s="242">
        <f>10+30+450</f>
        <v>490</v>
      </c>
      <c r="BO507" s="242">
        <f t="shared" si="64"/>
        <v>6116.98</v>
      </c>
      <c r="BP507" s="230">
        <f t="shared" si="65"/>
        <v>336.43389999999999</v>
      </c>
      <c r="BQ507" s="230">
        <f t="shared" si="66"/>
        <v>6453.4138999999996</v>
      </c>
      <c r="BR507" s="222"/>
      <c r="BS507" s="222" t="s">
        <v>519</v>
      </c>
      <c r="BT507" s="222"/>
      <c r="BU507" s="222"/>
      <c r="BV507" s="301" t="s">
        <v>4045</v>
      </c>
      <c r="BW507" s="225" t="s">
        <v>968</v>
      </c>
      <c r="BX507" s="301" t="s">
        <v>620</v>
      </c>
      <c r="BY507" s="301" t="s">
        <v>176</v>
      </c>
    </row>
    <row r="508" spans="1:77" s="33" customFormat="1" ht="13.5" customHeight="1">
      <c r="A508" s="64">
        <f t="shared" si="52"/>
        <v>2022</v>
      </c>
      <c r="B508" s="64">
        <f t="shared" si="53"/>
        <v>10</v>
      </c>
      <c r="C508" s="125" t="s">
        <v>191</v>
      </c>
      <c r="D508" s="168" t="str">
        <f t="shared" si="54"/>
        <v>non maj</v>
      </c>
      <c r="E508" s="222" t="s">
        <v>3302</v>
      </c>
      <c r="F508" s="222" t="s">
        <v>1800</v>
      </c>
      <c r="G508" s="221">
        <v>600</v>
      </c>
      <c r="H508" s="222">
        <v>44825</v>
      </c>
      <c r="I508" s="222">
        <v>44831</v>
      </c>
      <c r="J508" s="222">
        <v>44852</v>
      </c>
      <c r="K508" s="222" t="s">
        <v>3859</v>
      </c>
      <c r="L508" s="222">
        <v>44859</v>
      </c>
      <c r="M508" s="222">
        <v>44859</v>
      </c>
      <c r="N508" s="222">
        <v>44879</v>
      </c>
      <c r="O508" s="222"/>
      <c r="P508" s="222">
        <v>44952</v>
      </c>
      <c r="Q508" s="222">
        <v>44895</v>
      </c>
      <c r="R508" s="222" t="s">
        <v>176</v>
      </c>
      <c r="S508" s="222">
        <v>44974</v>
      </c>
      <c r="T508" s="222">
        <v>44974</v>
      </c>
      <c r="U508" s="222"/>
      <c r="V508" s="222"/>
      <c r="W508" s="222"/>
      <c r="X508" s="222"/>
      <c r="Y508" s="222"/>
      <c r="Z508" s="222"/>
      <c r="AA508" s="253">
        <v>3</v>
      </c>
      <c r="AB508" s="225">
        <v>62310</v>
      </c>
      <c r="AC508" s="253">
        <v>5</v>
      </c>
      <c r="AD508" s="222" t="s">
        <v>3860</v>
      </c>
      <c r="AE508" s="253">
        <v>38500</v>
      </c>
      <c r="AF508" s="225" t="s">
        <v>2297</v>
      </c>
      <c r="AG508" s="226">
        <v>608306833</v>
      </c>
      <c r="AH508" s="234" t="s">
        <v>3861</v>
      </c>
      <c r="AI508" s="222" t="s">
        <v>1168</v>
      </c>
      <c r="AJ508" s="222"/>
      <c r="AK508" s="222"/>
      <c r="AL508" s="222"/>
      <c r="AM508" s="222"/>
      <c r="AN508" s="222"/>
      <c r="AO508" s="222"/>
      <c r="AP508" s="222" t="s">
        <v>818</v>
      </c>
      <c r="AQ508" s="222" t="s">
        <v>225</v>
      </c>
      <c r="AR508" s="222" t="s">
        <v>3804</v>
      </c>
      <c r="AS508" s="234" t="s">
        <v>226</v>
      </c>
      <c r="AT508" s="222" t="s">
        <v>3805</v>
      </c>
      <c r="AU508" s="222"/>
      <c r="AV508" s="222" t="s">
        <v>188</v>
      </c>
      <c r="AW508" s="222">
        <v>45159</v>
      </c>
      <c r="AX508" s="225" t="s">
        <v>1879</v>
      </c>
      <c r="AY508" s="242">
        <v>1981</v>
      </c>
      <c r="AZ508" s="225" t="s">
        <v>1880</v>
      </c>
      <c r="BA508" s="225" t="s">
        <v>380</v>
      </c>
      <c r="BB508" s="222" t="s">
        <v>3862</v>
      </c>
      <c r="BC508" s="222" t="s">
        <v>3863</v>
      </c>
      <c r="BD508" s="242">
        <v>22</v>
      </c>
      <c r="BE508" s="242" t="s">
        <v>3864</v>
      </c>
      <c r="BF508" s="242">
        <v>78</v>
      </c>
      <c r="BG508" s="242" t="s">
        <v>3865</v>
      </c>
      <c r="BH508" s="222" t="s">
        <v>1882</v>
      </c>
      <c r="BI508" s="222"/>
      <c r="BJ508" s="242">
        <f>160+2587+48*16+2390+120+65+49+51+35+32+65+35</f>
        <v>6357</v>
      </c>
      <c r="BK508" s="242"/>
      <c r="BL508" s="242"/>
      <c r="BM508" s="242"/>
      <c r="BN508" s="242">
        <f>40+360</f>
        <v>400</v>
      </c>
      <c r="BO508" s="242">
        <f t="shared" si="64"/>
        <v>6757</v>
      </c>
      <c r="BP508" s="230">
        <f t="shared" si="65"/>
        <v>371.63499999999999</v>
      </c>
      <c r="BQ508" s="230">
        <f t="shared" si="66"/>
        <v>7128.6350000000002</v>
      </c>
      <c r="BR508" s="230">
        <v>3420.31</v>
      </c>
      <c r="BS508" s="222" t="s">
        <v>519</v>
      </c>
      <c r="BT508" s="222"/>
      <c r="BU508" s="222"/>
      <c r="BV508" s="301" t="s">
        <v>4045</v>
      </c>
      <c r="BW508" s="225" t="s">
        <v>968</v>
      </c>
      <c r="BX508" s="301" t="s">
        <v>620</v>
      </c>
      <c r="BY508" s="301">
        <v>2022</v>
      </c>
    </row>
    <row r="509" spans="1:77" s="33" customFormat="1" ht="13.5" customHeight="1">
      <c r="A509" s="64">
        <f t="shared" si="52"/>
        <v>2022</v>
      </c>
      <c r="B509" s="64">
        <f t="shared" si="53"/>
        <v>11</v>
      </c>
      <c r="C509" s="125" t="s">
        <v>191</v>
      </c>
      <c r="D509" s="168" t="str">
        <f t="shared" si="54"/>
        <v>non maj</v>
      </c>
      <c r="E509" s="222" t="s">
        <v>3302</v>
      </c>
      <c r="F509" s="222" t="s">
        <v>1801</v>
      </c>
      <c r="G509" s="221">
        <v>600</v>
      </c>
      <c r="H509" s="222">
        <v>44826</v>
      </c>
      <c r="I509" s="222">
        <v>44831</v>
      </c>
      <c r="J509" s="222">
        <v>44852</v>
      </c>
      <c r="K509" s="222" t="s">
        <v>3866</v>
      </c>
      <c r="L509" s="222">
        <v>44879</v>
      </c>
      <c r="M509" s="222">
        <v>44879</v>
      </c>
      <c r="N509" s="222">
        <v>44886</v>
      </c>
      <c r="O509" s="222"/>
      <c r="P509" s="222">
        <v>44931</v>
      </c>
      <c r="Q509" s="222">
        <v>44908</v>
      </c>
      <c r="R509" s="222" t="s">
        <v>176</v>
      </c>
      <c r="S509" s="222">
        <v>44956</v>
      </c>
      <c r="T509" s="222">
        <v>44956</v>
      </c>
      <c r="U509" s="222"/>
      <c r="V509" s="222"/>
      <c r="W509" s="222"/>
      <c r="X509" s="222"/>
      <c r="Y509" s="222"/>
      <c r="Z509" s="222"/>
      <c r="AA509" s="253">
        <v>2</v>
      </c>
      <c r="AB509" s="225">
        <v>35945</v>
      </c>
      <c r="AC509" s="253">
        <v>230</v>
      </c>
      <c r="AD509" s="222" t="s">
        <v>3496</v>
      </c>
      <c r="AE509" s="253">
        <v>38140</v>
      </c>
      <c r="AF509" s="222" t="s">
        <v>1971</v>
      </c>
      <c r="AG509" s="226">
        <v>625531084</v>
      </c>
      <c r="AH509" s="240" t="s">
        <v>3867</v>
      </c>
      <c r="AI509" s="222" t="s">
        <v>1168</v>
      </c>
      <c r="AJ509" s="222"/>
      <c r="AK509" s="222"/>
      <c r="AL509" s="222"/>
      <c r="AM509" s="222"/>
      <c r="AN509" s="222"/>
      <c r="AO509" s="222"/>
      <c r="AP509" s="222" t="s">
        <v>587</v>
      </c>
      <c r="AQ509" s="222" t="s">
        <v>225</v>
      </c>
      <c r="AR509" s="222" t="s">
        <v>3790</v>
      </c>
      <c r="AS509" s="285" t="s">
        <v>266</v>
      </c>
      <c r="AT509" s="222" t="s">
        <v>588</v>
      </c>
      <c r="AU509" s="222"/>
      <c r="AV509" s="222" t="s">
        <v>188</v>
      </c>
      <c r="AW509" s="222" t="s">
        <v>3836</v>
      </c>
      <c r="AX509" s="225" t="s">
        <v>4113</v>
      </c>
      <c r="AY509" s="242">
        <v>1992</v>
      </c>
      <c r="AZ509" s="225" t="s">
        <v>4113</v>
      </c>
      <c r="BA509" s="225" t="s">
        <v>380</v>
      </c>
      <c r="BB509" s="222" t="s">
        <v>2105</v>
      </c>
      <c r="BC509" s="222" t="s">
        <v>3868</v>
      </c>
      <c r="BD509" s="242">
        <v>24</v>
      </c>
      <c r="BE509" s="242" t="s">
        <v>3869</v>
      </c>
      <c r="BF509" s="242" t="s">
        <v>3870</v>
      </c>
      <c r="BG509" s="242" t="s">
        <v>3871</v>
      </c>
      <c r="BH509" s="222" t="s">
        <v>1882</v>
      </c>
      <c r="BI509" s="222"/>
      <c r="BJ509" s="242">
        <f>690+5688+990+290+759+490+430+158+250+590</f>
        <v>10335</v>
      </c>
      <c r="BK509" s="242"/>
      <c r="BL509" s="242"/>
      <c r="BM509" s="242"/>
      <c r="BN509" s="242">
        <v>840</v>
      </c>
      <c r="BO509" s="242">
        <f t="shared" si="64"/>
        <v>11175</v>
      </c>
      <c r="BP509" s="230">
        <f t="shared" si="65"/>
        <v>614.625</v>
      </c>
      <c r="BQ509" s="230">
        <f t="shared" si="66"/>
        <v>11789.625</v>
      </c>
      <c r="BR509" s="222">
        <v>11818.12</v>
      </c>
      <c r="BS509" s="222" t="s">
        <v>188</v>
      </c>
      <c r="BT509" s="222"/>
      <c r="BU509" s="222"/>
      <c r="BV509" s="301" t="s">
        <v>4045</v>
      </c>
      <c r="BW509" s="225" t="s">
        <v>968</v>
      </c>
      <c r="BX509" s="301" t="s">
        <v>620</v>
      </c>
      <c r="BY509" s="242">
        <v>2022</v>
      </c>
    </row>
    <row r="510" spans="1:77" s="33" customFormat="1" ht="13.5" customHeight="1">
      <c r="A510" s="64">
        <f t="shared" si="52"/>
        <v>2022</v>
      </c>
      <c r="B510" s="64">
        <f t="shared" si="53"/>
        <v>10</v>
      </c>
      <c r="C510" s="125" t="s">
        <v>191</v>
      </c>
      <c r="D510" s="168" t="str">
        <f t="shared" si="54"/>
        <v>non maj</v>
      </c>
      <c r="E510" s="222" t="s">
        <v>3302</v>
      </c>
      <c r="F510" s="222" t="s">
        <v>1802</v>
      </c>
      <c r="G510" s="221">
        <v>600</v>
      </c>
      <c r="H510" s="222">
        <v>44826</v>
      </c>
      <c r="I510" s="222">
        <v>44831</v>
      </c>
      <c r="J510" s="222" t="s">
        <v>176</v>
      </c>
      <c r="K510" s="222" t="s">
        <v>176</v>
      </c>
      <c r="L510" s="222">
        <v>44852</v>
      </c>
      <c r="M510" s="222">
        <v>44852</v>
      </c>
      <c r="N510" s="222">
        <v>44855</v>
      </c>
      <c r="O510" s="222"/>
      <c r="P510" s="222"/>
      <c r="Q510" s="222"/>
      <c r="R510" s="222"/>
      <c r="S510" s="222"/>
      <c r="T510" s="222"/>
      <c r="U510" s="222"/>
      <c r="V510" s="222"/>
      <c r="W510" s="222"/>
      <c r="X510" s="222"/>
      <c r="Y510" s="222"/>
      <c r="Z510" s="222"/>
      <c r="AA510" s="253">
        <v>1</v>
      </c>
      <c r="AB510" s="225">
        <v>38674</v>
      </c>
      <c r="AC510" s="253">
        <v>62</v>
      </c>
      <c r="AD510" s="222" t="s">
        <v>3596</v>
      </c>
      <c r="AE510" s="253">
        <v>38850</v>
      </c>
      <c r="AF510" s="222" t="s">
        <v>1931</v>
      </c>
      <c r="AG510" s="226">
        <v>645109066</v>
      </c>
      <c r="AH510" s="240" t="s">
        <v>3872</v>
      </c>
      <c r="AI510" s="222" t="s">
        <v>1168</v>
      </c>
      <c r="AJ510" s="222"/>
      <c r="AK510" s="222"/>
      <c r="AL510" s="222"/>
      <c r="AM510" s="222"/>
      <c r="AN510" s="222"/>
      <c r="AO510" s="222"/>
      <c r="AP510" s="222" t="s">
        <v>263</v>
      </c>
      <c r="AQ510" s="239" t="s">
        <v>1910</v>
      </c>
      <c r="AR510" s="225" t="s">
        <v>2568</v>
      </c>
      <c r="AS510" s="253" t="s">
        <v>595</v>
      </c>
      <c r="AT510" s="226" t="s">
        <v>574</v>
      </c>
      <c r="AU510" s="225" t="s">
        <v>176</v>
      </c>
      <c r="AV510" s="226" t="s">
        <v>188</v>
      </c>
      <c r="AW510" s="223">
        <v>45033</v>
      </c>
      <c r="AX510" s="225" t="s">
        <v>4113</v>
      </c>
      <c r="AY510" s="242">
        <v>2001</v>
      </c>
      <c r="AZ510" s="225" t="s">
        <v>1880</v>
      </c>
      <c r="BA510" s="225" t="s">
        <v>380</v>
      </c>
      <c r="BB510" s="222" t="s">
        <v>277</v>
      </c>
      <c r="BC510" s="222" t="s">
        <v>3873</v>
      </c>
      <c r="BD510" s="242">
        <v>14</v>
      </c>
      <c r="BE510" s="242" t="s">
        <v>3874</v>
      </c>
      <c r="BF510" s="242">
        <v>80</v>
      </c>
      <c r="BG510" s="242" t="s">
        <v>3875</v>
      </c>
      <c r="BH510" s="222" t="s">
        <v>1882</v>
      </c>
      <c r="BI510" s="222"/>
      <c r="BJ510" s="242">
        <f>4764.93+59+381+260+278+921</f>
        <v>6663.93</v>
      </c>
      <c r="BK510" s="242"/>
      <c r="BL510" s="242"/>
      <c r="BM510" s="242"/>
      <c r="BN510" s="242">
        <v>1198</v>
      </c>
      <c r="BO510" s="242">
        <f>BJ510+BN510-316.91</f>
        <v>7545.02</v>
      </c>
      <c r="BP510" s="230">
        <f t="shared" si="65"/>
        <v>414.97610000000003</v>
      </c>
      <c r="BQ510" s="230">
        <f t="shared" si="66"/>
        <v>7959.9961000000003</v>
      </c>
      <c r="BR510" s="222"/>
      <c r="BS510" s="222" t="s">
        <v>188</v>
      </c>
      <c r="BT510" s="222"/>
      <c r="BU510" s="222"/>
      <c r="BV510" s="301" t="s">
        <v>4045</v>
      </c>
      <c r="BW510" s="225" t="s">
        <v>968</v>
      </c>
      <c r="BX510" s="301" t="s">
        <v>620</v>
      </c>
      <c r="BY510" s="301">
        <v>2022</v>
      </c>
    </row>
    <row r="511" spans="1:77" s="33" customFormat="1" ht="13.5" customHeight="1">
      <c r="A511" s="64">
        <f t="shared" si="52"/>
        <v>2022</v>
      </c>
      <c r="B511" s="64">
        <f t="shared" si="53"/>
        <v>10</v>
      </c>
      <c r="C511" s="125" t="s">
        <v>191</v>
      </c>
      <c r="D511" s="168" t="str">
        <f t="shared" si="54"/>
        <v>non maj</v>
      </c>
      <c r="E511" s="222" t="s">
        <v>3302</v>
      </c>
      <c r="F511" s="222" t="s">
        <v>1803</v>
      </c>
      <c r="G511" s="221">
        <v>600</v>
      </c>
      <c r="H511" s="222">
        <v>44826</v>
      </c>
      <c r="I511" s="222">
        <v>44831</v>
      </c>
      <c r="J511" s="222" t="s">
        <v>176</v>
      </c>
      <c r="K511" s="222" t="s">
        <v>176</v>
      </c>
      <c r="L511" s="222">
        <v>44852</v>
      </c>
      <c r="M511" s="222">
        <v>44852</v>
      </c>
      <c r="N511" s="222">
        <v>44873</v>
      </c>
      <c r="O511" s="222"/>
      <c r="P511" s="222">
        <v>44963</v>
      </c>
      <c r="Q511" s="222">
        <v>44914</v>
      </c>
      <c r="R511" s="222" t="s">
        <v>176</v>
      </c>
      <c r="S511" s="222">
        <v>44974</v>
      </c>
      <c r="T511" s="222">
        <v>44974</v>
      </c>
      <c r="U511" s="222"/>
      <c r="V511" s="222"/>
      <c r="W511" s="222"/>
      <c r="X511" s="222"/>
      <c r="Y511" s="222"/>
      <c r="Z511" s="222"/>
      <c r="AA511" s="253">
        <v>3</v>
      </c>
      <c r="AB511" s="225">
        <v>87395</v>
      </c>
      <c r="AC511" s="253">
        <v>106</v>
      </c>
      <c r="AD511" s="222" t="s">
        <v>985</v>
      </c>
      <c r="AE511" s="253">
        <v>38340</v>
      </c>
      <c r="AF511" s="222" t="s">
        <v>232</v>
      </c>
      <c r="AG511" s="226">
        <v>784520334</v>
      </c>
      <c r="AH511" s="240" t="s">
        <v>3876</v>
      </c>
      <c r="AI511" s="222" t="s">
        <v>1168</v>
      </c>
      <c r="AJ511" s="222"/>
      <c r="AK511" s="222"/>
      <c r="AL511" s="222"/>
      <c r="AM511" s="222"/>
      <c r="AN511" s="222"/>
      <c r="AO511" s="222"/>
      <c r="AP511" s="222" t="s">
        <v>579</v>
      </c>
      <c r="AQ511" s="222" t="s">
        <v>1895</v>
      </c>
      <c r="AR511" s="222" t="s">
        <v>3794</v>
      </c>
      <c r="AS511" s="234" t="s">
        <v>201</v>
      </c>
      <c r="AT511" s="222" t="s">
        <v>580</v>
      </c>
      <c r="AU511" s="222" t="s">
        <v>3795</v>
      </c>
      <c r="AV511" s="222" t="s">
        <v>188</v>
      </c>
      <c r="AW511" s="222">
        <v>45147</v>
      </c>
      <c r="AX511" s="225" t="s">
        <v>1880</v>
      </c>
      <c r="AY511" s="242" t="s">
        <v>1912</v>
      </c>
      <c r="AZ511" s="225" t="s">
        <v>1880</v>
      </c>
      <c r="BA511" s="225" t="s">
        <v>380</v>
      </c>
      <c r="BB511" s="222" t="s">
        <v>420</v>
      </c>
      <c r="BC511" s="222" t="s">
        <v>3877</v>
      </c>
      <c r="BD511" s="242">
        <v>28</v>
      </c>
      <c r="BE511" s="242" t="s">
        <v>3878</v>
      </c>
      <c r="BF511" s="242">
        <v>80</v>
      </c>
      <c r="BG511" s="242" t="s">
        <v>3487</v>
      </c>
      <c r="BH511" s="222" t="s">
        <v>1882</v>
      </c>
      <c r="BI511" s="222"/>
      <c r="BJ511" s="230">
        <f>(3703+210+762+30)/1.055</f>
        <v>4459.7156398104271</v>
      </c>
      <c r="BK511" s="242"/>
      <c r="BL511" s="242"/>
      <c r="BM511" s="242"/>
      <c r="BN511" s="230">
        <f>750/1.055</f>
        <v>710.90047393364932</v>
      </c>
      <c r="BO511" s="230">
        <f>BJ511+BN511</f>
        <v>5170.6161137440768</v>
      </c>
      <c r="BP511" s="230">
        <f t="shared" si="65"/>
        <v>284.38388625592421</v>
      </c>
      <c r="BQ511" s="230">
        <f t="shared" si="66"/>
        <v>5455.0000000000009</v>
      </c>
      <c r="BR511" s="230">
        <v>5455</v>
      </c>
      <c r="BS511" s="222" t="s">
        <v>519</v>
      </c>
      <c r="BT511" s="222"/>
      <c r="BU511" s="222"/>
      <c r="BV511" s="301" t="s">
        <v>4045</v>
      </c>
      <c r="BW511" s="225" t="s">
        <v>968</v>
      </c>
      <c r="BX511" s="301" t="s">
        <v>620</v>
      </c>
      <c r="BY511" s="301">
        <v>2022</v>
      </c>
    </row>
    <row r="512" spans="1:77" s="33" customFormat="1" ht="13.5" customHeight="1">
      <c r="A512" s="64">
        <f t="shared" si="52"/>
        <v>1900</v>
      </c>
      <c r="B512" s="64">
        <f t="shared" si="53"/>
        <v>1</v>
      </c>
      <c r="C512" s="125" t="s">
        <v>191</v>
      </c>
      <c r="D512" s="168" t="str">
        <f t="shared" si="54"/>
        <v>non maj</v>
      </c>
      <c r="E512" s="222" t="s">
        <v>3879</v>
      </c>
      <c r="F512" s="222" t="s">
        <v>1804</v>
      </c>
      <c r="G512" s="221">
        <v>600</v>
      </c>
      <c r="H512" s="222">
        <v>44826</v>
      </c>
      <c r="I512" s="222">
        <v>44831</v>
      </c>
      <c r="J512" s="222">
        <v>44858</v>
      </c>
      <c r="K512" s="222" t="s">
        <v>3880</v>
      </c>
      <c r="L512" s="222"/>
      <c r="M512" s="222"/>
      <c r="N512" s="222"/>
      <c r="O512" s="222"/>
      <c r="P512" s="222"/>
      <c r="Q512" s="222"/>
      <c r="R512" s="222"/>
      <c r="S512" s="222"/>
      <c r="T512" s="222"/>
      <c r="U512" s="222"/>
      <c r="V512" s="222"/>
      <c r="W512" s="222"/>
      <c r="X512" s="222"/>
      <c r="Y512" s="222"/>
      <c r="Z512" s="222"/>
      <c r="AA512" s="253">
        <v>2</v>
      </c>
      <c r="AB512" s="225">
        <v>28893</v>
      </c>
      <c r="AC512" s="253">
        <v>185</v>
      </c>
      <c r="AD512" s="222" t="s">
        <v>703</v>
      </c>
      <c r="AE512" s="253">
        <v>38140</v>
      </c>
      <c r="AF512" s="225" t="s">
        <v>2216</v>
      </c>
      <c r="AG512" s="226">
        <v>632850794</v>
      </c>
      <c r="AH512" s="240" t="s">
        <v>3881</v>
      </c>
      <c r="AI512" s="222" t="s">
        <v>1168</v>
      </c>
      <c r="AJ512" s="222"/>
      <c r="AK512" s="222"/>
      <c r="AL512" s="222"/>
      <c r="AM512" s="222"/>
      <c r="AN512" s="222"/>
      <c r="AO512" s="222"/>
      <c r="AP512" s="225" t="s">
        <v>1888</v>
      </c>
      <c r="AQ512" s="222" t="s">
        <v>225</v>
      </c>
      <c r="AR512" s="222" t="s">
        <v>1889</v>
      </c>
      <c r="AS512" s="234" t="s">
        <v>3297</v>
      </c>
      <c r="AT512" s="226" t="s">
        <v>600</v>
      </c>
      <c r="AU512" s="222"/>
      <c r="AV512" s="222" t="s">
        <v>188</v>
      </c>
      <c r="AW512" s="222">
        <v>44868</v>
      </c>
      <c r="AX512" s="225" t="s">
        <v>4113</v>
      </c>
      <c r="AY512" s="242" t="s">
        <v>3882</v>
      </c>
      <c r="AZ512" s="225" t="s">
        <v>1880</v>
      </c>
      <c r="BA512" s="225" t="s">
        <v>267</v>
      </c>
      <c r="BB512" s="222" t="s">
        <v>221</v>
      </c>
      <c r="BC512" s="222" t="s">
        <v>896</v>
      </c>
      <c r="BD512" s="242">
        <v>17</v>
      </c>
      <c r="BE512" s="242">
        <v>8</v>
      </c>
      <c r="BF512" s="242">
        <v>90.4</v>
      </c>
      <c r="BG512" s="242">
        <v>38</v>
      </c>
      <c r="BH512" s="222" t="s">
        <v>1882</v>
      </c>
      <c r="BI512" s="222"/>
      <c r="BJ512" s="242">
        <f>3492+318.02+109.9+164.32+149.57+99.6+116.63+79.4+139.56+204+85+20</f>
        <v>4978.0000000000009</v>
      </c>
      <c r="BK512" s="242"/>
      <c r="BL512" s="242"/>
      <c r="BM512" s="242"/>
      <c r="BN512" s="242">
        <f>30+490</f>
        <v>520</v>
      </c>
      <c r="BO512" s="230">
        <f>BJ512+BN512</f>
        <v>5498.0000000000009</v>
      </c>
      <c r="BP512" s="230">
        <f>BO512*0.055</f>
        <v>302.39000000000004</v>
      </c>
      <c r="BQ512" s="242">
        <f>BO512+BP512</f>
        <v>5800.3900000000012</v>
      </c>
      <c r="BR512" s="222"/>
      <c r="BS512" s="222" t="s">
        <v>188</v>
      </c>
      <c r="BT512" s="222"/>
      <c r="BU512" s="222"/>
      <c r="BV512" s="242"/>
      <c r="BW512" s="222"/>
      <c r="BX512" s="301" t="s">
        <v>620</v>
      </c>
      <c r="BY512" s="222"/>
    </row>
    <row r="513" spans="1:77" s="33" customFormat="1" ht="13.5" customHeight="1">
      <c r="A513" s="64">
        <f t="shared" si="52"/>
        <v>2022</v>
      </c>
      <c r="B513" s="64">
        <f t="shared" si="53"/>
        <v>11</v>
      </c>
      <c r="C513" s="125" t="s">
        <v>191</v>
      </c>
      <c r="D513" s="168" t="str">
        <f t="shared" si="54"/>
        <v>maj</v>
      </c>
      <c r="E513" s="222" t="s">
        <v>3302</v>
      </c>
      <c r="F513" s="222" t="s">
        <v>1805</v>
      </c>
      <c r="G513" s="221">
        <v>1000</v>
      </c>
      <c r="H513" s="222">
        <v>44826</v>
      </c>
      <c r="I513" s="222">
        <v>44831</v>
      </c>
      <c r="J513" s="222">
        <v>44861</v>
      </c>
      <c r="K513" s="222" t="s">
        <v>3883</v>
      </c>
      <c r="L513" s="222">
        <v>44867</v>
      </c>
      <c r="M513" s="222">
        <v>44867</v>
      </c>
      <c r="N513" s="222">
        <v>44879</v>
      </c>
      <c r="O513" s="222"/>
      <c r="P513" s="222">
        <v>44963</v>
      </c>
      <c r="Q513" s="222">
        <v>44957</v>
      </c>
      <c r="R513" s="222" t="s">
        <v>176</v>
      </c>
      <c r="S513" s="222">
        <v>44974</v>
      </c>
      <c r="T513" s="222">
        <v>44974</v>
      </c>
      <c r="U513" s="222"/>
      <c r="V513" s="222"/>
      <c r="W513" s="222"/>
      <c r="X513" s="222"/>
      <c r="Y513" s="222"/>
      <c r="Z513" s="222"/>
      <c r="AA513" s="253">
        <v>3</v>
      </c>
      <c r="AB513" s="225">
        <v>32398</v>
      </c>
      <c r="AC513" s="253">
        <v>719</v>
      </c>
      <c r="AD513" s="222" t="s">
        <v>1017</v>
      </c>
      <c r="AE513" s="253">
        <v>38500</v>
      </c>
      <c r="AF513" s="222" t="s">
        <v>1907</v>
      </c>
      <c r="AG513" s="226">
        <v>614555359</v>
      </c>
      <c r="AH513" s="240" t="s">
        <v>3884</v>
      </c>
      <c r="AI513" s="222" t="s">
        <v>1168</v>
      </c>
      <c r="AJ513" s="222"/>
      <c r="AK513" s="222"/>
      <c r="AL513" s="222"/>
      <c r="AM513" s="222"/>
      <c r="AN513" s="222"/>
      <c r="AO513" s="222"/>
      <c r="AP513" s="225" t="s">
        <v>2052</v>
      </c>
      <c r="AQ513" s="225" t="s">
        <v>232</v>
      </c>
      <c r="AR513" s="225" t="s">
        <v>233</v>
      </c>
      <c r="AS513" s="241" t="s">
        <v>234</v>
      </c>
      <c r="AT513" s="226">
        <v>476500550</v>
      </c>
      <c r="AU513" s="225" t="s">
        <v>176</v>
      </c>
      <c r="AV513" s="241" t="s">
        <v>188</v>
      </c>
      <c r="AW513" s="222">
        <v>45137</v>
      </c>
      <c r="AX513" s="225" t="s">
        <v>1879</v>
      </c>
      <c r="AY513" s="242">
        <v>1870</v>
      </c>
      <c r="AZ513" s="225" t="s">
        <v>1880</v>
      </c>
      <c r="BA513" s="225" t="s">
        <v>380</v>
      </c>
      <c r="BB513" s="222" t="s">
        <v>270</v>
      </c>
      <c r="BC513" s="222" t="s">
        <v>3885</v>
      </c>
      <c r="BD513" s="242">
        <v>26</v>
      </c>
      <c r="BE513" s="242">
        <v>4</v>
      </c>
      <c r="BF513" s="242" t="s">
        <v>3886</v>
      </c>
      <c r="BG513" s="242" t="s">
        <v>3887</v>
      </c>
      <c r="BH513" s="222" t="s">
        <v>1882</v>
      </c>
      <c r="BI513" s="222"/>
      <c r="BJ513" s="242">
        <f>517.06+71.1+32.71+107.82+72.59+71.45+71.45+182.53+2287.5+42.5+82.72+88.74</f>
        <v>3628.1699999999996</v>
      </c>
      <c r="BK513" s="242"/>
      <c r="BL513" s="242"/>
      <c r="BM513" s="242"/>
      <c r="BN513" s="242">
        <v>850</v>
      </c>
      <c r="BO513" s="230">
        <f>BJ513+BN513</f>
        <v>4478.17</v>
      </c>
      <c r="BP513" s="230">
        <f>BO513*0.055</f>
        <v>246.29935</v>
      </c>
      <c r="BQ513" s="230">
        <f>BO513+BP513</f>
        <v>4724.4693500000003</v>
      </c>
      <c r="BR513" s="230">
        <v>4636.12</v>
      </c>
      <c r="BS513" s="222" t="s">
        <v>188</v>
      </c>
      <c r="BT513" s="222"/>
      <c r="BU513" s="222"/>
      <c r="BV513" s="301" t="s">
        <v>4045</v>
      </c>
      <c r="BW513" s="225" t="s">
        <v>968</v>
      </c>
      <c r="BX513" s="222" t="s">
        <v>618</v>
      </c>
      <c r="BY513" s="301">
        <v>2022</v>
      </c>
    </row>
    <row r="514" spans="1:77" s="33" customFormat="1" ht="13.5" customHeight="1">
      <c r="A514" s="64">
        <f t="shared" si="52"/>
        <v>2022</v>
      </c>
      <c r="B514" s="64">
        <f t="shared" si="53"/>
        <v>11</v>
      </c>
      <c r="C514" s="125" t="s">
        <v>191</v>
      </c>
      <c r="D514" s="168" t="str">
        <f t="shared" si="54"/>
        <v>non maj</v>
      </c>
      <c r="E514" s="222" t="s">
        <v>3888</v>
      </c>
      <c r="F514" s="222" t="s">
        <v>1806</v>
      </c>
      <c r="G514" s="221">
        <v>600</v>
      </c>
      <c r="H514" s="222">
        <v>44827</v>
      </c>
      <c r="I514" s="222">
        <v>44831</v>
      </c>
      <c r="J514" s="222">
        <v>44858</v>
      </c>
      <c r="K514" s="272" t="s">
        <v>3889</v>
      </c>
      <c r="L514" s="222">
        <v>44867</v>
      </c>
      <c r="M514" s="222">
        <v>44867</v>
      </c>
      <c r="N514" s="222">
        <v>44879</v>
      </c>
      <c r="O514" s="222"/>
      <c r="P514" s="222"/>
      <c r="Q514" s="222"/>
      <c r="R514" s="222"/>
      <c r="S514" s="222"/>
      <c r="T514" s="222"/>
      <c r="U514" s="222"/>
      <c r="V514" s="222"/>
      <c r="W514" s="222"/>
      <c r="X514" s="222"/>
      <c r="Y514" s="222"/>
      <c r="Z514" s="222"/>
      <c r="AA514" s="253">
        <v>2</v>
      </c>
      <c r="AB514" s="225">
        <v>80489</v>
      </c>
      <c r="AC514" s="253">
        <v>305</v>
      </c>
      <c r="AD514" s="222" t="s">
        <v>3890</v>
      </c>
      <c r="AE514" s="253">
        <v>38340</v>
      </c>
      <c r="AF514" s="222" t="s">
        <v>232</v>
      </c>
      <c r="AG514" s="226">
        <v>682220374</v>
      </c>
      <c r="AH514" s="240" t="s">
        <v>3891</v>
      </c>
      <c r="AI514" s="222" t="s">
        <v>1168</v>
      </c>
      <c r="AJ514" s="222"/>
      <c r="AK514" s="222"/>
      <c r="AL514" s="222"/>
      <c r="AM514" s="222"/>
      <c r="AN514" s="222"/>
      <c r="AO514" s="222"/>
      <c r="AP514" s="225" t="s">
        <v>2052</v>
      </c>
      <c r="AQ514" s="225" t="s">
        <v>232</v>
      </c>
      <c r="AR514" s="225" t="s">
        <v>233</v>
      </c>
      <c r="AS514" s="241" t="s">
        <v>234</v>
      </c>
      <c r="AT514" s="226">
        <v>476500550</v>
      </c>
      <c r="AU514" s="225" t="s">
        <v>176</v>
      </c>
      <c r="AV514" s="241" t="s">
        <v>188</v>
      </c>
      <c r="AW514" s="222">
        <v>45137</v>
      </c>
      <c r="AX514" s="225" t="s">
        <v>1879</v>
      </c>
      <c r="AY514" s="242" t="s">
        <v>3892</v>
      </c>
      <c r="AZ514" s="225" t="s">
        <v>1880</v>
      </c>
      <c r="BA514" s="225" t="s">
        <v>380</v>
      </c>
      <c r="BB514" s="222" t="s">
        <v>235</v>
      </c>
      <c r="BC514" s="222" t="s">
        <v>1014</v>
      </c>
      <c r="BD514" s="242">
        <v>28</v>
      </c>
      <c r="BE514" s="242">
        <v>8</v>
      </c>
      <c r="BF514" s="242">
        <v>80</v>
      </c>
      <c r="BG514" s="242">
        <v>1125</v>
      </c>
      <c r="BH514" s="222" t="s">
        <v>1882</v>
      </c>
      <c r="BI514" s="222"/>
      <c r="BJ514" s="242">
        <f>577.92+71.09+225.42+1725+145.1</f>
        <v>2744.5299999999997</v>
      </c>
      <c r="BK514" s="242"/>
      <c r="BL514" s="242"/>
      <c r="BM514" s="242"/>
      <c r="BN514" s="242">
        <v>700</v>
      </c>
      <c r="BO514" s="242">
        <f>BJ514+BN514-345</f>
        <v>3099.5299999999997</v>
      </c>
      <c r="BP514" s="230">
        <f t="shared" ref="BP514:BP535" si="67">BO514*0.055</f>
        <v>170.47414999999998</v>
      </c>
      <c r="BQ514" s="230">
        <f t="shared" ref="BQ514:BQ573" si="68">BO514+BP514</f>
        <v>3270.0041499999998</v>
      </c>
      <c r="BR514" s="242"/>
      <c r="BS514" s="222" t="s">
        <v>188</v>
      </c>
      <c r="BT514" s="222"/>
      <c r="BU514" s="222"/>
      <c r="BV514" s="301" t="s">
        <v>4045</v>
      </c>
      <c r="BW514" s="225" t="s">
        <v>968</v>
      </c>
      <c r="BX514" s="301" t="s">
        <v>620</v>
      </c>
      <c r="BY514" s="301">
        <v>2022</v>
      </c>
    </row>
    <row r="515" spans="1:77" s="33" customFormat="1" ht="13.5" customHeight="1">
      <c r="A515" s="64">
        <f t="shared" ref="A515:A574" si="69">YEAR(L515)</f>
        <v>2022</v>
      </c>
      <c r="B515" s="64">
        <f t="shared" ref="B515:B574" si="70">MONTH(L515)</f>
        <v>11</v>
      </c>
      <c r="C515" s="125" t="s">
        <v>191</v>
      </c>
      <c r="D515" s="168" t="str">
        <f t="shared" ref="D515:D573" si="71">BX515</f>
        <v>maj</v>
      </c>
      <c r="E515" s="222" t="s">
        <v>3893</v>
      </c>
      <c r="F515" s="222" t="s">
        <v>1807</v>
      </c>
      <c r="G515" s="221">
        <v>1000</v>
      </c>
      <c r="H515" s="222">
        <v>44829</v>
      </c>
      <c r="I515" s="222">
        <v>44831</v>
      </c>
      <c r="J515" s="222">
        <v>44858</v>
      </c>
      <c r="K515" s="222" t="s">
        <v>3894</v>
      </c>
      <c r="L515" s="222">
        <v>44874</v>
      </c>
      <c r="M515" s="222">
        <v>44874</v>
      </c>
      <c r="N515" s="222">
        <v>44886</v>
      </c>
      <c r="O515" s="222"/>
      <c r="P515" s="222"/>
      <c r="Q515" s="222"/>
      <c r="R515" s="222"/>
      <c r="S515" s="222"/>
      <c r="T515" s="222"/>
      <c r="U515" s="222"/>
      <c r="V515" s="222"/>
      <c r="W515" s="222"/>
      <c r="X515" s="222"/>
      <c r="Y515" s="222"/>
      <c r="Z515" s="222"/>
      <c r="AA515" s="253">
        <v>1</v>
      </c>
      <c r="AB515" s="225">
        <v>17802</v>
      </c>
      <c r="AC515" s="253">
        <v>78</v>
      </c>
      <c r="AD515" s="222" t="s">
        <v>3328</v>
      </c>
      <c r="AE515" s="253">
        <v>38500</v>
      </c>
      <c r="AF515" s="222" t="s">
        <v>271</v>
      </c>
      <c r="AG515" s="226">
        <v>687442324</v>
      </c>
      <c r="AH515" s="240" t="s">
        <v>3895</v>
      </c>
      <c r="AI515" s="222" t="s">
        <v>1168</v>
      </c>
      <c r="AJ515" s="222"/>
      <c r="AK515" s="222"/>
      <c r="AL515" s="222"/>
      <c r="AM515" s="222"/>
      <c r="AN515" s="222"/>
      <c r="AO515" s="222"/>
      <c r="AP515" s="222" t="s">
        <v>818</v>
      </c>
      <c r="AQ515" s="222" t="s">
        <v>225</v>
      </c>
      <c r="AR515" s="222" t="s">
        <v>3804</v>
      </c>
      <c r="AS515" s="241" t="s">
        <v>226</v>
      </c>
      <c r="AT515" s="222" t="s">
        <v>3805</v>
      </c>
      <c r="AU515" s="222"/>
      <c r="AV515" s="222" t="s">
        <v>188</v>
      </c>
      <c r="AW515" s="222">
        <v>45159</v>
      </c>
      <c r="AX515" s="225" t="s">
        <v>1880</v>
      </c>
      <c r="AY515" s="288"/>
      <c r="AZ515" s="225" t="s">
        <v>1880</v>
      </c>
      <c r="BA515" s="225" t="s">
        <v>380</v>
      </c>
      <c r="BB515" s="222" t="s">
        <v>219</v>
      </c>
      <c r="BC515" s="222" t="s">
        <v>1062</v>
      </c>
      <c r="BD515" s="242">
        <v>7</v>
      </c>
      <c r="BE515" s="242">
        <v>7.5</v>
      </c>
      <c r="BF515" s="242">
        <v>79</v>
      </c>
      <c r="BG515" s="242">
        <v>786</v>
      </c>
      <c r="BH515" s="222" t="s">
        <v>1882</v>
      </c>
      <c r="BI515" s="222"/>
      <c r="BJ515" s="242">
        <f>2840+140+90+195+78+49+32+60+30</f>
        <v>3514</v>
      </c>
      <c r="BK515" s="242"/>
      <c r="BL515" s="242"/>
      <c r="BM515" s="242"/>
      <c r="BN515" s="242">
        <f>40+320</f>
        <v>360</v>
      </c>
      <c r="BO515" s="230">
        <f t="shared" ref="BO515:BO535" si="72">BJ515+BN515</f>
        <v>3874</v>
      </c>
      <c r="BP515" s="230">
        <f t="shared" si="67"/>
        <v>213.07</v>
      </c>
      <c r="BQ515" s="242">
        <f t="shared" si="68"/>
        <v>4087.07</v>
      </c>
      <c r="BR515" s="242"/>
      <c r="BS515" s="222" t="s">
        <v>188</v>
      </c>
      <c r="BT515" s="222"/>
      <c r="BU515" s="222"/>
      <c r="BV515" s="301" t="s">
        <v>4045</v>
      </c>
      <c r="BW515" s="225" t="s">
        <v>968</v>
      </c>
      <c r="BX515" s="222" t="s">
        <v>618</v>
      </c>
      <c r="BY515" s="242">
        <v>2022</v>
      </c>
    </row>
    <row r="516" spans="1:77" s="33" customFormat="1" ht="13.5" customHeight="1">
      <c r="A516" s="64">
        <f t="shared" si="69"/>
        <v>2022</v>
      </c>
      <c r="B516" s="64">
        <f t="shared" si="70"/>
        <v>11</v>
      </c>
      <c r="C516" s="125" t="s">
        <v>191</v>
      </c>
      <c r="D516" s="168" t="str">
        <f t="shared" si="71"/>
        <v>non maj</v>
      </c>
      <c r="E516" s="222" t="s">
        <v>3302</v>
      </c>
      <c r="F516" s="222" t="s">
        <v>1810</v>
      </c>
      <c r="G516" s="221">
        <v>600</v>
      </c>
      <c r="H516" s="222">
        <v>44832</v>
      </c>
      <c r="I516" s="222">
        <v>44832</v>
      </c>
      <c r="J516" s="222">
        <v>44861</v>
      </c>
      <c r="K516" s="222" t="s">
        <v>3896</v>
      </c>
      <c r="L516" s="222">
        <v>44893</v>
      </c>
      <c r="M516" s="222">
        <v>44893</v>
      </c>
      <c r="N516" s="222">
        <v>44900</v>
      </c>
      <c r="O516" s="222"/>
      <c r="P516" s="222">
        <v>44965</v>
      </c>
      <c r="Q516" s="222">
        <v>44905</v>
      </c>
      <c r="R516" s="222" t="s">
        <v>176</v>
      </c>
      <c r="S516" s="222">
        <v>44974</v>
      </c>
      <c r="T516" s="222">
        <v>44974</v>
      </c>
      <c r="U516" s="222"/>
      <c r="V516" s="222"/>
      <c r="W516" s="222"/>
      <c r="X516" s="222"/>
      <c r="Y516" s="222"/>
      <c r="Z516" s="222"/>
      <c r="AA516" s="253">
        <v>1</v>
      </c>
      <c r="AB516" s="225">
        <v>40100</v>
      </c>
      <c r="AC516" s="253">
        <v>800</v>
      </c>
      <c r="AD516" s="222" t="s">
        <v>3897</v>
      </c>
      <c r="AE516" s="253">
        <v>38140</v>
      </c>
      <c r="AF516" s="225" t="s">
        <v>1924</v>
      </c>
      <c r="AG516" s="226">
        <v>626354409</v>
      </c>
      <c r="AH516" s="240" t="s">
        <v>3898</v>
      </c>
      <c r="AI516" s="222" t="s">
        <v>1168</v>
      </c>
      <c r="AJ516" s="222"/>
      <c r="AK516" s="222"/>
      <c r="AL516" s="222"/>
      <c r="AM516" s="222"/>
      <c r="AN516" s="222"/>
      <c r="AO516" s="222"/>
      <c r="AP516" s="222" t="s">
        <v>268</v>
      </c>
      <c r="AQ516" s="222" t="s">
        <v>1893</v>
      </c>
      <c r="AR516" s="222" t="s">
        <v>3756</v>
      </c>
      <c r="AS516" s="234" t="s">
        <v>1934</v>
      </c>
      <c r="AT516" s="226" t="s">
        <v>3027</v>
      </c>
      <c r="AU516" s="222"/>
      <c r="AV516" s="241" t="s">
        <v>188</v>
      </c>
      <c r="AW516" s="222">
        <v>44883</v>
      </c>
      <c r="AX516" s="225" t="s">
        <v>1879</v>
      </c>
      <c r="AY516" s="242">
        <v>1874</v>
      </c>
      <c r="AZ516" s="225" t="s">
        <v>1880</v>
      </c>
      <c r="BA516" s="225" t="s">
        <v>380</v>
      </c>
      <c r="BB516" s="222" t="s">
        <v>976</v>
      </c>
      <c r="BC516" s="222" t="s">
        <v>3899</v>
      </c>
      <c r="BD516" s="242">
        <v>18</v>
      </c>
      <c r="BE516" s="242" t="s">
        <v>3869</v>
      </c>
      <c r="BF516" s="242">
        <v>88</v>
      </c>
      <c r="BG516" s="242" t="s">
        <v>3900</v>
      </c>
      <c r="BH516" s="222" t="s">
        <v>1882</v>
      </c>
      <c r="BI516" s="222"/>
      <c r="BJ516" s="242">
        <f>420+48.5+43.25+88.52+67.36+145.35+450+3600+218+89.6+45.35</f>
        <v>5215.93</v>
      </c>
      <c r="BK516" s="242"/>
      <c r="BL516" s="242"/>
      <c r="BM516" s="242"/>
      <c r="BN516" s="242">
        <f>195.6+525</f>
        <v>720.6</v>
      </c>
      <c r="BO516" s="230">
        <f t="shared" si="72"/>
        <v>5936.5300000000007</v>
      </c>
      <c r="BP516" s="230">
        <f t="shared" si="67"/>
        <v>326.50915000000003</v>
      </c>
      <c r="BQ516" s="230">
        <f t="shared" si="68"/>
        <v>6263.0391500000005</v>
      </c>
      <c r="BR516" s="242">
        <v>6263.04</v>
      </c>
      <c r="BS516" s="222" t="s">
        <v>188</v>
      </c>
      <c r="BT516" s="222"/>
      <c r="BU516" s="222"/>
      <c r="BV516" s="301" t="s">
        <v>4045</v>
      </c>
      <c r="BW516" s="225" t="s">
        <v>968</v>
      </c>
      <c r="BX516" s="301" t="s">
        <v>620</v>
      </c>
      <c r="BY516" s="242">
        <v>2022</v>
      </c>
    </row>
    <row r="517" spans="1:77" s="33" customFormat="1" ht="13.5" customHeight="1">
      <c r="A517" s="64">
        <f t="shared" si="69"/>
        <v>2022</v>
      </c>
      <c r="B517" s="64">
        <f t="shared" si="70"/>
        <v>11</v>
      </c>
      <c r="C517" s="125" t="s">
        <v>191</v>
      </c>
      <c r="D517" s="168" t="str">
        <f t="shared" si="71"/>
        <v>non maj</v>
      </c>
      <c r="E517" s="222" t="s">
        <v>3302</v>
      </c>
      <c r="F517" s="222" t="s">
        <v>1811</v>
      </c>
      <c r="G517" s="221">
        <v>600</v>
      </c>
      <c r="H517" s="222">
        <v>44833</v>
      </c>
      <c r="I517" s="222">
        <v>44838</v>
      </c>
      <c r="J517" s="222">
        <v>44861</v>
      </c>
      <c r="K517" s="222" t="s">
        <v>3901</v>
      </c>
      <c r="L517" s="222">
        <v>44867</v>
      </c>
      <c r="M517" s="222">
        <v>44867</v>
      </c>
      <c r="N517" s="222">
        <v>44879</v>
      </c>
      <c r="O517" s="222"/>
      <c r="P517" s="222"/>
      <c r="Q517" s="222"/>
      <c r="R517" s="222"/>
      <c r="S517" s="222"/>
      <c r="T517" s="222"/>
      <c r="U517" s="222"/>
      <c r="V517" s="222"/>
      <c r="W517" s="222"/>
      <c r="X517" s="222"/>
      <c r="Y517" s="222"/>
      <c r="Z517" s="222"/>
      <c r="AA517" s="253">
        <v>3</v>
      </c>
      <c r="AB517" s="225">
        <v>74526</v>
      </c>
      <c r="AC517" s="253">
        <v>97</v>
      </c>
      <c r="AD517" s="222" t="s">
        <v>3511</v>
      </c>
      <c r="AE517" s="253">
        <v>38140</v>
      </c>
      <c r="AF517" s="222" t="s">
        <v>1971</v>
      </c>
      <c r="AG517" s="226">
        <v>674289642</v>
      </c>
      <c r="AH517" s="240" t="s">
        <v>3902</v>
      </c>
      <c r="AI517" s="222" t="s">
        <v>1168</v>
      </c>
      <c r="AJ517" s="222"/>
      <c r="AK517" s="222"/>
      <c r="AL517" s="222"/>
      <c r="AM517" s="222"/>
      <c r="AN517" s="222"/>
      <c r="AO517" s="222"/>
      <c r="AP517" s="222" t="s">
        <v>587</v>
      </c>
      <c r="AQ517" s="222" t="s">
        <v>225</v>
      </c>
      <c r="AR517" s="222" t="s">
        <v>3790</v>
      </c>
      <c r="AS517" s="285" t="s">
        <v>266</v>
      </c>
      <c r="AT517" s="222" t="s">
        <v>588</v>
      </c>
      <c r="AU517" s="222"/>
      <c r="AV517" s="222" t="s">
        <v>188</v>
      </c>
      <c r="AW517" s="222" t="s">
        <v>3836</v>
      </c>
      <c r="AX517" s="225" t="s">
        <v>1880</v>
      </c>
      <c r="AY517" s="242">
        <v>2000</v>
      </c>
      <c r="AZ517" s="225" t="s">
        <v>1880</v>
      </c>
      <c r="BA517" s="225" t="s">
        <v>380</v>
      </c>
      <c r="BB517" s="222" t="s">
        <v>3903</v>
      </c>
      <c r="BC517" s="222" t="s">
        <v>705</v>
      </c>
      <c r="BD517" s="242">
        <v>40</v>
      </c>
      <c r="BE517" s="242">
        <v>6</v>
      </c>
      <c r="BF517" s="242" t="s">
        <v>3904</v>
      </c>
      <c r="BG517" s="242" t="s">
        <v>3905</v>
      </c>
      <c r="BH517" s="222" t="s">
        <v>1882</v>
      </c>
      <c r="BI517" s="222"/>
      <c r="BJ517" s="242">
        <f>605+430+275+3410+89</f>
        <v>4809</v>
      </c>
      <c r="BK517" s="242"/>
      <c r="BL517" s="242"/>
      <c r="BM517" s="242"/>
      <c r="BN517" s="242">
        <v>200</v>
      </c>
      <c r="BO517" s="230">
        <f t="shared" si="72"/>
        <v>5009</v>
      </c>
      <c r="BP517" s="230">
        <f t="shared" si="67"/>
        <v>275.495</v>
      </c>
      <c r="BQ517" s="230">
        <f t="shared" si="68"/>
        <v>5284.4949999999999</v>
      </c>
      <c r="BR517" s="242"/>
      <c r="BS517" s="222" t="s">
        <v>188</v>
      </c>
      <c r="BT517" s="222"/>
      <c r="BU517" s="222"/>
      <c r="BV517" s="301" t="s">
        <v>4045</v>
      </c>
      <c r="BW517" s="225" t="s">
        <v>968</v>
      </c>
      <c r="BX517" s="301" t="s">
        <v>620</v>
      </c>
      <c r="BY517" s="301">
        <v>2022</v>
      </c>
    </row>
    <row r="518" spans="1:77" s="33" customFormat="1" ht="13.5" customHeight="1">
      <c r="A518" s="64">
        <f t="shared" si="69"/>
        <v>2022</v>
      </c>
      <c r="B518" s="64">
        <f t="shared" si="70"/>
        <v>11</v>
      </c>
      <c r="C518" s="125" t="s">
        <v>191</v>
      </c>
      <c r="D518" s="168" t="str">
        <f t="shared" si="71"/>
        <v>non maj</v>
      </c>
      <c r="E518" s="222" t="s">
        <v>3302</v>
      </c>
      <c r="F518" s="222" t="s">
        <v>1812</v>
      </c>
      <c r="G518" s="221">
        <v>600</v>
      </c>
      <c r="H518" s="222">
        <v>44834</v>
      </c>
      <c r="I518" s="222">
        <v>44838</v>
      </c>
      <c r="J518" s="222">
        <v>44861</v>
      </c>
      <c r="K518" s="222" t="s">
        <v>3906</v>
      </c>
      <c r="L518" s="222">
        <v>44867</v>
      </c>
      <c r="M518" s="222">
        <v>44867</v>
      </c>
      <c r="N518" s="222">
        <v>44879</v>
      </c>
      <c r="O518" s="222"/>
      <c r="P518" s="222">
        <v>44949</v>
      </c>
      <c r="Q518" s="222">
        <v>44900</v>
      </c>
      <c r="R518" s="222" t="s">
        <v>176</v>
      </c>
      <c r="S518" s="222">
        <v>44974</v>
      </c>
      <c r="T518" s="222">
        <v>44974</v>
      </c>
      <c r="U518" s="222"/>
      <c r="V518" s="222"/>
      <c r="W518" s="222"/>
      <c r="X518" s="222"/>
      <c r="Y518" s="222"/>
      <c r="Z518" s="222"/>
      <c r="AA518" s="253">
        <v>2</v>
      </c>
      <c r="AB518" s="225">
        <v>31256</v>
      </c>
      <c r="AC518" s="253">
        <v>21</v>
      </c>
      <c r="AD518" s="222" t="s">
        <v>3907</v>
      </c>
      <c r="AE518" s="253">
        <v>38960</v>
      </c>
      <c r="AF518" s="225" t="s">
        <v>1964</v>
      </c>
      <c r="AG518" s="226">
        <v>682832993</v>
      </c>
      <c r="AH518" s="240" t="s">
        <v>3908</v>
      </c>
      <c r="AI518" s="222" t="s">
        <v>1168</v>
      </c>
      <c r="AJ518" s="222"/>
      <c r="AK518" s="222"/>
      <c r="AL518" s="222"/>
      <c r="AM518" s="222"/>
      <c r="AN518" s="222"/>
      <c r="AO518" s="222"/>
      <c r="AP518" s="222" t="s">
        <v>577</v>
      </c>
      <c r="AQ518" s="222" t="s">
        <v>688</v>
      </c>
      <c r="AR518" s="222" t="s">
        <v>1053</v>
      </c>
      <c r="AS518" s="240" t="s">
        <v>708</v>
      </c>
      <c r="AT518" s="226">
        <v>476132200</v>
      </c>
      <c r="AU518" s="222"/>
      <c r="AV518" s="222" t="s">
        <v>188</v>
      </c>
      <c r="AW518" s="222">
        <v>45077</v>
      </c>
      <c r="AX518" s="225" t="s">
        <v>1879</v>
      </c>
      <c r="AY518" s="242">
        <v>1975</v>
      </c>
      <c r="AZ518" s="225" t="s">
        <v>4113</v>
      </c>
      <c r="BA518" s="225" t="s">
        <v>380</v>
      </c>
      <c r="BB518" s="222" t="s">
        <v>3909</v>
      </c>
      <c r="BC518" s="222" t="s">
        <v>3910</v>
      </c>
      <c r="BD518" s="242">
        <v>36</v>
      </c>
      <c r="BE518" s="242" t="s">
        <v>3911</v>
      </c>
      <c r="BF518" s="242" t="s">
        <v>3624</v>
      </c>
      <c r="BG518" s="242" t="s">
        <v>3912</v>
      </c>
      <c r="BH518" s="222" t="s">
        <v>1882</v>
      </c>
      <c r="BI518" s="222"/>
      <c r="BJ518" s="242">
        <f>2115+93.56+1387.21+50.94+200+157.3+65+462+112+120.12+68.04+396+198.58+120.12+201</f>
        <v>5746.87</v>
      </c>
      <c r="BK518" s="242"/>
      <c r="BL518" s="242"/>
      <c r="BM518" s="242"/>
      <c r="BN518" s="242">
        <v>1200</v>
      </c>
      <c r="BO518" s="230">
        <f>BJ518+BN518-250</f>
        <v>6696.87</v>
      </c>
      <c r="BP518" s="230">
        <f t="shared" si="67"/>
        <v>368.32785000000001</v>
      </c>
      <c r="BQ518" s="230">
        <f t="shared" si="68"/>
        <v>7065.1978499999996</v>
      </c>
      <c r="BR518" s="242">
        <v>1633.45</v>
      </c>
      <c r="BS518" s="222" t="s">
        <v>188</v>
      </c>
      <c r="BT518" s="222"/>
      <c r="BU518" s="222"/>
      <c r="BV518" s="301" t="s">
        <v>4045</v>
      </c>
      <c r="BW518" s="225" t="s">
        <v>968</v>
      </c>
      <c r="BX518" s="301" t="s">
        <v>620</v>
      </c>
      <c r="BY518" s="301">
        <v>2022</v>
      </c>
    </row>
    <row r="519" spans="1:77" s="33" customFormat="1" ht="13.5" customHeight="1">
      <c r="A519" s="64">
        <f t="shared" si="69"/>
        <v>2022</v>
      </c>
      <c r="B519" s="64">
        <f t="shared" si="70"/>
        <v>11</v>
      </c>
      <c r="C519" s="125" t="s">
        <v>191</v>
      </c>
      <c r="D519" s="168" t="str">
        <f t="shared" si="71"/>
        <v>maj</v>
      </c>
      <c r="E519" s="222" t="s">
        <v>3302</v>
      </c>
      <c r="F519" s="222" t="s">
        <v>1813</v>
      </c>
      <c r="G519" s="221">
        <v>1000</v>
      </c>
      <c r="H519" s="222">
        <v>44834</v>
      </c>
      <c r="I519" s="222">
        <v>44838</v>
      </c>
      <c r="J519" s="222">
        <v>44861</v>
      </c>
      <c r="K519" s="222" t="s">
        <v>3913</v>
      </c>
      <c r="L519" s="222">
        <v>44867</v>
      </c>
      <c r="M519" s="222">
        <v>44867</v>
      </c>
      <c r="N519" s="222">
        <v>44879</v>
      </c>
      <c r="O519" s="222"/>
      <c r="P519" s="222"/>
      <c r="Q519" s="222"/>
      <c r="R519" s="222"/>
      <c r="S519" s="222"/>
      <c r="T519" s="222"/>
      <c r="U519" s="222"/>
      <c r="V519" s="222"/>
      <c r="W519" s="222"/>
      <c r="X519" s="222"/>
      <c r="Y519" s="222"/>
      <c r="Z519" s="222"/>
      <c r="AA519" s="253">
        <v>2</v>
      </c>
      <c r="AB519" s="225">
        <v>3928</v>
      </c>
      <c r="AC519" s="253">
        <v>72</v>
      </c>
      <c r="AD519" s="222" t="s">
        <v>3914</v>
      </c>
      <c r="AE519" s="253">
        <v>38620</v>
      </c>
      <c r="AF519" s="225" t="s">
        <v>2382</v>
      </c>
      <c r="AG519" s="226">
        <v>642591942</v>
      </c>
      <c r="AH519" s="234" t="s">
        <v>3915</v>
      </c>
      <c r="AI519" s="222" t="s">
        <v>1169</v>
      </c>
      <c r="AJ519" s="222"/>
      <c r="AK519" s="222"/>
      <c r="AL519" s="222"/>
      <c r="AM519" s="222"/>
      <c r="AN519" s="222"/>
      <c r="AO519" s="222"/>
      <c r="AP519" s="225" t="s">
        <v>845</v>
      </c>
      <c r="AQ519" s="225" t="s">
        <v>1910</v>
      </c>
      <c r="AR519" s="225" t="s">
        <v>1966</v>
      </c>
      <c r="AS519" s="241" t="s">
        <v>257</v>
      </c>
      <c r="AT519" s="226">
        <v>474432868</v>
      </c>
      <c r="AU519" s="225" t="s">
        <v>176</v>
      </c>
      <c r="AV519" s="241" t="s">
        <v>188</v>
      </c>
      <c r="AW519" s="223">
        <v>45052</v>
      </c>
      <c r="AX519" s="225" t="s">
        <v>4113</v>
      </c>
      <c r="AY519" s="242">
        <v>1998</v>
      </c>
      <c r="AZ519" s="225" t="s">
        <v>1880</v>
      </c>
      <c r="BA519" s="225" t="s">
        <v>380</v>
      </c>
      <c r="BB519" s="222" t="s">
        <v>3916</v>
      </c>
      <c r="BC519" s="222" t="s">
        <v>3917</v>
      </c>
      <c r="BD519" s="242">
        <v>28</v>
      </c>
      <c r="BE519" s="242" t="s">
        <v>3878</v>
      </c>
      <c r="BF519" s="242">
        <v>80</v>
      </c>
      <c r="BG519" s="242" t="s">
        <v>3487</v>
      </c>
      <c r="BH519" s="222" t="s">
        <v>1882</v>
      </c>
      <c r="BI519" s="222"/>
      <c r="BJ519" s="222">
        <f>2940+274+664</f>
        <v>3878</v>
      </c>
      <c r="BK519" s="222"/>
      <c r="BL519" s="222"/>
      <c r="BM519" s="222"/>
      <c r="BN519" s="222">
        <f>730+162+98</f>
        <v>990</v>
      </c>
      <c r="BO519" s="230">
        <f t="shared" si="72"/>
        <v>4868</v>
      </c>
      <c r="BP519" s="230">
        <f t="shared" si="67"/>
        <v>267.74</v>
      </c>
      <c r="BQ519" s="230">
        <f t="shared" si="68"/>
        <v>5135.74</v>
      </c>
      <c r="BR519" s="242"/>
      <c r="BS519" s="222" t="s">
        <v>188</v>
      </c>
      <c r="BT519" s="222"/>
      <c r="BU519" s="222"/>
      <c r="BV519" s="301" t="s">
        <v>4045</v>
      </c>
      <c r="BW519" s="225" t="s">
        <v>968</v>
      </c>
      <c r="BX519" s="222" t="s">
        <v>618</v>
      </c>
      <c r="BY519" s="301">
        <v>2022</v>
      </c>
    </row>
    <row r="520" spans="1:77" s="33" customFormat="1" ht="13.5" customHeight="1">
      <c r="A520" s="64">
        <f t="shared" si="69"/>
        <v>2022</v>
      </c>
      <c r="B520" s="64">
        <f t="shared" si="70"/>
        <v>11</v>
      </c>
      <c r="C520" s="125" t="s">
        <v>191</v>
      </c>
      <c r="D520" s="168" t="str">
        <f t="shared" si="71"/>
        <v>maj</v>
      </c>
      <c r="E520" s="272" t="s">
        <v>3918</v>
      </c>
      <c r="F520" s="272" t="s">
        <v>1815</v>
      </c>
      <c r="G520" s="221">
        <v>1000</v>
      </c>
      <c r="H520" s="222">
        <v>44838</v>
      </c>
      <c r="I520" s="222">
        <v>44838</v>
      </c>
      <c r="J520" s="222" t="s">
        <v>176</v>
      </c>
      <c r="K520" s="222" t="s">
        <v>176</v>
      </c>
      <c r="L520" s="222">
        <v>44880</v>
      </c>
      <c r="M520" s="222">
        <v>44880</v>
      </c>
      <c r="N520" s="222">
        <v>44893</v>
      </c>
      <c r="O520" s="222"/>
      <c r="P520" s="222">
        <v>44930</v>
      </c>
      <c r="Q520" s="222">
        <v>44900</v>
      </c>
      <c r="R520" s="222" t="s">
        <v>176</v>
      </c>
      <c r="S520" s="222">
        <v>44956</v>
      </c>
      <c r="T520" s="222">
        <v>44956</v>
      </c>
      <c r="U520" s="222"/>
      <c r="V520" s="222"/>
      <c r="W520" s="222"/>
      <c r="X520" s="222"/>
      <c r="Y520" s="222"/>
      <c r="Z520" s="222"/>
      <c r="AA520" s="253">
        <v>4</v>
      </c>
      <c r="AB520" s="225">
        <v>37099</v>
      </c>
      <c r="AC520" s="253">
        <v>21</v>
      </c>
      <c r="AD520" s="222" t="s">
        <v>3919</v>
      </c>
      <c r="AE520" s="253">
        <v>38620</v>
      </c>
      <c r="AF520" s="222" t="s">
        <v>2010</v>
      </c>
      <c r="AG520" s="226">
        <v>649374457</v>
      </c>
      <c r="AH520" s="240" t="s">
        <v>3920</v>
      </c>
      <c r="AI520" s="222" t="s">
        <v>1168</v>
      </c>
      <c r="AJ520" s="222"/>
      <c r="AK520" s="222"/>
      <c r="AL520" s="222"/>
      <c r="AM520" s="222"/>
      <c r="AN520" s="222"/>
      <c r="AO520" s="222"/>
      <c r="AP520" s="225" t="s">
        <v>2762</v>
      </c>
      <c r="AQ520" s="225" t="s">
        <v>1018</v>
      </c>
      <c r="AR520" s="225" t="s">
        <v>2763</v>
      </c>
      <c r="AS520" s="240" t="s">
        <v>3478</v>
      </c>
      <c r="AT520" s="226">
        <v>476663386</v>
      </c>
      <c r="AU520" s="225" t="s">
        <v>176</v>
      </c>
      <c r="AV520" s="241" t="s">
        <v>188</v>
      </c>
      <c r="AW520" s="223">
        <v>45096</v>
      </c>
      <c r="AX520" s="225" t="s">
        <v>4113</v>
      </c>
      <c r="AY520" s="242">
        <v>2000</v>
      </c>
      <c r="AZ520" s="225" t="s">
        <v>4113</v>
      </c>
      <c r="BA520" s="225" t="s">
        <v>380</v>
      </c>
      <c r="BB520" s="242" t="s">
        <v>994</v>
      </c>
      <c r="BC520" s="242" t="s">
        <v>3921</v>
      </c>
      <c r="BD520" s="242">
        <v>32</v>
      </c>
      <c r="BE520" s="242">
        <v>10</v>
      </c>
      <c r="BF520" s="242">
        <v>81.099999999999994</v>
      </c>
      <c r="BG520" s="242">
        <v>1125</v>
      </c>
      <c r="BH520" s="242" t="s">
        <v>1882</v>
      </c>
      <c r="BI520" s="222"/>
      <c r="BJ520" s="242">
        <f>1964.46+345+169+110+356+340+161+395+567</f>
        <v>4407.46</v>
      </c>
      <c r="BK520" s="242"/>
      <c r="BL520" s="242"/>
      <c r="BM520" s="242"/>
      <c r="BN520" s="242">
        <v>0</v>
      </c>
      <c r="BO520" s="230">
        <f t="shared" si="72"/>
        <v>4407.46</v>
      </c>
      <c r="BP520" s="230">
        <f t="shared" si="67"/>
        <v>242.41030000000001</v>
      </c>
      <c r="BQ520" s="230">
        <f t="shared" si="68"/>
        <v>4649.8703000000005</v>
      </c>
      <c r="BR520" s="242">
        <v>4649.87</v>
      </c>
      <c r="BS520" s="222" t="s">
        <v>188</v>
      </c>
      <c r="BT520" s="222"/>
      <c r="BU520" s="222"/>
      <c r="BV520" s="301" t="s">
        <v>4045</v>
      </c>
      <c r="BW520" s="225" t="s">
        <v>968</v>
      </c>
      <c r="BX520" s="222" t="s">
        <v>618</v>
      </c>
      <c r="BY520" s="242">
        <v>2022</v>
      </c>
    </row>
    <row r="521" spans="1:77" s="33" customFormat="1" ht="13.5" customHeight="1">
      <c r="A521" s="64">
        <f t="shared" si="69"/>
        <v>2022</v>
      </c>
      <c r="B521" s="64">
        <f t="shared" si="70"/>
        <v>12</v>
      </c>
      <c r="C521" s="125" t="s">
        <v>191</v>
      </c>
      <c r="D521" s="168">
        <f t="shared" si="71"/>
        <v>0</v>
      </c>
      <c r="E521" s="222" t="s">
        <v>1063</v>
      </c>
      <c r="F521" s="222" t="s">
        <v>1816</v>
      </c>
      <c r="G521" s="221"/>
      <c r="H521" s="222">
        <v>44832</v>
      </c>
      <c r="I521" s="222">
        <v>44838</v>
      </c>
      <c r="J521" s="222">
        <v>44868</v>
      </c>
      <c r="K521" s="222" t="s">
        <v>3922</v>
      </c>
      <c r="L521" s="222">
        <v>44910</v>
      </c>
      <c r="M521" s="222">
        <v>44910</v>
      </c>
      <c r="N521" s="222">
        <v>44931</v>
      </c>
      <c r="O521" s="222"/>
      <c r="P521" s="222"/>
      <c r="Q521" s="222"/>
      <c r="R521" s="222"/>
      <c r="S521" s="222"/>
      <c r="T521" s="222"/>
      <c r="U521" s="222"/>
      <c r="V521" s="222"/>
      <c r="W521" s="222"/>
      <c r="X521" s="222"/>
      <c r="Y521" s="222"/>
      <c r="Z521" s="222"/>
      <c r="AA521" s="253">
        <v>5</v>
      </c>
      <c r="AB521" s="225">
        <v>44779</v>
      </c>
      <c r="AC521" s="253">
        <v>8</v>
      </c>
      <c r="AD521" s="222" t="s">
        <v>1011</v>
      </c>
      <c r="AE521" s="253">
        <v>38430</v>
      </c>
      <c r="AF521" s="222" t="s">
        <v>1893</v>
      </c>
      <c r="AG521" s="226">
        <v>626272208</v>
      </c>
      <c r="AH521" s="240" t="s">
        <v>3923</v>
      </c>
      <c r="AI521" s="222" t="s">
        <v>1168</v>
      </c>
      <c r="AJ521" s="222"/>
      <c r="AK521" s="222"/>
      <c r="AL521" s="222"/>
      <c r="AM521" s="222"/>
      <c r="AN521" s="222"/>
      <c r="AO521" s="222"/>
      <c r="AP521" s="222"/>
      <c r="AQ521" s="222"/>
      <c r="AR521" s="222"/>
      <c r="AS521" s="222"/>
      <c r="AT521" s="226"/>
      <c r="AU521" s="222"/>
      <c r="AV521" s="222"/>
      <c r="AW521" s="222"/>
      <c r="AX521" s="225" t="s">
        <v>4113</v>
      </c>
      <c r="AY521" s="242">
        <v>2001</v>
      </c>
      <c r="AZ521" s="225" t="s">
        <v>1880</v>
      </c>
      <c r="BA521" s="225" t="s">
        <v>267</v>
      </c>
      <c r="BB521" s="222" t="s">
        <v>221</v>
      </c>
      <c r="BC521" s="222" t="s">
        <v>3924</v>
      </c>
      <c r="BD521" s="242">
        <v>20</v>
      </c>
      <c r="BE521" s="242">
        <v>8.8000000000000007</v>
      </c>
      <c r="BF521" s="242">
        <v>90.9</v>
      </c>
      <c r="BG521" s="242">
        <v>75</v>
      </c>
      <c r="BH521" s="242" t="s">
        <v>1882</v>
      </c>
      <c r="BI521" s="242"/>
      <c r="BJ521" s="242"/>
      <c r="BK521" s="242"/>
      <c r="BL521" s="242"/>
      <c r="BM521" s="242"/>
      <c r="BN521" s="242"/>
      <c r="BO521" s="230">
        <f t="shared" si="72"/>
        <v>0</v>
      </c>
      <c r="BP521" s="230">
        <f t="shared" si="67"/>
        <v>0</v>
      </c>
      <c r="BQ521" s="230">
        <f t="shared" si="68"/>
        <v>0</v>
      </c>
      <c r="BR521" s="222"/>
      <c r="BS521" s="222" t="s">
        <v>188</v>
      </c>
      <c r="BT521" s="222"/>
      <c r="BU521" s="222"/>
      <c r="BV521" s="242"/>
      <c r="BW521" s="225" t="s">
        <v>968</v>
      </c>
      <c r="BX521" s="225"/>
      <c r="BY521" s="222"/>
    </row>
    <row r="522" spans="1:77" s="33" customFormat="1" ht="13.5" customHeight="1">
      <c r="A522" s="64">
        <f t="shared" si="69"/>
        <v>2022</v>
      </c>
      <c r="B522" s="64">
        <f t="shared" si="70"/>
        <v>10</v>
      </c>
      <c r="C522" s="125" t="s">
        <v>191</v>
      </c>
      <c r="D522" s="168" t="str">
        <f t="shared" si="71"/>
        <v>non maj</v>
      </c>
      <c r="E522" s="222" t="s">
        <v>3918</v>
      </c>
      <c r="F522" s="222" t="s">
        <v>1817</v>
      </c>
      <c r="G522" s="221">
        <v>600</v>
      </c>
      <c r="H522" s="222">
        <v>44839</v>
      </c>
      <c r="I522" s="222">
        <v>44844</v>
      </c>
      <c r="J522" s="222" t="s">
        <v>176</v>
      </c>
      <c r="K522" s="222" t="s">
        <v>176</v>
      </c>
      <c r="L522" s="222">
        <v>44859</v>
      </c>
      <c r="M522" s="222">
        <v>44859</v>
      </c>
      <c r="N522" s="222">
        <v>44879</v>
      </c>
      <c r="O522" s="222"/>
      <c r="P522" s="222">
        <v>44938</v>
      </c>
      <c r="Q522" s="222"/>
      <c r="R522" s="222"/>
      <c r="S522" s="222"/>
      <c r="T522" s="222"/>
      <c r="U522" s="222"/>
      <c r="V522" s="222"/>
      <c r="W522" s="222"/>
      <c r="X522" s="222"/>
      <c r="Y522" s="222"/>
      <c r="Z522" s="222"/>
      <c r="AA522" s="253">
        <v>5</v>
      </c>
      <c r="AB522" s="225">
        <v>58636</v>
      </c>
      <c r="AC522" s="253">
        <v>18</v>
      </c>
      <c r="AD522" s="222" t="s">
        <v>3676</v>
      </c>
      <c r="AE522" s="253">
        <v>38500</v>
      </c>
      <c r="AF522" s="222" t="s">
        <v>225</v>
      </c>
      <c r="AG522" s="226">
        <v>678450960</v>
      </c>
      <c r="AH522" s="240" t="s">
        <v>3925</v>
      </c>
      <c r="AI522" s="222" t="s">
        <v>1168</v>
      </c>
      <c r="AJ522" s="222"/>
      <c r="AK522" s="222"/>
      <c r="AL522" s="222"/>
      <c r="AM522" s="222"/>
      <c r="AN522" s="222"/>
      <c r="AO522" s="222"/>
      <c r="AP522" s="225" t="s">
        <v>675</v>
      </c>
      <c r="AQ522" s="225" t="s">
        <v>225</v>
      </c>
      <c r="AR522" s="225" t="s">
        <v>1948</v>
      </c>
      <c r="AS522" s="241" t="s">
        <v>673</v>
      </c>
      <c r="AT522" s="226" t="s">
        <v>1010</v>
      </c>
      <c r="AU522" s="225" t="s">
        <v>176</v>
      </c>
      <c r="AV522" s="241" t="s">
        <v>188</v>
      </c>
      <c r="AW522" s="223">
        <v>44798</v>
      </c>
      <c r="AX522" s="225" t="s">
        <v>1879</v>
      </c>
      <c r="AY522" s="242">
        <v>1989</v>
      </c>
      <c r="AZ522" s="225" t="s">
        <v>1880</v>
      </c>
      <c r="BA522" s="225" t="s">
        <v>380</v>
      </c>
      <c r="BB522" s="242" t="s">
        <v>2174</v>
      </c>
      <c r="BC522" s="242" t="s">
        <v>3926</v>
      </c>
      <c r="BD522" s="242">
        <v>18</v>
      </c>
      <c r="BE522" s="242">
        <v>4.9000000000000004</v>
      </c>
      <c r="BF522" s="242">
        <v>78</v>
      </c>
      <c r="BG522" s="242">
        <v>1125</v>
      </c>
      <c r="BH522" s="242" t="s">
        <v>1882</v>
      </c>
      <c r="BI522" s="242"/>
      <c r="BJ522" s="242">
        <f>4519.17+340.5+1016.24+269.9+185</f>
        <v>6330.8099999999995</v>
      </c>
      <c r="BK522" s="222"/>
      <c r="BL522" s="222"/>
      <c r="BM522" s="222"/>
      <c r="BN522" s="242">
        <f>1610-500</f>
        <v>1110</v>
      </c>
      <c r="BO522" s="230">
        <f t="shared" si="72"/>
        <v>7440.8099999999995</v>
      </c>
      <c r="BP522" s="230">
        <f t="shared" si="67"/>
        <v>409.24454999999995</v>
      </c>
      <c r="BQ522" s="230">
        <f t="shared" si="68"/>
        <v>7850.0545499999998</v>
      </c>
      <c r="BR522" s="222"/>
      <c r="BS522" s="222" t="s">
        <v>519</v>
      </c>
      <c r="BT522" s="222"/>
      <c r="BU522" s="222"/>
      <c r="BV522" s="301" t="s">
        <v>4045</v>
      </c>
      <c r="BW522" s="225" t="s">
        <v>968</v>
      </c>
      <c r="BX522" s="301" t="s">
        <v>620</v>
      </c>
      <c r="BY522" s="301">
        <v>2022</v>
      </c>
    </row>
    <row r="523" spans="1:77" s="33" customFormat="1" ht="13.5" customHeight="1">
      <c r="A523" s="64">
        <f t="shared" si="69"/>
        <v>2022</v>
      </c>
      <c r="B523" s="64">
        <f t="shared" si="70"/>
        <v>10</v>
      </c>
      <c r="C523" s="125" t="s">
        <v>191</v>
      </c>
      <c r="D523" s="168" t="str">
        <f t="shared" si="71"/>
        <v>maj</v>
      </c>
      <c r="E523" s="222" t="s">
        <v>3918</v>
      </c>
      <c r="F523" s="222" t="s">
        <v>1818</v>
      </c>
      <c r="G523" s="221">
        <v>1000</v>
      </c>
      <c r="H523" s="222">
        <v>44840</v>
      </c>
      <c r="I523" s="222">
        <v>44844</v>
      </c>
      <c r="J523" s="222" t="s">
        <v>176</v>
      </c>
      <c r="K523" s="222" t="s">
        <v>176</v>
      </c>
      <c r="L523" s="222">
        <v>44859</v>
      </c>
      <c r="M523" s="222">
        <v>44859</v>
      </c>
      <c r="N523" s="222">
        <v>44879</v>
      </c>
      <c r="O523" s="222"/>
      <c r="P523" s="222"/>
      <c r="Q523" s="222"/>
      <c r="R523" s="222"/>
      <c r="S523" s="222"/>
      <c r="T523" s="222"/>
      <c r="U523" s="222"/>
      <c r="V523" s="222"/>
      <c r="W523" s="222"/>
      <c r="X523" s="222"/>
      <c r="Y523" s="222"/>
      <c r="Z523" s="222"/>
      <c r="AA523" s="253">
        <v>3</v>
      </c>
      <c r="AB523" s="225">
        <v>11444</v>
      </c>
      <c r="AC523" s="253">
        <v>487</v>
      </c>
      <c r="AD523" s="222" t="s">
        <v>3927</v>
      </c>
      <c r="AE523" s="253">
        <v>38620</v>
      </c>
      <c r="AF523" s="222" t="s">
        <v>2540</v>
      </c>
      <c r="AG523" s="226">
        <v>674439478</v>
      </c>
      <c r="AH523" s="240" t="s">
        <v>3928</v>
      </c>
      <c r="AI523" s="222" t="s">
        <v>1168</v>
      </c>
      <c r="AJ523" s="222"/>
      <c r="AK523" s="222"/>
      <c r="AL523" s="222"/>
      <c r="AM523" s="222"/>
      <c r="AN523" s="222"/>
      <c r="AO523" s="222"/>
      <c r="AP523" s="222" t="s">
        <v>579</v>
      </c>
      <c r="AQ523" s="222" t="s">
        <v>1895</v>
      </c>
      <c r="AR523" s="222" t="s">
        <v>3794</v>
      </c>
      <c r="AS523" s="241" t="s">
        <v>201</v>
      </c>
      <c r="AT523" s="222" t="s">
        <v>580</v>
      </c>
      <c r="AU523" s="222" t="s">
        <v>3795</v>
      </c>
      <c r="AV523" s="222" t="s">
        <v>188</v>
      </c>
      <c r="AW523" s="222">
        <v>45147</v>
      </c>
      <c r="AX523" s="225" t="s">
        <v>4113</v>
      </c>
      <c r="AY523" s="242">
        <v>1983</v>
      </c>
      <c r="AZ523" s="225" t="s">
        <v>1880</v>
      </c>
      <c r="BA523" s="225" t="s">
        <v>267</v>
      </c>
      <c r="BB523" s="242" t="s">
        <v>1897</v>
      </c>
      <c r="BC523" s="242" t="s">
        <v>3929</v>
      </c>
      <c r="BD523" s="242">
        <v>9</v>
      </c>
      <c r="BE523" s="242">
        <v>8</v>
      </c>
      <c r="BF523" s="242">
        <v>89.7</v>
      </c>
      <c r="BG523" s="242">
        <v>30</v>
      </c>
      <c r="BH523" s="242" t="s">
        <v>3023</v>
      </c>
      <c r="BI523" s="242"/>
      <c r="BJ523" s="230">
        <f>(((3890/1.055)+(879/1.055)+(389/1.055)+(378/1.055)))</f>
        <v>5247.3933649289093</v>
      </c>
      <c r="BK523" s="222"/>
      <c r="BL523" s="222"/>
      <c r="BM523" s="222"/>
      <c r="BN523" s="289">
        <f>((780/1.055)+(120/1.055))</f>
        <v>853.08056872037912</v>
      </c>
      <c r="BO523" s="289">
        <f t="shared" si="72"/>
        <v>6100.4739336492885</v>
      </c>
      <c r="BP523" s="230">
        <f>BO523*0.055</f>
        <v>335.52606635071089</v>
      </c>
      <c r="BQ523" s="242">
        <f t="shared" si="68"/>
        <v>6435.9999999999991</v>
      </c>
      <c r="BR523" s="222"/>
      <c r="BS523" s="222" t="s">
        <v>519</v>
      </c>
      <c r="BT523" s="222"/>
      <c r="BU523" s="222"/>
      <c r="BV523" s="301" t="s">
        <v>4045</v>
      </c>
      <c r="BW523" s="225" t="s">
        <v>968</v>
      </c>
      <c r="BX523" s="222" t="s">
        <v>618</v>
      </c>
      <c r="BY523" s="301" t="s">
        <v>176</v>
      </c>
    </row>
    <row r="524" spans="1:77" s="33" customFormat="1" ht="13.5" customHeight="1">
      <c r="A524" s="64">
        <f t="shared" si="69"/>
        <v>2022</v>
      </c>
      <c r="B524" s="64">
        <f t="shared" si="70"/>
        <v>10</v>
      </c>
      <c r="C524" s="125" t="s">
        <v>191</v>
      </c>
      <c r="D524" s="168" t="str">
        <f t="shared" si="71"/>
        <v>non maj</v>
      </c>
      <c r="E524" s="264" t="s">
        <v>3918</v>
      </c>
      <c r="F524" s="264" t="s">
        <v>1819</v>
      </c>
      <c r="G524" s="221">
        <v>600</v>
      </c>
      <c r="H524" s="222">
        <v>44841</v>
      </c>
      <c r="I524" s="222">
        <v>44844</v>
      </c>
      <c r="J524" s="222">
        <v>44860</v>
      </c>
      <c r="K524" s="222" t="s">
        <v>1060</v>
      </c>
      <c r="L524" s="222">
        <v>44859</v>
      </c>
      <c r="M524" s="222">
        <v>44859</v>
      </c>
      <c r="N524" s="222">
        <v>44879</v>
      </c>
      <c r="O524" s="222"/>
      <c r="P524" s="222">
        <v>44896</v>
      </c>
      <c r="Q524" s="222">
        <v>44891</v>
      </c>
      <c r="R524" s="222" t="s">
        <v>176</v>
      </c>
      <c r="S524" s="222">
        <v>44915</v>
      </c>
      <c r="T524" s="222">
        <v>44915</v>
      </c>
      <c r="U524" s="222">
        <v>44932</v>
      </c>
      <c r="V524" s="222"/>
      <c r="W524" s="222"/>
      <c r="X524" s="222"/>
      <c r="Y524" s="222"/>
      <c r="Z524" s="222"/>
      <c r="AA524" s="253">
        <v>2</v>
      </c>
      <c r="AB524" s="225">
        <v>37277</v>
      </c>
      <c r="AC524" s="253">
        <v>213</v>
      </c>
      <c r="AD524" s="222" t="s">
        <v>3930</v>
      </c>
      <c r="AE524" s="253">
        <v>38960</v>
      </c>
      <c r="AF524" s="225" t="s">
        <v>1964</v>
      </c>
      <c r="AG524" s="226">
        <v>689682722</v>
      </c>
      <c r="AH524" s="240" t="s">
        <v>3931</v>
      </c>
      <c r="AI524" s="222" t="s">
        <v>1168</v>
      </c>
      <c r="AJ524" s="222"/>
      <c r="AK524" s="222"/>
      <c r="AL524" s="222"/>
      <c r="AM524" s="222"/>
      <c r="AN524" s="222"/>
      <c r="AO524" s="222"/>
      <c r="AP524" s="225" t="s">
        <v>675</v>
      </c>
      <c r="AQ524" s="225" t="s">
        <v>225</v>
      </c>
      <c r="AR524" s="225" t="s">
        <v>1948</v>
      </c>
      <c r="AS524" s="241" t="s">
        <v>673</v>
      </c>
      <c r="AT524" s="226" t="s">
        <v>1010</v>
      </c>
      <c r="AU524" s="225" t="s">
        <v>176</v>
      </c>
      <c r="AV524" s="241" t="s">
        <v>188</v>
      </c>
      <c r="AW524" s="223">
        <v>44798</v>
      </c>
      <c r="AX524" s="225" t="s">
        <v>1879</v>
      </c>
      <c r="AY524" s="242">
        <v>1986</v>
      </c>
      <c r="AZ524" s="225" t="s">
        <v>1880</v>
      </c>
      <c r="BA524" s="225" t="s">
        <v>380</v>
      </c>
      <c r="BB524" s="242" t="s">
        <v>413</v>
      </c>
      <c r="BC524" s="242" t="s">
        <v>3932</v>
      </c>
      <c r="BD524" s="242">
        <v>20</v>
      </c>
      <c r="BE524" s="242">
        <v>8</v>
      </c>
      <c r="BF524" s="242">
        <v>87</v>
      </c>
      <c r="BG524" s="242">
        <v>40</v>
      </c>
      <c r="BH524" s="242" t="s">
        <v>1882</v>
      </c>
      <c r="BI524" s="242"/>
      <c r="BJ524" s="242">
        <f>9235.16+404+804.89</f>
        <v>10444.049999999999</v>
      </c>
      <c r="BK524" s="222"/>
      <c r="BL524" s="222"/>
      <c r="BM524" s="222"/>
      <c r="BN524" s="242">
        <f>630-2168.29</f>
        <v>-1538.29</v>
      </c>
      <c r="BO524" s="230">
        <f t="shared" si="72"/>
        <v>8905.7599999999984</v>
      </c>
      <c r="BP524" s="230">
        <f>BO524*0.055</f>
        <v>489.81679999999989</v>
      </c>
      <c r="BQ524" s="230">
        <f t="shared" si="68"/>
        <v>9395.5767999999989</v>
      </c>
      <c r="BR524" s="230">
        <v>9395.58</v>
      </c>
      <c r="BS524" s="222" t="s">
        <v>388</v>
      </c>
      <c r="BT524" s="222"/>
      <c r="BU524" s="222"/>
      <c r="BV524" s="301" t="s">
        <v>4045</v>
      </c>
      <c r="BW524" s="225" t="s">
        <v>968</v>
      </c>
      <c r="BX524" s="301" t="s">
        <v>620</v>
      </c>
      <c r="BY524" s="242">
        <v>2022</v>
      </c>
    </row>
    <row r="525" spans="1:77" s="33" customFormat="1" ht="13.5" customHeight="1">
      <c r="A525" s="64">
        <f t="shared" si="69"/>
        <v>2022</v>
      </c>
      <c r="B525" s="64">
        <f t="shared" si="70"/>
        <v>11</v>
      </c>
      <c r="C525" s="125" t="s">
        <v>191</v>
      </c>
      <c r="D525" s="168" t="str">
        <f t="shared" si="71"/>
        <v>maj</v>
      </c>
      <c r="E525" s="264" t="s">
        <v>3933</v>
      </c>
      <c r="F525" s="264" t="s">
        <v>1821</v>
      </c>
      <c r="G525" s="221">
        <v>1000</v>
      </c>
      <c r="H525" s="222">
        <v>44841</v>
      </c>
      <c r="I525" s="222">
        <v>44844</v>
      </c>
      <c r="J525" s="222">
        <v>44859</v>
      </c>
      <c r="K525" s="222" t="s">
        <v>3934</v>
      </c>
      <c r="L525" s="222">
        <v>44874</v>
      </c>
      <c r="M525" s="222">
        <v>44874</v>
      </c>
      <c r="N525" s="222">
        <v>44886</v>
      </c>
      <c r="O525" s="222"/>
      <c r="P525" s="222">
        <v>44890</v>
      </c>
      <c r="Q525" s="222">
        <v>44889</v>
      </c>
      <c r="R525" s="222" t="s">
        <v>176</v>
      </c>
      <c r="S525" s="222">
        <v>44895</v>
      </c>
      <c r="T525" s="222">
        <v>44895</v>
      </c>
      <c r="U525" s="238">
        <v>44897</v>
      </c>
      <c r="V525" s="222"/>
      <c r="W525" s="222"/>
      <c r="X525" s="222"/>
      <c r="Y525" s="222"/>
      <c r="Z525" s="222"/>
      <c r="AA525" s="253">
        <v>5</v>
      </c>
      <c r="AB525" s="225">
        <v>40616</v>
      </c>
      <c r="AC525" s="253" t="s">
        <v>3935</v>
      </c>
      <c r="AD525" s="222" t="s">
        <v>3936</v>
      </c>
      <c r="AE525" s="253">
        <v>38430</v>
      </c>
      <c r="AF525" s="222" t="s">
        <v>1893</v>
      </c>
      <c r="AG525" s="226">
        <v>619635773</v>
      </c>
      <c r="AH525" s="234" t="s">
        <v>3937</v>
      </c>
      <c r="AI525" s="222" t="s">
        <v>1168</v>
      </c>
      <c r="AJ525" s="222"/>
      <c r="AK525" s="222"/>
      <c r="AL525" s="222"/>
      <c r="AM525" s="222"/>
      <c r="AN525" s="222"/>
      <c r="AO525" s="222"/>
      <c r="AP525" s="222" t="s">
        <v>268</v>
      </c>
      <c r="AQ525" s="222" t="s">
        <v>1893</v>
      </c>
      <c r="AR525" s="222" t="s">
        <v>3756</v>
      </c>
      <c r="AS525" s="234" t="s">
        <v>1934</v>
      </c>
      <c r="AT525" s="226" t="s">
        <v>3027</v>
      </c>
      <c r="AU525" s="222"/>
      <c r="AV525" s="241" t="s">
        <v>188</v>
      </c>
      <c r="AW525" s="222">
        <v>44883</v>
      </c>
      <c r="AX525" s="225" t="s">
        <v>1879</v>
      </c>
      <c r="AY525" s="242">
        <v>2000</v>
      </c>
      <c r="AZ525" s="225" t="s">
        <v>4113</v>
      </c>
      <c r="BA525" s="225" t="s">
        <v>380</v>
      </c>
      <c r="BB525" s="242" t="s">
        <v>1936</v>
      </c>
      <c r="BC525" s="242" t="s">
        <v>2240</v>
      </c>
      <c r="BD525" s="242">
        <v>16</v>
      </c>
      <c r="BE525" s="242">
        <v>9</v>
      </c>
      <c r="BF525" s="242">
        <v>81</v>
      </c>
      <c r="BG525" s="242">
        <v>813</v>
      </c>
      <c r="BH525" s="242" t="s">
        <v>1882</v>
      </c>
      <c r="BI525" s="242"/>
      <c r="BJ525" s="242">
        <f>365+48.5+35.5+99.09+94+465.75+1825+266.4+585+128.8+479</f>
        <v>4392.0400000000009</v>
      </c>
      <c r="BK525" s="222"/>
      <c r="BL525" s="222"/>
      <c r="BM525" s="222"/>
      <c r="BN525" s="242">
        <f>475+950</f>
        <v>1425</v>
      </c>
      <c r="BO525" s="230">
        <f t="shared" si="72"/>
        <v>5817.0400000000009</v>
      </c>
      <c r="BP525" s="230">
        <f t="shared" si="67"/>
        <v>319.93720000000008</v>
      </c>
      <c r="BQ525" s="230">
        <f t="shared" si="68"/>
        <v>6136.9772000000012</v>
      </c>
      <c r="BR525" s="242">
        <v>6136.98</v>
      </c>
      <c r="BS525" s="222" t="s">
        <v>519</v>
      </c>
      <c r="BT525" s="222"/>
      <c r="BU525" s="222"/>
      <c r="BV525" s="231" t="s">
        <v>4045</v>
      </c>
      <c r="BW525" s="225" t="s">
        <v>968</v>
      </c>
      <c r="BX525" s="222" t="s">
        <v>618</v>
      </c>
      <c r="BY525" s="242">
        <v>2022</v>
      </c>
    </row>
    <row r="526" spans="1:77" s="33" customFormat="1" ht="13.5" customHeight="1">
      <c r="A526" s="64">
        <f t="shared" si="69"/>
        <v>2022</v>
      </c>
      <c r="B526" s="64">
        <f t="shared" si="70"/>
        <v>12</v>
      </c>
      <c r="C526" s="125" t="s">
        <v>191</v>
      </c>
      <c r="D526" s="168" t="str">
        <f t="shared" si="71"/>
        <v>non maj</v>
      </c>
      <c r="E526" s="222" t="s">
        <v>1063</v>
      </c>
      <c r="F526" s="222" t="s">
        <v>1822</v>
      </c>
      <c r="G526" s="221">
        <v>600</v>
      </c>
      <c r="H526" s="222">
        <v>44842</v>
      </c>
      <c r="I526" s="222">
        <v>44844</v>
      </c>
      <c r="J526" s="222">
        <v>44859</v>
      </c>
      <c r="K526" s="222" t="s">
        <v>3938</v>
      </c>
      <c r="L526" s="222">
        <v>44910</v>
      </c>
      <c r="M526" s="222">
        <v>44910</v>
      </c>
      <c r="N526" s="222">
        <v>44931</v>
      </c>
      <c r="O526" s="222"/>
      <c r="P526" s="222"/>
      <c r="Q526" s="222"/>
      <c r="R526" s="222"/>
      <c r="S526" s="222"/>
      <c r="T526" s="222"/>
      <c r="U526" s="222"/>
      <c r="V526" s="222"/>
      <c r="W526" s="222"/>
      <c r="X526" s="222"/>
      <c r="Y526" s="222"/>
      <c r="Z526" s="222"/>
      <c r="AA526" s="253">
        <v>2</v>
      </c>
      <c r="AB526" s="225">
        <v>46283</v>
      </c>
      <c r="AC526" s="253">
        <v>565</v>
      </c>
      <c r="AD526" s="222" t="s">
        <v>797</v>
      </c>
      <c r="AE526" s="253">
        <v>38430</v>
      </c>
      <c r="AF526" s="225" t="s">
        <v>2081</v>
      </c>
      <c r="AG526" s="226">
        <v>476356115</v>
      </c>
      <c r="AH526" s="234" t="s">
        <v>3939</v>
      </c>
      <c r="AI526" s="222"/>
      <c r="AJ526" s="222"/>
      <c r="AK526" s="222"/>
      <c r="AL526" s="222"/>
      <c r="AM526" s="222"/>
      <c r="AN526" s="222"/>
      <c r="AO526" s="222"/>
      <c r="AP526" s="222" t="s">
        <v>778</v>
      </c>
      <c r="AQ526" s="222" t="s">
        <v>1926</v>
      </c>
      <c r="AR526" s="222" t="s">
        <v>3800</v>
      </c>
      <c r="AS526" s="241" t="s">
        <v>251</v>
      </c>
      <c r="AT526" s="222" t="s">
        <v>3801</v>
      </c>
      <c r="AU526" s="222"/>
      <c r="AV526" s="241" t="s">
        <v>188</v>
      </c>
      <c r="AW526" s="222">
        <v>45006</v>
      </c>
      <c r="AX526" s="225" t="s">
        <v>4113</v>
      </c>
      <c r="AY526" s="242" t="s">
        <v>1935</v>
      </c>
      <c r="AZ526" s="225" t="s">
        <v>1880</v>
      </c>
      <c r="BA526" s="225" t="s">
        <v>380</v>
      </c>
      <c r="BB526" s="242" t="s">
        <v>244</v>
      </c>
      <c r="BC526" s="242" t="s">
        <v>3940</v>
      </c>
      <c r="BD526" s="242">
        <v>13</v>
      </c>
      <c r="BE526" s="242">
        <v>11</v>
      </c>
      <c r="BF526" s="242">
        <v>75.8</v>
      </c>
      <c r="BG526" s="242">
        <v>750</v>
      </c>
      <c r="BH526" s="242" t="s">
        <v>1882</v>
      </c>
      <c r="BI526" s="242"/>
      <c r="BJ526" s="242">
        <f>3470+433+2481+303+125+856+167+135</f>
        <v>7970</v>
      </c>
      <c r="BK526" s="242"/>
      <c r="BL526" s="242"/>
      <c r="BM526" s="242"/>
      <c r="BN526" s="242">
        <v>1990</v>
      </c>
      <c r="BO526" s="230">
        <f>BJ526+BN526</f>
        <v>9960</v>
      </c>
      <c r="BP526" s="230">
        <f t="shared" si="67"/>
        <v>547.79999999999995</v>
      </c>
      <c r="BQ526" s="242">
        <f t="shared" si="68"/>
        <v>10507.8</v>
      </c>
      <c r="BR526" s="222"/>
      <c r="BS526" s="222"/>
      <c r="BT526" s="222"/>
      <c r="BU526" s="222"/>
      <c r="BV526" s="242"/>
      <c r="BW526" s="225" t="s">
        <v>968</v>
      </c>
      <c r="BX526" s="301" t="s">
        <v>620</v>
      </c>
      <c r="BY526" s="222"/>
    </row>
    <row r="527" spans="1:77" s="33" customFormat="1" ht="13.5" customHeight="1">
      <c r="A527" s="64">
        <f t="shared" si="69"/>
        <v>1900</v>
      </c>
      <c r="B527" s="64">
        <f t="shared" si="70"/>
        <v>1</v>
      </c>
      <c r="C527" s="125"/>
      <c r="D527" s="168"/>
      <c r="E527" s="222"/>
      <c r="F527" s="222"/>
      <c r="G527" s="221"/>
      <c r="H527" s="222"/>
      <c r="I527" s="222"/>
      <c r="J527" s="222"/>
      <c r="K527" s="222"/>
      <c r="L527" s="222"/>
      <c r="M527" s="222"/>
      <c r="N527" s="222"/>
      <c r="O527" s="222"/>
      <c r="P527" s="222"/>
      <c r="Q527" s="222"/>
      <c r="R527" s="222"/>
      <c r="S527" s="222"/>
      <c r="T527" s="222"/>
      <c r="U527" s="222"/>
      <c r="V527" s="222"/>
      <c r="W527" s="222"/>
      <c r="X527" s="222"/>
      <c r="Y527" s="222"/>
      <c r="Z527" s="222"/>
      <c r="AA527" s="253"/>
      <c r="AB527" s="225"/>
      <c r="AC527" s="253"/>
      <c r="AD527" s="222"/>
      <c r="AE527" s="253"/>
      <c r="AF527" s="222"/>
      <c r="AG527" s="226"/>
      <c r="AH527" s="240"/>
      <c r="AI527" s="222"/>
      <c r="AJ527" s="222"/>
      <c r="AK527" s="222"/>
      <c r="AL527" s="222"/>
      <c r="AM527" s="222"/>
      <c r="AN527" s="222"/>
      <c r="AO527" s="222"/>
      <c r="AP527" s="225" t="s">
        <v>2052</v>
      </c>
      <c r="AQ527" s="222"/>
      <c r="AR527" s="222"/>
      <c r="AS527" s="241"/>
      <c r="AT527" s="222"/>
      <c r="AU527" s="225"/>
      <c r="AV527" s="241"/>
      <c r="AW527" s="222"/>
      <c r="AX527" s="225" t="s">
        <v>1179</v>
      </c>
      <c r="AY527" s="242"/>
      <c r="AZ527" s="225" t="s">
        <v>1880</v>
      </c>
      <c r="BA527" s="225" t="s">
        <v>380</v>
      </c>
      <c r="BB527" s="222"/>
      <c r="BC527" s="222"/>
      <c r="BD527" s="242"/>
      <c r="BE527" s="242"/>
      <c r="BF527" s="242"/>
      <c r="BG527" s="242"/>
      <c r="BH527" s="242"/>
      <c r="BI527" s="242"/>
      <c r="BJ527" s="242"/>
      <c r="BK527" s="242"/>
      <c r="BL527" s="242"/>
      <c r="BM527" s="242"/>
      <c r="BN527" s="242"/>
      <c r="BO527" s="230"/>
      <c r="BP527" s="230"/>
      <c r="BQ527" s="230"/>
      <c r="BR527" s="222"/>
      <c r="BS527" s="222"/>
      <c r="BT527" s="222"/>
      <c r="BU527" s="222"/>
      <c r="BV527" s="242"/>
      <c r="BW527" s="222"/>
      <c r="BX527" s="222"/>
      <c r="BY527" s="222"/>
    </row>
    <row r="528" spans="1:77" s="33" customFormat="1" ht="13.5" customHeight="1">
      <c r="A528" s="64">
        <f t="shared" si="69"/>
        <v>2022</v>
      </c>
      <c r="B528" s="64">
        <f t="shared" si="70"/>
        <v>11</v>
      </c>
      <c r="C528" s="125" t="s">
        <v>191</v>
      </c>
      <c r="D528" s="168" t="str">
        <f t="shared" si="71"/>
        <v>maj</v>
      </c>
      <c r="E528" s="222" t="s">
        <v>3918</v>
      </c>
      <c r="F528" s="222" t="s">
        <v>1824</v>
      </c>
      <c r="G528" s="221">
        <v>1000</v>
      </c>
      <c r="H528" s="222">
        <v>44846</v>
      </c>
      <c r="I528" s="222">
        <v>44852</v>
      </c>
      <c r="J528" s="222" t="s">
        <v>176</v>
      </c>
      <c r="K528" s="222" t="s">
        <v>176</v>
      </c>
      <c r="L528" s="222">
        <v>44880</v>
      </c>
      <c r="M528" s="222">
        <v>44880</v>
      </c>
      <c r="N528" s="222">
        <v>44893</v>
      </c>
      <c r="O528" s="222"/>
      <c r="P528" s="222"/>
      <c r="Q528" s="222"/>
      <c r="R528" s="222"/>
      <c r="S528" s="222"/>
      <c r="T528" s="222"/>
      <c r="U528" s="222"/>
      <c r="V528" s="222"/>
      <c r="W528" s="222"/>
      <c r="X528" s="222"/>
      <c r="Y528" s="222"/>
      <c r="Z528" s="222"/>
      <c r="AA528" s="253">
        <v>1</v>
      </c>
      <c r="AB528" s="225">
        <v>14974</v>
      </c>
      <c r="AC528" s="253">
        <v>50</v>
      </c>
      <c r="AD528" s="222" t="s">
        <v>3943</v>
      </c>
      <c r="AE528" s="253">
        <v>38620</v>
      </c>
      <c r="AF528" s="222" t="s">
        <v>2231</v>
      </c>
      <c r="AG528" s="226">
        <v>669789262</v>
      </c>
      <c r="AH528" s="240" t="s">
        <v>3944</v>
      </c>
      <c r="AI528" s="222" t="s">
        <v>1168</v>
      </c>
      <c r="AJ528" s="222"/>
      <c r="AK528" s="222"/>
      <c r="AL528" s="222"/>
      <c r="AM528" s="222"/>
      <c r="AN528" s="222"/>
      <c r="AO528" s="222"/>
      <c r="AP528" s="225" t="s">
        <v>3613</v>
      </c>
      <c r="AQ528" s="225" t="s">
        <v>1875</v>
      </c>
      <c r="AR528" s="225" t="s">
        <v>1876</v>
      </c>
      <c r="AS528" s="246" t="s">
        <v>1877</v>
      </c>
      <c r="AT528" s="226" t="s">
        <v>434</v>
      </c>
      <c r="AU528" s="225" t="s">
        <v>176</v>
      </c>
      <c r="AV528" s="241" t="s">
        <v>1878</v>
      </c>
      <c r="AW528" s="223">
        <v>45247</v>
      </c>
      <c r="AX528" s="225" t="s">
        <v>1179</v>
      </c>
      <c r="AY528" s="242">
        <v>1970</v>
      </c>
      <c r="AZ528" s="225" t="s">
        <v>1880</v>
      </c>
      <c r="BA528" s="225" t="s">
        <v>267</v>
      </c>
      <c r="BB528" s="222" t="s">
        <v>3945</v>
      </c>
      <c r="BC528" s="222" t="s">
        <v>3946</v>
      </c>
      <c r="BD528" s="242">
        <v>15</v>
      </c>
      <c r="BE528" s="242">
        <v>9</v>
      </c>
      <c r="BF528" s="242">
        <v>91</v>
      </c>
      <c r="BG528" s="242">
        <v>30</v>
      </c>
      <c r="BH528" s="242" t="s">
        <v>1882</v>
      </c>
      <c r="BI528" s="222"/>
      <c r="BJ528" s="242">
        <f>3650+1695+333.8+193+198</f>
        <v>6069.8</v>
      </c>
      <c r="BK528" s="242"/>
      <c r="BL528" s="242"/>
      <c r="BM528" s="242"/>
      <c r="BN528" s="242">
        <f>890</f>
        <v>890</v>
      </c>
      <c r="BO528" s="230">
        <f t="shared" si="72"/>
        <v>6959.8</v>
      </c>
      <c r="BP528" s="230">
        <f t="shared" si="67"/>
        <v>382.78899999999999</v>
      </c>
      <c r="BQ528" s="230">
        <f t="shared" si="68"/>
        <v>7342.5889999999999</v>
      </c>
      <c r="BR528" s="222"/>
      <c r="BS528" s="222" t="s">
        <v>188</v>
      </c>
      <c r="BT528" s="222"/>
      <c r="BU528" s="222"/>
      <c r="BV528" s="301" t="s">
        <v>4045</v>
      </c>
      <c r="BW528" s="225" t="s">
        <v>968</v>
      </c>
      <c r="BX528" s="222" t="s">
        <v>618</v>
      </c>
      <c r="BY528" s="222"/>
    </row>
    <row r="529" spans="1:77" s="33" customFormat="1" ht="13.5" customHeight="1">
      <c r="A529" s="64">
        <f t="shared" si="69"/>
        <v>2022</v>
      </c>
      <c r="B529" s="64">
        <f t="shared" si="70"/>
        <v>11</v>
      </c>
      <c r="C529" s="125" t="s">
        <v>191</v>
      </c>
      <c r="D529" s="168" t="str">
        <f t="shared" si="71"/>
        <v>non maj</v>
      </c>
      <c r="E529" s="222" t="s">
        <v>3918</v>
      </c>
      <c r="F529" s="222" t="s">
        <v>1825</v>
      </c>
      <c r="G529" s="221">
        <v>600</v>
      </c>
      <c r="H529" s="222">
        <v>44854</v>
      </c>
      <c r="I529" s="222">
        <v>44859</v>
      </c>
      <c r="J529" s="222" t="s">
        <v>176</v>
      </c>
      <c r="K529" s="222" t="s">
        <v>176</v>
      </c>
      <c r="L529" s="222">
        <v>44880</v>
      </c>
      <c r="M529" s="222">
        <v>44880</v>
      </c>
      <c r="N529" s="222">
        <v>44893</v>
      </c>
      <c r="O529" s="222"/>
      <c r="P529" s="222"/>
      <c r="Q529" s="222"/>
      <c r="R529" s="222"/>
      <c r="S529" s="222"/>
      <c r="T529" s="222"/>
      <c r="U529" s="222"/>
      <c r="V529" s="222"/>
      <c r="W529" s="222"/>
      <c r="X529" s="222"/>
      <c r="Y529" s="222"/>
      <c r="Z529" s="222"/>
      <c r="AA529" s="253">
        <v>2</v>
      </c>
      <c r="AB529" s="225">
        <v>29736</v>
      </c>
      <c r="AC529" s="253">
        <v>224</v>
      </c>
      <c r="AD529" s="222" t="s">
        <v>3947</v>
      </c>
      <c r="AE529" s="253">
        <v>38500</v>
      </c>
      <c r="AF529" s="222" t="s">
        <v>1907</v>
      </c>
      <c r="AG529" s="226" t="s">
        <v>3948</v>
      </c>
      <c r="AH529" s="240" t="s">
        <v>3949</v>
      </c>
      <c r="AI529" s="222" t="s">
        <v>1168</v>
      </c>
      <c r="AJ529" s="222"/>
      <c r="AK529" s="222"/>
      <c r="AL529" s="222"/>
      <c r="AM529" s="222"/>
      <c r="AN529" s="222"/>
      <c r="AO529" s="222"/>
      <c r="AP529" s="222" t="s">
        <v>587</v>
      </c>
      <c r="AQ529" s="222" t="s">
        <v>225</v>
      </c>
      <c r="AR529" s="222" t="s">
        <v>3790</v>
      </c>
      <c r="AS529" s="285" t="s">
        <v>266</v>
      </c>
      <c r="AT529" s="222" t="s">
        <v>588</v>
      </c>
      <c r="AU529" s="222"/>
      <c r="AV529" s="222" t="s">
        <v>188</v>
      </c>
      <c r="AW529" s="222" t="s">
        <v>3836</v>
      </c>
      <c r="AX529" s="225" t="s">
        <v>1879</v>
      </c>
      <c r="AY529" s="242">
        <v>1987</v>
      </c>
      <c r="AZ529" s="225" t="s">
        <v>1880</v>
      </c>
      <c r="BA529" s="225" t="s">
        <v>380</v>
      </c>
      <c r="BB529" s="222" t="s">
        <v>3950</v>
      </c>
      <c r="BC529" s="222" t="s">
        <v>384</v>
      </c>
      <c r="BD529" s="242">
        <v>15</v>
      </c>
      <c r="BE529" s="242">
        <v>4</v>
      </c>
      <c r="BF529" s="242">
        <v>80.5</v>
      </c>
      <c r="BG529" s="242">
        <v>1192</v>
      </c>
      <c r="BH529" s="242" t="s">
        <v>1882</v>
      </c>
      <c r="BI529" s="222"/>
      <c r="BJ529" s="242">
        <f>1130+275+89+2610</f>
        <v>4104</v>
      </c>
      <c r="BK529" s="242"/>
      <c r="BL529" s="242"/>
      <c r="BM529" s="242"/>
      <c r="BN529" s="242">
        <f>690+390+490+220+330</f>
        <v>2120</v>
      </c>
      <c r="BO529" s="230">
        <f t="shared" si="72"/>
        <v>6224</v>
      </c>
      <c r="BP529" s="230">
        <f t="shared" si="67"/>
        <v>342.32</v>
      </c>
      <c r="BQ529" s="242">
        <f t="shared" si="68"/>
        <v>6566.32</v>
      </c>
      <c r="BR529" s="222"/>
      <c r="BS529" s="222" t="s">
        <v>191</v>
      </c>
      <c r="BT529" s="222"/>
      <c r="BU529" s="222"/>
      <c r="BV529" s="301" t="s">
        <v>4045</v>
      </c>
      <c r="BW529" s="225" t="s">
        <v>968</v>
      </c>
      <c r="BX529" s="301" t="s">
        <v>620</v>
      </c>
      <c r="BY529" s="242">
        <v>2022</v>
      </c>
    </row>
    <row r="530" spans="1:77" s="33" customFormat="1" ht="13.5" customHeight="1">
      <c r="A530" s="64">
        <f t="shared" si="69"/>
        <v>2022</v>
      </c>
      <c r="B530" s="64">
        <f t="shared" si="70"/>
        <v>11</v>
      </c>
      <c r="C530" s="125" t="s">
        <v>191</v>
      </c>
      <c r="D530" s="168" t="str">
        <f t="shared" si="71"/>
        <v>non maj</v>
      </c>
      <c r="E530" s="222" t="s">
        <v>3918</v>
      </c>
      <c r="F530" s="222" t="s">
        <v>1826</v>
      </c>
      <c r="G530" s="221">
        <v>600</v>
      </c>
      <c r="H530" s="222">
        <v>44856</v>
      </c>
      <c r="I530" s="222">
        <v>44859</v>
      </c>
      <c r="J530" s="222">
        <v>44868</v>
      </c>
      <c r="K530" s="222" t="s">
        <v>1060</v>
      </c>
      <c r="L530" s="222">
        <v>44880</v>
      </c>
      <c r="M530" s="222">
        <v>44880</v>
      </c>
      <c r="N530" s="222">
        <v>44893</v>
      </c>
      <c r="O530" s="222"/>
      <c r="P530" s="222"/>
      <c r="Q530" s="222"/>
      <c r="R530" s="222"/>
      <c r="S530" s="222"/>
      <c r="T530" s="222"/>
      <c r="U530" s="222"/>
      <c r="V530" s="222"/>
      <c r="W530" s="222"/>
      <c r="X530" s="222"/>
      <c r="Y530" s="222"/>
      <c r="Z530" s="222"/>
      <c r="AA530" s="253">
        <v>4</v>
      </c>
      <c r="AB530" s="225">
        <v>43486</v>
      </c>
      <c r="AC530" s="253">
        <v>10</v>
      </c>
      <c r="AD530" s="222" t="s">
        <v>3951</v>
      </c>
      <c r="AE530" s="253">
        <v>38210</v>
      </c>
      <c r="AF530" s="222" t="s">
        <v>265</v>
      </c>
      <c r="AG530" s="284" t="s">
        <v>3952</v>
      </c>
      <c r="AH530" s="240" t="s">
        <v>3953</v>
      </c>
      <c r="AI530" s="222" t="s">
        <v>1168</v>
      </c>
      <c r="AJ530" s="222"/>
      <c r="AK530" s="222"/>
      <c r="AL530" s="222"/>
      <c r="AM530" s="222"/>
      <c r="AN530" s="222"/>
      <c r="AO530" s="222"/>
      <c r="AP530" s="222" t="s">
        <v>1071</v>
      </c>
      <c r="AQ530" s="222" t="s">
        <v>232</v>
      </c>
      <c r="AR530" s="222" t="s">
        <v>3810</v>
      </c>
      <c r="AS530" s="234" t="s">
        <v>3811</v>
      </c>
      <c r="AT530" s="222" t="s">
        <v>3812</v>
      </c>
      <c r="AU530" s="222"/>
      <c r="AV530" s="222" t="s">
        <v>188</v>
      </c>
      <c r="AW530" s="222">
        <v>45102</v>
      </c>
      <c r="AX530" s="225" t="s">
        <v>1879</v>
      </c>
      <c r="AY530" s="242">
        <v>1980</v>
      </c>
      <c r="AZ530" s="225" t="s">
        <v>1880</v>
      </c>
      <c r="BA530" s="225" t="s">
        <v>380</v>
      </c>
      <c r="BB530" s="242" t="s">
        <v>3954</v>
      </c>
      <c r="BC530" s="242" t="s">
        <v>3955</v>
      </c>
      <c r="BD530" s="242">
        <v>19</v>
      </c>
      <c r="BE530" s="242">
        <v>8.1</v>
      </c>
      <c r="BF530" s="242">
        <v>80</v>
      </c>
      <c r="BG530" s="242">
        <v>750</v>
      </c>
      <c r="BH530" s="222" t="s">
        <v>1882</v>
      </c>
      <c r="BI530" s="222"/>
      <c r="BJ530" s="242">
        <f>3014.43+2082.28</f>
        <v>5096.71</v>
      </c>
      <c r="BK530" s="242"/>
      <c r="BL530" s="242"/>
      <c r="BM530" s="242"/>
      <c r="BN530" s="242">
        <v>1120</v>
      </c>
      <c r="BO530" s="230">
        <f t="shared" si="72"/>
        <v>6216.71</v>
      </c>
      <c r="BP530" s="230">
        <f t="shared" si="67"/>
        <v>341.91905000000003</v>
      </c>
      <c r="BQ530" s="230">
        <f t="shared" si="68"/>
        <v>6558.6290500000005</v>
      </c>
      <c r="BR530" s="222"/>
      <c r="BS530" s="222" t="s">
        <v>188</v>
      </c>
      <c r="BT530" s="222"/>
      <c r="BU530" s="222"/>
      <c r="BV530" s="301" t="s">
        <v>4045</v>
      </c>
      <c r="BW530" s="225" t="s">
        <v>968</v>
      </c>
      <c r="BX530" s="301" t="s">
        <v>620</v>
      </c>
      <c r="BY530" s="242">
        <v>2022</v>
      </c>
    </row>
    <row r="531" spans="1:77" s="33" customFormat="1" ht="13.5" customHeight="1">
      <c r="A531" s="64">
        <f t="shared" si="69"/>
        <v>2022</v>
      </c>
      <c r="B531" s="64">
        <f t="shared" si="70"/>
        <v>11</v>
      </c>
      <c r="C531" s="125" t="s">
        <v>191</v>
      </c>
      <c r="D531" s="168" t="str">
        <f t="shared" si="71"/>
        <v>non maj</v>
      </c>
      <c r="E531" s="222" t="s">
        <v>3918</v>
      </c>
      <c r="F531" s="222" t="s">
        <v>1828</v>
      </c>
      <c r="G531" s="221">
        <v>600</v>
      </c>
      <c r="H531" s="222">
        <v>44857</v>
      </c>
      <c r="I531" s="222">
        <v>44859</v>
      </c>
      <c r="J531" s="222" t="s">
        <v>176</v>
      </c>
      <c r="K531" s="222" t="s">
        <v>176</v>
      </c>
      <c r="L531" s="222">
        <v>44880</v>
      </c>
      <c r="M531" s="222">
        <v>44880</v>
      </c>
      <c r="N531" s="222">
        <v>44893</v>
      </c>
      <c r="O531" s="222"/>
      <c r="P531" s="222"/>
      <c r="Q531" s="222"/>
      <c r="R531" s="222"/>
      <c r="S531" s="222"/>
      <c r="T531" s="222"/>
      <c r="U531" s="222"/>
      <c r="V531" s="222"/>
      <c r="W531" s="222"/>
      <c r="X531" s="222"/>
      <c r="Y531" s="222"/>
      <c r="Z531" s="222"/>
      <c r="AA531" s="253">
        <v>3</v>
      </c>
      <c r="AB531" s="225">
        <v>59701</v>
      </c>
      <c r="AC531" s="253">
        <v>1512</v>
      </c>
      <c r="AD531" s="222" t="s">
        <v>3956</v>
      </c>
      <c r="AE531" s="253">
        <v>38960</v>
      </c>
      <c r="AF531" s="225" t="s">
        <v>2088</v>
      </c>
      <c r="AG531" s="226" t="s">
        <v>3957</v>
      </c>
      <c r="AH531" s="240" t="s">
        <v>3958</v>
      </c>
      <c r="AI531" s="222" t="s">
        <v>1168</v>
      </c>
      <c r="AJ531" s="222"/>
      <c r="AK531" s="222"/>
      <c r="AL531" s="222"/>
      <c r="AM531" s="222"/>
      <c r="AN531" s="222"/>
      <c r="AO531" s="222"/>
      <c r="AP531" s="222" t="s">
        <v>778</v>
      </c>
      <c r="AQ531" s="222" t="s">
        <v>1926</v>
      </c>
      <c r="AR531" s="222" t="s">
        <v>3800</v>
      </c>
      <c r="AS531" s="241" t="s">
        <v>251</v>
      </c>
      <c r="AT531" s="222" t="s">
        <v>3801</v>
      </c>
      <c r="AU531" s="222"/>
      <c r="AV531" s="241" t="s">
        <v>188</v>
      </c>
      <c r="AW531" s="222">
        <v>45006</v>
      </c>
      <c r="AX531" s="225" t="s">
        <v>1879</v>
      </c>
      <c r="AY531" s="242" t="s">
        <v>1935</v>
      </c>
      <c r="AZ531" s="225" t="s">
        <v>1880</v>
      </c>
      <c r="BA531" s="225" t="s">
        <v>380</v>
      </c>
      <c r="BB531" s="242" t="s">
        <v>244</v>
      </c>
      <c r="BC531" s="242" t="s">
        <v>3959</v>
      </c>
      <c r="BD531" s="242"/>
      <c r="BE531" s="242">
        <v>7.5</v>
      </c>
      <c r="BF531" s="242">
        <v>75</v>
      </c>
      <c r="BG531" s="242"/>
      <c r="BH531" s="222" t="s">
        <v>1882</v>
      </c>
      <c r="BI531" s="222"/>
      <c r="BJ531" s="242">
        <f>5463+3391+576</f>
        <v>9430</v>
      </c>
      <c r="BK531" s="242"/>
      <c r="BL531" s="242"/>
      <c r="BM531" s="242"/>
      <c r="BN531" s="242">
        <v>995</v>
      </c>
      <c r="BO531" s="230">
        <f t="shared" si="72"/>
        <v>10425</v>
      </c>
      <c r="BP531" s="230">
        <f t="shared" si="67"/>
        <v>573.375</v>
      </c>
      <c r="BQ531" s="230">
        <f t="shared" si="68"/>
        <v>10998.375</v>
      </c>
      <c r="BR531" s="222"/>
      <c r="BS531" s="222" t="s">
        <v>214</v>
      </c>
      <c r="BT531" s="222"/>
      <c r="BU531" s="222"/>
      <c r="BV531" s="301" t="s">
        <v>4045</v>
      </c>
      <c r="BW531" s="225" t="s">
        <v>968</v>
      </c>
      <c r="BX531" s="301" t="s">
        <v>620</v>
      </c>
      <c r="BY531" s="242">
        <v>2022</v>
      </c>
    </row>
    <row r="532" spans="1:77" s="33" customFormat="1" ht="13.5" customHeight="1">
      <c r="A532" s="64">
        <f t="shared" si="69"/>
        <v>2022</v>
      </c>
      <c r="B532" s="64">
        <f t="shared" si="70"/>
        <v>11</v>
      </c>
      <c r="C532" s="125" t="s">
        <v>191</v>
      </c>
      <c r="D532" s="168" t="str">
        <f t="shared" si="71"/>
        <v>non maj</v>
      </c>
      <c r="E532" s="222" t="s">
        <v>3918</v>
      </c>
      <c r="F532" s="222" t="s">
        <v>1829</v>
      </c>
      <c r="G532" s="221">
        <v>600</v>
      </c>
      <c r="H532" s="222">
        <v>44858</v>
      </c>
      <c r="I532" s="222">
        <v>44859</v>
      </c>
      <c r="J532" s="222">
        <v>44868</v>
      </c>
      <c r="K532" s="222" t="s">
        <v>1060</v>
      </c>
      <c r="L532" s="222">
        <v>44880</v>
      </c>
      <c r="M532" s="222">
        <v>44880</v>
      </c>
      <c r="N532" s="222">
        <v>44893</v>
      </c>
      <c r="O532" s="222"/>
      <c r="P532" s="222">
        <v>44956</v>
      </c>
      <c r="Q532" s="222">
        <v>44915</v>
      </c>
      <c r="R532" s="222" t="s">
        <v>3960</v>
      </c>
      <c r="S532" s="222">
        <v>44974</v>
      </c>
      <c r="T532" s="222">
        <v>44974</v>
      </c>
      <c r="U532" s="222"/>
      <c r="V532" s="222"/>
      <c r="W532" s="222"/>
      <c r="X532" s="222"/>
      <c r="Y532" s="222"/>
      <c r="Z532" s="222"/>
      <c r="AA532" s="253">
        <v>3</v>
      </c>
      <c r="AB532" s="225">
        <v>56369</v>
      </c>
      <c r="AC532" s="253">
        <v>60</v>
      </c>
      <c r="AD532" s="222" t="s">
        <v>3961</v>
      </c>
      <c r="AE532" s="253">
        <v>38340</v>
      </c>
      <c r="AF532" s="222" t="s">
        <v>232</v>
      </c>
      <c r="AG532" s="226" t="s">
        <v>3962</v>
      </c>
      <c r="AH532" s="240" t="s">
        <v>3963</v>
      </c>
      <c r="AI532" s="222" t="s">
        <v>1168</v>
      </c>
      <c r="AJ532" s="222"/>
      <c r="AK532" s="222"/>
      <c r="AL532" s="222"/>
      <c r="AM532" s="222"/>
      <c r="AN532" s="222"/>
      <c r="AO532" s="222"/>
      <c r="AP532" s="225" t="s">
        <v>3294</v>
      </c>
      <c r="AQ532" s="225" t="s">
        <v>231</v>
      </c>
      <c r="AR532" s="225" t="s">
        <v>2995</v>
      </c>
      <c r="AS532" s="241" t="s">
        <v>3964</v>
      </c>
      <c r="AT532" s="226" t="s">
        <v>1045</v>
      </c>
      <c r="AU532" s="225"/>
      <c r="AV532" s="241" t="s">
        <v>188</v>
      </c>
      <c r="AW532" s="222">
        <v>45107</v>
      </c>
      <c r="AX532" s="225" t="s">
        <v>1879</v>
      </c>
      <c r="AY532" s="242">
        <v>1980</v>
      </c>
      <c r="AZ532" s="225" t="s">
        <v>1880</v>
      </c>
      <c r="BA532" s="225" t="s">
        <v>267</v>
      </c>
      <c r="BB532" s="242" t="s">
        <v>217</v>
      </c>
      <c r="BC532" s="242" t="s">
        <v>3965</v>
      </c>
      <c r="BD532" s="242">
        <v>14</v>
      </c>
      <c r="BE532" s="242">
        <v>9.3000000000000007</v>
      </c>
      <c r="BF532" s="242">
        <v>92.5</v>
      </c>
      <c r="BG532" s="242">
        <v>15</v>
      </c>
      <c r="BH532" s="242" t="s">
        <v>1882</v>
      </c>
      <c r="BI532" s="222"/>
      <c r="BJ532" s="242">
        <f>4400+360+1568+273</f>
        <v>6601</v>
      </c>
      <c r="BK532" s="242"/>
      <c r="BL532" s="242"/>
      <c r="BM532" s="242"/>
      <c r="BN532" s="242">
        <f>27+540+120</f>
        <v>687</v>
      </c>
      <c r="BO532" s="230">
        <f t="shared" si="72"/>
        <v>7288</v>
      </c>
      <c r="BP532" s="230">
        <f t="shared" si="67"/>
        <v>400.84</v>
      </c>
      <c r="BQ532" s="242">
        <f t="shared" si="68"/>
        <v>7688.84</v>
      </c>
      <c r="BR532" s="230">
        <v>5000</v>
      </c>
      <c r="BS532" s="222" t="s">
        <v>191</v>
      </c>
      <c r="BT532" s="222"/>
      <c r="BU532" s="222"/>
      <c r="BV532" s="301" t="s">
        <v>4045</v>
      </c>
      <c r="BW532" s="225" t="s">
        <v>968</v>
      </c>
      <c r="BX532" s="301" t="s">
        <v>620</v>
      </c>
      <c r="BY532" s="222"/>
    </row>
    <row r="533" spans="1:77" s="33" customFormat="1" ht="13.5" customHeight="1">
      <c r="A533" s="64">
        <f t="shared" si="69"/>
        <v>2022</v>
      </c>
      <c r="B533" s="64">
        <f t="shared" si="70"/>
        <v>11</v>
      </c>
      <c r="C533" s="125" t="s">
        <v>191</v>
      </c>
      <c r="D533" s="168" t="str">
        <f t="shared" si="71"/>
        <v>non maj</v>
      </c>
      <c r="E533" s="272" t="s">
        <v>3918</v>
      </c>
      <c r="F533" s="272" t="s">
        <v>1830</v>
      </c>
      <c r="G533" s="221">
        <v>600</v>
      </c>
      <c r="H533" s="222">
        <v>44859</v>
      </c>
      <c r="I533" s="222">
        <v>44867</v>
      </c>
      <c r="J533" s="222" t="s">
        <v>176</v>
      </c>
      <c r="K533" s="222" t="s">
        <v>176</v>
      </c>
      <c r="L533" s="222">
        <v>44880</v>
      </c>
      <c r="M533" s="222">
        <v>44880</v>
      </c>
      <c r="N533" s="222">
        <v>44893</v>
      </c>
      <c r="O533" s="222"/>
      <c r="P533" s="222">
        <v>44924</v>
      </c>
      <c r="Q533" s="222">
        <v>44903</v>
      </c>
      <c r="R533" s="222" t="s">
        <v>176</v>
      </c>
      <c r="S533" s="222">
        <v>44932</v>
      </c>
      <c r="T533" s="222">
        <v>44932</v>
      </c>
      <c r="U533" s="222"/>
      <c r="V533" s="222"/>
      <c r="W533" s="222"/>
      <c r="X533" s="222"/>
      <c r="Y533" s="222"/>
      <c r="Z533" s="222"/>
      <c r="AA533" s="253">
        <v>6</v>
      </c>
      <c r="AB533" s="225">
        <v>133235</v>
      </c>
      <c r="AC533" s="253">
        <v>111</v>
      </c>
      <c r="AD533" s="222" t="s">
        <v>3966</v>
      </c>
      <c r="AE533" s="253">
        <v>38960</v>
      </c>
      <c r="AF533" s="225" t="s">
        <v>1964</v>
      </c>
      <c r="AG533" s="226">
        <v>660036509</v>
      </c>
      <c r="AH533" s="240" t="s">
        <v>3967</v>
      </c>
      <c r="AI533" s="222" t="s">
        <v>1168</v>
      </c>
      <c r="AJ533" s="222"/>
      <c r="AK533" s="222"/>
      <c r="AL533" s="222"/>
      <c r="AM533" s="222"/>
      <c r="AN533" s="222"/>
      <c r="AO533" s="222"/>
      <c r="AP533" s="222" t="s">
        <v>587</v>
      </c>
      <c r="AQ533" s="222" t="s">
        <v>225</v>
      </c>
      <c r="AR533" s="222" t="s">
        <v>3790</v>
      </c>
      <c r="AS533" s="285" t="s">
        <v>266</v>
      </c>
      <c r="AT533" s="222" t="s">
        <v>588</v>
      </c>
      <c r="AU533" s="222"/>
      <c r="AV533" s="222" t="s">
        <v>188</v>
      </c>
      <c r="AW533" s="222">
        <v>45187</v>
      </c>
      <c r="AX533" s="225" t="s">
        <v>1879</v>
      </c>
      <c r="AY533" s="242">
        <v>1996</v>
      </c>
      <c r="AZ533" s="225" t="s">
        <v>4113</v>
      </c>
      <c r="BA533" s="225" t="s">
        <v>380</v>
      </c>
      <c r="BB533" s="242" t="s">
        <v>3968</v>
      </c>
      <c r="BC533" s="242" t="s">
        <v>3969</v>
      </c>
      <c r="BD533" s="242">
        <v>13</v>
      </c>
      <c r="BE533" s="242">
        <v>13.4</v>
      </c>
      <c r="BF533" s="242">
        <v>81.099999999999994</v>
      </c>
      <c r="BG533" s="242">
        <v>911</v>
      </c>
      <c r="BH533" s="242" t="s">
        <v>3023</v>
      </c>
      <c r="BI533" s="222"/>
      <c r="BJ533" s="242">
        <f>430+450+822+5880</f>
        <v>7582</v>
      </c>
      <c r="BK533" s="242"/>
      <c r="BL533" s="242"/>
      <c r="BM533" s="242"/>
      <c r="BN533" s="242">
        <v>0</v>
      </c>
      <c r="BO533" s="230">
        <f t="shared" si="72"/>
        <v>7582</v>
      </c>
      <c r="BP533" s="230">
        <f t="shared" si="67"/>
        <v>417.01</v>
      </c>
      <c r="BQ533" s="242">
        <f t="shared" si="68"/>
        <v>7999.01</v>
      </c>
      <c r="BR533" s="242">
        <v>7999.01</v>
      </c>
      <c r="BS533" s="222" t="s">
        <v>191</v>
      </c>
      <c r="BT533" s="222"/>
      <c r="BU533" s="222"/>
      <c r="BV533" s="301" t="s">
        <v>4045</v>
      </c>
      <c r="BW533" s="225" t="s">
        <v>968</v>
      </c>
      <c r="BX533" s="301" t="s">
        <v>620</v>
      </c>
      <c r="BY533" s="242">
        <v>2022</v>
      </c>
    </row>
    <row r="534" spans="1:77" s="33" customFormat="1" ht="13.5" customHeight="1">
      <c r="A534" s="64">
        <f t="shared" si="69"/>
        <v>2022</v>
      </c>
      <c r="B534" s="64">
        <f t="shared" si="70"/>
        <v>11</v>
      </c>
      <c r="C534" s="125" t="s">
        <v>191</v>
      </c>
      <c r="D534" s="168" t="str">
        <f t="shared" si="71"/>
        <v>non maj</v>
      </c>
      <c r="E534" s="222" t="s">
        <v>3918</v>
      </c>
      <c r="F534" s="222" t="s">
        <v>1831</v>
      </c>
      <c r="G534" s="221">
        <v>600</v>
      </c>
      <c r="H534" s="222">
        <v>44859</v>
      </c>
      <c r="I534" s="222">
        <v>44867</v>
      </c>
      <c r="J534" s="222" t="s">
        <v>176</v>
      </c>
      <c r="K534" s="222" t="s">
        <v>176</v>
      </c>
      <c r="L534" s="222">
        <v>44880</v>
      </c>
      <c r="M534" s="222">
        <v>44880</v>
      </c>
      <c r="N534" s="222">
        <v>44893</v>
      </c>
      <c r="O534" s="222"/>
      <c r="P534" s="222"/>
      <c r="Q534" s="222"/>
      <c r="R534" s="222"/>
      <c r="S534" s="222"/>
      <c r="T534" s="222"/>
      <c r="U534" s="222"/>
      <c r="V534" s="222"/>
      <c r="W534" s="222"/>
      <c r="X534" s="222"/>
      <c r="Y534" s="222"/>
      <c r="Z534" s="222"/>
      <c r="AA534" s="253">
        <v>2</v>
      </c>
      <c r="AB534" s="225">
        <v>76410</v>
      </c>
      <c r="AC534" s="253">
        <v>62</v>
      </c>
      <c r="AD534" s="222" t="s">
        <v>3970</v>
      </c>
      <c r="AE534" s="253">
        <v>38340</v>
      </c>
      <c r="AF534" s="222" t="s">
        <v>232</v>
      </c>
      <c r="AG534" s="226">
        <v>631610264</v>
      </c>
      <c r="AH534" s="240" t="s">
        <v>3971</v>
      </c>
      <c r="AI534" s="222" t="s">
        <v>1168</v>
      </c>
      <c r="AJ534" s="222"/>
      <c r="AK534" s="222"/>
      <c r="AL534" s="222"/>
      <c r="AM534" s="222"/>
      <c r="AN534" s="222"/>
      <c r="AO534" s="222"/>
      <c r="AP534" s="225" t="s">
        <v>2052</v>
      </c>
      <c r="AQ534" s="222" t="s">
        <v>232</v>
      </c>
      <c r="AR534" s="222" t="s">
        <v>3941</v>
      </c>
      <c r="AS534" s="241" t="s">
        <v>234</v>
      </c>
      <c r="AT534" s="222" t="s">
        <v>3942</v>
      </c>
      <c r="AU534" s="225" t="s">
        <v>176</v>
      </c>
      <c r="AV534" s="241" t="s">
        <v>188</v>
      </c>
      <c r="AW534" s="222">
        <v>45137</v>
      </c>
      <c r="AX534" s="225" t="s">
        <v>1879</v>
      </c>
      <c r="AY534" s="242">
        <v>1980</v>
      </c>
      <c r="AZ534" s="225" t="s">
        <v>1880</v>
      </c>
      <c r="BA534" s="225" t="s">
        <v>380</v>
      </c>
      <c r="BB534" s="242" t="s">
        <v>270</v>
      </c>
      <c r="BC534" s="242" t="s">
        <v>3708</v>
      </c>
      <c r="BD534" s="242">
        <v>29</v>
      </c>
      <c r="BE534" s="242">
        <v>9.1999999999999993</v>
      </c>
      <c r="BF534" s="242">
        <v>77.400000000000006</v>
      </c>
      <c r="BG534" s="242">
        <v>762</v>
      </c>
      <c r="BH534" s="242" t="s">
        <v>1882</v>
      </c>
      <c r="BI534" s="222"/>
      <c r="BJ534" s="242">
        <f>555.84+71.09+182.54+3700+182.72</f>
        <v>4692.1900000000005</v>
      </c>
      <c r="BK534" s="242"/>
      <c r="BL534" s="242"/>
      <c r="BM534" s="242"/>
      <c r="BN534" s="242">
        <f>405.7+900-284.36</f>
        <v>1021.34</v>
      </c>
      <c r="BO534" s="230">
        <f t="shared" si="72"/>
        <v>5713.5300000000007</v>
      </c>
      <c r="BP534" s="230">
        <f t="shared" si="67"/>
        <v>314.24415000000005</v>
      </c>
      <c r="BQ534" s="230">
        <f t="shared" si="68"/>
        <v>6027.7741500000011</v>
      </c>
      <c r="BR534" s="242"/>
      <c r="BS534" s="222" t="s">
        <v>188</v>
      </c>
      <c r="BT534" s="222"/>
      <c r="BU534" s="222"/>
      <c r="BV534" s="301" t="s">
        <v>4045</v>
      </c>
      <c r="BW534" s="225" t="s">
        <v>968</v>
      </c>
      <c r="BX534" s="301" t="s">
        <v>620</v>
      </c>
      <c r="BY534" s="242">
        <v>2022</v>
      </c>
    </row>
    <row r="535" spans="1:77" s="33" customFormat="1" ht="13.5" customHeight="1">
      <c r="A535" s="64">
        <f t="shared" si="69"/>
        <v>2022</v>
      </c>
      <c r="B535" s="64">
        <f t="shared" si="70"/>
        <v>11</v>
      </c>
      <c r="C535" s="125" t="s">
        <v>191</v>
      </c>
      <c r="D535" s="168" t="str">
        <f t="shared" si="71"/>
        <v>non maj</v>
      </c>
      <c r="E535" s="222" t="s">
        <v>3302</v>
      </c>
      <c r="F535" s="222" t="s">
        <v>1832</v>
      </c>
      <c r="G535" s="221">
        <v>600</v>
      </c>
      <c r="H535" s="222">
        <v>44863</v>
      </c>
      <c r="I535" s="222">
        <v>44867</v>
      </c>
      <c r="J535" s="222" t="s">
        <v>176</v>
      </c>
      <c r="K535" s="222" t="s">
        <v>176</v>
      </c>
      <c r="L535" s="222">
        <v>44887</v>
      </c>
      <c r="M535" s="222">
        <v>44887</v>
      </c>
      <c r="N535" s="222">
        <v>44900</v>
      </c>
      <c r="O535" s="222"/>
      <c r="P535" s="222">
        <v>44930</v>
      </c>
      <c r="Q535" s="222">
        <v>44919</v>
      </c>
      <c r="R535" s="222" t="s">
        <v>176</v>
      </c>
      <c r="S535" s="222">
        <v>44956</v>
      </c>
      <c r="T535" s="222">
        <v>44956</v>
      </c>
      <c r="U535" s="222"/>
      <c r="V535" s="222"/>
      <c r="W535" s="222"/>
      <c r="X535" s="222"/>
      <c r="Y535" s="222"/>
      <c r="Z535" s="222"/>
      <c r="AA535" s="253">
        <v>2</v>
      </c>
      <c r="AB535" s="225">
        <v>81738</v>
      </c>
      <c r="AC535" s="253">
        <v>110</v>
      </c>
      <c r="AD535" s="222" t="s">
        <v>3972</v>
      </c>
      <c r="AE535" s="253">
        <v>38620</v>
      </c>
      <c r="AF535" s="222" t="s">
        <v>2231</v>
      </c>
      <c r="AG535" s="226">
        <v>682617086</v>
      </c>
      <c r="AH535" s="240" t="s">
        <v>3973</v>
      </c>
      <c r="AI535" s="222" t="s">
        <v>1168</v>
      </c>
      <c r="AJ535" s="222"/>
      <c r="AK535" s="222"/>
      <c r="AL535" s="222"/>
      <c r="AM535" s="222"/>
      <c r="AN535" s="222"/>
      <c r="AO535" s="222"/>
      <c r="AP535" s="222" t="s">
        <v>727</v>
      </c>
      <c r="AQ535" s="222" t="s">
        <v>1875</v>
      </c>
      <c r="AR535" s="222" t="s">
        <v>3762</v>
      </c>
      <c r="AS535" s="234" t="s">
        <v>3763</v>
      </c>
      <c r="AT535" s="226" t="s">
        <v>434</v>
      </c>
      <c r="AU535" s="222"/>
      <c r="AV535" s="222" t="s">
        <v>188</v>
      </c>
      <c r="AW535" s="222">
        <v>45186</v>
      </c>
      <c r="AX535" s="225" t="s">
        <v>1879</v>
      </c>
      <c r="AY535" s="242">
        <v>1980</v>
      </c>
      <c r="AZ535" s="225" t="s">
        <v>4113</v>
      </c>
      <c r="BA535" s="225" t="s">
        <v>380</v>
      </c>
      <c r="BB535" s="242" t="s">
        <v>2109</v>
      </c>
      <c r="BC535" s="242" t="s">
        <v>3974</v>
      </c>
      <c r="BD535" s="242"/>
      <c r="BE535" s="242"/>
      <c r="BF535" s="242"/>
      <c r="BG535" s="242"/>
      <c r="BH535" s="242" t="s">
        <v>1882</v>
      </c>
      <c r="BI535" s="222"/>
      <c r="BJ535" s="242">
        <f>1638+1395+175+45.6</f>
        <v>3253.6</v>
      </c>
      <c r="BK535" s="242"/>
      <c r="BL535" s="242"/>
      <c r="BM535" s="242"/>
      <c r="BN535" s="242">
        <v>790</v>
      </c>
      <c r="BO535" s="230">
        <f t="shared" si="72"/>
        <v>4043.6</v>
      </c>
      <c r="BP535" s="230">
        <f t="shared" si="67"/>
        <v>222.398</v>
      </c>
      <c r="BQ535" s="230">
        <f t="shared" si="68"/>
        <v>4265.9979999999996</v>
      </c>
      <c r="BR535" s="230">
        <v>4266</v>
      </c>
      <c r="BS535" s="222" t="s">
        <v>188</v>
      </c>
      <c r="BT535" s="222"/>
      <c r="BU535" s="222"/>
      <c r="BV535" s="301" t="s">
        <v>4045</v>
      </c>
      <c r="BW535" s="225" t="s">
        <v>968</v>
      </c>
      <c r="BX535" s="301" t="s">
        <v>620</v>
      </c>
      <c r="BY535" s="242">
        <v>2022</v>
      </c>
    </row>
    <row r="536" spans="1:77" s="33" customFormat="1" ht="13.5" customHeight="1">
      <c r="A536" s="64">
        <f t="shared" si="69"/>
        <v>1900</v>
      </c>
      <c r="B536" s="64">
        <f t="shared" si="70"/>
        <v>1</v>
      </c>
      <c r="C536" s="125"/>
      <c r="D536" s="168"/>
      <c r="E536" s="222"/>
      <c r="F536" s="222"/>
      <c r="G536" s="221"/>
      <c r="H536" s="222"/>
      <c r="I536" s="222"/>
      <c r="J536" s="222"/>
      <c r="K536" s="222"/>
      <c r="L536" s="222"/>
      <c r="M536" s="222"/>
      <c r="N536" s="222"/>
      <c r="O536" s="222"/>
      <c r="P536" s="222"/>
      <c r="Q536" s="222"/>
      <c r="R536" s="222"/>
      <c r="S536" s="222"/>
      <c r="T536" s="222"/>
      <c r="U536" s="222"/>
      <c r="V536" s="222"/>
      <c r="W536" s="222"/>
      <c r="X536" s="222"/>
      <c r="Y536" s="222"/>
      <c r="Z536" s="222"/>
      <c r="AA536" s="253"/>
      <c r="AB536" s="225"/>
      <c r="AC536" s="253"/>
      <c r="AD536" s="222"/>
      <c r="AE536" s="253"/>
      <c r="AF536" s="225"/>
      <c r="AG536" s="226"/>
      <c r="AH536" s="240"/>
      <c r="AI536" s="222"/>
      <c r="AJ536" s="222"/>
      <c r="AK536" s="222"/>
      <c r="AL536" s="222"/>
      <c r="AM536" s="222"/>
      <c r="AN536" s="222"/>
      <c r="AO536" s="222"/>
      <c r="AP536" s="222" t="s">
        <v>4124</v>
      </c>
      <c r="AQ536" s="222"/>
      <c r="AR536" s="222"/>
      <c r="AS536" s="227"/>
      <c r="AT536" s="226"/>
      <c r="AU536" s="225"/>
      <c r="AV536" s="241"/>
      <c r="AW536" s="222"/>
      <c r="AX536" s="225" t="s">
        <v>1880</v>
      </c>
      <c r="AY536" s="242"/>
      <c r="AZ536" s="225" t="s">
        <v>1880</v>
      </c>
      <c r="BA536" s="225" t="s">
        <v>380</v>
      </c>
      <c r="BB536" s="242"/>
      <c r="BC536" s="242"/>
      <c r="BD536" s="242"/>
      <c r="BE536" s="242"/>
      <c r="BF536" s="242"/>
      <c r="BG536" s="242"/>
      <c r="BH536" s="242"/>
      <c r="BI536" s="222"/>
      <c r="BJ536" s="242"/>
      <c r="BK536" s="242"/>
      <c r="BL536" s="242"/>
      <c r="BM536" s="242"/>
      <c r="BN536" s="242"/>
      <c r="BO536" s="230"/>
      <c r="BP536" s="230"/>
      <c r="BQ536" s="230"/>
      <c r="BR536" s="242"/>
      <c r="BS536" s="222"/>
      <c r="BT536" s="222"/>
      <c r="BU536" s="222"/>
      <c r="BV536" s="242"/>
      <c r="BW536" s="222"/>
      <c r="BX536" s="222"/>
      <c r="BY536" s="222"/>
    </row>
    <row r="537" spans="1:77" s="33" customFormat="1" ht="13.5" customHeight="1">
      <c r="A537" s="64">
        <f t="shared" si="69"/>
        <v>2022</v>
      </c>
      <c r="B537" s="64">
        <f t="shared" si="70"/>
        <v>11</v>
      </c>
      <c r="C537" s="125" t="s">
        <v>191</v>
      </c>
      <c r="D537" s="168" t="str">
        <f t="shared" si="71"/>
        <v>non maj</v>
      </c>
      <c r="E537" s="222" t="s">
        <v>3302</v>
      </c>
      <c r="F537" s="222" t="s">
        <v>1834</v>
      </c>
      <c r="G537" s="221">
        <v>600</v>
      </c>
      <c r="H537" s="222">
        <v>44879</v>
      </c>
      <c r="I537" s="222">
        <v>44879</v>
      </c>
      <c r="J537" s="222">
        <v>44883</v>
      </c>
      <c r="K537" s="222" t="s">
        <v>3318</v>
      </c>
      <c r="L537" s="222">
        <v>44887</v>
      </c>
      <c r="M537" s="222">
        <v>44887</v>
      </c>
      <c r="N537" s="222">
        <v>44900</v>
      </c>
      <c r="O537" s="222"/>
      <c r="P537" s="222"/>
      <c r="Q537" s="222"/>
      <c r="R537" s="222"/>
      <c r="S537" s="222"/>
      <c r="T537" s="222"/>
      <c r="U537" s="222"/>
      <c r="V537" s="222"/>
      <c r="W537" s="222"/>
      <c r="X537" s="222"/>
      <c r="Y537" s="222"/>
      <c r="Z537" s="222"/>
      <c r="AA537" s="253">
        <v>2</v>
      </c>
      <c r="AB537" s="225">
        <v>36956</v>
      </c>
      <c r="AC537" s="253">
        <v>66</v>
      </c>
      <c r="AD537" s="222" t="s">
        <v>3970</v>
      </c>
      <c r="AE537" s="253">
        <v>38340</v>
      </c>
      <c r="AF537" s="222" t="s">
        <v>232</v>
      </c>
      <c r="AG537" s="226">
        <v>781661015</v>
      </c>
      <c r="AH537" s="234" t="s">
        <v>3975</v>
      </c>
      <c r="AI537" s="222" t="s">
        <v>1168</v>
      </c>
      <c r="AJ537" s="222"/>
      <c r="AK537" s="222"/>
      <c r="AL537" s="222"/>
      <c r="AM537" s="222"/>
      <c r="AN537" s="222"/>
      <c r="AO537" s="222"/>
      <c r="AP537" s="225" t="s">
        <v>2052</v>
      </c>
      <c r="AQ537" s="222" t="s">
        <v>232</v>
      </c>
      <c r="AR537" s="222" t="s">
        <v>3941</v>
      </c>
      <c r="AS537" s="241" t="s">
        <v>234</v>
      </c>
      <c r="AT537" s="222" t="s">
        <v>3942</v>
      </c>
      <c r="AU537" s="225" t="s">
        <v>176</v>
      </c>
      <c r="AV537" s="241" t="s">
        <v>188</v>
      </c>
      <c r="AW537" s="222">
        <v>45137</v>
      </c>
      <c r="AX537" s="225" t="s">
        <v>4113</v>
      </c>
      <c r="AY537" s="242">
        <v>1997</v>
      </c>
      <c r="AZ537" s="225" t="s">
        <v>1880</v>
      </c>
      <c r="BA537" s="225" t="s">
        <v>380</v>
      </c>
      <c r="BB537" s="242" t="s">
        <v>270</v>
      </c>
      <c r="BC537" s="242" t="s">
        <v>3976</v>
      </c>
      <c r="BD537" s="242"/>
      <c r="BE537" s="242"/>
      <c r="BF537" s="242"/>
      <c r="BG537" s="242"/>
      <c r="BH537" s="242" t="s">
        <v>1882</v>
      </c>
      <c r="BI537" s="222"/>
      <c r="BJ537" s="242">
        <f>455.7+145.8+444+61.09+152.59+3850+205.2</f>
        <v>5314.38</v>
      </c>
      <c r="BK537" s="242"/>
      <c r="BL537" s="242"/>
      <c r="BM537" s="242"/>
      <c r="BN537" s="242">
        <v>900</v>
      </c>
      <c r="BO537" s="230">
        <f>BJ537+BN537-385</f>
        <v>5829.38</v>
      </c>
      <c r="BP537" s="230">
        <f>BO537*0.055</f>
        <v>320.61590000000001</v>
      </c>
      <c r="BQ537" s="230">
        <f t="shared" si="68"/>
        <v>6149.9958999999999</v>
      </c>
      <c r="BR537" s="242"/>
      <c r="BS537" s="222" t="s">
        <v>188</v>
      </c>
      <c r="BT537" s="222"/>
      <c r="BU537" s="222"/>
      <c r="BV537" s="301" t="s">
        <v>4045</v>
      </c>
      <c r="BW537" s="225" t="s">
        <v>968</v>
      </c>
      <c r="BX537" s="301" t="s">
        <v>620</v>
      </c>
      <c r="BY537" s="242">
        <v>2022</v>
      </c>
    </row>
    <row r="538" spans="1:77" s="33" customFormat="1" ht="13.5" customHeight="1">
      <c r="A538" s="64">
        <f t="shared" si="69"/>
        <v>2022</v>
      </c>
      <c r="B538" s="64">
        <f t="shared" si="70"/>
        <v>11</v>
      </c>
      <c r="C538" s="125" t="s">
        <v>191</v>
      </c>
      <c r="D538" s="168" t="str">
        <f t="shared" si="71"/>
        <v>maj</v>
      </c>
      <c r="E538" s="222" t="s">
        <v>3302</v>
      </c>
      <c r="F538" s="222" t="s">
        <v>1835</v>
      </c>
      <c r="G538" s="221">
        <v>1000</v>
      </c>
      <c r="H538" s="222">
        <v>44880</v>
      </c>
      <c r="I538" s="222">
        <v>44882</v>
      </c>
      <c r="J538" s="222" t="s">
        <v>176</v>
      </c>
      <c r="K538" s="222" t="s">
        <v>176</v>
      </c>
      <c r="L538" s="222">
        <v>44887</v>
      </c>
      <c r="M538" s="222">
        <v>44887</v>
      </c>
      <c r="N538" s="222"/>
      <c r="O538" s="222"/>
      <c r="P538" s="222"/>
      <c r="Q538" s="222"/>
      <c r="R538" s="222"/>
      <c r="S538" s="222"/>
      <c r="T538" s="222"/>
      <c r="U538" s="222"/>
      <c r="V538" s="222"/>
      <c r="W538" s="222"/>
      <c r="X538" s="222"/>
      <c r="Y538" s="222"/>
      <c r="Z538" s="222"/>
      <c r="AA538" s="253">
        <v>2</v>
      </c>
      <c r="AB538" s="225">
        <v>28450</v>
      </c>
      <c r="AC538" s="253">
        <v>75</v>
      </c>
      <c r="AD538" s="222" t="s">
        <v>3977</v>
      </c>
      <c r="AE538" s="253">
        <v>38850</v>
      </c>
      <c r="AF538" s="222" t="s">
        <v>1916</v>
      </c>
      <c r="AG538" s="226">
        <v>768096417</v>
      </c>
      <c r="AH538" s="240" t="s">
        <v>3978</v>
      </c>
      <c r="AI538" s="222" t="s">
        <v>1168</v>
      </c>
      <c r="AJ538" s="222"/>
      <c r="AK538" s="222"/>
      <c r="AL538" s="222"/>
      <c r="AM538" s="222"/>
      <c r="AN538" s="222"/>
      <c r="AO538" s="222"/>
      <c r="AP538" s="222" t="s">
        <v>727</v>
      </c>
      <c r="AQ538" s="222" t="s">
        <v>1875</v>
      </c>
      <c r="AR538" s="222" t="s">
        <v>3762</v>
      </c>
      <c r="AS538" s="240" t="s">
        <v>3763</v>
      </c>
      <c r="AT538" s="226" t="s">
        <v>434</v>
      </c>
      <c r="AU538" s="222"/>
      <c r="AV538" s="222" t="s">
        <v>188</v>
      </c>
      <c r="AW538" s="222">
        <v>45186</v>
      </c>
      <c r="AX538" s="225" t="s">
        <v>1880</v>
      </c>
      <c r="AY538" s="242">
        <v>1985</v>
      </c>
      <c r="AZ538" s="225" t="s">
        <v>1880</v>
      </c>
      <c r="BA538" s="225" t="s">
        <v>267</v>
      </c>
      <c r="BB538" s="222" t="s">
        <v>190</v>
      </c>
      <c r="BC538" s="222" t="s">
        <v>3979</v>
      </c>
      <c r="BD538" s="222"/>
      <c r="BE538" s="222"/>
      <c r="BF538" s="222"/>
      <c r="BG538" s="222"/>
      <c r="BH538" s="222" t="s">
        <v>1882</v>
      </c>
      <c r="BI538" s="222"/>
      <c r="BJ538" s="242">
        <f>4740+995+225+223</f>
        <v>6183</v>
      </c>
      <c r="BK538" s="222"/>
      <c r="BL538" s="222"/>
      <c r="BM538" s="222"/>
      <c r="BN538" s="242">
        <v>890</v>
      </c>
      <c r="BO538" s="242">
        <f>BJ538+BN538</f>
        <v>7073</v>
      </c>
      <c r="BP538" s="242">
        <f t="shared" ref="BP538:BP573" si="73">BO538*0.055</f>
        <v>389.01499999999999</v>
      </c>
      <c r="BQ538" s="230">
        <f t="shared" si="68"/>
        <v>7462.0150000000003</v>
      </c>
      <c r="BR538" s="242"/>
      <c r="BS538" s="222" t="s">
        <v>188</v>
      </c>
      <c r="BT538" s="222"/>
      <c r="BU538" s="222"/>
      <c r="BV538" s="301" t="s">
        <v>4045</v>
      </c>
      <c r="BW538" s="225" t="s">
        <v>968</v>
      </c>
      <c r="BX538" s="222" t="s">
        <v>618</v>
      </c>
      <c r="BY538" s="222"/>
    </row>
    <row r="539" spans="1:77" s="33" customFormat="1" ht="13.5" customHeight="1">
      <c r="A539" s="64">
        <f t="shared" si="69"/>
        <v>2022</v>
      </c>
      <c r="B539" s="64">
        <f t="shared" si="70"/>
        <v>12</v>
      </c>
      <c r="C539" s="125" t="s">
        <v>191</v>
      </c>
      <c r="D539" s="168" t="str">
        <f t="shared" si="71"/>
        <v>maj</v>
      </c>
      <c r="E539" s="222" t="s">
        <v>3302</v>
      </c>
      <c r="F539" s="222" t="s">
        <v>1837</v>
      </c>
      <c r="G539" s="221">
        <v>1000</v>
      </c>
      <c r="H539" s="222">
        <v>44881</v>
      </c>
      <c r="I539" s="222">
        <v>44882</v>
      </c>
      <c r="J539" s="222">
        <v>44887</v>
      </c>
      <c r="K539" s="222" t="s">
        <v>3980</v>
      </c>
      <c r="L539" s="222">
        <v>44900</v>
      </c>
      <c r="M539" s="222">
        <v>44900</v>
      </c>
      <c r="N539" s="222">
        <v>44909</v>
      </c>
      <c r="O539" s="222"/>
      <c r="P539" s="222"/>
      <c r="Q539" s="222"/>
      <c r="R539" s="222"/>
      <c r="S539" s="222"/>
      <c r="T539" s="222"/>
      <c r="U539" s="222"/>
      <c r="V539" s="222"/>
      <c r="W539" s="222"/>
      <c r="X539" s="222"/>
      <c r="Y539" s="222"/>
      <c r="Z539" s="222"/>
      <c r="AA539" s="253">
        <v>2</v>
      </c>
      <c r="AB539" s="225">
        <v>21850</v>
      </c>
      <c r="AC539" s="253" t="s">
        <v>3981</v>
      </c>
      <c r="AD539" s="222" t="s">
        <v>3982</v>
      </c>
      <c r="AE539" s="253">
        <v>38730</v>
      </c>
      <c r="AF539" s="222" t="s">
        <v>1916</v>
      </c>
      <c r="AG539" s="226">
        <v>622824490</v>
      </c>
      <c r="AH539" s="234" t="s">
        <v>3983</v>
      </c>
      <c r="AI539" s="222" t="s">
        <v>1168</v>
      </c>
      <c r="AJ539" s="222"/>
      <c r="AK539" s="222"/>
      <c r="AL539" s="222"/>
      <c r="AM539" s="222"/>
      <c r="AN539" s="222"/>
      <c r="AO539" s="222"/>
      <c r="AP539" s="225" t="s">
        <v>2762</v>
      </c>
      <c r="AQ539" s="225" t="s">
        <v>1018</v>
      </c>
      <c r="AR539" s="225" t="s">
        <v>2763</v>
      </c>
      <c r="AS539" s="240" t="s">
        <v>3478</v>
      </c>
      <c r="AT539" s="226">
        <v>476663386</v>
      </c>
      <c r="AU539" s="225" t="s">
        <v>176</v>
      </c>
      <c r="AV539" s="241" t="s">
        <v>188</v>
      </c>
      <c r="AW539" s="223">
        <v>45096</v>
      </c>
      <c r="AX539" s="225" t="s">
        <v>4113</v>
      </c>
      <c r="AY539" s="242">
        <v>1987</v>
      </c>
      <c r="AZ539" s="225" t="s">
        <v>4113</v>
      </c>
      <c r="BA539" s="225" t="s">
        <v>380</v>
      </c>
      <c r="BB539" s="222" t="s">
        <v>994</v>
      </c>
      <c r="BC539" s="222" t="s">
        <v>3984</v>
      </c>
      <c r="BD539" s="222"/>
      <c r="BE539" s="222"/>
      <c r="BF539" s="222"/>
      <c r="BG539" s="222"/>
      <c r="BH539" s="222" t="s">
        <v>1882</v>
      </c>
      <c r="BI539" s="222"/>
      <c r="BJ539" s="242">
        <f>2045+245+1460+110+169+263.6+364+467+295+133+85</f>
        <v>5636.6</v>
      </c>
      <c r="BK539" s="222"/>
      <c r="BL539" s="222"/>
      <c r="BM539" s="222"/>
      <c r="BN539" s="242">
        <v>550</v>
      </c>
      <c r="BO539" s="230">
        <f>BJ539+BN539</f>
        <v>6186.6</v>
      </c>
      <c r="BP539" s="242">
        <f t="shared" si="73"/>
        <v>340.26300000000003</v>
      </c>
      <c r="BQ539" s="230">
        <f t="shared" si="68"/>
        <v>6526.8630000000003</v>
      </c>
      <c r="BR539" s="242"/>
      <c r="BS539" s="222" t="s">
        <v>188</v>
      </c>
      <c r="BT539" s="222"/>
      <c r="BU539" s="222"/>
      <c r="BV539" s="301" t="s">
        <v>4045</v>
      </c>
      <c r="BW539" s="225" t="s">
        <v>968</v>
      </c>
      <c r="BX539" s="222" t="s">
        <v>618</v>
      </c>
      <c r="BY539" s="222"/>
    </row>
    <row r="540" spans="1:77" s="33" customFormat="1" ht="13.5" customHeight="1">
      <c r="A540" s="64">
        <f t="shared" si="69"/>
        <v>1900</v>
      </c>
      <c r="B540" s="64">
        <f t="shared" si="70"/>
        <v>1</v>
      </c>
      <c r="C540" s="125" t="s">
        <v>191</v>
      </c>
      <c r="D540" s="168" t="str">
        <f t="shared" si="71"/>
        <v>maj</v>
      </c>
      <c r="E540" s="222" t="s">
        <v>3302</v>
      </c>
      <c r="F540" s="222" t="s">
        <v>1839</v>
      </c>
      <c r="G540" s="221">
        <v>1000</v>
      </c>
      <c r="H540" s="222">
        <v>44881</v>
      </c>
      <c r="I540" s="222">
        <v>44882</v>
      </c>
      <c r="J540" s="222">
        <v>44887</v>
      </c>
      <c r="K540" s="222" t="s">
        <v>3985</v>
      </c>
      <c r="L540" s="222"/>
      <c r="M540" s="222"/>
      <c r="N540" s="272"/>
      <c r="O540" s="222"/>
      <c r="P540" s="222"/>
      <c r="Q540" s="222"/>
      <c r="R540" s="222"/>
      <c r="S540" s="222"/>
      <c r="T540" s="222"/>
      <c r="U540" s="222"/>
      <c r="V540" s="222"/>
      <c r="W540" s="222"/>
      <c r="X540" s="222"/>
      <c r="Y540" s="222"/>
      <c r="Z540" s="222"/>
      <c r="AA540" s="253">
        <v>1</v>
      </c>
      <c r="AB540" s="225">
        <v>17007</v>
      </c>
      <c r="AC540" s="253">
        <v>103</v>
      </c>
      <c r="AD540" s="222" t="s">
        <v>3986</v>
      </c>
      <c r="AE540" s="253">
        <v>38960</v>
      </c>
      <c r="AF540" s="225" t="s">
        <v>2088</v>
      </c>
      <c r="AG540" s="226">
        <v>476060465</v>
      </c>
      <c r="AH540" s="240" t="s">
        <v>3987</v>
      </c>
      <c r="AI540" s="222" t="s">
        <v>1168</v>
      </c>
      <c r="AJ540" s="222"/>
      <c r="AK540" s="222"/>
      <c r="AL540" s="222"/>
      <c r="AM540" s="222"/>
      <c r="AN540" s="222"/>
      <c r="AO540" s="222"/>
      <c r="AP540" s="225" t="s">
        <v>1888</v>
      </c>
      <c r="AQ540" s="222" t="s">
        <v>225</v>
      </c>
      <c r="AR540" s="222" t="s">
        <v>1889</v>
      </c>
      <c r="AS540" s="234" t="s">
        <v>3297</v>
      </c>
      <c r="AT540" s="226" t="s">
        <v>600</v>
      </c>
      <c r="AU540" s="222"/>
      <c r="AV540" s="222" t="s">
        <v>188</v>
      </c>
      <c r="AW540" s="222">
        <v>44868</v>
      </c>
      <c r="AX540" s="225" t="s">
        <v>1879</v>
      </c>
      <c r="AY540" s="242">
        <v>1974</v>
      </c>
      <c r="AZ540" s="225" t="s">
        <v>1880</v>
      </c>
      <c r="BA540" s="225" t="s">
        <v>267</v>
      </c>
      <c r="BB540" s="222" t="s">
        <v>221</v>
      </c>
      <c r="BC540" s="222" t="s">
        <v>3988</v>
      </c>
      <c r="BD540" s="222"/>
      <c r="BE540" s="222"/>
      <c r="BF540" s="222"/>
      <c r="BG540" s="222"/>
      <c r="BH540" s="222" t="s">
        <v>1882</v>
      </c>
      <c r="BI540" s="222"/>
      <c r="BJ540" s="242">
        <f>6054+138+92+63+28+103</f>
        <v>6478</v>
      </c>
      <c r="BK540" s="222"/>
      <c r="BL540" s="222"/>
      <c r="BM540" s="222"/>
      <c r="BN540" s="242">
        <f>30+30+400</f>
        <v>460</v>
      </c>
      <c r="BO540" s="242">
        <f>BJ540+BN540-1210</f>
        <v>5728</v>
      </c>
      <c r="BP540" s="242">
        <f t="shared" si="73"/>
        <v>315.04000000000002</v>
      </c>
      <c r="BQ540" s="242">
        <f t="shared" si="68"/>
        <v>6043.04</v>
      </c>
      <c r="BR540" s="242"/>
      <c r="BS540" s="222"/>
      <c r="BT540" s="222"/>
      <c r="BU540" s="222"/>
      <c r="BV540" s="242"/>
      <c r="BW540" s="222"/>
      <c r="BX540" s="222" t="s">
        <v>618</v>
      </c>
      <c r="BY540" s="222"/>
    </row>
    <row r="541" spans="1:77" s="33" customFormat="1" ht="13.5" customHeight="1">
      <c r="A541" s="64">
        <f t="shared" si="69"/>
        <v>1900</v>
      </c>
      <c r="B541" s="64">
        <f t="shared" si="70"/>
        <v>1</v>
      </c>
      <c r="C541" s="125" t="s">
        <v>188</v>
      </c>
      <c r="D541" s="168" t="str">
        <f t="shared" si="71"/>
        <v>NC</v>
      </c>
      <c r="E541" s="286" t="s">
        <v>3302</v>
      </c>
      <c r="F541" s="286" t="s">
        <v>3989</v>
      </c>
      <c r="G541" s="221">
        <v>600</v>
      </c>
      <c r="H541" s="222">
        <v>44883</v>
      </c>
      <c r="I541" s="222" t="s">
        <v>176</v>
      </c>
      <c r="J541" s="222">
        <v>44889</v>
      </c>
      <c r="K541" s="222" t="s">
        <v>3303</v>
      </c>
      <c r="L541" s="222"/>
      <c r="M541" s="222"/>
      <c r="N541" s="222"/>
      <c r="O541" s="222"/>
      <c r="P541" s="222"/>
      <c r="Q541" s="222"/>
      <c r="R541" s="222"/>
      <c r="S541" s="222"/>
      <c r="T541" s="222"/>
      <c r="U541" s="222"/>
      <c r="V541" s="222"/>
      <c r="W541" s="222">
        <v>44900</v>
      </c>
      <c r="X541" s="286" t="s">
        <v>3990</v>
      </c>
      <c r="Y541" s="222"/>
      <c r="Z541" s="222"/>
      <c r="AA541" s="253">
        <v>5</v>
      </c>
      <c r="AB541" s="225">
        <v>72229</v>
      </c>
      <c r="AC541" s="253">
        <v>64</v>
      </c>
      <c r="AD541" s="222" t="s">
        <v>3991</v>
      </c>
      <c r="AE541" s="253">
        <v>38500</v>
      </c>
      <c r="AF541" s="222" t="s">
        <v>1907</v>
      </c>
      <c r="AG541" s="226">
        <v>670764697</v>
      </c>
      <c r="AH541" s="240" t="s">
        <v>3992</v>
      </c>
      <c r="AI541" s="222" t="s">
        <v>1168</v>
      </c>
      <c r="AJ541" s="222"/>
      <c r="AK541" s="222"/>
      <c r="AL541" s="222"/>
      <c r="AM541" s="222"/>
      <c r="AN541" s="222"/>
      <c r="AO541" s="222"/>
      <c r="AP541" s="222" t="s">
        <v>835</v>
      </c>
      <c r="AQ541" s="222" t="s">
        <v>1895</v>
      </c>
      <c r="AR541" s="222" t="s">
        <v>3993</v>
      </c>
      <c r="AS541" s="240" t="s">
        <v>245</v>
      </c>
      <c r="AT541" s="226">
        <v>476452433</v>
      </c>
      <c r="AU541" s="222" t="s">
        <v>176</v>
      </c>
      <c r="AV541" s="222" t="s">
        <v>188</v>
      </c>
      <c r="AW541" s="222">
        <v>44954</v>
      </c>
      <c r="AX541" s="225" t="s">
        <v>1879</v>
      </c>
      <c r="AY541" s="242" t="s">
        <v>3994</v>
      </c>
      <c r="AZ541" s="225" t="s">
        <v>1880</v>
      </c>
      <c r="BA541" s="225" t="s">
        <v>267</v>
      </c>
      <c r="BB541" s="222" t="s">
        <v>279</v>
      </c>
      <c r="BC541" s="222" t="s">
        <v>3995</v>
      </c>
      <c r="BD541" s="222"/>
      <c r="BE541" s="222"/>
      <c r="BF541" s="222"/>
      <c r="BG541" s="222"/>
      <c r="BH541" s="222" t="s">
        <v>3023</v>
      </c>
      <c r="BI541" s="222"/>
      <c r="BJ541" s="230">
        <f>4900+210+1532.4+388+158+244.3+400</f>
        <v>7832.7</v>
      </c>
      <c r="BK541" s="222"/>
      <c r="BL541" s="222"/>
      <c r="BM541" s="222"/>
      <c r="BN541" s="242">
        <v>130</v>
      </c>
      <c r="BO541" s="230">
        <f t="shared" ref="BO541:BO546" si="74">BJ541+BN541</f>
        <v>7962.7</v>
      </c>
      <c r="BP541" s="242">
        <f t="shared" si="73"/>
        <v>437.94849999999997</v>
      </c>
      <c r="BQ541" s="230">
        <f t="shared" si="68"/>
        <v>8400.6484999999993</v>
      </c>
      <c r="BR541" s="242"/>
      <c r="BS541" s="222" t="s">
        <v>519</v>
      </c>
      <c r="BT541" s="222"/>
      <c r="BU541" s="222"/>
      <c r="BV541" s="242">
        <v>0</v>
      </c>
      <c r="BW541" s="222" t="s">
        <v>3118</v>
      </c>
      <c r="BX541" s="301" t="s">
        <v>214</v>
      </c>
      <c r="BY541" s="222"/>
    </row>
    <row r="542" spans="1:77" s="33" customFormat="1" ht="13.5" customHeight="1">
      <c r="A542" s="64">
        <f t="shared" si="69"/>
        <v>2022</v>
      </c>
      <c r="B542" s="64">
        <f t="shared" si="70"/>
        <v>11</v>
      </c>
      <c r="C542" s="125" t="s">
        <v>191</v>
      </c>
      <c r="D542" s="168" t="str">
        <f t="shared" si="71"/>
        <v>maj</v>
      </c>
      <c r="E542" s="222" t="s">
        <v>3302</v>
      </c>
      <c r="F542" s="222" t="s">
        <v>1840</v>
      </c>
      <c r="G542" s="221">
        <v>1000</v>
      </c>
      <c r="H542" s="222">
        <v>44883</v>
      </c>
      <c r="I542" s="222" t="s">
        <v>176</v>
      </c>
      <c r="J542" s="222" t="s">
        <v>176</v>
      </c>
      <c r="K542" s="222" t="s">
        <v>176</v>
      </c>
      <c r="L542" s="222">
        <v>44889</v>
      </c>
      <c r="M542" s="222">
        <v>44889</v>
      </c>
      <c r="N542" s="222">
        <v>44900</v>
      </c>
      <c r="O542" s="222"/>
      <c r="P542" s="222"/>
      <c r="Q542" s="222"/>
      <c r="R542" s="222"/>
      <c r="S542" s="222"/>
      <c r="T542" s="222"/>
      <c r="U542" s="222"/>
      <c r="V542" s="222"/>
      <c r="W542" s="222"/>
      <c r="X542" s="222"/>
      <c r="Y542" s="222"/>
      <c r="Z542" s="222"/>
      <c r="AA542" s="253">
        <v>4</v>
      </c>
      <c r="AB542" s="225">
        <v>7330</v>
      </c>
      <c r="AC542" s="253">
        <v>71</v>
      </c>
      <c r="AD542" s="222" t="s">
        <v>3996</v>
      </c>
      <c r="AE542" s="253">
        <v>38850</v>
      </c>
      <c r="AF542" s="222" t="s">
        <v>1916</v>
      </c>
      <c r="AG542" s="226">
        <v>760944017</v>
      </c>
      <c r="AH542" s="240" t="s">
        <v>3997</v>
      </c>
      <c r="AI542" s="222" t="s">
        <v>1168</v>
      </c>
      <c r="AJ542" s="222"/>
      <c r="AK542" s="222"/>
      <c r="AL542" s="222"/>
      <c r="AM542" s="222"/>
      <c r="AN542" s="222"/>
      <c r="AO542" s="222"/>
      <c r="AP542" s="225" t="s">
        <v>1909</v>
      </c>
      <c r="AQ542" s="225" t="s">
        <v>1910</v>
      </c>
      <c r="AR542" s="225" t="s">
        <v>781</v>
      </c>
      <c r="AS542" s="227" t="s">
        <v>3998</v>
      </c>
      <c r="AT542" s="226" t="s">
        <v>573</v>
      </c>
      <c r="AU542" s="225" t="s">
        <v>176</v>
      </c>
      <c r="AV542" s="241" t="s">
        <v>188</v>
      </c>
      <c r="AW542" s="223">
        <v>45044</v>
      </c>
      <c r="AX542" s="225" t="s">
        <v>1880</v>
      </c>
      <c r="AY542" s="242">
        <v>2000</v>
      </c>
      <c r="AZ542" s="225" t="s">
        <v>1880</v>
      </c>
      <c r="BA542" s="225" t="s">
        <v>380</v>
      </c>
      <c r="BB542" s="222" t="s">
        <v>280</v>
      </c>
      <c r="BC542" s="222" t="s">
        <v>3999</v>
      </c>
      <c r="BD542" s="222"/>
      <c r="BE542" s="222"/>
      <c r="BF542" s="222"/>
      <c r="BG542" s="222"/>
      <c r="BH542" s="222" t="s">
        <v>1882</v>
      </c>
      <c r="BI542" s="222"/>
      <c r="BJ542" s="230">
        <f>3220+190+345</f>
        <v>3755</v>
      </c>
      <c r="BK542" s="222"/>
      <c r="BL542" s="222"/>
      <c r="BM542" s="222"/>
      <c r="BN542" s="242">
        <v>1150</v>
      </c>
      <c r="BO542" s="230">
        <f t="shared" si="74"/>
        <v>4905</v>
      </c>
      <c r="BP542" s="242">
        <f t="shared" si="73"/>
        <v>269.77499999999998</v>
      </c>
      <c r="BQ542" s="230">
        <f t="shared" si="68"/>
        <v>5174.7749999999996</v>
      </c>
      <c r="BR542" s="242"/>
      <c r="BS542" s="222" t="s">
        <v>188</v>
      </c>
      <c r="BT542" s="222"/>
      <c r="BU542" s="222"/>
      <c r="BV542" s="301" t="s">
        <v>4045</v>
      </c>
      <c r="BW542" s="225" t="s">
        <v>968</v>
      </c>
      <c r="BX542" s="222" t="s">
        <v>618</v>
      </c>
      <c r="BY542" s="242">
        <v>2022</v>
      </c>
    </row>
    <row r="543" spans="1:77" s="33" customFormat="1" ht="13.5" customHeight="1">
      <c r="A543" s="64">
        <f t="shared" si="69"/>
        <v>2022</v>
      </c>
      <c r="B543" s="64">
        <f t="shared" si="70"/>
        <v>11</v>
      </c>
      <c r="C543" s="125" t="s">
        <v>191</v>
      </c>
      <c r="D543" s="168" t="str">
        <f t="shared" si="71"/>
        <v>non maj</v>
      </c>
      <c r="E543" s="222" t="s">
        <v>3302</v>
      </c>
      <c r="F543" s="222" t="s">
        <v>1841</v>
      </c>
      <c r="G543" s="221">
        <v>600</v>
      </c>
      <c r="H543" s="222">
        <v>44885</v>
      </c>
      <c r="I543" s="222" t="s">
        <v>176</v>
      </c>
      <c r="J543" s="222" t="s">
        <v>176</v>
      </c>
      <c r="K543" s="222" t="s">
        <v>176</v>
      </c>
      <c r="L543" s="222">
        <v>44889</v>
      </c>
      <c r="M543" s="222">
        <v>44889</v>
      </c>
      <c r="N543" s="222">
        <v>44900</v>
      </c>
      <c r="O543" s="222"/>
      <c r="P543" s="222"/>
      <c r="Q543" s="222"/>
      <c r="R543" s="222"/>
      <c r="S543" s="222"/>
      <c r="T543" s="222"/>
      <c r="U543" s="222"/>
      <c r="V543" s="222"/>
      <c r="W543" s="222"/>
      <c r="X543" s="222"/>
      <c r="Y543" s="222"/>
      <c r="Z543" s="222"/>
      <c r="AA543" s="253">
        <v>4</v>
      </c>
      <c r="AB543" s="225">
        <v>50092</v>
      </c>
      <c r="AC543" s="253" t="s">
        <v>4000</v>
      </c>
      <c r="AD543" s="222" t="s">
        <v>979</v>
      </c>
      <c r="AE543" s="253">
        <v>38140</v>
      </c>
      <c r="AF543" s="225" t="s">
        <v>1924</v>
      </c>
      <c r="AG543" s="226">
        <v>622272694</v>
      </c>
      <c r="AH543" s="240" t="s">
        <v>4001</v>
      </c>
      <c r="AI543" s="222" t="s">
        <v>1168</v>
      </c>
      <c r="AJ543" s="222"/>
      <c r="AK543" s="222"/>
      <c r="AL543" s="222"/>
      <c r="AM543" s="222"/>
      <c r="AN543" s="222"/>
      <c r="AO543" s="222"/>
      <c r="AP543" s="222" t="s">
        <v>1071</v>
      </c>
      <c r="AQ543" s="222" t="s">
        <v>232</v>
      </c>
      <c r="AR543" s="222" t="s">
        <v>4002</v>
      </c>
      <c r="AS543" s="240" t="s">
        <v>3811</v>
      </c>
      <c r="AT543" s="226">
        <v>768823714</v>
      </c>
      <c r="AU543" s="222" t="s">
        <v>176</v>
      </c>
      <c r="AV543" s="222" t="s">
        <v>188</v>
      </c>
      <c r="AW543" s="222">
        <v>45102</v>
      </c>
      <c r="AX543" s="225" t="s">
        <v>1879</v>
      </c>
      <c r="AY543" s="242">
        <v>1990</v>
      </c>
      <c r="AZ543" s="225" t="s">
        <v>1880</v>
      </c>
      <c r="BA543" s="225" t="s">
        <v>267</v>
      </c>
      <c r="BB543" s="222" t="s">
        <v>699</v>
      </c>
      <c r="BC543" s="222" t="s">
        <v>4003</v>
      </c>
      <c r="BD543" s="222"/>
      <c r="BE543" s="222"/>
      <c r="BF543" s="222"/>
      <c r="BG543" s="222"/>
      <c r="BH543" s="222" t="s">
        <v>1882</v>
      </c>
      <c r="BI543" s="222"/>
      <c r="BJ543" s="230">
        <f>3328.91+150+150+1146</f>
        <v>4774.91</v>
      </c>
      <c r="BK543" s="222"/>
      <c r="BL543" s="222"/>
      <c r="BM543" s="222"/>
      <c r="BN543" s="242">
        <f>1080+480</f>
        <v>1560</v>
      </c>
      <c r="BO543" s="230">
        <f t="shared" si="74"/>
        <v>6334.91</v>
      </c>
      <c r="BP543" s="230">
        <f t="shared" si="73"/>
        <v>348.42005</v>
      </c>
      <c r="BQ543" s="230">
        <f t="shared" si="68"/>
        <v>6683.3300499999996</v>
      </c>
      <c r="BR543" s="242"/>
      <c r="BS543" s="222" t="s">
        <v>188</v>
      </c>
      <c r="BT543" s="222"/>
      <c r="BU543" s="222"/>
      <c r="BV543" s="301" t="s">
        <v>4045</v>
      </c>
      <c r="BW543" s="225" t="s">
        <v>968</v>
      </c>
      <c r="BX543" s="301" t="s">
        <v>620</v>
      </c>
      <c r="BY543" s="222"/>
    </row>
    <row r="544" spans="1:77" s="33" customFormat="1" ht="13.5" customHeight="1">
      <c r="A544" s="64">
        <f t="shared" si="69"/>
        <v>2022</v>
      </c>
      <c r="B544" s="64">
        <f t="shared" si="70"/>
        <v>12</v>
      </c>
      <c r="C544" s="125" t="s">
        <v>191</v>
      </c>
      <c r="D544" s="168" t="str">
        <f t="shared" si="71"/>
        <v>maj</v>
      </c>
      <c r="E544" s="222" t="s">
        <v>3302</v>
      </c>
      <c r="F544" s="222" t="s">
        <v>1843</v>
      </c>
      <c r="G544" s="221">
        <v>1000</v>
      </c>
      <c r="H544" s="222">
        <v>44889</v>
      </c>
      <c r="I544" s="222">
        <v>44894</v>
      </c>
      <c r="J544" s="222" t="s">
        <v>176</v>
      </c>
      <c r="K544" s="222" t="s">
        <v>176</v>
      </c>
      <c r="L544" s="222">
        <v>44897</v>
      </c>
      <c r="M544" s="222">
        <v>44897</v>
      </c>
      <c r="N544" s="222">
        <v>44909</v>
      </c>
      <c r="O544" s="222"/>
      <c r="P544" s="222"/>
      <c r="Q544" s="222"/>
      <c r="R544" s="222"/>
      <c r="S544" s="222"/>
      <c r="T544" s="222"/>
      <c r="U544" s="222"/>
      <c r="V544" s="222"/>
      <c r="W544" s="222"/>
      <c r="X544" s="222"/>
      <c r="Y544" s="222"/>
      <c r="Z544" s="222"/>
      <c r="AA544" s="253">
        <v>2</v>
      </c>
      <c r="AB544" s="225">
        <v>10018</v>
      </c>
      <c r="AC544" s="253">
        <v>41</v>
      </c>
      <c r="AD544" s="222" t="s">
        <v>4004</v>
      </c>
      <c r="AE544" s="253">
        <v>38620</v>
      </c>
      <c r="AF544" s="222" t="s">
        <v>1871</v>
      </c>
      <c r="AG544" s="226">
        <v>688352065</v>
      </c>
      <c r="AH544" s="240" t="s">
        <v>4005</v>
      </c>
      <c r="AI544" s="222" t="s">
        <v>1168</v>
      </c>
      <c r="AJ544" s="222"/>
      <c r="AK544" s="222"/>
      <c r="AL544" s="222"/>
      <c r="AM544" s="222"/>
      <c r="AN544" s="222"/>
      <c r="AO544" s="222"/>
      <c r="AP544" s="222" t="s">
        <v>727</v>
      </c>
      <c r="AQ544" s="222" t="s">
        <v>1875</v>
      </c>
      <c r="AR544" s="222" t="s">
        <v>3762</v>
      </c>
      <c r="AS544" s="240" t="s">
        <v>3763</v>
      </c>
      <c r="AT544" s="226" t="s">
        <v>434</v>
      </c>
      <c r="AU544" s="222"/>
      <c r="AV544" s="222" t="s">
        <v>188</v>
      </c>
      <c r="AW544" s="222">
        <v>45186</v>
      </c>
      <c r="AX544" s="225" t="s">
        <v>1179</v>
      </c>
      <c r="AY544" s="242">
        <v>1980</v>
      </c>
      <c r="AZ544" s="225" t="s">
        <v>1179</v>
      </c>
      <c r="BA544" s="225" t="s">
        <v>380</v>
      </c>
      <c r="BB544" s="222" t="s">
        <v>244</v>
      </c>
      <c r="BC544" s="222" t="s">
        <v>4006</v>
      </c>
      <c r="BD544" s="222"/>
      <c r="BE544" s="222"/>
      <c r="BF544" s="222"/>
      <c r="BG544" s="222"/>
      <c r="BH544" s="222" t="s">
        <v>1882</v>
      </c>
      <c r="BI544" s="222"/>
      <c r="BJ544" s="230">
        <f>4529+3730+185+65+128+45+188</f>
        <v>8870</v>
      </c>
      <c r="BK544" s="222"/>
      <c r="BL544" s="222"/>
      <c r="BM544" s="222"/>
      <c r="BN544" s="242">
        <v>590</v>
      </c>
      <c r="BO544" s="230">
        <f t="shared" si="74"/>
        <v>9460</v>
      </c>
      <c r="BP544" s="242">
        <f t="shared" si="73"/>
        <v>520.29999999999995</v>
      </c>
      <c r="BQ544" s="230">
        <f t="shared" si="68"/>
        <v>9980.2999999999993</v>
      </c>
      <c r="BR544" s="242"/>
      <c r="BS544" s="222" t="s">
        <v>188</v>
      </c>
      <c r="BT544" s="222"/>
      <c r="BU544" s="222"/>
      <c r="BV544" s="301" t="s">
        <v>4045</v>
      </c>
      <c r="BW544" s="225" t="s">
        <v>968</v>
      </c>
      <c r="BX544" s="222" t="s">
        <v>618</v>
      </c>
      <c r="BY544" s="222"/>
    </row>
    <row r="545" spans="1:77" s="33" customFormat="1" ht="13.5" customHeight="1">
      <c r="A545" s="64">
        <f t="shared" si="69"/>
        <v>2022</v>
      </c>
      <c r="B545" s="64">
        <f t="shared" si="70"/>
        <v>12</v>
      </c>
      <c r="C545" s="125" t="s">
        <v>191</v>
      </c>
      <c r="D545" s="168" t="str">
        <f t="shared" si="71"/>
        <v>non maj</v>
      </c>
      <c r="E545" s="222" t="s">
        <v>3302</v>
      </c>
      <c r="F545" s="222" t="s">
        <v>4007</v>
      </c>
      <c r="G545" s="221">
        <v>600</v>
      </c>
      <c r="H545" s="222">
        <v>44889</v>
      </c>
      <c r="I545" s="222">
        <v>44894</v>
      </c>
      <c r="J545" s="222" t="s">
        <v>176</v>
      </c>
      <c r="K545" s="222" t="s">
        <v>176</v>
      </c>
      <c r="L545" s="222">
        <v>44897</v>
      </c>
      <c r="M545" s="222">
        <v>44897</v>
      </c>
      <c r="N545" s="222">
        <v>44909</v>
      </c>
      <c r="O545" s="222"/>
      <c r="P545" s="222"/>
      <c r="Q545" s="222"/>
      <c r="R545" s="222"/>
      <c r="S545" s="222"/>
      <c r="T545" s="222"/>
      <c r="U545" s="222"/>
      <c r="V545" s="222"/>
      <c r="W545" s="222"/>
      <c r="X545" s="222"/>
      <c r="Y545" s="222"/>
      <c r="Z545" s="222"/>
      <c r="AA545" s="253">
        <v>5</v>
      </c>
      <c r="AB545" s="225">
        <v>156112</v>
      </c>
      <c r="AC545" s="253">
        <v>16</v>
      </c>
      <c r="AD545" s="222" t="s">
        <v>3489</v>
      </c>
      <c r="AE545" s="253">
        <v>38210</v>
      </c>
      <c r="AF545" s="222" t="s">
        <v>265</v>
      </c>
      <c r="AG545" s="226">
        <v>627542614</v>
      </c>
      <c r="AH545" s="240" t="s">
        <v>4008</v>
      </c>
      <c r="AI545" s="222" t="s">
        <v>1168</v>
      </c>
      <c r="AJ545" s="222"/>
      <c r="AK545" s="222"/>
      <c r="AL545" s="222"/>
      <c r="AM545" s="222"/>
      <c r="AN545" s="222"/>
      <c r="AO545" s="222"/>
      <c r="AP545" s="222" t="s">
        <v>778</v>
      </c>
      <c r="AQ545" s="222" t="s">
        <v>1926</v>
      </c>
      <c r="AR545" s="222" t="s">
        <v>3647</v>
      </c>
      <c r="AS545" s="234" t="s">
        <v>251</v>
      </c>
      <c r="AT545" s="226">
        <v>627542614</v>
      </c>
      <c r="AU545" s="222" t="s">
        <v>176</v>
      </c>
      <c r="AV545" s="222" t="s">
        <v>188</v>
      </c>
      <c r="AW545" s="223" t="s">
        <v>4009</v>
      </c>
      <c r="AX545" s="222" t="s">
        <v>1879</v>
      </c>
      <c r="AY545" s="242" t="s">
        <v>1935</v>
      </c>
      <c r="AZ545" s="225" t="s">
        <v>1880</v>
      </c>
      <c r="BA545" s="225" t="s">
        <v>380</v>
      </c>
      <c r="BB545" s="222" t="s">
        <v>975</v>
      </c>
      <c r="BC545" s="222" t="s">
        <v>1052</v>
      </c>
      <c r="BD545" s="222"/>
      <c r="BE545" s="222"/>
      <c r="BF545" s="222"/>
      <c r="BG545" s="222"/>
      <c r="BH545" s="222" t="s">
        <v>1882</v>
      </c>
      <c r="BI545" s="222"/>
      <c r="BJ545" s="230">
        <f>4538+433+828</f>
        <v>5799</v>
      </c>
      <c r="BK545" s="222"/>
      <c r="BL545" s="222"/>
      <c r="BM545" s="222"/>
      <c r="BN545" s="242">
        <v>750</v>
      </c>
      <c r="BO545" s="242">
        <f t="shared" si="74"/>
        <v>6549</v>
      </c>
      <c r="BP545" s="230">
        <f t="shared" si="73"/>
        <v>360.19499999999999</v>
      </c>
      <c r="BQ545" s="230">
        <f t="shared" si="68"/>
        <v>6909.1949999999997</v>
      </c>
      <c r="BR545" s="242"/>
      <c r="BS545" s="222" t="s">
        <v>188</v>
      </c>
      <c r="BT545" s="222"/>
      <c r="BU545" s="222"/>
      <c r="BV545" s="301" t="s">
        <v>4045</v>
      </c>
      <c r="BW545" s="225" t="s">
        <v>968</v>
      </c>
      <c r="BX545" s="301" t="s">
        <v>620</v>
      </c>
      <c r="BY545" s="222"/>
    </row>
    <row r="546" spans="1:77" s="33" customFormat="1" ht="13.5" customHeight="1">
      <c r="A546" s="64">
        <f t="shared" si="69"/>
        <v>2022</v>
      </c>
      <c r="B546" s="64">
        <f t="shared" si="70"/>
        <v>12</v>
      </c>
      <c r="C546" s="125" t="s">
        <v>191</v>
      </c>
      <c r="D546" s="168" t="str">
        <f t="shared" si="71"/>
        <v>non maj</v>
      </c>
      <c r="E546" s="222" t="s">
        <v>3302</v>
      </c>
      <c r="F546" s="222" t="s">
        <v>1844</v>
      </c>
      <c r="G546" s="221">
        <v>600</v>
      </c>
      <c r="H546" s="222">
        <v>44894</v>
      </c>
      <c r="I546" s="222">
        <v>44894</v>
      </c>
      <c r="J546" s="222">
        <v>44897</v>
      </c>
      <c r="K546" s="222" t="s">
        <v>4010</v>
      </c>
      <c r="L546" s="222">
        <v>44900</v>
      </c>
      <c r="M546" s="222">
        <v>44900</v>
      </c>
      <c r="N546" s="222">
        <v>44909</v>
      </c>
      <c r="O546" s="222"/>
      <c r="P546" s="222"/>
      <c r="Q546" s="222"/>
      <c r="R546" s="222"/>
      <c r="S546" s="222"/>
      <c r="T546" s="222"/>
      <c r="U546" s="222"/>
      <c r="V546" s="222"/>
      <c r="W546" s="222"/>
      <c r="X546" s="222"/>
      <c r="Y546" s="222"/>
      <c r="Z546" s="222"/>
      <c r="AA546" s="253">
        <v>4</v>
      </c>
      <c r="AB546" s="225">
        <v>45006</v>
      </c>
      <c r="AC546" s="253">
        <v>9</v>
      </c>
      <c r="AD546" s="222" t="s">
        <v>4011</v>
      </c>
      <c r="AE546" s="253">
        <v>38730</v>
      </c>
      <c r="AF546" s="222" t="s">
        <v>1916</v>
      </c>
      <c r="AG546" s="226">
        <v>685684028</v>
      </c>
      <c r="AH546" s="240" t="s">
        <v>4012</v>
      </c>
      <c r="AI546" s="222" t="s">
        <v>1168</v>
      </c>
      <c r="AJ546" s="222"/>
      <c r="AK546" s="222"/>
      <c r="AL546" s="222"/>
      <c r="AM546" s="222"/>
      <c r="AN546" s="222"/>
      <c r="AO546" s="222"/>
      <c r="AP546" s="225" t="s">
        <v>2762</v>
      </c>
      <c r="AQ546" s="225" t="s">
        <v>1018</v>
      </c>
      <c r="AR546" s="225" t="s">
        <v>2763</v>
      </c>
      <c r="AS546" s="240" t="s">
        <v>3478</v>
      </c>
      <c r="AT546" s="226">
        <v>476663386</v>
      </c>
      <c r="AU546" s="225" t="s">
        <v>176</v>
      </c>
      <c r="AV546" s="241" t="s">
        <v>188</v>
      </c>
      <c r="AW546" s="223">
        <v>45096</v>
      </c>
      <c r="AX546" s="225" t="s">
        <v>4113</v>
      </c>
      <c r="AY546" s="242">
        <v>1983</v>
      </c>
      <c r="AZ546" s="225" t="s">
        <v>4113</v>
      </c>
      <c r="BA546" s="225" t="s">
        <v>380</v>
      </c>
      <c r="BB546" s="222" t="s">
        <v>994</v>
      </c>
      <c r="BC546" s="222" t="s">
        <v>3984</v>
      </c>
      <c r="BD546" s="222"/>
      <c r="BE546" s="222"/>
      <c r="BF546" s="222"/>
      <c r="BG546" s="222"/>
      <c r="BH546" s="222" t="s">
        <v>1882</v>
      </c>
      <c r="BI546" s="222"/>
      <c r="BJ546" s="230">
        <f>2088.68+345+280+375+370+167+567+295+188.2+127</f>
        <v>4802.88</v>
      </c>
      <c r="BK546" s="222"/>
      <c r="BL546" s="222"/>
      <c r="BM546" s="222"/>
      <c r="BN546" s="242">
        <v>600</v>
      </c>
      <c r="BO546" s="230">
        <f t="shared" si="74"/>
        <v>5402.88</v>
      </c>
      <c r="BP546" s="230">
        <f t="shared" si="73"/>
        <v>297.15840000000003</v>
      </c>
      <c r="BQ546" s="230">
        <f t="shared" si="68"/>
        <v>5700.0384000000004</v>
      </c>
      <c r="BR546" s="242"/>
      <c r="BS546" s="222" t="s">
        <v>519</v>
      </c>
      <c r="BT546" s="222"/>
      <c r="BU546" s="222"/>
      <c r="BV546" s="301" t="s">
        <v>4045</v>
      </c>
      <c r="BW546" s="225" t="s">
        <v>968</v>
      </c>
      <c r="BX546" s="301" t="s">
        <v>620</v>
      </c>
      <c r="BY546" s="222"/>
    </row>
    <row r="547" spans="1:77" s="33" customFormat="1" ht="13.5" customHeight="1">
      <c r="A547" s="64">
        <f t="shared" si="69"/>
        <v>2022</v>
      </c>
      <c r="B547" s="64">
        <f t="shared" si="70"/>
        <v>12</v>
      </c>
      <c r="C547" s="125" t="s">
        <v>191</v>
      </c>
      <c r="D547" s="168" t="str">
        <f t="shared" si="71"/>
        <v>maj</v>
      </c>
      <c r="E547" s="222" t="s">
        <v>3302</v>
      </c>
      <c r="F547" s="222" t="s">
        <v>1845</v>
      </c>
      <c r="G547" s="221">
        <v>1000</v>
      </c>
      <c r="H547" s="222">
        <v>44895</v>
      </c>
      <c r="I547" s="222">
        <v>44900</v>
      </c>
      <c r="J547" s="222">
        <v>44904</v>
      </c>
      <c r="K547" s="222" t="s">
        <v>4013</v>
      </c>
      <c r="L547" s="222">
        <v>44910</v>
      </c>
      <c r="M547" s="222">
        <v>44910</v>
      </c>
      <c r="N547" s="222">
        <v>44931</v>
      </c>
      <c r="O547" s="222"/>
      <c r="P547" s="222"/>
      <c r="Q547" s="222"/>
      <c r="R547" s="222"/>
      <c r="S547" s="222"/>
      <c r="T547" s="222"/>
      <c r="U547" s="222"/>
      <c r="V547" s="222"/>
      <c r="W547" s="222"/>
      <c r="X547" s="222"/>
      <c r="Y547" s="222"/>
      <c r="Z547" s="222"/>
      <c r="AA547" s="253">
        <v>1</v>
      </c>
      <c r="AB547" s="225">
        <v>14696</v>
      </c>
      <c r="AC547" s="253">
        <v>36</v>
      </c>
      <c r="AD547" s="222" t="s">
        <v>4014</v>
      </c>
      <c r="AE547" s="253">
        <v>38134</v>
      </c>
      <c r="AF547" s="222" t="s">
        <v>2134</v>
      </c>
      <c r="AG547" s="226">
        <v>787867894</v>
      </c>
      <c r="AH547" s="240" t="s">
        <v>4015</v>
      </c>
      <c r="AI547" s="222"/>
      <c r="AJ547" s="222"/>
      <c r="AK547" s="222"/>
      <c r="AL547" s="222"/>
      <c r="AM547" s="222"/>
      <c r="AN547" s="222"/>
      <c r="AO547" s="222"/>
      <c r="AP547" s="222" t="s">
        <v>835</v>
      </c>
      <c r="AQ547" s="222" t="s">
        <v>1895</v>
      </c>
      <c r="AR547" s="222" t="s">
        <v>3993</v>
      </c>
      <c r="AS547" s="240" t="s">
        <v>245</v>
      </c>
      <c r="AT547" s="226">
        <v>476452433</v>
      </c>
      <c r="AU547" s="222" t="s">
        <v>176</v>
      </c>
      <c r="AV547" s="222" t="s">
        <v>188</v>
      </c>
      <c r="AW547" s="222">
        <v>44954</v>
      </c>
      <c r="AX547" s="225" t="s">
        <v>4113</v>
      </c>
      <c r="AY547" s="222" t="s">
        <v>1967</v>
      </c>
      <c r="AZ547" s="225" t="s">
        <v>1880</v>
      </c>
      <c r="BA547" s="225" t="s">
        <v>380</v>
      </c>
      <c r="BB547" s="222" t="s">
        <v>246</v>
      </c>
      <c r="BC547" s="222" t="s">
        <v>4016</v>
      </c>
      <c r="BD547" s="222"/>
      <c r="BE547" s="222"/>
      <c r="BF547" s="222"/>
      <c r="BG547" s="222"/>
      <c r="BH547" s="222" t="s">
        <v>1882</v>
      </c>
      <c r="BI547" s="222"/>
      <c r="BJ547" s="230">
        <f>4729.86+942.8+450</f>
        <v>6122.66</v>
      </c>
      <c r="BK547" s="230"/>
      <c r="BL547" s="230"/>
      <c r="BM547" s="230"/>
      <c r="BN547" s="230">
        <f>255.68+175.33+400+130</f>
        <v>961.01</v>
      </c>
      <c r="BO547" s="230">
        <f>BJ547+BN547-470</f>
        <v>6613.67</v>
      </c>
      <c r="BP547" s="230">
        <f t="shared" si="73"/>
        <v>363.75184999999999</v>
      </c>
      <c r="BQ547" s="230">
        <f t="shared" si="68"/>
        <v>6977.4218499999997</v>
      </c>
      <c r="BR547" s="242"/>
      <c r="BS547" s="222" t="s">
        <v>519</v>
      </c>
      <c r="BT547" s="222"/>
      <c r="BU547" s="222"/>
      <c r="BV547" s="242"/>
      <c r="BW547" s="225" t="s">
        <v>968</v>
      </c>
      <c r="BX547" s="222" t="s">
        <v>618</v>
      </c>
      <c r="BY547" s="222"/>
    </row>
    <row r="548" spans="1:77" s="33" customFormat="1" ht="13.5" customHeight="1">
      <c r="A548" s="64">
        <f t="shared" si="69"/>
        <v>1900</v>
      </c>
      <c r="B548" s="64">
        <f t="shared" si="70"/>
        <v>1</v>
      </c>
      <c r="C548" s="125" t="s">
        <v>191</v>
      </c>
      <c r="D548" s="168" t="str">
        <f t="shared" si="71"/>
        <v>non maj</v>
      </c>
      <c r="E548" s="222" t="s">
        <v>3302</v>
      </c>
      <c r="F548" s="222" t="s">
        <v>1846</v>
      </c>
      <c r="G548" s="221">
        <v>600</v>
      </c>
      <c r="H548" s="222">
        <v>44895</v>
      </c>
      <c r="I548" s="222">
        <v>44900</v>
      </c>
      <c r="J548" s="222">
        <v>44904</v>
      </c>
      <c r="K548" s="222" t="s">
        <v>4017</v>
      </c>
      <c r="L548" s="222"/>
      <c r="M548" s="222"/>
      <c r="N548" s="222"/>
      <c r="O548" s="222"/>
      <c r="P548" s="222"/>
      <c r="Q548" s="222"/>
      <c r="R548" s="222"/>
      <c r="S548" s="222"/>
      <c r="T548" s="222"/>
      <c r="U548" s="222"/>
      <c r="V548" s="222"/>
      <c r="W548" s="222"/>
      <c r="X548" s="222"/>
      <c r="Y548" s="222"/>
      <c r="Z548" s="222"/>
      <c r="AA548" s="253">
        <v>1</v>
      </c>
      <c r="AB548" s="225">
        <v>39174</v>
      </c>
      <c r="AC548" s="253">
        <v>230</v>
      </c>
      <c r="AD548" s="222" t="s">
        <v>4018</v>
      </c>
      <c r="AE548" s="253">
        <v>38140</v>
      </c>
      <c r="AF548" s="222" t="s">
        <v>1971</v>
      </c>
      <c r="AG548" s="226">
        <v>607337565</v>
      </c>
      <c r="AH548" s="240" t="s">
        <v>4019</v>
      </c>
      <c r="AI548" s="222" t="s">
        <v>1168</v>
      </c>
      <c r="AJ548" s="222"/>
      <c r="AK548" s="222"/>
      <c r="AL548" s="222"/>
      <c r="AM548" s="222"/>
      <c r="AN548" s="222"/>
      <c r="AO548" s="222"/>
      <c r="AP548" s="225" t="s">
        <v>1888</v>
      </c>
      <c r="AQ548" s="222" t="s">
        <v>225</v>
      </c>
      <c r="AR548" s="222" t="s">
        <v>1889</v>
      </c>
      <c r="AS548" s="234" t="s">
        <v>3297</v>
      </c>
      <c r="AT548" s="226" t="s">
        <v>600</v>
      </c>
      <c r="AU548" s="222"/>
      <c r="AV548" s="222" t="s">
        <v>188</v>
      </c>
      <c r="AW548" s="222">
        <v>44868</v>
      </c>
      <c r="AX548" s="225" t="s">
        <v>4113</v>
      </c>
      <c r="AY548" s="242">
        <v>1998</v>
      </c>
      <c r="AZ548" s="225" t="s">
        <v>1880</v>
      </c>
      <c r="BA548" s="225" t="s">
        <v>380</v>
      </c>
      <c r="BB548" s="222" t="s">
        <v>1936</v>
      </c>
      <c r="BC548" s="222" t="s">
        <v>610</v>
      </c>
      <c r="BD548" s="222"/>
      <c r="BE548" s="222"/>
      <c r="BF548" s="222"/>
      <c r="BG548" s="222"/>
      <c r="BH548" s="222" t="s">
        <v>1882</v>
      </c>
      <c r="BI548" s="222"/>
      <c r="BJ548" s="230">
        <f>3971.71+101+93+60+90+22+47+45+174</f>
        <v>4603.71</v>
      </c>
      <c r="BK548" s="222"/>
      <c r="BL548" s="222"/>
      <c r="BM548" s="222"/>
      <c r="BN548" s="230">
        <f>15+35+420+30</f>
        <v>500</v>
      </c>
      <c r="BO548" s="230">
        <f>BJ548+BN548</f>
        <v>5103.71</v>
      </c>
      <c r="BP548" s="230">
        <f t="shared" si="73"/>
        <v>280.70405</v>
      </c>
      <c r="BQ548" s="230">
        <f t="shared" si="68"/>
        <v>5384.4140500000003</v>
      </c>
      <c r="BR548" s="242"/>
      <c r="BS548" s="222" t="s">
        <v>388</v>
      </c>
      <c r="BT548" s="222"/>
      <c r="BU548" s="222"/>
      <c r="BV548" s="242"/>
      <c r="BW548" s="222"/>
      <c r="BX548" s="301" t="s">
        <v>620</v>
      </c>
      <c r="BY548" s="222"/>
    </row>
    <row r="549" spans="1:77" s="33" customFormat="1" ht="13.5" customHeight="1">
      <c r="A549" s="64">
        <f t="shared" si="69"/>
        <v>2022</v>
      </c>
      <c r="B549" s="64">
        <f t="shared" si="70"/>
        <v>12</v>
      </c>
      <c r="C549" s="125" t="s">
        <v>191</v>
      </c>
      <c r="D549" s="168" t="str">
        <f t="shared" si="71"/>
        <v>non maj</v>
      </c>
      <c r="E549" s="222" t="s">
        <v>3302</v>
      </c>
      <c r="F549" s="222" t="s">
        <v>1847</v>
      </c>
      <c r="G549" s="221">
        <v>600</v>
      </c>
      <c r="H549" s="222">
        <v>44896</v>
      </c>
      <c r="I549" s="222">
        <v>44900</v>
      </c>
      <c r="J549" s="222">
        <v>44904</v>
      </c>
      <c r="K549" s="222" t="s">
        <v>3422</v>
      </c>
      <c r="L549" s="222">
        <v>44907</v>
      </c>
      <c r="M549" s="222">
        <v>44907</v>
      </c>
      <c r="N549" s="222">
        <v>44909</v>
      </c>
      <c r="O549" s="222"/>
      <c r="P549" s="222"/>
      <c r="Q549" s="222"/>
      <c r="R549" s="222"/>
      <c r="S549" s="222"/>
      <c r="T549" s="222"/>
      <c r="U549" s="222"/>
      <c r="V549" s="222"/>
      <c r="W549" s="222"/>
      <c r="X549" s="222"/>
      <c r="Y549" s="222"/>
      <c r="Z549" s="222"/>
      <c r="AA549" s="253">
        <v>2</v>
      </c>
      <c r="AB549" s="225">
        <v>90531</v>
      </c>
      <c r="AC549" s="253">
        <v>35</v>
      </c>
      <c r="AD549" s="222" t="s">
        <v>4020</v>
      </c>
      <c r="AE549" s="253">
        <v>38340</v>
      </c>
      <c r="AF549" s="222" t="s">
        <v>232</v>
      </c>
      <c r="AG549" s="226">
        <v>686932941</v>
      </c>
      <c r="AH549" s="240" t="s">
        <v>4021</v>
      </c>
      <c r="AI549" s="222" t="s">
        <v>1168</v>
      </c>
      <c r="AJ549" s="222"/>
      <c r="AK549" s="222"/>
      <c r="AL549" s="222"/>
      <c r="AM549" s="222"/>
      <c r="AN549" s="222"/>
      <c r="AO549" s="222"/>
      <c r="AP549" s="225" t="s">
        <v>2052</v>
      </c>
      <c r="AQ549" s="222" t="s">
        <v>232</v>
      </c>
      <c r="AR549" s="222" t="s">
        <v>3941</v>
      </c>
      <c r="AS549" s="241" t="s">
        <v>234</v>
      </c>
      <c r="AT549" s="222" t="s">
        <v>3942</v>
      </c>
      <c r="AU549" s="225" t="s">
        <v>176</v>
      </c>
      <c r="AV549" s="241" t="s">
        <v>188</v>
      </c>
      <c r="AW549" s="222">
        <v>45137</v>
      </c>
      <c r="AX549" s="225" t="s">
        <v>1879</v>
      </c>
      <c r="AY549" s="222" t="s">
        <v>1912</v>
      </c>
      <c r="AZ549" s="225" t="s">
        <v>4113</v>
      </c>
      <c r="BA549" s="225" t="s">
        <v>380</v>
      </c>
      <c r="BB549" s="222" t="s">
        <v>270</v>
      </c>
      <c r="BC549" s="222" t="s">
        <v>2887</v>
      </c>
      <c r="BD549" s="222"/>
      <c r="BE549" s="222"/>
      <c r="BF549" s="222"/>
      <c r="BG549" s="222"/>
      <c r="BH549" s="222" t="s">
        <v>1882</v>
      </c>
      <c r="BI549" s="222"/>
      <c r="BJ549" s="230">
        <f>355.81+529.44+71.09+2350+225+191.02+78.6+78.6+82.9+1560</f>
        <v>5522.46</v>
      </c>
      <c r="BK549" s="222"/>
      <c r="BL549" s="222"/>
      <c r="BM549" s="222"/>
      <c r="BN549" s="230">
        <v>282.27999999999997</v>
      </c>
      <c r="BO549" s="230">
        <f>BJ549+BN549</f>
        <v>5804.74</v>
      </c>
      <c r="BP549" s="230">
        <f t="shared" si="73"/>
        <v>319.26069999999999</v>
      </c>
      <c r="BQ549" s="230">
        <f t="shared" si="68"/>
        <v>6124.0006999999996</v>
      </c>
      <c r="BR549" s="242"/>
      <c r="BS549" s="222" t="s">
        <v>388</v>
      </c>
      <c r="BT549" s="222"/>
      <c r="BU549" s="222"/>
      <c r="BV549" s="301" t="s">
        <v>4045</v>
      </c>
      <c r="BW549" s="225" t="s">
        <v>968</v>
      </c>
      <c r="BX549" s="301" t="s">
        <v>620</v>
      </c>
      <c r="BY549" s="222"/>
    </row>
    <row r="550" spans="1:77" s="33" customFormat="1" ht="13.5" customHeight="1">
      <c r="A550" s="64">
        <f t="shared" si="69"/>
        <v>2022</v>
      </c>
      <c r="B550" s="64">
        <f t="shared" si="70"/>
        <v>12</v>
      </c>
      <c r="C550" s="125" t="s">
        <v>191</v>
      </c>
      <c r="D550" s="168" t="str">
        <f t="shared" si="71"/>
        <v>non maj</v>
      </c>
      <c r="E550" s="222" t="s">
        <v>3302</v>
      </c>
      <c r="F550" s="222" t="s">
        <v>1848</v>
      </c>
      <c r="G550" s="221">
        <v>600</v>
      </c>
      <c r="H550" s="222">
        <v>44901</v>
      </c>
      <c r="I550" s="222">
        <v>44902</v>
      </c>
      <c r="J550" s="222" t="s">
        <v>176</v>
      </c>
      <c r="K550" s="222" t="s">
        <v>176</v>
      </c>
      <c r="L550" s="222">
        <v>44904</v>
      </c>
      <c r="M550" s="222">
        <v>44904</v>
      </c>
      <c r="N550" s="222">
        <v>44909</v>
      </c>
      <c r="O550" s="222"/>
      <c r="P550" s="222"/>
      <c r="Q550" s="222"/>
      <c r="R550" s="222"/>
      <c r="S550" s="222"/>
      <c r="T550" s="222"/>
      <c r="U550" s="222"/>
      <c r="V550" s="222"/>
      <c r="W550" s="222"/>
      <c r="X550" s="222"/>
      <c r="Y550" s="222"/>
      <c r="Z550" s="222"/>
      <c r="AA550" s="253">
        <v>2</v>
      </c>
      <c r="AB550" s="225">
        <v>45275</v>
      </c>
      <c r="AC550" s="253">
        <v>40</v>
      </c>
      <c r="AD550" s="222" t="s">
        <v>880</v>
      </c>
      <c r="AE550" s="253">
        <v>38340</v>
      </c>
      <c r="AF550" s="222" t="s">
        <v>232</v>
      </c>
      <c r="AG550" s="226">
        <v>476501906</v>
      </c>
      <c r="AH550" s="234" t="s">
        <v>4022</v>
      </c>
      <c r="AI550" s="222" t="s">
        <v>1168</v>
      </c>
      <c r="AJ550" s="222"/>
      <c r="AK550" s="222"/>
      <c r="AL550" s="222"/>
      <c r="AM550" s="222"/>
      <c r="AN550" s="222"/>
      <c r="AO550" s="222"/>
      <c r="AP550" s="225" t="s">
        <v>2762</v>
      </c>
      <c r="AQ550" s="225" t="s">
        <v>1018</v>
      </c>
      <c r="AR550" s="225" t="s">
        <v>2763</v>
      </c>
      <c r="AS550" s="240" t="s">
        <v>3071</v>
      </c>
      <c r="AT550" s="226">
        <v>476663386</v>
      </c>
      <c r="AU550" s="225" t="s">
        <v>176</v>
      </c>
      <c r="AV550" s="241" t="s">
        <v>188</v>
      </c>
      <c r="AW550" s="223">
        <v>45096</v>
      </c>
      <c r="AX550" s="222" t="s">
        <v>1879</v>
      </c>
      <c r="AY550" s="242">
        <v>1981</v>
      </c>
      <c r="AZ550" s="225" t="s">
        <v>4113</v>
      </c>
      <c r="BA550" s="225" t="s">
        <v>380</v>
      </c>
      <c r="BB550" s="222" t="s">
        <v>3404</v>
      </c>
      <c r="BC550" s="222" t="s">
        <v>3984</v>
      </c>
      <c r="BD550" s="222"/>
      <c r="BE550" s="222"/>
      <c r="BF550" s="222"/>
      <c r="BG550" s="222"/>
      <c r="BH550" s="222" t="s">
        <v>1882</v>
      </c>
      <c r="BI550" s="222"/>
      <c r="BJ550" s="230">
        <f>2150.72+245+169+896+295+295+487+211+101</f>
        <v>4849.7199999999993</v>
      </c>
      <c r="BK550" s="222"/>
      <c r="BL550" s="222"/>
      <c r="BM550" s="222"/>
      <c r="BN550" s="230">
        <f>800+450</f>
        <v>1250</v>
      </c>
      <c r="BO550" s="230">
        <f>BJ550+BN550</f>
        <v>6099.7199999999993</v>
      </c>
      <c r="BP550" s="230">
        <f t="shared" si="73"/>
        <v>335.48459999999994</v>
      </c>
      <c r="BQ550" s="230">
        <f t="shared" si="68"/>
        <v>6435.2045999999991</v>
      </c>
      <c r="BR550" s="242"/>
      <c r="BS550" s="222" t="s">
        <v>388</v>
      </c>
      <c r="BT550" s="222"/>
      <c r="BU550" s="222"/>
      <c r="BV550" s="301" t="s">
        <v>4045</v>
      </c>
      <c r="BW550" s="225" t="s">
        <v>968</v>
      </c>
      <c r="BX550" s="301" t="s">
        <v>620</v>
      </c>
      <c r="BY550" s="222"/>
    </row>
    <row r="551" spans="1:77" s="33" customFormat="1" ht="13.5" customHeight="1">
      <c r="A551" s="64">
        <f t="shared" si="69"/>
        <v>1900</v>
      </c>
      <c r="B551" s="64">
        <f t="shared" si="70"/>
        <v>1</v>
      </c>
      <c r="C551" s="125"/>
      <c r="D551" s="168"/>
      <c r="E551" s="222"/>
      <c r="F551" s="222"/>
      <c r="G551" s="221"/>
      <c r="H551" s="222"/>
      <c r="I551" s="222"/>
      <c r="J551" s="222"/>
      <c r="K551" s="222"/>
      <c r="L551" s="222"/>
      <c r="M551" s="222"/>
      <c r="N551" s="222"/>
      <c r="O551" s="222"/>
      <c r="P551" s="222"/>
      <c r="Q551" s="222"/>
      <c r="R551" s="222"/>
      <c r="S551" s="222"/>
      <c r="T551" s="222"/>
      <c r="U551" s="222"/>
      <c r="V551" s="222"/>
      <c r="W551" s="222"/>
      <c r="X551" s="222"/>
      <c r="Y551" s="222"/>
      <c r="Z551" s="222"/>
      <c r="AA551" s="253"/>
      <c r="AB551" s="225"/>
      <c r="AC551" s="253"/>
      <c r="AD551" s="222"/>
      <c r="AE551" s="253"/>
      <c r="AF551" s="222"/>
      <c r="AG551" s="226"/>
      <c r="AH551" s="240"/>
      <c r="AI551" s="222"/>
      <c r="AJ551" s="222"/>
      <c r="AK551" s="222"/>
      <c r="AL551" s="222"/>
      <c r="AM551" s="222"/>
      <c r="AN551" s="222"/>
      <c r="AO551" s="222"/>
      <c r="AP551" s="225" t="s">
        <v>675</v>
      </c>
      <c r="AQ551" s="225"/>
      <c r="AR551" s="225"/>
      <c r="AS551" s="241"/>
      <c r="AT551" s="226"/>
      <c r="AU551" s="225"/>
      <c r="AV551" s="241"/>
      <c r="AW551" s="223"/>
      <c r="AX551" s="225" t="s">
        <v>4113</v>
      </c>
      <c r="AY551" s="242"/>
      <c r="AZ551" s="225" t="s">
        <v>1880</v>
      </c>
      <c r="BA551" s="225" t="s">
        <v>267</v>
      </c>
      <c r="BB551" s="222"/>
      <c r="BC551" s="222"/>
      <c r="BD551" s="222"/>
      <c r="BE551" s="222"/>
      <c r="BF551" s="222"/>
      <c r="BG551" s="222"/>
      <c r="BH551" s="222"/>
      <c r="BI551" s="222"/>
      <c r="BJ551" s="230"/>
      <c r="BK551" s="222"/>
      <c r="BL551" s="222"/>
      <c r="BM551" s="222"/>
      <c r="BN551" s="230"/>
      <c r="BO551" s="230"/>
      <c r="BP551" s="230"/>
      <c r="BQ551" s="230"/>
      <c r="BR551" s="242"/>
      <c r="BS551" s="222"/>
      <c r="BT551" s="222"/>
      <c r="BU551" s="222"/>
      <c r="BV551" s="242"/>
      <c r="BW551" s="222"/>
      <c r="BX551" s="222"/>
      <c r="BY551" s="222"/>
    </row>
    <row r="552" spans="1:77" s="33" customFormat="1" ht="13.5" customHeight="1">
      <c r="A552" s="64">
        <f t="shared" si="69"/>
        <v>2022</v>
      </c>
      <c r="B552" s="64">
        <f t="shared" si="70"/>
        <v>12</v>
      </c>
      <c r="C552" s="125" t="s">
        <v>191</v>
      </c>
      <c r="D552" s="168" t="str">
        <f t="shared" si="71"/>
        <v>non maj</v>
      </c>
      <c r="E552" s="222" t="s">
        <v>3302</v>
      </c>
      <c r="F552" s="222" t="s">
        <v>1850</v>
      </c>
      <c r="G552" s="221">
        <v>600</v>
      </c>
      <c r="H552" s="222">
        <v>44907</v>
      </c>
      <c r="I552" s="222">
        <v>44910</v>
      </c>
      <c r="J552" s="222" t="s">
        <v>176</v>
      </c>
      <c r="K552" s="222" t="s">
        <v>176</v>
      </c>
      <c r="L552" s="222">
        <v>44910</v>
      </c>
      <c r="M552" s="222">
        <v>44910</v>
      </c>
      <c r="N552" s="222">
        <v>44931</v>
      </c>
      <c r="O552" s="222"/>
      <c r="P552" s="222"/>
      <c r="Q552" s="222"/>
      <c r="R552" s="222"/>
      <c r="S552" s="222"/>
      <c r="T552" s="222"/>
      <c r="U552" s="222"/>
      <c r="V552" s="222"/>
      <c r="W552" s="222"/>
      <c r="X552" s="222"/>
      <c r="Y552" s="222"/>
      <c r="Z552" s="222"/>
      <c r="AA552" s="253">
        <v>1</v>
      </c>
      <c r="AB552" s="225">
        <v>19645</v>
      </c>
      <c r="AC552" s="253">
        <v>3</v>
      </c>
      <c r="AD552" s="222" t="s">
        <v>4023</v>
      </c>
      <c r="AE552" s="253">
        <v>38140</v>
      </c>
      <c r="AF552" s="222" t="s">
        <v>1971</v>
      </c>
      <c r="AG552" s="226">
        <v>650128259</v>
      </c>
      <c r="AH552" s="240" t="s">
        <v>4024</v>
      </c>
      <c r="AI552" s="222" t="s">
        <v>1168</v>
      </c>
      <c r="AJ552" s="222"/>
      <c r="AK552" s="222"/>
      <c r="AL552" s="222"/>
      <c r="AM552" s="222"/>
      <c r="AN552" s="222"/>
      <c r="AO552" s="222"/>
      <c r="AP552" s="222" t="s">
        <v>587</v>
      </c>
      <c r="AQ552" s="222" t="s">
        <v>225</v>
      </c>
      <c r="AR552" s="222" t="s">
        <v>3790</v>
      </c>
      <c r="AS552" s="285" t="s">
        <v>266</v>
      </c>
      <c r="AT552" s="222" t="s">
        <v>588</v>
      </c>
      <c r="AU552" s="222"/>
      <c r="AV552" s="222" t="s">
        <v>188</v>
      </c>
      <c r="AW552" s="222">
        <v>45187</v>
      </c>
      <c r="AX552" s="225" t="s">
        <v>4113</v>
      </c>
      <c r="AY552" s="242">
        <v>1990</v>
      </c>
      <c r="AZ552" s="225" t="s">
        <v>1880</v>
      </c>
      <c r="BA552" s="225" t="s">
        <v>380</v>
      </c>
      <c r="BB552" s="222" t="s">
        <v>280</v>
      </c>
      <c r="BC552" s="222" t="s">
        <v>883</v>
      </c>
      <c r="BD552" s="222"/>
      <c r="BE552" s="222"/>
      <c r="BF552" s="222"/>
      <c r="BG552" s="222"/>
      <c r="BH552" s="222" t="s">
        <v>1882</v>
      </c>
      <c r="BI552" s="222"/>
      <c r="BJ552" s="230">
        <f>255.84+295+215+2810+340</f>
        <v>3915.84</v>
      </c>
      <c r="BK552" s="222"/>
      <c r="BL552" s="222"/>
      <c r="BM552" s="222"/>
      <c r="BN552" s="230">
        <v>330</v>
      </c>
      <c r="BO552" s="230">
        <f>BJ552+BN552</f>
        <v>4245.84</v>
      </c>
      <c r="BP552" s="230">
        <f t="shared" si="73"/>
        <v>233.52120000000002</v>
      </c>
      <c r="BQ552" s="230">
        <f t="shared" si="68"/>
        <v>4479.3612000000003</v>
      </c>
      <c r="BR552" s="242"/>
      <c r="BS552" s="222"/>
      <c r="BT552" s="222"/>
      <c r="BU552" s="222"/>
      <c r="BV552" s="301" t="s">
        <v>4100</v>
      </c>
      <c r="BW552" s="225" t="s">
        <v>968</v>
      </c>
      <c r="BX552" s="301" t="s">
        <v>620</v>
      </c>
      <c r="BY552" s="222"/>
    </row>
    <row r="553" spans="1:77" s="33" customFormat="1" ht="13.5" customHeight="1">
      <c r="A553" s="64">
        <f t="shared" si="69"/>
        <v>1900</v>
      </c>
      <c r="B553" s="64">
        <f t="shared" si="70"/>
        <v>1</v>
      </c>
      <c r="C553" s="125" t="s">
        <v>191</v>
      </c>
      <c r="D553" s="168" t="str">
        <f t="shared" si="71"/>
        <v>non maj</v>
      </c>
      <c r="E553" s="222" t="s">
        <v>3302</v>
      </c>
      <c r="F553" s="222" t="s">
        <v>1851</v>
      </c>
      <c r="G553" s="221">
        <v>600</v>
      </c>
      <c r="H553" s="222">
        <v>44910</v>
      </c>
      <c r="I553" s="222">
        <v>44911</v>
      </c>
      <c r="J553" s="222">
        <v>44911</v>
      </c>
      <c r="K553" s="222" t="s">
        <v>4025</v>
      </c>
      <c r="L553" s="222"/>
      <c r="M553" s="222"/>
      <c r="N553" s="222"/>
      <c r="O553" s="222"/>
      <c r="P553" s="222"/>
      <c r="Q553" s="222"/>
      <c r="R553" s="222"/>
      <c r="S553" s="222"/>
      <c r="T553" s="222"/>
      <c r="U553" s="222"/>
      <c r="V553" s="222"/>
      <c r="W553" s="222"/>
      <c r="X553" s="222"/>
      <c r="Y553" s="222"/>
      <c r="Z553" s="222"/>
      <c r="AA553" s="253">
        <v>2</v>
      </c>
      <c r="AB553" s="225">
        <v>66004</v>
      </c>
      <c r="AC553" s="253">
        <v>78</v>
      </c>
      <c r="AD553" s="222" t="s">
        <v>2307</v>
      </c>
      <c r="AE553" s="253">
        <v>38620</v>
      </c>
      <c r="AF553" s="222" t="s">
        <v>2010</v>
      </c>
      <c r="AG553" s="290">
        <v>610646948</v>
      </c>
      <c r="AH553" s="234" t="s">
        <v>4026</v>
      </c>
      <c r="AI553" s="222" t="s">
        <v>1168</v>
      </c>
      <c r="AJ553" s="222"/>
      <c r="AK553" s="222"/>
      <c r="AL553" s="222"/>
      <c r="AM553" s="222"/>
      <c r="AN553" s="222"/>
      <c r="AO553" s="222"/>
      <c r="AP553" s="225" t="s">
        <v>845</v>
      </c>
      <c r="AQ553" s="225" t="s">
        <v>1910</v>
      </c>
      <c r="AR553" s="225" t="s">
        <v>1966</v>
      </c>
      <c r="AS553" s="241" t="s">
        <v>257</v>
      </c>
      <c r="AT553" s="226">
        <v>474432868</v>
      </c>
      <c r="AU553" s="225" t="s">
        <v>176</v>
      </c>
      <c r="AV553" s="241" t="s">
        <v>188</v>
      </c>
      <c r="AW553" s="223">
        <v>45052</v>
      </c>
      <c r="AX553" s="225" t="s">
        <v>4113</v>
      </c>
      <c r="AY553" s="242" t="s">
        <v>1912</v>
      </c>
      <c r="AZ553" s="225" t="s">
        <v>1880</v>
      </c>
      <c r="BA553" s="225" t="s">
        <v>267</v>
      </c>
      <c r="BB553" s="222"/>
      <c r="BC553" s="222"/>
      <c r="BD553" s="222"/>
      <c r="BE553" s="222"/>
      <c r="BF553" s="222"/>
      <c r="BG553" s="222"/>
      <c r="BH553" s="222"/>
      <c r="BI553" s="222"/>
      <c r="BJ553" s="230">
        <f>5720+274+838+169+172+46</f>
        <v>7219</v>
      </c>
      <c r="BK553" s="222"/>
      <c r="BL553" s="222"/>
      <c r="BM553" s="222"/>
      <c r="BN553" s="230">
        <v>800</v>
      </c>
      <c r="BO553" s="230">
        <f>BJ553+BN553</f>
        <v>8019</v>
      </c>
      <c r="BP553" s="230">
        <f t="shared" si="73"/>
        <v>441.04500000000002</v>
      </c>
      <c r="BQ553" s="230">
        <f t="shared" si="68"/>
        <v>8460.0450000000001</v>
      </c>
      <c r="BR553" s="242"/>
      <c r="BS553" s="222" t="s">
        <v>388</v>
      </c>
      <c r="BT553" s="222"/>
      <c r="BU553" s="222"/>
      <c r="BV553" s="242"/>
      <c r="BW553" s="222"/>
      <c r="BX553" s="301" t="s">
        <v>620</v>
      </c>
      <c r="BY553" s="222"/>
    </row>
    <row r="554" spans="1:77" s="33" customFormat="1" ht="13.5" customHeight="1">
      <c r="A554" s="64">
        <f t="shared" si="69"/>
        <v>1900</v>
      </c>
      <c r="B554" s="64">
        <f t="shared" si="70"/>
        <v>1</v>
      </c>
      <c r="C554" s="125"/>
      <c r="D554" s="168"/>
      <c r="E554" s="222"/>
      <c r="F554" s="222"/>
      <c r="G554" s="221"/>
      <c r="H554" s="222"/>
      <c r="I554" s="222"/>
      <c r="J554" s="222"/>
      <c r="K554" s="222"/>
      <c r="L554" s="222"/>
      <c r="M554" s="222"/>
      <c r="N554" s="222"/>
      <c r="O554" s="222"/>
      <c r="P554" s="222"/>
      <c r="Q554" s="222"/>
      <c r="R554" s="222"/>
      <c r="S554" s="222"/>
      <c r="T554" s="222"/>
      <c r="U554" s="222"/>
      <c r="V554" s="222"/>
      <c r="W554" s="222"/>
      <c r="X554" s="222"/>
      <c r="Y554" s="222"/>
      <c r="Z554" s="222"/>
      <c r="AA554" s="253"/>
      <c r="AB554" s="225"/>
      <c r="AC554" s="253"/>
      <c r="AD554" s="222"/>
      <c r="AE554" s="253"/>
      <c r="AF554" s="222"/>
      <c r="AG554" s="226"/>
      <c r="AH554" s="240"/>
      <c r="AI554" s="222"/>
      <c r="AJ554" s="222"/>
      <c r="AK554" s="222"/>
      <c r="AL554" s="222"/>
      <c r="AM554" s="222"/>
      <c r="AN554" s="222"/>
      <c r="AO554" s="222"/>
      <c r="AP554" s="222" t="s">
        <v>268</v>
      </c>
      <c r="AQ554" s="222"/>
      <c r="AR554" s="222"/>
      <c r="AS554" s="234"/>
      <c r="AT554" s="226"/>
      <c r="AU554" s="222"/>
      <c r="AV554" s="241"/>
      <c r="AW554" s="222"/>
      <c r="AX554" s="225" t="s">
        <v>4113</v>
      </c>
      <c r="AY554" s="242"/>
      <c r="AZ554" s="225" t="s">
        <v>1880</v>
      </c>
      <c r="BA554" s="225" t="s">
        <v>380</v>
      </c>
      <c r="BB554" s="225"/>
      <c r="BC554" s="222"/>
      <c r="BD554" s="222"/>
      <c r="BE554" s="222"/>
      <c r="BF554" s="222"/>
      <c r="BG554" s="222"/>
      <c r="BH554" s="222"/>
      <c r="BI554" s="222"/>
      <c r="BJ554" s="230"/>
      <c r="BK554" s="222"/>
      <c r="BL554" s="222"/>
      <c r="BM554" s="222"/>
      <c r="BN554" s="230"/>
      <c r="BO554" s="230"/>
      <c r="BP554" s="230"/>
      <c r="BQ554" s="230"/>
      <c r="BR554" s="242"/>
      <c r="BS554" s="222"/>
      <c r="BT554" s="222"/>
      <c r="BU554" s="222"/>
      <c r="BV554" s="242"/>
      <c r="BW554" s="222"/>
      <c r="BX554" s="301"/>
      <c r="BY554" s="222"/>
    </row>
    <row r="555" spans="1:77" s="33" customFormat="1" ht="13.5" customHeight="1">
      <c r="A555" s="64">
        <f t="shared" si="69"/>
        <v>2022</v>
      </c>
      <c r="B555" s="64">
        <f t="shared" si="70"/>
        <v>12</v>
      </c>
      <c r="C555" s="125" t="s">
        <v>191</v>
      </c>
      <c r="D555" s="168" t="str">
        <f t="shared" si="71"/>
        <v>non maj</v>
      </c>
      <c r="E555" s="222" t="s">
        <v>3302</v>
      </c>
      <c r="F555" s="222" t="s">
        <v>1853</v>
      </c>
      <c r="G555" s="221">
        <v>600</v>
      </c>
      <c r="H555" s="222">
        <v>44915</v>
      </c>
      <c r="I555" s="222">
        <v>44916</v>
      </c>
      <c r="J555" s="222" t="s">
        <v>176</v>
      </c>
      <c r="K555" s="222" t="s">
        <v>176</v>
      </c>
      <c r="L555" s="222">
        <v>44916</v>
      </c>
      <c r="M555" s="222">
        <v>44916</v>
      </c>
      <c r="N555" s="222">
        <v>44931</v>
      </c>
      <c r="O555" s="222"/>
      <c r="P555" s="222">
        <v>44956</v>
      </c>
      <c r="Q555" s="222">
        <v>44937</v>
      </c>
      <c r="R555" s="222" t="s">
        <v>176</v>
      </c>
      <c r="S555" s="222">
        <v>44974</v>
      </c>
      <c r="T555" s="222">
        <v>44974</v>
      </c>
      <c r="U555" s="222"/>
      <c r="V555" s="222"/>
      <c r="W555" s="222"/>
      <c r="X555" s="222"/>
      <c r="Y555" s="222"/>
      <c r="Z555" s="222"/>
      <c r="AA555" s="253">
        <v>2</v>
      </c>
      <c r="AB555" s="225">
        <v>46454</v>
      </c>
      <c r="AC555" s="253">
        <v>141</v>
      </c>
      <c r="AD555" s="222" t="s">
        <v>979</v>
      </c>
      <c r="AE555" s="253">
        <v>38430</v>
      </c>
      <c r="AF555" s="225" t="s">
        <v>2081</v>
      </c>
      <c r="AG555" s="226" t="s">
        <v>4027</v>
      </c>
      <c r="AH555" s="240" t="s">
        <v>4028</v>
      </c>
      <c r="AI555" s="222" t="s">
        <v>1168</v>
      </c>
      <c r="AJ555" s="222"/>
      <c r="AK555" s="222"/>
      <c r="AL555" s="222"/>
      <c r="AM555" s="222"/>
      <c r="AN555" s="222"/>
      <c r="AO555" s="222"/>
      <c r="AP555" s="222" t="s">
        <v>268</v>
      </c>
      <c r="AQ555" s="222" t="s">
        <v>1893</v>
      </c>
      <c r="AR555" s="222" t="s">
        <v>3756</v>
      </c>
      <c r="AS555" s="234" t="s">
        <v>1934</v>
      </c>
      <c r="AT555" s="226" t="s">
        <v>3027</v>
      </c>
      <c r="AU555" s="222"/>
      <c r="AV555" s="241" t="s">
        <v>188</v>
      </c>
      <c r="AW555" s="222">
        <v>45248</v>
      </c>
      <c r="AX555" s="225" t="s">
        <v>1879</v>
      </c>
      <c r="AY555" s="242">
        <v>1985</v>
      </c>
      <c r="AZ555" s="225" t="s">
        <v>4113</v>
      </c>
      <c r="BA555" s="225" t="s">
        <v>380</v>
      </c>
      <c r="BB555" s="222" t="s">
        <v>3619</v>
      </c>
      <c r="BC555" s="222" t="s">
        <v>2240</v>
      </c>
      <c r="BD555" s="222"/>
      <c r="BE555" s="222"/>
      <c r="BF555" s="222"/>
      <c r="BG555" s="222"/>
      <c r="BH555" s="222" t="s">
        <v>1882</v>
      </c>
      <c r="BI555" s="222"/>
      <c r="BJ555" s="230">
        <f>482.94+480+46.35+58.35+99.09+465.75+1825+590.56+266.4+178.25</f>
        <v>4492.6899999999996</v>
      </c>
      <c r="BK555" s="222"/>
      <c r="BL555" s="222"/>
      <c r="BM555" s="222"/>
      <c r="BN555" s="230">
        <f>128.99+950</f>
        <v>1078.99</v>
      </c>
      <c r="BO555" s="230">
        <f>BJ555+BN555</f>
        <v>5571.6799999999994</v>
      </c>
      <c r="BP555" s="230">
        <f t="shared" si="73"/>
        <v>306.44239999999996</v>
      </c>
      <c r="BQ555" s="230">
        <f t="shared" si="68"/>
        <v>5878.1223999999993</v>
      </c>
      <c r="BR555" s="230">
        <f>BQ555</f>
        <v>5878.1223999999993</v>
      </c>
      <c r="BS555" s="222" t="s">
        <v>519</v>
      </c>
      <c r="BT555" s="222"/>
      <c r="BU555" s="222"/>
      <c r="BV555" s="242"/>
      <c r="BW555" s="225" t="s">
        <v>968</v>
      </c>
      <c r="BX555" s="301" t="s">
        <v>620</v>
      </c>
      <c r="BY555" s="222"/>
    </row>
    <row r="556" spans="1:77" s="33" customFormat="1" ht="13.5" customHeight="1">
      <c r="A556" s="64">
        <f t="shared" si="69"/>
        <v>1900</v>
      </c>
      <c r="B556" s="64">
        <f t="shared" si="70"/>
        <v>1</v>
      </c>
      <c r="C556" s="125"/>
      <c r="D556" s="168"/>
      <c r="E556" s="222"/>
      <c r="F556" s="222"/>
      <c r="G556" s="221"/>
      <c r="H556" s="222"/>
      <c r="I556" s="222"/>
      <c r="J556" s="222"/>
      <c r="K556" s="222"/>
      <c r="L556" s="222"/>
      <c r="M556" s="222"/>
      <c r="N556" s="222"/>
      <c r="O556" s="222"/>
      <c r="P556" s="222"/>
      <c r="Q556" s="222"/>
      <c r="R556" s="222"/>
      <c r="S556" s="222"/>
      <c r="T556" s="222"/>
      <c r="U556" s="222"/>
      <c r="V556" s="222"/>
      <c r="W556" s="222"/>
      <c r="X556" s="222"/>
      <c r="Y556" s="222"/>
      <c r="Z556" s="222"/>
      <c r="AA556" s="253"/>
      <c r="AB556" s="225"/>
      <c r="AC556" s="253"/>
      <c r="AD556" s="222"/>
      <c r="AE556" s="253"/>
      <c r="AF556" s="225"/>
      <c r="AG556" s="226"/>
      <c r="AH556" s="240"/>
      <c r="AI556" s="222"/>
      <c r="AJ556" s="222"/>
      <c r="AK556" s="222"/>
      <c r="AL556" s="222"/>
      <c r="AM556" s="222"/>
      <c r="AN556" s="222"/>
      <c r="AO556" s="222"/>
      <c r="AP556" s="222" t="s">
        <v>268</v>
      </c>
      <c r="AQ556" s="222"/>
      <c r="AR556" s="222"/>
      <c r="AS556" s="234"/>
      <c r="AT556" s="226"/>
      <c r="AU556" s="222"/>
      <c r="AV556" s="241"/>
      <c r="AW556" s="222"/>
      <c r="AX556" s="225" t="s">
        <v>4113</v>
      </c>
      <c r="AY556" s="242"/>
      <c r="AZ556" s="225" t="s">
        <v>1880</v>
      </c>
      <c r="BA556" s="225" t="s">
        <v>380</v>
      </c>
      <c r="BB556" s="222"/>
      <c r="BC556" s="222"/>
      <c r="BD556" s="222"/>
      <c r="BE556" s="222"/>
      <c r="BF556" s="222"/>
      <c r="BG556" s="222"/>
      <c r="BH556" s="222"/>
      <c r="BI556" s="222"/>
      <c r="BJ556" s="230"/>
      <c r="BK556" s="222"/>
      <c r="BL556" s="222"/>
      <c r="BM556" s="222"/>
      <c r="BN556" s="230"/>
      <c r="BO556" s="230"/>
      <c r="BP556" s="230"/>
      <c r="BQ556" s="230"/>
      <c r="BR556" s="242"/>
      <c r="BS556" s="222"/>
      <c r="BT556" s="222"/>
      <c r="BU556" s="222"/>
      <c r="BV556" s="242"/>
      <c r="BW556" s="222"/>
      <c r="BX556" s="301"/>
      <c r="BY556" s="222"/>
    </row>
    <row r="557" spans="1:77" s="33" customFormat="1" ht="13.5" customHeight="1">
      <c r="A557" s="64">
        <f t="shared" si="69"/>
        <v>1900</v>
      </c>
      <c r="B557" s="64">
        <f t="shared" si="70"/>
        <v>1</v>
      </c>
      <c r="C557" s="125" t="s">
        <v>191</v>
      </c>
      <c r="D557" s="168" t="str">
        <f t="shared" si="71"/>
        <v>non maj</v>
      </c>
      <c r="E557" s="222" t="s">
        <v>3302</v>
      </c>
      <c r="F557" s="222" t="s">
        <v>1856</v>
      </c>
      <c r="G557" s="221">
        <v>600</v>
      </c>
      <c r="H557" s="272">
        <v>44924</v>
      </c>
      <c r="I557" s="222">
        <v>44929</v>
      </c>
      <c r="J557" s="222">
        <v>44931</v>
      </c>
      <c r="K557" s="222" t="s">
        <v>4029</v>
      </c>
      <c r="L557" s="222"/>
      <c r="M557" s="222"/>
      <c r="N557" s="222"/>
      <c r="O557" s="222"/>
      <c r="P557" s="222"/>
      <c r="Q557" s="222"/>
      <c r="R557" s="222"/>
      <c r="S557" s="222"/>
      <c r="T557" s="222"/>
      <c r="U557" s="222"/>
      <c r="V557" s="222"/>
      <c r="W557" s="222"/>
      <c r="X557" s="222"/>
      <c r="Y557" s="222"/>
      <c r="Z557" s="222"/>
      <c r="AA557" s="253">
        <v>2</v>
      </c>
      <c r="AB557" s="225">
        <v>32561</v>
      </c>
      <c r="AC557" s="253" t="s">
        <v>4030</v>
      </c>
      <c r="AD557" s="222" t="s">
        <v>4031</v>
      </c>
      <c r="AE557" s="253">
        <v>38140</v>
      </c>
      <c r="AF557" s="225" t="s">
        <v>1924</v>
      </c>
      <c r="AG557" s="226">
        <v>476914359</v>
      </c>
      <c r="AH557" s="240" t="s">
        <v>4032</v>
      </c>
      <c r="AI557" s="222" t="s">
        <v>1168</v>
      </c>
      <c r="AJ557" s="222"/>
      <c r="AK557" s="222"/>
      <c r="AL557" s="222"/>
      <c r="AM557" s="222"/>
      <c r="AN557" s="222"/>
      <c r="AO557" s="222"/>
      <c r="AP557" s="225" t="s">
        <v>2052</v>
      </c>
      <c r="AQ557" s="222" t="s">
        <v>232</v>
      </c>
      <c r="AR557" s="222" t="s">
        <v>3941</v>
      </c>
      <c r="AS557" s="241" t="s">
        <v>234</v>
      </c>
      <c r="AT557" s="222" t="s">
        <v>3942</v>
      </c>
      <c r="AU557" s="225" t="s">
        <v>176</v>
      </c>
      <c r="AV557" s="241" t="s">
        <v>188</v>
      </c>
      <c r="AW557" s="222">
        <v>45137</v>
      </c>
      <c r="AX557" s="222" t="s">
        <v>1879</v>
      </c>
      <c r="AY557" s="242">
        <v>1978</v>
      </c>
      <c r="AZ557" s="225" t="s">
        <v>4113</v>
      </c>
      <c r="BA557" s="225" t="s">
        <v>380</v>
      </c>
      <c r="BB557" s="222" t="s">
        <v>270</v>
      </c>
      <c r="BC557" s="222" t="s">
        <v>2887</v>
      </c>
      <c r="BD557" s="222"/>
      <c r="BE557" s="222"/>
      <c r="BF557" s="222"/>
      <c r="BG557" s="222"/>
      <c r="BH557" s="222" t="s">
        <v>1882</v>
      </c>
      <c r="BI557" s="222"/>
      <c r="BJ557" s="230">
        <f>455.2+529.44+71.09+2350+191.02+137.2+82.9+42.12+175.1+282.28</f>
        <v>4316.3499999999995</v>
      </c>
      <c r="BK557" s="222"/>
      <c r="BL557" s="222"/>
      <c r="BM557" s="222"/>
      <c r="BN557" s="230">
        <v>1820</v>
      </c>
      <c r="BO557" s="230">
        <f>BJ557+BN557-460</f>
        <v>5676.3499999999995</v>
      </c>
      <c r="BP557" s="230">
        <f t="shared" si="73"/>
        <v>312.19924999999995</v>
      </c>
      <c r="BQ557" s="230">
        <f t="shared" si="68"/>
        <v>5988.5492499999991</v>
      </c>
      <c r="BR557" s="242"/>
      <c r="BS557" s="222" t="s">
        <v>519</v>
      </c>
      <c r="BT557" s="222"/>
      <c r="BU557" s="222"/>
      <c r="BV557" s="242"/>
      <c r="BW557" s="222"/>
      <c r="BX557" s="301" t="s">
        <v>620</v>
      </c>
      <c r="BY557" s="222"/>
    </row>
    <row r="558" spans="1:77" s="33" customFormat="1" ht="13.5" customHeight="1">
      <c r="A558" s="64">
        <f t="shared" si="69"/>
        <v>1900</v>
      </c>
      <c r="B558" s="64">
        <f t="shared" si="70"/>
        <v>1</v>
      </c>
      <c r="C558" s="125"/>
      <c r="D558" s="168"/>
      <c r="E558" s="222"/>
      <c r="F558" s="222"/>
      <c r="G558" s="221"/>
      <c r="H558" s="222"/>
      <c r="I558" s="222"/>
      <c r="J558" s="222"/>
      <c r="K558" s="222"/>
      <c r="L558" s="222"/>
      <c r="M558" s="222"/>
      <c r="N558" s="222"/>
      <c r="O558" s="222"/>
      <c r="P558" s="222"/>
      <c r="Q558" s="222"/>
      <c r="R558" s="222"/>
      <c r="S558" s="222"/>
      <c r="T558" s="222"/>
      <c r="U558" s="222"/>
      <c r="V558" s="222"/>
      <c r="W558" s="222"/>
      <c r="X558" s="222"/>
      <c r="Y558" s="222"/>
      <c r="Z558" s="222"/>
      <c r="AA558" s="253"/>
      <c r="AB558" s="225"/>
      <c r="AC558" s="253"/>
      <c r="AD558" s="222"/>
      <c r="AE558" s="253"/>
      <c r="AF558" s="222"/>
      <c r="AG558" s="226"/>
      <c r="AH558" s="240"/>
      <c r="AI558" s="222"/>
      <c r="AJ558" s="222"/>
      <c r="AK558" s="222"/>
      <c r="AL558" s="222"/>
      <c r="AM558" s="222"/>
      <c r="AN558" s="222"/>
      <c r="AO558" s="222"/>
      <c r="AP558" s="222" t="s">
        <v>778</v>
      </c>
      <c r="AQ558" s="222"/>
      <c r="AR558" s="222"/>
      <c r="AS558" s="241"/>
      <c r="AT558" s="222"/>
      <c r="AU558" s="222"/>
      <c r="AV558" s="241"/>
      <c r="AW558" s="222"/>
      <c r="AX558" s="225" t="s">
        <v>1879</v>
      </c>
      <c r="AY558" s="242"/>
      <c r="AZ558" s="225" t="s">
        <v>4113</v>
      </c>
      <c r="BA558" s="225" t="s">
        <v>380</v>
      </c>
      <c r="BB558" s="222"/>
      <c r="BC558" s="222"/>
      <c r="BD558" s="222"/>
      <c r="BE558" s="222"/>
      <c r="BF558" s="222"/>
      <c r="BG558" s="222"/>
      <c r="BH558" s="222"/>
      <c r="BI558" s="222"/>
      <c r="BJ558" s="230"/>
      <c r="BK558" s="222"/>
      <c r="BL558" s="222"/>
      <c r="BM558" s="222"/>
      <c r="BN558" s="230"/>
      <c r="BO558" s="230"/>
      <c r="BP558" s="230"/>
      <c r="BQ558" s="230"/>
      <c r="BR558" s="242"/>
      <c r="BS558" s="222"/>
      <c r="BT558" s="222"/>
      <c r="BU558" s="222"/>
      <c r="BV558" s="242"/>
      <c r="BW558" s="222"/>
      <c r="BX558" s="301"/>
      <c r="BY558" s="222"/>
    </row>
    <row r="559" spans="1:77" s="33" customFormat="1" ht="13.5" customHeight="1">
      <c r="A559" s="64">
        <f t="shared" si="69"/>
        <v>1900</v>
      </c>
      <c r="B559" s="64">
        <f t="shared" si="70"/>
        <v>1</v>
      </c>
      <c r="C559" s="125"/>
      <c r="D559" s="168"/>
      <c r="E559" s="222"/>
      <c r="F559" s="222"/>
      <c r="G559" s="221"/>
      <c r="H559" s="222"/>
      <c r="I559" s="222"/>
      <c r="J559" s="222"/>
      <c r="K559" s="222"/>
      <c r="L559" s="222"/>
      <c r="M559" s="222"/>
      <c r="N559" s="222"/>
      <c r="O559" s="222"/>
      <c r="P559" s="222"/>
      <c r="Q559" s="222"/>
      <c r="R559" s="222"/>
      <c r="S559" s="222"/>
      <c r="T559" s="222"/>
      <c r="U559" s="222"/>
      <c r="V559" s="222"/>
      <c r="W559" s="222"/>
      <c r="X559" s="222"/>
      <c r="Y559" s="222"/>
      <c r="Z559" s="222"/>
      <c r="AA559" s="253"/>
      <c r="AB559" s="225"/>
      <c r="AC559" s="253"/>
      <c r="AD559" s="222"/>
      <c r="AE559" s="253"/>
      <c r="AF559" s="222"/>
      <c r="AG559" s="226"/>
      <c r="AH559" s="240"/>
      <c r="AI559" s="222"/>
      <c r="AJ559" s="222"/>
      <c r="AK559" s="222"/>
      <c r="AL559" s="222"/>
      <c r="AM559" s="222"/>
      <c r="AN559" s="222"/>
      <c r="AO559" s="222"/>
      <c r="AP559" s="222" t="s">
        <v>678</v>
      </c>
      <c r="AQ559" s="222"/>
      <c r="AR559" s="222"/>
      <c r="AS559" s="222"/>
      <c r="AT559" s="226"/>
      <c r="AU559" s="222"/>
      <c r="AV559" s="241"/>
      <c r="AW559" s="222"/>
      <c r="AX559" s="225" t="s">
        <v>1879</v>
      </c>
      <c r="AY559" s="242"/>
      <c r="AZ559" s="225" t="s">
        <v>1880</v>
      </c>
      <c r="BA559" s="225" t="s">
        <v>380</v>
      </c>
      <c r="BB559" s="222"/>
      <c r="BC559" s="222"/>
      <c r="BD559" s="222"/>
      <c r="BE559" s="222"/>
      <c r="BF559" s="222"/>
      <c r="BG559" s="222"/>
      <c r="BH559" s="222"/>
      <c r="BI559" s="222"/>
      <c r="BJ559" s="230"/>
      <c r="BK559" s="222"/>
      <c r="BL559" s="222"/>
      <c r="BM559" s="222"/>
      <c r="BN559" s="230"/>
      <c r="BO559" s="230"/>
      <c r="BP559" s="230"/>
      <c r="BQ559" s="230"/>
      <c r="BR559" s="242"/>
      <c r="BS559" s="222"/>
      <c r="BT559" s="222"/>
      <c r="BU559" s="222"/>
      <c r="BV559" s="242"/>
      <c r="BW559" s="222"/>
      <c r="BX559" s="222"/>
      <c r="BY559" s="222"/>
    </row>
    <row r="560" spans="1:77" s="33" customFormat="1" ht="13.5" customHeight="1">
      <c r="A560" s="64">
        <f t="shared" si="69"/>
        <v>1900</v>
      </c>
      <c r="B560" s="64">
        <f t="shared" si="70"/>
        <v>1</v>
      </c>
      <c r="C560" s="125"/>
      <c r="D560" s="168"/>
      <c r="E560" s="222"/>
      <c r="F560" s="222"/>
      <c r="G560" s="221"/>
      <c r="H560" s="222"/>
      <c r="I560" s="222"/>
      <c r="J560" s="222"/>
      <c r="K560" s="222"/>
      <c r="L560" s="222"/>
      <c r="M560" s="222"/>
      <c r="N560" s="222"/>
      <c r="O560" s="222"/>
      <c r="P560" s="222"/>
      <c r="Q560" s="222"/>
      <c r="R560" s="222"/>
      <c r="S560" s="222"/>
      <c r="T560" s="222"/>
      <c r="U560" s="222"/>
      <c r="V560" s="222"/>
      <c r="W560" s="222"/>
      <c r="X560" s="222"/>
      <c r="Y560" s="222"/>
      <c r="Z560" s="222"/>
      <c r="AA560" s="253"/>
      <c r="AB560" s="225"/>
      <c r="AC560" s="253"/>
      <c r="AD560" s="222"/>
      <c r="AE560" s="253"/>
      <c r="AF560" s="225"/>
      <c r="AG560" s="226"/>
      <c r="AH560" s="240"/>
      <c r="AI560" s="222"/>
      <c r="AJ560" s="222"/>
      <c r="AK560" s="222"/>
      <c r="AL560" s="222"/>
      <c r="AM560" s="222"/>
      <c r="AN560" s="222"/>
      <c r="AO560" s="222"/>
      <c r="AP560" s="225" t="s">
        <v>675</v>
      </c>
      <c r="AQ560" s="225"/>
      <c r="AR560" s="225"/>
      <c r="AS560" s="241"/>
      <c r="AT560" s="226"/>
      <c r="AU560" s="222"/>
      <c r="AV560" s="241"/>
      <c r="AW560" s="223"/>
      <c r="AX560" s="225" t="s">
        <v>1880</v>
      </c>
      <c r="AY560" s="242"/>
      <c r="AZ560" s="225" t="s">
        <v>1880</v>
      </c>
      <c r="BA560" s="225" t="s">
        <v>380</v>
      </c>
      <c r="BB560" s="222"/>
      <c r="BC560" s="222"/>
      <c r="BD560" s="222"/>
      <c r="BE560" s="222"/>
      <c r="BF560" s="222"/>
      <c r="BG560" s="222"/>
      <c r="BH560" s="222"/>
      <c r="BI560" s="222"/>
      <c r="BJ560" s="230"/>
      <c r="BK560" s="222"/>
      <c r="BL560" s="222"/>
      <c r="BM560" s="222"/>
      <c r="BN560" s="230"/>
      <c r="BO560" s="230"/>
      <c r="BP560" s="230"/>
      <c r="BQ560" s="230"/>
      <c r="BR560" s="242"/>
      <c r="BS560" s="222"/>
      <c r="BT560" s="222"/>
      <c r="BU560" s="222"/>
      <c r="BV560" s="242"/>
      <c r="BW560" s="222"/>
      <c r="BX560" s="222"/>
      <c r="BY560" s="222"/>
    </row>
    <row r="561" spans="1:77" s="33" customFormat="1" ht="13.5" customHeight="1">
      <c r="A561" s="64">
        <f t="shared" si="69"/>
        <v>1900</v>
      </c>
      <c r="B561" s="64">
        <f t="shared" si="70"/>
        <v>1</v>
      </c>
      <c r="C561" s="125"/>
      <c r="D561" s="168"/>
      <c r="E561" s="222"/>
      <c r="F561" s="222"/>
      <c r="G561" s="221"/>
      <c r="H561" s="222"/>
      <c r="I561" s="222"/>
      <c r="J561" s="222"/>
      <c r="K561" s="222"/>
      <c r="L561" s="222"/>
      <c r="M561" s="222"/>
      <c r="N561" s="222"/>
      <c r="O561" s="222"/>
      <c r="P561" s="222"/>
      <c r="Q561" s="222"/>
      <c r="R561" s="222"/>
      <c r="S561" s="222"/>
      <c r="T561" s="222"/>
      <c r="U561" s="222"/>
      <c r="V561" s="222"/>
      <c r="W561" s="222"/>
      <c r="X561" s="222"/>
      <c r="Y561" s="222"/>
      <c r="Z561" s="222"/>
      <c r="AA561" s="253"/>
      <c r="AB561" s="225"/>
      <c r="AC561" s="253"/>
      <c r="AD561" s="222"/>
      <c r="AE561" s="253"/>
      <c r="AF561" s="222"/>
      <c r="AG561" s="226"/>
      <c r="AH561" s="240"/>
      <c r="AI561" s="222"/>
      <c r="AJ561" s="222"/>
      <c r="AK561" s="222"/>
      <c r="AL561" s="222"/>
      <c r="AM561" s="222"/>
      <c r="AN561" s="222"/>
      <c r="AO561" s="222"/>
      <c r="AP561" s="222" t="s">
        <v>268</v>
      </c>
      <c r="AQ561" s="222"/>
      <c r="AR561" s="222"/>
      <c r="AS561" s="234"/>
      <c r="AT561" s="226"/>
      <c r="AU561" s="222"/>
      <c r="AV561" s="241"/>
      <c r="AW561" s="222"/>
      <c r="AX561" s="225" t="s">
        <v>4113</v>
      </c>
      <c r="AY561" s="242"/>
      <c r="AZ561" s="225" t="s">
        <v>1880</v>
      </c>
      <c r="BA561" s="225" t="s">
        <v>380</v>
      </c>
      <c r="BB561" s="222"/>
      <c r="BC561" s="222"/>
      <c r="BD561" s="222"/>
      <c r="BE561" s="222"/>
      <c r="BF561" s="222"/>
      <c r="BG561" s="222"/>
      <c r="BH561" s="222"/>
      <c r="BI561" s="222"/>
      <c r="BJ561" s="230"/>
      <c r="BK561" s="222"/>
      <c r="BL561" s="222"/>
      <c r="BM561" s="222"/>
      <c r="BN561" s="230"/>
      <c r="BO561" s="230"/>
      <c r="BP561" s="230"/>
      <c r="BQ561" s="230"/>
      <c r="BR561" s="242"/>
      <c r="BS561" s="222"/>
      <c r="BT561" s="222"/>
      <c r="BU561" s="222"/>
      <c r="BV561" s="242"/>
      <c r="BW561" s="222"/>
      <c r="BX561" s="301"/>
      <c r="BY561" s="222"/>
    </row>
    <row r="562" spans="1:77" s="33" customFormat="1" ht="13.5" customHeight="1">
      <c r="A562" s="64">
        <f t="shared" si="69"/>
        <v>1900</v>
      </c>
      <c r="B562" s="64">
        <f t="shared" si="70"/>
        <v>1</v>
      </c>
      <c r="C562" s="125"/>
      <c r="D562" s="168"/>
      <c r="E562" s="222"/>
      <c r="F562" s="222"/>
      <c r="G562" s="221"/>
      <c r="H562" s="222"/>
      <c r="I562" s="222"/>
      <c r="J562" s="222"/>
      <c r="K562" s="222"/>
      <c r="L562" s="222"/>
      <c r="M562" s="222"/>
      <c r="N562" s="222"/>
      <c r="O562" s="222"/>
      <c r="P562" s="222"/>
      <c r="Q562" s="222"/>
      <c r="R562" s="272"/>
      <c r="S562" s="222"/>
      <c r="T562" s="222"/>
      <c r="U562" s="222"/>
      <c r="V562" s="222"/>
      <c r="W562" s="222"/>
      <c r="X562" s="222"/>
      <c r="Y562" s="222"/>
      <c r="Z562" s="222"/>
      <c r="AA562" s="253"/>
      <c r="AB562" s="225"/>
      <c r="AC562" s="253"/>
      <c r="AD562" s="222"/>
      <c r="AE562" s="253"/>
      <c r="AF562" s="225"/>
      <c r="AG562" s="226"/>
      <c r="AH562" s="240"/>
      <c r="AI562" s="222"/>
      <c r="AJ562" s="222"/>
      <c r="AK562" s="222"/>
      <c r="AL562" s="222"/>
      <c r="AM562" s="222"/>
      <c r="AN562" s="222"/>
      <c r="AO562" s="222"/>
      <c r="AP562" s="222" t="s">
        <v>845</v>
      </c>
      <c r="AQ562" s="222"/>
      <c r="AR562" s="222"/>
      <c r="AS562" s="240"/>
      <c r="AT562" s="226"/>
      <c r="AU562" s="222"/>
      <c r="AV562" s="241"/>
      <c r="AW562" s="222"/>
      <c r="AX562" s="225" t="s">
        <v>4113</v>
      </c>
      <c r="AY562" s="242"/>
      <c r="AZ562" s="225" t="s">
        <v>1880</v>
      </c>
      <c r="BA562" s="225" t="s">
        <v>380</v>
      </c>
      <c r="BB562" s="222"/>
      <c r="BC562" s="222"/>
      <c r="BD562" s="222"/>
      <c r="BE562" s="222"/>
      <c r="BF562" s="222"/>
      <c r="BG562" s="222"/>
      <c r="BH562" s="222"/>
      <c r="BI562" s="222"/>
      <c r="BJ562" s="230"/>
      <c r="BK562" s="222"/>
      <c r="BL562" s="222"/>
      <c r="BM562" s="222"/>
      <c r="BN562" s="230"/>
      <c r="BO562" s="230"/>
      <c r="BP562" s="230"/>
      <c r="BQ562" s="230"/>
      <c r="BR562" s="242"/>
      <c r="BS562" s="222"/>
      <c r="BT562" s="222"/>
      <c r="BU562" s="222"/>
      <c r="BV562" s="242"/>
      <c r="BW562" s="222"/>
      <c r="BX562" s="222"/>
      <c r="BY562" s="222"/>
    </row>
    <row r="563" spans="1:77" s="33" customFormat="1" ht="13.5" customHeight="1">
      <c r="A563" s="64">
        <f t="shared" si="69"/>
        <v>1900</v>
      </c>
      <c r="B563" s="64">
        <f t="shared" si="70"/>
        <v>1</v>
      </c>
      <c r="C563" s="125"/>
      <c r="D563" s="168"/>
      <c r="E563" s="222"/>
      <c r="F563" s="222"/>
      <c r="G563" s="221"/>
      <c r="H563" s="222"/>
      <c r="I563" s="222"/>
      <c r="J563" s="222"/>
      <c r="K563" s="222"/>
      <c r="L563" s="222"/>
      <c r="M563" s="222"/>
      <c r="N563" s="222"/>
      <c r="O563" s="222"/>
      <c r="P563" s="222"/>
      <c r="Q563" s="222"/>
      <c r="R563" s="222"/>
      <c r="S563" s="222"/>
      <c r="T563" s="222"/>
      <c r="U563" s="222"/>
      <c r="V563" s="222"/>
      <c r="W563" s="222"/>
      <c r="X563" s="222"/>
      <c r="Y563" s="222"/>
      <c r="Z563" s="222"/>
      <c r="AA563" s="253"/>
      <c r="AB563" s="225"/>
      <c r="AC563" s="253"/>
      <c r="AD563" s="222"/>
      <c r="AE563" s="253"/>
      <c r="AF563" s="222"/>
      <c r="AG563" s="226"/>
      <c r="AH563" s="240"/>
      <c r="AI563" s="222"/>
      <c r="AJ563" s="222"/>
      <c r="AK563" s="222"/>
      <c r="AL563" s="222"/>
      <c r="AM563" s="222"/>
      <c r="AN563" s="222"/>
      <c r="AO563" s="222"/>
      <c r="AP563" s="225" t="s">
        <v>2762</v>
      </c>
      <c r="AQ563" s="225"/>
      <c r="AR563" s="225"/>
      <c r="AS563" s="240"/>
      <c r="AT563" s="226"/>
      <c r="AU563" s="225"/>
      <c r="AV563" s="241"/>
      <c r="AW563" s="223"/>
      <c r="AX563" s="225" t="s">
        <v>1879</v>
      </c>
      <c r="AY563" s="242"/>
      <c r="AZ563" s="225" t="s">
        <v>1880</v>
      </c>
      <c r="BA563" s="225" t="s">
        <v>380</v>
      </c>
      <c r="BB563" s="222"/>
      <c r="BC563" s="222"/>
      <c r="BD563" s="222"/>
      <c r="BE563" s="222"/>
      <c r="BF563" s="222"/>
      <c r="BG563" s="222"/>
      <c r="BH563" s="222"/>
      <c r="BI563" s="222"/>
      <c r="BJ563" s="230"/>
      <c r="BK563" s="230"/>
      <c r="BL563" s="230"/>
      <c r="BM563" s="230"/>
      <c r="BN563" s="230"/>
      <c r="BO563" s="230"/>
      <c r="BP563" s="230"/>
      <c r="BQ563" s="230"/>
      <c r="BR563" s="242"/>
      <c r="BS563" s="222"/>
      <c r="BT563" s="222"/>
      <c r="BU563" s="222"/>
      <c r="BV563" s="242"/>
      <c r="BW563" s="222"/>
      <c r="BX563" s="301"/>
      <c r="BY563" s="222"/>
    </row>
    <row r="564" spans="1:77" s="33" customFormat="1" ht="13.5" customHeight="1">
      <c r="A564" s="64">
        <f t="shared" si="69"/>
        <v>1900</v>
      </c>
      <c r="B564" s="64">
        <f t="shared" si="70"/>
        <v>1</v>
      </c>
      <c r="C564" s="125"/>
      <c r="D564" s="168"/>
      <c r="E564" s="222"/>
      <c r="F564" s="222"/>
      <c r="G564" s="221"/>
      <c r="H564" s="222"/>
      <c r="I564" s="222"/>
      <c r="J564" s="222"/>
      <c r="K564" s="222"/>
      <c r="L564" s="222"/>
      <c r="M564" s="222"/>
      <c r="N564" s="222"/>
      <c r="O564" s="222"/>
      <c r="P564" s="222"/>
      <c r="Q564" s="222"/>
      <c r="R564" s="222"/>
      <c r="S564" s="222"/>
      <c r="T564" s="222"/>
      <c r="U564" s="222"/>
      <c r="V564" s="222"/>
      <c r="W564" s="222"/>
      <c r="X564" s="222"/>
      <c r="Y564" s="222"/>
      <c r="Z564" s="222"/>
      <c r="AA564" s="253"/>
      <c r="AB564" s="225"/>
      <c r="AC564" s="253"/>
      <c r="AD564" s="222"/>
      <c r="AE564" s="253"/>
      <c r="AF564" s="222"/>
      <c r="AG564" s="226"/>
      <c r="AH564" s="240"/>
      <c r="AI564" s="222"/>
      <c r="AJ564" s="222"/>
      <c r="AK564" s="222"/>
      <c r="AL564" s="222"/>
      <c r="AM564" s="222"/>
      <c r="AN564" s="222"/>
      <c r="AO564" s="222"/>
      <c r="AP564" s="222" t="s">
        <v>835</v>
      </c>
      <c r="AQ564" s="225"/>
      <c r="AR564" s="222"/>
      <c r="AS564" s="240"/>
      <c r="AT564" s="226"/>
      <c r="AU564" s="222"/>
      <c r="AV564" s="222"/>
      <c r="AW564" s="222"/>
      <c r="AX564" s="225" t="s">
        <v>1879</v>
      </c>
      <c r="AY564" s="242"/>
      <c r="AZ564" s="225" t="s">
        <v>1880</v>
      </c>
      <c r="BA564" s="225" t="s">
        <v>380</v>
      </c>
      <c r="BB564" s="222"/>
      <c r="BC564" s="222"/>
      <c r="BD564" s="222"/>
      <c r="BE564" s="222"/>
      <c r="BF564" s="222"/>
      <c r="BG564" s="222"/>
      <c r="BH564" s="222"/>
      <c r="BI564" s="222"/>
      <c r="BJ564" s="230"/>
      <c r="BK564" s="230"/>
      <c r="BL564" s="230"/>
      <c r="BM564" s="230"/>
      <c r="BN564" s="230"/>
      <c r="BO564" s="230"/>
      <c r="BP564" s="230"/>
      <c r="BQ564" s="230"/>
      <c r="BR564" s="242"/>
      <c r="BS564" s="222"/>
      <c r="BT564" s="222"/>
      <c r="BU564" s="222"/>
      <c r="BV564" s="242"/>
      <c r="BW564" s="222"/>
      <c r="BX564" s="301"/>
      <c r="BY564" s="222"/>
    </row>
    <row r="565" spans="1:77" s="33" customFormat="1" ht="13.5" customHeight="1">
      <c r="A565" s="64">
        <f t="shared" si="69"/>
        <v>1900</v>
      </c>
      <c r="B565" s="64">
        <f t="shared" si="70"/>
        <v>1</v>
      </c>
      <c r="C565" s="125"/>
      <c r="D565" s="168"/>
      <c r="E565" s="222"/>
      <c r="F565" s="222"/>
      <c r="G565" s="221"/>
      <c r="H565" s="222"/>
      <c r="I565" s="222"/>
      <c r="J565" s="222"/>
      <c r="K565" s="222"/>
      <c r="L565" s="222"/>
      <c r="M565" s="222"/>
      <c r="N565" s="222"/>
      <c r="O565" s="222"/>
      <c r="P565" s="222"/>
      <c r="Q565" s="222"/>
      <c r="R565" s="222"/>
      <c r="S565" s="222"/>
      <c r="T565" s="222"/>
      <c r="U565" s="222"/>
      <c r="V565" s="222"/>
      <c r="W565" s="222"/>
      <c r="X565" s="222"/>
      <c r="Y565" s="222"/>
      <c r="Z565" s="222"/>
      <c r="AA565" s="253"/>
      <c r="AB565" s="225"/>
      <c r="AC565" s="253"/>
      <c r="AD565" s="222"/>
      <c r="AE565" s="253"/>
      <c r="AF565" s="222"/>
      <c r="AG565" s="226"/>
      <c r="AH565" s="240"/>
      <c r="AI565" s="222"/>
      <c r="AJ565" s="222"/>
      <c r="AK565" s="222"/>
      <c r="AL565" s="222"/>
      <c r="AM565" s="222"/>
      <c r="AN565" s="222"/>
      <c r="AO565" s="222"/>
      <c r="AP565" s="222" t="s">
        <v>268</v>
      </c>
      <c r="AQ565" s="222"/>
      <c r="AR565" s="222"/>
      <c r="AS565" s="234"/>
      <c r="AT565" s="226"/>
      <c r="AU565" s="222"/>
      <c r="AV565" s="241"/>
      <c r="AW565" s="222"/>
      <c r="AX565" s="225" t="s">
        <v>1880</v>
      </c>
      <c r="AY565" s="242"/>
      <c r="AZ565" s="225" t="s">
        <v>1880</v>
      </c>
      <c r="BA565" s="225" t="s">
        <v>267</v>
      </c>
      <c r="BB565" s="222"/>
      <c r="BC565" s="222"/>
      <c r="BD565" s="222"/>
      <c r="BE565" s="222"/>
      <c r="BF565" s="222"/>
      <c r="BG565" s="222"/>
      <c r="BH565" s="222"/>
      <c r="BI565" s="222"/>
      <c r="BJ565" s="230"/>
      <c r="BK565" s="230"/>
      <c r="BL565" s="230"/>
      <c r="BM565" s="230"/>
      <c r="BN565" s="230"/>
      <c r="BO565" s="230"/>
      <c r="BP565" s="230"/>
      <c r="BQ565" s="230"/>
      <c r="BR565" s="242"/>
      <c r="BS565" s="222"/>
      <c r="BT565" s="222"/>
      <c r="BU565" s="222"/>
      <c r="BV565" s="242"/>
      <c r="BW565" s="222"/>
      <c r="BX565" s="222"/>
      <c r="BY565" s="222"/>
    </row>
    <row r="566" spans="1:77" s="33" customFormat="1" ht="13.5" customHeight="1">
      <c r="A566" s="64">
        <f t="shared" si="69"/>
        <v>1900</v>
      </c>
      <c r="B566" s="64">
        <f t="shared" si="70"/>
        <v>1</v>
      </c>
      <c r="C566" s="125"/>
      <c r="D566" s="168"/>
      <c r="E566" s="222"/>
      <c r="F566" s="222"/>
      <c r="G566" s="221"/>
      <c r="H566" s="222"/>
      <c r="I566" s="222"/>
      <c r="J566" s="222"/>
      <c r="K566" s="222"/>
      <c r="L566" s="222"/>
      <c r="M566" s="222"/>
      <c r="N566" s="222"/>
      <c r="O566" s="222"/>
      <c r="P566" s="222"/>
      <c r="Q566" s="222"/>
      <c r="R566" s="222"/>
      <c r="S566" s="222"/>
      <c r="T566" s="222"/>
      <c r="U566" s="222"/>
      <c r="V566" s="222"/>
      <c r="W566" s="222"/>
      <c r="X566" s="222"/>
      <c r="Y566" s="222"/>
      <c r="Z566" s="222"/>
      <c r="AA566" s="253"/>
      <c r="AB566" s="225"/>
      <c r="AC566" s="253"/>
      <c r="AD566" s="222"/>
      <c r="AE566" s="253"/>
      <c r="AF566" s="222"/>
      <c r="AG566" s="226"/>
      <c r="AH566" s="240"/>
      <c r="AI566" s="222"/>
      <c r="AJ566" s="222"/>
      <c r="AK566" s="222"/>
      <c r="AL566" s="222"/>
      <c r="AM566" s="222"/>
      <c r="AN566" s="222"/>
      <c r="AO566" s="222"/>
      <c r="AP566" s="222" t="s">
        <v>579</v>
      </c>
      <c r="AQ566" s="222"/>
      <c r="AR566" s="222"/>
      <c r="AS566" s="241"/>
      <c r="AT566" s="222"/>
      <c r="AU566" s="222"/>
      <c r="AV566" s="222"/>
      <c r="AW566" s="222"/>
      <c r="AX566" s="225" t="s">
        <v>1879</v>
      </c>
      <c r="AY566" s="242"/>
      <c r="AZ566" s="225" t="s">
        <v>1880</v>
      </c>
      <c r="BA566" s="225" t="s">
        <v>380</v>
      </c>
      <c r="BB566" s="222"/>
      <c r="BC566" s="222"/>
      <c r="BD566" s="222"/>
      <c r="BE566" s="222"/>
      <c r="BF566" s="222"/>
      <c r="BG566" s="222"/>
      <c r="BH566" s="222"/>
      <c r="BI566" s="222"/>
      <c r="BJ566" s="230"/>
      <c r="BK566" s="230"/>
      <c r="BL566" s="230"/>
      <c r="BM566" s="230"/>
      <c r="BN566" s="230"/>
      <c r="BO566" s="230"/>
      <c r="BP566" s="230"/>
      <c r="BQ566" s="230"/>
      <c r="BR566" s="230"/>
      <c r="BS566" s="222"/>
      <c r="BT566" s="222"/>
      <c r="BU566" s="222"/>
      <c r="BV566" s="242"/>
      <c r="BW566" s="222"/>
      <c r="BX566" s="301"/>
      <c r="BY566" s="222"/>
    </row>
    <row r="567" spans="1:77" s="33" customFormat="1" ht="13.5" customHeight="1">
      <c r="A567" s="64">
        <f t="shared" si="69"/>
        <v>1900</v>
      </c>
      <c r="B567" s="64">
        <f t="shared" si="70"/>
        <v>1</v>
      </c>
      <c r="C567" s="125"/>
      <c r="D567" s="168"/>
      <c r="E567" s="222"/>
      <c r="F567" s="222"/>
      <c r="G567" s="221"/>
      <c r="H567" s="222"/>
      <c r="I567" s="222"/>
      <c r="J567" s="222"/>
      <c r="K567" s="222"/>
      <c r="L567" s="222"/>
      <c r="M567" s="222"/>
      <c r="N567" s="222"/>
      <c r="O567" s="222"/>
      <c r="P567" s="222"/>
      <c r="Q567" s="222"/>
      <c r="R567" s="222"/>
      <c r="S567" s="222"/>
      <c r="T567" s="222"/>
      <c r="U567" s="222"/>
      <c r="V567" s="222"/>
      <c r="W567" s="222"/>
      <c r="X567" s="222"/>
      <c r="Y567" s="222"/>
      <c r="Z567" s="222"/>
      <c r="AA567" s="253"/>
      <c r="AB567" s="225"/>
      <c r="AC567" s="253"/>
      <c r="AD567" s="222"/>
      <c r="AE567" s="253"/>
      <c r="AF567" s="222"/>
      <c r="AG567" s="226"/>
      <c r="AH567" s="240"/>
      <c r="AI567" s="222"/>
      <c r="AJ567" s="222"/>
      <c r="AK567" s="222"/>
      <c r="AL567" s="222"/>
      <c r="AM567" s="222"/>
      <c r="AN567" s="222"/>
      <c r="AO567" s="222"/>
      <c r="AP567" s="222" t="s">
        <v>845</v>
      </c>
      <c r="AQ567" s="222"/>
      <c r="AR567" s="222"/>
      <c r="AS567" s="240"/>
      <c r="AT567" s="226"/>
      <c r="AU567" s="222"/>
      <c r="AV567" s="241"/>
      <c r="AW567" s="222"/>
      <c r="AX567" s="225" t="s">
        <v>1879</v>
      </c>
      <c r="AY567" s="242"/>
      <c r="AZ567" s="225" t="s">
        <v>1880</v>
      </c>
      <c r="BA567" s="225" t="s">
        <v>380</v>
      </c>
      <c r="BB567" s="222"/>
      <c r="BC567" s="222"/>
      <c r="BD567" s="222"/>
      <c r="BE567" s="222"/>
      <c r="BF567" s="222"/>
      <c r="BG567" s="222"/>
      <c r="BH567" s="222"/>
      <c r="BI567" s="222"/>
      <c r="BJ567" s="230"/>
      <c r="BK567" s="230"/>
      <c r="BL567" s="230"/>
      <c r="BM567" s="230"/>
      <c r="BN567" s="230"/>
      <c r="BO567" s="230"/>
      <c r="BP567" s="230"/>
      <c r="BQ567" s="230"/>
      <c r="BR567" s="222"/>
      <c r="BS567" s="222"/>
      <c r="BT567" s="222"/>
      <c r="BU567" s="222"/>
      <c r="BV567" s="242"/>
      <c r="BW567" s="222"/>
      <c r="BX567" s="301"/>
      <c r="BY567" s="222"/>
    </row>
    <row r="568" spans="1:77" s="33" customFormat="1" ht="13.5" customHeight="1">
      <c r="A568" s="64">
        <f t="shared" si="69"/>
        <v>1900</v>
      </c>
      <c r="B568" s="64">
        <f t="shared" si="70"/>
        <v>1</v>
      </c>
      <c r="C568" s="125"/>
      <c r="D568" s="168"/>
      <c r="E568" s="222"/>
      <c r="F568" s="222"/>
      <c r="G568" s="221"/>
      <c r="H568" s="222"/>
      <c r="I568" s="222"/>
      <c r="J568" s="222"/>
      <c r="K568" s="222"/>
      <c r="L568" s="222"/>
      <c r="M568" s="222"/>
      <c r="N568" s="222"/>
      <c r="O568" s="222"/>
      <c r="P568" s="222"/>
      <c r="Q568" s="222"/>
      <c r="R568" s="222"/>
      <c r="S568" s="222"/>
      <c r="T568" s="222"/>
      <c r="U568" s="222"/>
      <c r="V568" s="222"/>
      <c r="W568" s="222"/>
      <c r="X568" s="222"/>
      <c r="Y568" s="222"/>
      <c r="Z568" s="222"/>
      <c r="AA568" s="253"/>
      <c r="AB568" s="225"/>
      <c r="AC568" s="253"/>
      <c r="AD568" s="222"/>
      <c r="AE568" s="253"/>
      <c r="AF568" s="222"/>
      <c r="AG568" s="226"/>
      <c r="AH568" s="240"/>
      <c r="AI568" s="222"/>
      <c r="AJ568" s="222"/>
      <c r="AK568" s="222"/>
      <c r="AL568" s="222"/>
      <c r="AM568" s="222"/>
      <c r="AN568" s="222"/>
      <c r="AO568" s="222"/>
      <c r="AP568" s="225" t="s">
        <v>2762</v>
      </c>
      <c r="AQ568" s="225"/>
      <c r="AR568" s="225"/>
      <c r="AS568" s="240"/>
      <c r="AT568" s="226"/>
      <c r="AU568" s="225"/>
      <c r="AV568" s="241"/>
      <c r="AW568" s="223"/>
      <c r="AX568" s="225" t="s">
        <v>1179</v>
      </c>
      <c r="AY568" s="242"/>
      <c r="AZ568" s="225" t="s">
        <v>1179</v>
      </c>
      <c r="BA568" s="225" t="s">
        <v>380</v>
      </c>
      <c r="BB568" s="222"/>
      <c r="BC568" s="222"/>
      <c r="BD568" s="222"/>
      <c r="BE568" s="222"/>
      <c r="BF568" s="222"/>
      <c r="BG568" s="222"/>
      <c r="BH568" s="222"/>
      <c r="BI568" s="222"/>
      <c r="BJ568" s="230"/>
      <c r="BK568" s="230"/>
      <c r="BL568" s="230"/>
      <c r="BM568" s="230"/>
      <c r="BN568" s="230"/>
      <c r="BO568" s="230"/>
      <c r="BP568" s="230"/>
      <c r="BQ568" s="230"/>
      <c r="BR568" s="222"/>
      <c r="BS568" s="222"/>
      <c r="BT568" s="222"/>
      <c r="BU568" s="222"/>
      <c r="BV568" s="242"/>
      <c r="BW568" s="222"/>
      <c r="BX568" s="222"/>
      <c r="BY568" s="222"/>
    </row>
    <row r="569" spans="1:77" s="33" customFormat="1" ht="13.5" customHeight="1">
      <c r="A569" s="64">
        <f t="shared" si="69"/>
        <v>1900</v>
      </c>
      <c r="B569" s="64">
        <f t="shared" si="70"/>
        <v>1</v>
      </c>
      <c r="C569" s="125"/>
      <c r="D569" s="168"/>
      <c r="E569" s="222"/>
      <c r="F569" s="222"/>
      <c r="G569" s="221"/>
      <c r="H569" s="222"/>
      <c r="I569" s="222"/>
      <c r="J569" s="222"/>
      <c r="K569" s="222"/>
      <c r="L569" s="222"/>
      <c r="M569" s="222"/>
      <c r="N569" s="222"/>
      <c r="O569" s="222"/>
      <c r="P569" s="222"/>
      <c r="Q569" s="222"/>
      <c r="R569" s="222"/>
      <c r="S569" s="222"/>
      <c r="T569" s="222"/>
      <c r="U569" s="222"/>
      <c r="V569" s="222"/>
      <c r="W569" s="222"/>
      <c r="X569" s="222"/>
      <c r="Y569" s="222"/>
      <c r="Z569" s="222"/>
      <c r="AA569" s="253"/>
      <c r="AB569" s="225"/>
      <c r="AC569" s="253"/>
      <c r="AD569" s="222"/>
      <c r="AE569" s="253"/>
      <c r="AF569" s="222"/>
      <c r="AG569" s="226"/>
      <c r="AH569" s="240"/>
      <c r="AI569" s="222"/>
      <c r="AJ569" s="222"/>
      <c r="AK569" s="222"/>
      <c r="AL569" s="222"/>
      <c r="AM569" s="222"/>
      <c r="AN569" s="222"/>
      <c r="AO569" s="222"/>
      <c r="AP569" s="222" t="s">
        <v>579</v>
      </c>
      <c r="AQ569" s="222"/>
      <c r="AR569" s="222"/>
      <c r="AS569" s="241"/>
      <c r="AT569" s="222"/>
      <c r="AU569" s="222"/>
      <c r="AV569" s="222"/>
      <c r="AW569" s="222"/>
      <c r="AX569" s="222" t="s">
        <v>1879</v>
      </c>
      <c r="AY569" s="242"/>
      <c r="AZ569" s="225" t="s">
        <v>1880</v>
      </c>
      <c r="BA569" s="225" t="s">
        <v>380</v>
      </c>
      <c r="BB569" s="222"/>
      <c r="BC569" s="222"/>
      <c r="BD569" s="222"/>
      <c r="BE569" s="222"/>
      <c r="BF569" s="222"/>
      <c r="BG569" s="222"/>
      <c r="BH569" s="222"/>
      <c r="BI569" s="222"/>
      <c r="BJ569" s="230"/>
      <c r="BK569" s="230"/>
      <c r="BL569" s="230"/>
      <c r="BM569" s="230"/>
      <c r="BN569" s="230"/>
      <c r="BO569" s="230"/>
      <c r="BP569" s="230"/>
      <c r="BQ569" s="230"/>
      <c r="BR569" s="222"/>
      <c r="BS569" s="222"/>
      <c r="BT569" s="222"/>
      <c r="BU569" s="222"/>
      <c r="BV569" s="242"/>
      <c r="BW569" s="222"/>
      <c r="BX569" s="301"/>
      <c r="BY569" s="222"/>
    </row>
    <row r="570" spans="1:77" s="33" customFormat="1" ht="13.5" customHeight="1">
      <c r="A570" s="64">
        <f t="shared" si="69"/>
        <v>1900</v>
      </c>
      <c r="B570" s="64">
        <f t="shared" si="70"/>
        <v>1</v>
      </c>
      <c r="C570" s="125" t="s">
        <v>191</v>
      </c>
      <c r="D570" s="168" t="str">
        <f t="shared" si="71"/>
        <v>non maj</v>
      </c>
      <c r="E570" s="222" t="s">
        <v>3302</v>
      </c>
      <c r="F570" s="222" t="s">
        <v>4033</v>
      </c>
      <c r="G570" s="221">
        <v>600</v>
      </c>
      <c r="H570" s="222">
        <v>44950</v>
      </c>
      <c r="I570" s="222">
        <v>44952</v>
      </c>
      <c r="J570" s="222">
        <v>44971</v>
      </c>
      <c r="K570" s="222" t="s">
        <v>4034</v>
      </c>
      <c r="L570" s="222"/>
      <c r="M570" s="222"/>
      <c r="N570" s="222"/>
      <c r="O570" s="222"/>
      <c r="P570" s="222"/>
      <c r="Q570" s="222"/>
      <c r="R570" s="222"/>
      <c r="S570" s="222"/>
      <c r="T570" s="222"/>
      <c r="U570" s="222"/>
      <c r="V570" s="222"/>
      <c r="W570" s="222"/>
      <c r="X570" s="222"/>
      <c r="Y570" s="222"/>
      <c r="Z570" s="222"/>
      <c r="AA570" s="253">
        <v>2</v>
      </c>
      <c r="AB570" s="225">
        <v>32945</v>
      </c>
      <c r="AC570" s="253">
        <v>653</v>
      </c>
      <c r="AD570" s="222" t="s">
        <v>4035</v>
      </c>
      <c r="AE570" s="253">
        <v>38340</v>
      </c>
      <c r="AF570" s="222" t="s">
        <v>2134</v>
      </c>
      <c r="AG570" s="226">
        <v>607696361</v>
      </c>
      <c r="AH570" s="240" t="s">
        <v>4036</v>
      </c>
      <c r="AI570" s="222" t="s">
        <v>1168</v>
      </c>
      <c r="AJ570" s="222"/>
      <c r="AK570" s="222"/>
      <c r="AL570" s="222"/>
      <c r="AM570" s="222"/>
      <c r="AN570" s="222"/>
      <c r="AO570" s="222"/>
      <c r="AP570" s="222" t="s">
        <v>1071</v>
      </c>
      <c r="AQ570" s="222" t="s">
        <v>232</v>
      </c>
      <c r="AR570" s="222" t="s">
        <v>4002</v>
      </c>
      <c r="AS570" s="240" t="s">
        <v>3811</v>
      </c>
      <c r="AT570" s="226">
        <v>768823714</v>
      </c>
      <c r="AU570" s="222" t="s">
        <v>176</v>
      </c>
      <c r="AV570" s="222" t="s">
        <v>188</v>
      </c>
      <c r="AW570" s="222">
        <v>45102</v>
      </c>
      <c r="AX570" s="225" t="s">
        <v>1879</v>
      </c>
      <c r="AY570" s="242">
        <v>1973</v>
      </c>
      <c r="AZ570" s="225" t="s">
        <v>1880</v>
      </c>
      <c r="BA570" s="225" t="s">
        <v>380</v>
      </c>
      <c r="BB570" s="222" t="s">
        <v>699</v>
      </c>
      <c r="BC570" s="222" t="s">
        <v>1056</v>
      </c>
      <c r="BD570" s="222"/>
      <c r="BE570" s="222"/>
      <c r="BF570" s="222"/>
      <c r="BG570" s="222"/>
      <c r="BH570" s="222" t="s">
        <v>1882</v>
      </c>
      <c r="BI570" s="222"/>
      <c r="BJ570" s="230">
        <f>3403+78+122+109+132+960+126.3</f>
        <v>4930.3</v>
      </c>
      <c r="BK570" s="230"/>
      <c r="BL570" s="230"/>
      <c r="BM570" s="230"/>
      <c r="BN570" s="230">
        <v>990</v>
      </c>
      <c r="BO570" s="230">
        <f>BJ570+BN570</f>
        <v>5920.3</v>
      </c>
      <c r="BP570" s="230">
        <f t="shared" si="73"/>
        <v>325.61650000000003</v>
      </c>
      <c r="BQ570" s="230">
        <f t="shared" si="68"/>
        <v>6245.9165000000003</v>
      </c>
      <c r="BR570" s="222"/>
      <c r="BS570" s="222" t="s">
        <v>188</v>
      </c>
      <c r="BT570" s="222"/>
      <c r="BU570" s="222"/>
      <c r="BV570" s="242"/>
      <c r="BW570" s="222"/>
      <c r="BX570" s="301" t="s">
        <v>620</v>
      </c>
      <c r="BY570" s="222"/>
    </row>
    <row r="571" spans="1:77" s="33" customFormat="1" ht="13.5" customHeight="1">
      <c r="A571" s="64">
        <f t="shared" si="69"/>
        <v>1900</v>
      </c>
      <c r="B571" s="64">
        <f t="shared" si="70"/>
        <v>1</v>
      </c>
      <c r="C571" s="125" t="s">
        <v>191</v>
      </c>
      <c r="D571" s="168" t="str">
        <f t="shared" si="71"/>
        <v>non maj</v>
      </c>
      <c r="E571" s="222" t="s">
        <v>3302</v>
      </c>
      <c r="F571" s="222" t="s">
        <v>4037</v>
      </c>
      <c r="G571" s="221">
        <v>600</v>
      </c>
      <c r="H571" s="222">
        <v>44959</v>
      </c>
      <c r="I571" s="222">
        <v>44970</v>
      </c>
      <c r="J571" s="222">
        <v>44971</v>
      </c>
      <c r="K571" s="222" t="s">
        <v>4038</v>
      </c>
      <c r="L571" s="222"/>
      <c r="M571" s="222"/>
      <c r="N571" s="222"/>
      <c r="O571" s="222"/>
      <c r="P571" s="222"/>
      <c r="Q571" s="222"/>
      <c r="R571" s="222"/>
      <c r="S571" s="222"/>
      <c r="T571" s="222"/>
      <c r="U571" s="222"/>
      <c r="V571" s="222"/>
      <c r="W571" s="222"/>
      <c r="X571" s="222"/>
      <c r="Y571" s="222"/>
      <c r="Z571" s="222"/>
      <c r="AA571" s="253">
        <v>2</v>
      </c>
      <c r="AB571" s="225">
        <v>87105</v>
      </c>
      <c r="AC571" s="253">
        <v>185</v>
      </c>
      <c r="AD571" s="222" t="s">
        <v>2885</v>
      </c>
      <c r="AE571" s="253">
        <v>38210</v>
      </c>
      <c r="AF571" s="222" t="s">
        <v>1903</v>
      </c>
      <c r="AG571" s="226">
        <v>667222307</v>
      </c>
      <c r="AH571" s="240" t="s">
        <v>4039</v>
      </c>
      <c r="AI571" s="222" t="s">
        <v>1168</v>
      </c>
      <c r="AJ571" s="222"/>
      <c r="AK571" s="222"/>
      <c r="AL571" s="222"/>
      <c r="AM571" s="222"/>
      <c r="AN571" s="222"/>
      <c r="AO571" s="222"/>
      <c r="AP571" s="222" t="s">
        <v>268</v>
      </c>
      <c r="AQ571" s="222" t="s">
        <v>1893</v>
      </c>
      <c r="AR571" s="222" t="s">
        <v>3756</v>
      </c>
      <c r="AS571" s="234" t="s">
        <v>1934</v>
      </c>
      <c r="AT571" s="226" t="s">
        <v>3027</v>
      </c>
      <c r="AU571" s="222" t="s">
        <v>176</v>
      </c>
      <c r="AV571" s="241" t="s">
        <v>188</v>
      </c>
      <c r="AW571" s="222">
        <v>45248</v>
      </c>
      <c r="AX571" s="225" t="s">
        <v>4113</v>
      </c>
      <c r="AY571" s="242" t="s">
        <v>1935</v>
      </c>
      <c r="AZ571" s="225" t="s">
        <v>4113</v>
      </c>
      <c r="BA571" s="225" t="s">
        <v>380</v>
      </c>
      <c r="BB571" s="222" t="s">
        <v>1936</v>
      </c>
      <c r="BC571" s="222" t="s">
        <v>2123</v>
      </c>
      <c r="BD571" s="222"/>
      <c r="BE571" s="222"/>
      <c r="BF571" s="222"/>
      <c r="BG571" s="222"/>
      <c r="BH571" s="222" t="s">
        <v>1882</v>
      </c>
      <c r="BI571" s="222"/>
      <c r="BJ571" s="230">
        <f>582.94+480+35.5+74.8+99.09+114+465.75+2000+565+266.4+65.35+479</f>
        <v>5227.83</v>
      </c>
      <c r="BK571" s="230"/>
      <c r="BL571" s="230"/>
      <c r="BM571" s="230"/>
      <c r="BN571" s="230">
        <f>225+950</f>
        <v>1175</v>
      </c>
      <c r="BO571" s="230">
        <f>BJ571+BN571</f>
        <v>6402.83</v>
      </c>
      <c r="BP571" s="230">
        <f t="shared" si="73"/>
        <v>352.15564999999998</v>
      </c>
      <c r="BQ571" s="230">
        <f t="shared" si="68"/>
        <v>6754.9856499999996</v>
      </c>
      <c r="BR571" s="222"/>
      <c r="BS571" s="222" t="s">
        <v>188</v>
      </c>
      <c r="BT571" s="222"/>
      <c r="BU571" s="222"/>
      <c r="BV571" s="242"/>
      <c r="BW571" s="222"/>
      <c r="BX571" s="301" t="s">
        <v>620</v>
      </c>
      <c r="BY571" s="222"/>
    </row>
    <row r="572" spans="1:77" s="33" customFormat="1" ht="13.5" customHeight="1">
      <c r="A572" s="64">
        <f t="shared" si="69"/>
        <v>1900</v>
      </c>
      <c r="B572" s="64">
        <f t="shared" si="70"/>
        <v>1</v>
      </c>
      <c r="C572" s="125"/>
      <c r="D572" s="168"/>
      <c r="E572" s="222"/>
      <c r="F572" s="222"/>
      <c r="G572" s="221"/>
      <c r="H572" s="222"/>
      <c r="I572" s="222"/>
      <c r="J572" s="222"/>
      <c r="K572" s="222"/>
      <c r="L572" s="222"/>
      <c r="M572" s="222"/>
      <c r="N572" s="222"/>
      <c r="O572" s="222"/>
      <c r="P572" s="222"/>
      <c r="Q572" s="222"/>
      <c r="R572" s="222"/>
      <c r="S572" s="222"/>
      <c r="T572" s="222"/>
      <c r="U572" s="222"/>
      <c r="V572" s="222"/>
      <c r="W572" s="222"/>
      <c r="X572" s="222"/>
      <c r="Y572" s="222"/>
      <c r="Z572" s="222"/>
      <c r="AA572" s="253"/>
      <c r="AB572" s="225"/>
      <c r="AC572" s="253"/>
      <c r="AD572" s="222"/>
      <c r="AE572" s="253"/>
      <c r="AF572" s="222"/>
      <c r="AG572" s="226"/>
      <c r="AH572" s="240"/>
      <c r="AI572" s="222"/>
      <c r="AJ572" s="222"/>
      <c r="AK572" s="222"/>
      <c r="AL572" s="222"/>
      <c r="AM572" s="222"/>
      <c r="AN572" s="222"/>
      <c r="AO572" s="222"/>
      <c r="AP572" s="225" t="s">
        <v>675</v>
      </c>
      <c r="AQ572" s="225"/>
      <c r="AR572" s="225"/>
      <c r="AS572" s="241"/>
      <c r="AT572" s="226"/>
      <c r="AU572" s="222"/>
      <c r="AV572" s="241"/>
      <c r="AW572" s="223"/>
      <c r="AX572" s="225" t="s">
        <v>1879</v>
      </c>
      <c r="AY572" s="242"/>
      <c r="AZ572" s="225" t="s">
        <v>1880</v>
      </c>
      <c r="BA572" s="225" t="s">
        <v>380</v>
      </c>
      <c r="BB572" s="222"/>
      <c r="BC572" s="222"/>
      <c r="BD572" s="222"/>
      <c r="BE572" s="222"/>
      <c r="BF572" s="222"/>
      <c r="BG572" s="222"/>
      <c r="BH572" s="222"/>
      <c r="BI572" s="222"/>
      <c r="BJ572" s="230"/>
      <c r="BK572" s="230"/>
      <c r="BL572" s="230"/>
      <c r="BM572" s="230"/>
      <c r="BN572" s="230"/>
      <c r="BO572" s="230"/>
      <c r="BP572" s="230"/>
      <c r="BQ572" s="230"/>
      <c r="BR572" s="222"/>
      <c r="BS572" s="222"/>
      <c r="BT572" s="222"/>
      <c r="BU572" s="222"/>
      <c r="BV572" s="242"/>
      <c r="BW572" s="222"/>
      <c r="BX572" s="222"/>
      <c r="BY572" s="222"/>
    </row>
    <row r="573" spans="1:77" s="33" customFormat="1" ht="13.5" customHeight="1">
      <c r="A573" s="64">
        <f t="shared" si="69"/>
        <v>1900</v>
      </c>
      <c r="B573" s="64">
        <f t="shared" si="70"/>
        <v>1</v>
      </c>
      <c r="C573" s="125" t="s">
        <v>191</v>
      </c>
      <c r="D573" s="168" t="str">
        <f t="shared" si="71"/>
        <v>non maj</v>
      </c>
      <c r="E573" s="222" t="s">
        <v>3302</v>
      </c>
      <c r="F573" s="222" t="s">
        <v>4040</v>
      </c>
      <c r="G573" s="221">
        <v>600</v>
      </c>
      <c r="H573" s="222">
        <v>44966</v>
      </c>
      <c r="I573" s="222">
        <v>44970</v>
      </c>
      <c r="J573" s="222">
        <v>44971</v>
      </c>
      <c r="K573" s="222" t="s">
        <v>4041</v>
      </c>
      <c r="L573" s="222"/>
      <c r="M573" s="222"/>
      <c r="N573" s="222"/>
      <c r="O573" s="222"/>
      <c r="P573" s="222"/>
      <c r="Q573" s="222"/>
      <c r="R573" s="222"/>
      <c r="S573" s="222"/>
      <c r="T573" s="222"/>
      <c r="U573" s="222"/>
      <c r="V573" s="222"/>
      <c r="W573" s="222"/>
      <c r="X573" s="222"/>
      <c r="Y573" s="222"/>
      <c r="Z573" s="222"/>
      <c r="AA573" s="253">
        <v>4</v>
      </c>
      <c r="AB573" s="225">
        <v>78772</v>
      </c>
      <c r="AC573" s="253">
        <v>179</v>
      </c>
      <c r="AD573" s="222" t="s">
        <v>4042</v>
      </c>
      <c r="AE573" s="253">
        <v>38960</v>
      </c>
      <c r="AF573" s="222" t="s">
        <v>2088</v>
      </c>
      <c r="AG573" s="226">
        <v>615992693</v>
      </c>
      <c r="AH573" s="240" t="s">
        <v>4043</v>
      </c>
      <c r="AI573" s="222" t="s">
        <v>1168</v>
      </c>
      <c r="AJ573" s="222"/>
      <c r="AK573" s="222"/>
      <c r="AL573" s="222"/>
      <c r="AM573" s="222"/>
      <c r="AN573" s="222"/>
      <c r="AO573" s="222"/>
      <c r="AP573" s="222" t="s">
        <v>587</v>
      </c>
      <c r="AQ573" s="222" t="s">
        <v>225</v>
      </c>
      <c r="AR573" s="222" t="s">
        <v>3790</v>
      </c>
      <c r="AS573" s="285" t="s">
        <v>266</v>
      </c>
      <c r="AT573" s="222" t="s">
        <v>588</v>
      </c>
      <c r="AU573" s="222" t="s">
        <v>176</v>
      </c>
      <c r="AV573" s="222" t="s">
        <v>188</v>
      </c>
      <c r="AW573" s="222">
        <v>45187</v>
      </c>
      <c r="AX573" s="222" t="s">
        <v>1879</v>
      </c>
      <c r="AY573" s="242">
        <v>1990</v>
      </c>
      <c r="AZ573" s="225" t="s">
        <v>1880</v>
      </c>
      <c r="BA573" s="225" t="s">
        <v>267</v>
      </c>
      <c r="BB573" s="222" t="s">
        <v>2105</v>
      </c>
      <c r="BC573" s="222" t="s">
        <v>4044</v>
      </c>
      <c r="BD573" s="222"/>
      <c r="BE573" s="222"/>
      <c r="BF573" s="222"/>
      <c r="BG573" s="222"/>
      <c r="BH573" s="222" t="s">
        <v>1882</v>
      </c>
      <c r="BI573" s="222"/>
      <c r="BJ573" s="230">
        <f>1420+490+510+5658+207+1090</f>
        <v>9375</v>
      </c>
      <c r="BK573" s="230"/>
      <c r="BL573" s="230"/>
      <c r="BM573" s="230"/>
      <c r="BN573" s="230">
        <v>420</v>
      </c>
      <c r="BO573" s="230">
        <f>BJ573+BN573</f>
        <v>9795</v>
      </c>
      <c r="BP573" s="230">
        <f t="shared" si="73"/>
        <v>538.72500000000002</v>
      </c>
      <c r="BQ573" s="230">
        <f t="shared" si="68"/>
        <v>10333.725</v>
      </c>
      <c r="BR573" s="222"/>
      <c r="BS573" s="222" t="s">
        <v>388</v>
      </c>
      <c r="BT573" s="222"/>
      <c r="BU573" s="222"/>
      <c r="BV573" s="242"/>
      <c r="BW573" s="222"/>
      <c r="BX573" s="301" t="s">
        <v>620</v>
      </c>
      <c r="BY573" s="222"/>
    </row>
    <row r="574" spans="1:77" s="33" customFormat="1" ht="13.5" customHeight="1">
      <c r="A574" s="64">
        <f t="shared" si="69"/>
        <v>1900</v>
      </c>
      <c r="B574" s="64">
        <f t="shared" si="70"/>
        <v>1</v>
      </c>
      <c r="C574" s="125"/>
      <c r="D574" s="168"/>
      <c r="E574" s="222"/>
      <c r="F574" s="222"/>
      <c r="G574" s="221"/>
      <c r="H574" s="222"/>
      <c r="I574" s="222"/>
      <c r="J574" s="222"/>
      <c r="K574" s="222"/>
      <c r="L574" s="222"/>
      <c r="M574" s="222"/>
      <c r="N574" s="222"/>
      <c r="O574" s="222"/>
      <c r="P574" s="222"/>
      <c r="Q574" s="222"/>
      <c r="R574" s="222"/>
      <c r="S574" s="222"/>
      <c r="T574" s="222"/>
      <c r="U574" s="222"/>
      <c r="V574" s="222"/>
      <c r="W574" s="222"/>
      <c r="X574" s="222"/>
      <c r="Y574" s="222"/>
      <c r="Z574" s="222"/>
      <c r="AA574" s="253"/>
      <c r="AB574" s="225"/>
      <c r="AC574" s="253"/>
      <c r="AD574" s="222"/>
      <c r="AE574" s="253"/>
      <c r="AF574" s="222"/>
      <c r="AG574" s="226"/>
      <c r="AH574" s="240"/>
      <c r="AI574" s="222"/>
      <c r="AJ574" s="222"/>
      <c r="AK574" s="222"/>
      <c r="AL574" s="222"/>
      <c r="AM574" s="222"/>
      <c r="AN574" s="222"/>
      <c r="AO574" s="222"/>
      <c r="AP574" s="222" t="s">
        <v>579</v>
      </c>
      <c r="AQ574" s="222"/>
      <c r="AR574" s="222"/>
      <c r="AS574" s="241"/>
      <c r="AT574" s="222"/>
      <c r="AU574" s="222"/>
      <c r="AV574" s="222"/>
      <c r="AW574" s="222"/>
      <c r="AX574" s="222" t="s">
        <v>1879</v>
      </c>
      <c r="AY574" s="242"/>
      <c r="AZ574" s="225" t="s">
        <v>1880</v>
      </c>
      <c r="BA574" s="225" t="s">
        <v>380</v>
      </c>
      <c r="BB574" s="222"/>
      <c r="BC574" s="222"/>
      <c r="BD574" s="222"/>
      <c r="BE574" s="222"/>
      <c r="BF574" s="222"/>
      <c r="BG574" s="222"/>
      <c r="BH574" s="222"/>
      <c r="BI574" s="222"/>
      <c r="BJ574" s="230"/>
      <c r="BK574" s="230"/>
      <c r="BL574" s="230"/>
      <c r="BM574" s="230"/>
      <c r="BN574" s="230"/>
      <c r="BO574" s="230"/>
      <c r="BP574" s="230"/>
      <c r="BQ574" s="230"/>
      <c r="BR574" s="222"/>
      <c r="BS574" s="222"/>
      <c r="BT574" s="222"/>
      <c r="BU574" s="222"/>
      <c r="BV574" s="242"/>
      <c r="BW574" s="222"/>
      <c r="BX574" s="222"/>
      <c r="BY574" s="222"/>
    </row>
    <row r="575" spans="1:77">
      <c r="AP575" s="225" t="s">
        <v>1888</v>
      </c>
      <c r="AX575" s="222" t="s">
        <v>1879</v>
      </c>
      <c r="AZ575" s="225" t="s">
        <v>1880</v>
      </c>
      <c r="BA575" s="225" t="s">
        <v>380</v>
      </c>
    </row>
    <row r="576" spans="1:77" ht="26">
      <c r="AP576" s="225" t="s">
        <v>2762</v>
      </c>
      <c r="AX576" s="225" t="s">
        <v>1879</v>
      </c>
      <c r="AZ576" s="225" t="s">
        <v>4113</v>
      </c>
      <c r="BA576" s="225" t="s">
        <v>380</v>
      </c>
    </row>
    <row r="577" spans="42:53" ht="26">
      <c r="AP577" s="225" t="s">
        <v>2762</v>
      </c>
      <c r="AX577" s="225" t="s">
        <v>4113</v>
      </c>
      <c r="AZ577" s="225" t="s">
        <v>1880</v>
      </c>
      <c r="BA577" s="225" t="s">
        <v>267</v>
      </c>
    </row>
    <row r="578" spans="42:53" ht="26">
      <c r="AP578" s="222" t="s">
        <v>845</v>
      </c>
      <c r="AX578" s="225" t="s">
        <v>4113</v>
      </c>
      <c r="AZ578" s="225" t="s">
        <v>4113</v>
      </c>
      <c r="BA578" s="225" t="s">
        <v>380</v>
      </c>
    </row>
    <row r="579" spans="42:53">
      <c r="AP579" s="222" t="s">
        <v>727</v>
      </c>
      <c r="AX579" s="222" t="s">
        <v>1879</v>
      </c>
      <c r="AZ579" s="225" t="s">
        <v>1880</v>
      </c>
      <c r="BA579" s="225" t="s">
        <v>380</v>
      </c>
    </row>
    <row r="580" spans="42:53">
      <c r="AP580" s="222" t="s">
        <v>818</v>
      </c>
      <c r="AX580" s="225" t="s">
        <v>1179</v>
      </c>
      <c r="AZ580" s="225" t="s">
        <v>1880</v>
      </c>
      <c r="BA580" s="225" t="s">
        <v>380</v>
      </c>
    </row>
    <row r="581" spans="42:53" ht="26">
      <c r="AP581" s="222" t="s">
        <v>746</v>
      </c>
      <c r="AX581" s="225" t="s">
        <v>4113</v>
      </c>
      <c r="AZ581" s="225" t="s">
        <v>1880</v>
      </c>
      <c r="BA581" s="222" t="s">
        <v>380</v>
      </c>
    </row>
    <row r="582" spans="42:53">
      <c r="AP582" s="222" t="s">
        <v>818</v>
      </c>
      <c r="AX582" s="225" t="s">
        <v>1879</v>
      </c>
      <c r="AZ582" s="225" t="s">
        <v>1880</v>
      </c>
      <c r="BA582" s="225" t="s">
        <v>380</v>
      </c>
    </row>
  </sheetData>
  <autoFilter ref="A1:BW582"/>
  <conditionalFormatting sqref="AB463:AB468 AB470:AB471 AB473:AB488 AB490:AB493 AB495:AB496">
    <cfRule type="expression" dxfId="29" priority="21">
      <formula>IF(AA463=1,AB463&lt;19565,IF(AA463=2,AB463&lt;28614,IF(AA463=3,AB463&lt;34411,IF(AA463=4,AB463&lt;40201,IF(AA463=5,AB463&lt;46015,IF(AA463=6,AB463&lt;51812,IF(AA463=7,AB463&lt;57609)))))))</formula>
    </cfRule>
  </conditionalFormatting>
  <conditionalFormatting sqref="AB497:AB499 AB501:AB521">
    <cfRule type="expression" dxfId="28" priority="20">
      <formula>IF(AA497=1,AB497&lt;19565,IF(AA497=2,AB497&lt;28614,IF(AA497=3,AB497&lt;34411,IF(AA497=4,AB497&lt;40201,IF(AA497=5,AB497&lt;46015,IF(AA497=6,AB497&lt;51812,IF(AA497=7,AB497&lt;57609)))))))</formula>
    </cfRule>
  </conditionalFormatting>
  <conditionalFormatting sqref="Z408">
    <cfRule type="expression" dxfId="27" priority="19">
      <formula>IF(Y408=1,Z408&lt;19565,IF(Y408=2,Z408&lt;28614,IF(Y408=3,Z408&lt;34411,IF(Y408=4,Z408&lt;40201,IF(Y408=5,Z408&lt;46015,IF(Y408=6,Z408&lt;51812,IF(Y408=7,Z408&lt;57609)))))))</formula>
    </cfRule>
  </conditionalFormatting>
  <conditionalFormatting sqref="AB394:AB407 AB409:AB417 AB419:AB423">
    <cfRule type="expression" dxfId="26" priority="23">
      <formula>IF(AA394=1,AB394&lt;19565,IF(AA394=2,AB394&lt;28614,IF(AA394=3,AB394&lt;34411,IF(AA394=4,AB394&lt;40201,IF(AA394=5,AB394&lt;46015,IF(AA394=6,AB394&lt;51812,IF(AA394=7,AB394&lt;57609)))))))</formula>
    </cfRule>
  </conditionalFormatting>
  <conditionalFormatting sqref="AB424:AB437">
    <cfRule type="expression" dxfId="25" priority="22">
      <formula>IF(AA424=1,AB424&lt;19565,IF(AA424=2,AB424&lt;28614,IF(AA424=3,AB424&lt;34411,IF(AA424=4,AB424&lt;40201,IF(AA424=5,AB424&lt;46015,IF(AA424=6,AB424&lt;51812,IF(AA424=7,AB424&lt;57609)))))))</formula>
    </cfRule>
  </conditionalFormatting>
  <conditionalFormatting sqref="AB522:AB523 AB525:AB537">
    <cfRule type="expression" dxfId="24" priority="18">
      <formula>IF(AA522=1,AB522&lt;19565,IF(AA522=2,AB522&lt;28614,IF(AA522=3,AB522&lt;34411,IF(AA522=4,AB522&lt;40201,IF(AA522=5,AB522&lt;46015,IF(AA522=6,AB522&lt;51812,IF(AA522=7,AB522&lt;57609)))))))</formula>
    </cfRule>
  </conditionalFormatting>
  <conditionalFormatting sqref="AB538:AB550 AB572:AB574">
    <cfRule type="expression" dxfId="23" priority="17">
      <formula>IF(AA538=1,AB538&lt;19565,IF(AA538=2,AB538&lt;28614,IF(AA538=3,AB538&lt;34411,IF(AA538=4,AB538&lt;40201,IF(AA538=5,AB538&lt;46015,IF(AA538=6,AB538&lt;51812,IF(AA538=7,AB538&lt;57609)))))))</formula>
    </cfRule>
  </conditionalFormatting>
  <conditionalFormatting sqref="AB179:AB274 AB438:AB449 AB335:AB344 AB346:AB384 AB386:AB393 AB451 AB453:AB460 AB276:AB332">
    <cfRule type="expression" dxfId="22" priority="25">
      <formula>IF(AA179=1,AB179&lt;19565,IF(AA179=2,AB179&lt;28614,IF(AA179=3,AB179&lt;34411,IF(AA179=4,AB179&lt;40201,IF(AA179=5,AB179&lt;46015,IF(AA179=6,AB179&lt;51812,IF(AA179=7,AB179&lt;57609)))))))</formula>
    </cfRule>
  </conditionalFormatting>
  <conditionalFormatting sqref="AB333">
    <cfRule type="expression" dxfId="21" priority="16">
      <formula>IF(AA333=1,AB333&lt;19565,IF(AA333=2,AB333&lt;28614,IF(AA333=3,AB333&lt;34411,IF(AA333=4,AB333&lt;40201,IF(AA333=5,AB333&lt;46015,IF(AA333=6,AB333&lt;51812,IF(AA333=7,AB333&lt;57609)))))))</formula>
    </cfRule>
  </conditionalFormatting>
  <conditionalFormatting sqref="AB334">
    <cfRule type="expression" dxfId="20" priority="15">
      <formula>IF(AA334=1,AB334&lt;19565,IF(AA334=2,AB334&lt;28614,IF(AA334=3,AB334&lt;34411,IF(AA334=4,AB334&lt;40201,IF(AA334=5,AB334&lt;46015,IF(AA334=6,AB334&lt;51812,IF(AA334=7,AB334&lt;57609)))))))</formula>
    </cfRule>
  </conditionalFormatting>
  <conditionalFormatting sqref="AB345">
    <cfRule type="expression" dxfId="19" priority="14">
      <formula>IF(AA345=1,AB345&lt;19565,IF(AA345=2,AB345&lt;28614,IF(AA345=3,AB345&lt;34411,IF(AA345=4,AB345&lt;40201,IF(AA345=5,AB345&lt;46015,IF(AA345=6,AB345&lt;51812,IF(AA345=7,AB345&lt;57609)))))))</formula>
    </cfRule>
  </conditionalFormatting>
  <conditionalFormatting sqref="AB385">
    <cfRule type="expression" dxfId="18" priority="13">
      <formula>IF(AA385=1,AB385&lt;19565,IF(AA385=2,AB385&lt;28614,IF(AA385=3,AB385&lt;34411,IF(AA385=4,AB385&lt;40201,IF(AA385=5,AB385&lt;46015,IF(AA385=6,AB385&lt;51812,IF(AA385=7,AB385&lt;57609)))))))</formula>
    </cfRule>
  </conditionalFormatting>
  <conditionalFormatting sqref="AB418">
    <cfRule type="expression" dxfId="17" priority="12">
      <formula>IF(AA418=1,AB418&lt;19565,IF(AA418=2,AB418&lt;28614,IF(AA418=3,AB418&lt;34411,IF(AA418=4,AB418&lt;40201,IF(AA418=5,AB418&lt;46015,IF(AA418=6,AB418&lt;51812,IF(AA418=7,AB418&lt;57609)))))))</formula>
    </cfRule>
  </conditionalFormatting>
  <conditionalFormatting sqref="AB450">
    <cfRule type="expression" dxfId="16" priority="11">
      <formula>IF(AA450=1,AB450&lt;19565,IF(AA450=2,AB450&lt;28614,IF(AA450=3,AB450&lt;34411,IF(AA450=4,AB450&lt;40201,IF(AA450=5,AB450&lt;46015,IF(AA450=6,AB450&lt;51812,IF(AA450=7,AB450&lt;57609)))))))</formula>
    </cfRule>
  </conditionalFormatting>
  <conditionalFormatting sqref="AB452">
    <cfRule type="expression" dxfId="15" priority="10">
      <formula>IF(AA452=1,AB452&lt;19565,IF(AA452=2,AB452&lt;28614,IF(AA452=3,AB452&lt;34411,IF(AA452=4,AB452&lt;40201,IF(AA452=5,AB452&lt;46015,IF(AA452=6,AB452&lt;51812,IF(AA452=7,AB452&lt;57609)))))))</formula>
    </cfRule>
  </conditionalFormatting>
  <conditionalFormatting sqref="AB461:AB462">
    <cfRule type="expression" dxfId="14" priority="9">
      <formula>IF(AA461=1,AB461&lt;19565,IF(AA461=2,AB461&lt;28614,IF(AA461=3,AB461&lt;34411,IF(AA461=4,AB461&lt;40201,IF(AA461=5,AB461&lt;46015,IF(AA461=6,AB461&lt;51812,IF(AA461=7,AB461&lt;57609)))))))</formula>
    </cfRule>
  </conditionalFormatting>
  <conditionalFormatting sqref="AB469">
    <cfRule type="expression" dxfId="13" priority="8">
      <formula>IF(AA469=1,AB469&lt;19565,IF(AA469=2,AB469&lt;28614,IF(AA469=3,AB469&lt;34411,IF(AA469=4,AB469&lt;40201,IF(AA469=5,AB469&lt;46015,IF(AA469=6,AB469&lt;51812,IF(AA469=7,AB469&lt;57609)))))))</formula>
    </cfRule>
  </conditionalFormatting>
  <conditionalFormatting sqref="AB472">
    <cfRule type="expression" dxfId="12" priority="7">
      <formula>IF(AA472=1,AB472&lt;19565,IF(AA472=2,AB472&lt;28614,IF(AA472=3,AB472&lt;34411,IF(AA472=4,AB472&lt;40201,IF(AA472=5,AB472&lt;46015,IF(AA472=6,AB472&lt;51812,IF(AA472=7,AB472&lt;57609)))))))</formula>
    </cfRule>
  </conditionalFormatting>
  <conditionalFormatting sqref="AB489">
    <cfRule type="expression" dxfId="11" priority="6">
      <formula>IF(AA489=1,AB489&lt;19565,IF(AA489=2,AB489&lt;28614,IF(AA489=3,AB489&lt;34411,IF(AA489=4,AB489&lt;40201,IF(AA489=5,AB489&lt;46015,IF(AA489=6,AB489&lt;51812,IF(AA489=7,AB489&lt;57609)))))))</formula>
    </cfRule>
  </conditionalFormatting>
  <conditionalFormatting sqref="AB494">
    <cfRule type="expression" dxfId="10" priority="5">
      <formula>IF(AA494=1,AB494&lt;19565,IF(AA494=2,AB494&lt;28614,IF(AA494=3,AB494&lt;34411,IF(AA494=4,AB494&lt;40201,IF(AA494=5,AB494&lt;46015,IF(AA494=6,AB494&lt;51812,IF(AA494=7,AB494&lt;57609)))))))</formula>
    </cfRule>
  </conditionalFormatting>
  <conditionalFormatting sqref="AB500">
    <cfRule type="expression" dxfId="9" priority="4">
      <formula>IF(AA500=1,AB500&lt;19565,IF(AA500=2,AB500&lt;28614,IF(AA500=3,AB500&lt;34411,IF(AA500=4,AB500&lt;40201,IF(AA500=5,AB500&lt;46015,IF(AA500=6,AB500&lt;51812,IF(AA500=7,AB500&lt;57609)))))))</formula>
    </cfRule>
  </conditionalFormatting>
  <conditionalFormatting sqref="AB524">
    <cfRule type="expression" dxfId="8" priority="3">
      <formula>IF(AA524=1,AB524&lt;19565,IF(AA524=2,AB524&lt;28614,IF(AA524=3,AB524&lt;34411,IF(AA524=4,AB524&lt;40201,IF(AA524=5,AB524&lt;46015,IF(AA524=6,AB524&lt;51812,IF(AA524=7,AB524&lt;57609)))))))</formula>
    </cfRule>
  </conditionalFormatting>
  <conditionalFormatting sqref="AB275">
    <cfRule type="expression" dxfId="7" priority="2">
      <formula>IF(AA275=1,AB275&lt;19565,IF(AA275=2,AB275&lt;28614,IF(AA275=3,AB275&lt;34411,IF(AA275=4,AB275&lt;40201,IF(AA275=5,AB275&lt;46015,IF(AA275=6,AB275&lt;51812,IF(AA275=7,AB275&lt;57609)))))))</formula>
    </cfRule>
  </conditionalFormatting>
  <conditionalFormatting sqref="AB551:AB571">
    <cfRule type="expression" dxfId="6" priority="1">
      <formula>IF(AA551=1,AB551&lt;19565,IF(AA551=2,AB551&lt;28614,IF(AA551=3,AB551&lt;34411,IF(AA551=4,AB551&lt;40201,IF(AA551=5,AB551&lt;46015,IF(AA551=6,AB551&lt;51812,IF(AA551=7,AB551&lt;57609)))))))</formula>
    </cfRule>
  </conditionalFormatting>
  <conditionalFormatting sqref="AB2">
    <cfRule type="expression" dxfId="5" priority="24">
      <formula>IF(AA2=1,AB2&lt;19074,IF(AA2=2,AB2&lt;27896,IF(AA2=3,AB2&lt;33547,IF(AA2=4,AB2&lt;39192,IF(AA2=5,AB2&lt;44860,IF(AA2=6,AB2&lt;50511,IF(AA2=7,AB2&lt;56162)))))))</formula>
    </cfRule>
  </conditionalFormatting>
  <hyperlinks>
    <hyperlink ref="AV2" r:id="rId1"/>
    <hyperlink ref="AV3" r:id="rId2"/>
    <hyperlink ref="AS4" r:id="rId3"/>
    <hyperlink ref="AV4" r:id="rId4"/>
    <hyperlink ref="AS5" r:id="rId5"/>
    <hyperlink ref="AV5" r:id="rId6"/>
    <hyperlink ref="AV6" r:id="rId7"/>
    <hyperlink ref="AS7" r:id="rId8"/>
    <hyperlink ref="AV7" r:id="rId9"/>
    <hyperlink ref="AS8" r:id="rId10"/>
    <hyperlink ref="AV8" r:id="rId11"/>
    <hyperlink ref="AV9" r:id="rId12"/>
    <hyperlink ref="AV10" r:id="rId13"/>
    <hyperlink ref="AS11" r:id="rId14"/>
    <hyperlink ref="AV11" r:id="rId15"/>
    <hyperlink ref="AS12" r:id="rId16"/>
    <hyperlink ref="AV12" r:id="rId17"/>
    <hyperlink ref="AS13" r:id="rId18"/>
    <hyperlink ref="AV13" r:id="rId19"/>
    <hyperlink ref="AS14" r:id="rId20"/>
    <hyperlink ref="AV14" r:id="rId21"/>
    <hyperlink ref="AS15" r:id="rId22"/>
    <hyperlink ref="AV15" r:id="rId23"/>
    <hyperlink ref="AS16" r:id="rId24"/>
    <hyperlink ref="AV16" r:id="rId25"/>
    <hyperlink ref="AS17" r:id="rId26"/>
    <hyperlink ref="AV17" r:id="rId27"/>
    <hyperlink ref="AV18" r:id="rId28"/>
    <hyperlink ref="AV19" r:id="rId29"/>
    <hyperlink ref="AV20" r:id="rId30"/>
    <hyperlink ref="AS21" r:id="rId31"/>
    <hyperlink ref="AV21" r:id="rId32"/>
    <hyperlink ref="AV22" r:id="rId33"/>
    <hyperlink ref="AV23" r:id="rId34"/>
    <hyperlink ref="AS24" r:id="rId35"/>
    <hyperlink ref="AV24" r:id="rId36"/>
    <hyperlink ref="AS25" r:id="rId37"/>
    <hyperlink ref="AV25" r:id="rId38"/>
    <hyperlink ref="AS26" r:id="rId39"/>
    <hyperlink ref="AV26" r:id="rId40"/>
    <hyperlink ref="AS27" r:id="rId41"/>
    <hyperlink ref="AV27" r:id="rId42"/>
    <hyperlink ref="AS28" r:id="rId43"/>
    <hyperlink ref="AV28" r:id="rId44"/>
    <hyperlink ref="AS29" r:id="rId45"/>
    <hyperlink ref="AV29" r:id="rId46"/>
    <hyperlink ref="AS30" r:id="rId47"/>
    <hyperlink ref="AV30" r:id="rId48"/>
    <hyperlink ref="AS31" r:id="rId49"/>
    <hyperlink ref="AV31" r:id="rId50"/>
    <hyperlink ref="AS32" r:id="rId51"/>
    <hyperlink ref="AV32" r:id="rId52"/>
    <hyperlink ref="AS33" r:id="rId53"/>
    <hyperlink ref="AV33" r:id="rId54"/>
    <hyperlink ref="AS34" r:id="rId55"/>
    <hyperlink ref="AV34" r:id="rId56"/>
    <hyperlink ref="AS35" r:id="rId57"/>
    <hyperlink ref="AV35" r:id="rId58"/>
    <hyperlink ref="AS36" r:id="rId59"/>
    <hyperlink ref="AV36" r:id="rId60"/>
    <hyperlink ref="AV37" r:id="rId61"/>
    <hyperlink ref="AS38" r:id="rId62"/>
    <hyperlink ref="AV38" r:id="rId63"/>
    <hyperlink ref="AV39" r:id="rId64"/>
    <hyperlink ref="AS40" r:id="rId65"/>
    <hyperlink ref="AV40" r:id="rId66"/>
    <hyperlink ref="AS41" r:id="rId67"/>
    <hyperlink ref="AV41" r:id="rId68"/>
    <hyperlink ref="AV42" r:id="rId69"/>
    <hyperlink ref="AV43" r:id="rId70"/>
    <hyperlink ref="AS44" r:id="rId71"/>
    <hyperlink ref="AV44" r:id="rId72"/>
    <hyperlink ref="AV45" r:id="rId73"/>
    <hyperlink ref="AS46" r:id="rId74"/>
    <hyperlink ref="AV46" r:id="rId75"/>
    <hyperlink ref="AS47" r:id="rId76"/>
    <hyperlink ref="AV47" r:id="rId77"/>
    <hyperlink ref="AV48" r:id="rId78"/>
    <hyperlink ref="AS49" r:id="rId79"/>
    <hyperlink ref="AV49" r:id="rId80"/>
    <hyperlink ref="AS50" r:id="rId81"/>
    <hyperlink ref="AV50" r:id="rId82"/>
    <hyperlink ref="AV51" r:id="rId83"/>
    <hyperlink ref="AS52" r:id="rId84"/>
    <hyperlink ref="AV52" r:id="rId85"/>
    <hyperlink ref="AS53" r:id="rId86"/>
    <hyperlink ref="AV53" r:id="rId87"/>
    <hyperlink ref="AS54" r:id="rId88"/>
    <hyperlink ref="AV54" r:id="rId89"/>
    <hyperlink ref="AS55" r:id="rId90"/>
    <hyperlink ref="AV55" r:id="rId91"/>
    <hyperlink ref="AS56" r:id="rId92"/>
    <hyperlink ref="AV56" r:id="rId93"/>
    <hyperlink ref="AS57" r:id="rId94"/>
    <hyperlink ref="AV57" r:id="rId95"/>
    <hyperlink ref="AV58" r:id="rId96"/>
    <hyperlink ref="AS59" r:id="rId97"/>
    <hyperlink ref="AV59" r:id="rId98"/>
    <hyperlink ref="AS60" r:id="rId99"/>
    <hyperlink ref="AV60" r:id="rId100"/>
    <hyperlink ref="AS61" r:id="rId101"/>
    <hyperlink ref="AV61" r:id="rId102"/>
    <hyperlink ref="AS62" r:id="rId103"/>
    <hyperlink ref="AV62" r:id="rId104"/>
    <hyperlink ref="AV63" r:id="rId105"/>
    <hyperlink ref="AS64" r:id="rId106"/>
    <hyperlink ref="AV64" r:id="rId107"/>
    <hyperlink ref="AS65" r:id="rId108"/>
    <hyperlink ref="AV65" r:id="rId109"/>
    <hyperlink ref="AV66" r:id="rId110"/>
    <hyperlink ref="AS67" r:id="rId111"/>
    <hyperlink ref="AV67" r:id="rId112"/>
    <hyperlink ref="AS68" r:id="rId113"/>
    <hyperlink ref="AV68" r:id="rId114"/>
    <hyperlink ref="AS69" r:id="rId115"/>
    <hyperlink ref="AV69" r:id="rId116"/>
    <hyperlink ref="AS70" r:id="rId117"/>
    <hyperlink ref="AV70" r:id="rId118"/>
    <hyperlink ref="AS71" r:id="rId119"/>
    <hyperlink ref="AV71" r:id="rId120"/>
    <hyperlink ref="AV72" r:id="rId121"/>
    <hyperlink ref="AV73" r:id="rId122"/>
    <hyperlink ref="AS75" r:id="rId123"/>
    <hyperlink ref="AV75" r:id="rId124"/>
    <hyperlink ref="AV76" r:id="rId125"/>
    <hyperlink ref="AV77" r:id="rId126"/>
    <hyperlink ref="AS78" r:id="rId127"/>
    <hyperlink ref="AV78" r:id="rId128"/>
    <hyperlink ref="AV79" r:id="rId129"/>
    <hyperlink ref="AS80" r:id="rId130"/>
    <hyperlink ref="AV80" r:id="rId131"/>
    <hyperlink ref="AS81" r:id="rId132"/>
    <hyperlink ref="AV81" r:id="rId133"/>
    <hyperlink ref="AV82" r:id="rId134"/>
    <hyperlink ref="AV84" r:id="rId135"/>
    <hyperlink ref="AS85" r:id="rId136"/>
    <hyperlink ref="AV85" r:id="rId137"/>
    <hyperlink ref="AV86" r:id="rId138"/>
    <hyperlink ref="AV87" r:id="rId139"/>
    <hyperlink ref="AS88" r:id="rId140"/>
    <hyperlink ref="AV88" r:id="rId141"/>
    <hyperlink ref="AS89" r:id="rId142"/>
    <hyperlink ref="AV89" r:id="rId143"/>
    <hyperlink ref="AS90" r:id="rId144"/>
    <hyperlink ref="AV90" r:id="rId145"/>
    <hyperlink ref="AS91" r:id="rId146"/>
    <hyperlink ref="AV91" r:id="rId147"/>
    <hyperlink ref="AS92" r:id="rId148"/>
    <hyperlink ref="AV92" r:id="rId149"/>
    <hyperlink ref="AS93" r:id="rId150"/>
    <hyperlink ref="AV93" r:id="rId151"/>
    <hyperlink ref="AS94" r:id="rId152"/>
    <hyperlink ref="AV94" r:id="rId153"/>
    <hyperlink ref="AV95" r:id="rId154"/>
    <hyperlink ref="AS96" r:id="rId155"/>
    <hyperlink ref="AV96" r:id="rId156"/>
    <hyperlink ref="AV97" r:id="rId157"/>
    <hyperlink ref="AS98" r:id="rId158"/>
    <hyperlink ref="AV98" r:id="rId159"/>
    <hyperlink ref="AS99" r:id="rId160"/>
    <hyperlink ref="AV99" r:id="rId161"/>
    <hyperlink ref="AS100" r:id="rId162"/>
    <hyperlink ref="AV100" r:id="rId163"/>
    <hyperlink ref="AS101" r:id="rId164"/>
    <hyperlink ref="AV101" r:id="rId165"/>
    <hyperlink ref="AS102" r:id="rId166"/>
    <hyperlink ref="AV102" r:id="rId167"/>
    <hyperlink ref="AS103" r:id="rId168"/>
    <hyperlink ref="AV103" r:id="rId169"/>
    <hyperlink ref="AV104" r:id="rId170"/>
    <hyperlink ref="AS105" r:id="rId171"/>
    <hyperlink ref="AV105" r:id="rId172"/>
    <hyperlink ref="AV106" r:id="rId173"/>
    <hyperlink ref="AS107" r:id="rId174"/>
    <hyperlink ref="AV107" r:id="rId175"/>
    <hyperlink ref="AS108" r:id="rId176"/>
    <hyperlink ref="AV108" r:id="rId177"/>
    <hyperlink ref="AS109" r:id="rId178"/>
    <hyperlink ref="AV109" r:id="rId179"/>
    <hyperlink ref="AV110" r:id="rId180"/>
    <hyperlink ref="AS111" r:id="rId181"/>
    <hyperlink ref="AV111" r:id="rId182"/>
    <hyperlink ref="AS112" r:id="rId183"/>
    <hyperlink ref="AV112" r:id="rId184"/>
    <hyperlink ref="AS113" r:id="rId185"/>
    <hyperlink ref="AV113" r:id="rId186"/>
    <hyperlink ref="AS114" r:id="rId187"/>
    <hyperlink ref="AV114" r:id="rId188"/>
    <hyperlink ref="AS115" r:id="rId189"/>
    <hyperlink ref="AV115" r:id="rId190"/>
    <hyperlink ref="AS116" r:id="rId191"/>
    <hyperlink ref="AV116" r:id="rId192"/>
    <hyperlink ref="AV117" r:id="rId193"/>
    <hyperlink ref="AS118" r:id="rId194"/>
    <hyperlink ref="AV118" r:id="rId195"/>
    <hyperlink ref="AS119" r:id="rId196"/>
    <hyperlink ref="AV119" r:id="rId197"/>
    <hyperlink ref="AS120" r:id="rId198"/>
    <hyperlink ref="AV120" r:id="rId199"/>
    <hyperlink ref="AS121" r:id="rId200"/>
    <hyperlink ref="AV121" r:id="rId201"/>
    <hyperlink ref="AS122" r:id="rId202"/>
    <hyperlink ref="AV122" r:id="rId203"/>
    <hyperlink ref="AV123" r:id="rId204"/>
    <hyperlink ref="AS124" r:id="rId205"/>
    <hyperlink ref="AV124" r:id="rId206"/>
    <hyperlink ref="AS125" r:id="rId207"/>
    <hyperlink ref="AV125" r:id="rId208"/>
    <hyperlink ref="AV126" r:id="rId209"/>
    <hyperlink ref="AV127" r:id="rId210"/>
    <hyperlink ref="AS128" r:id="rId211"/>
    <hyperlink ref="AV128" r:id="rId212"/>
    <hyperlink ref="AS129" r:id="rId213"/>
    <hyperlink ref="AV129" r:id="rId214"/>
    <hyperlink ref="AS130" r:id="rId215"/>
    <hyperlink ref="AV130" r:id="rId216"/>
    <hyperlink ref="AS131" r:id="rId217"/>
    <hyperlink ref="AV131" r:id="rId218"/>
    <hyperlink ref="AV132" r:id="rId219"/>
    <hyperlink ref="AS133" r:id="rId220"/>
    <hyperlink ref="AV133" r:id="rId221"/>
    <hyperlink ref="AV134" r:id="rId222"/>
    <hyperlink ref="AV135" r:id="rId223"/>
    <hyperlink ref="AS136" r:id="rId224"/>
    <hyperlink ref="AV136" r:id="rId225"/>
    <hyperlink ref="AS137" r:id="rId226"/>
    <hyperlink ref="AV137" r:id="rId227"/>
    <hyperlink ref="AV138" r:id="rId228"/>
    <hyperlink ref="AS139" r:id="rId229"/>
    <hyperlink ref="AV139" r:id="rId230"/>
    <hyperlink ref="AV140" r:id="rId231"/>
    <hyperlink ref="AS141" r:id="rId232"/>
    <hyperlink ref="AV141" r:id="rId233"/>
    <hyperlink ref="AS142" r:id="rId234"/>
    <hyperlink ref="AV142" r:id="rId235"/>
    <hyperlink ref="AS143" r:id="rId236"/>
    <hyperlink ref="AV143" r:id="rId237"/>
    <hyperlink ref="AV144" r:id="rId238"/>
    <hyperlink ref="AS145" r:id="rId239"/>
    <hyperlink ref="AV145" r:id="rId240"/>
    <hyperlink ref="AS146" r:id="rId241"/>
    <hyperlink ref="AV146" r:id="rId242"/>
    <hyperlink ref="AS147" r:id="rId243"/>
    <hyperlink ref="AV147" r:id="rId244"/>
    <hyperlink ref="AV148" r:id="rId245"/>
    <hyperlink ref="AS149" r:id="rId246"/>
    <hyperlink ref="AV149" r:id="rId247"/>
    <hyperlink ref="AS150" r:id="rId248"/>
    <hyperlink ref="AV150" r:id="rId249"/>
    <hyperlink ref="AS151" r:id="rId250"/>
    <hyperlink ref="AV151" r:id="rId251"/>
    <hyperlink ref="AV152" r:id="rId252"/>
    <hyperlink ref="AS153" r:id="rId253"/>
    <hyperlink ref="AV153" r:id="rId254"/>
    <hyperlink ref="AS154" r:id="rId255"/>
    <hyperlink ref="AV154" r:id="rId256"/>
    <hyperlink ref="AS155" r:id="rId257"/>
    <hyperlink ref="AV155" r:id="rId258"/>
    <hyperlink ref="AS156" r:id="rId259"/>
    <hyperlink ref="AV156" r:id="rId260"/>
    <hyperlink ref="AV157" r:id="rId261"/>
    <hyperlink ref="AS158" r:id="rId262"/>
    <hyperlink ref="AV158" r:id="rId263"/>
    <hyperlink ref="AS159" r:id="rId264"/>
    <hyperlink ref="AV159" r:id="rId265"/>
    <hyperlink ref="AS160" r:id="rId266"/>
    <hyperlink ref="AV160" r:id="rId267"/>
    <hyperlink ref="AS161" r:id="rId268"/>
    <hyperlink ref="AV161" r:id="rId269"/>
    <hyperlink ref="AS162" r:id="rId270"/>
    <hyperlink ref="AV162" r:id="rId271"/>
    <hyperlink ref="AS163" r:id="rId272"/>
    <hyperlink ref="AV163" r:id="rId273"/>
    <hyperlink ref="AS164" r:id="rId274"/>
    <hyperlink ref="AV164" r:id="rId275"/>
    <hyperlink ref="AS165" r:id="rId276"/>
    <hyperlink ref="AV165" r:id="rId277"/>
    <hyperlink ref="AV166" r:id="rId278"/>
    <hyperlink ref="AS167" r:id="rId279"/>
    <hyperlink ref="AV167" r:id="rId280"/>
    <hyperlink ref="AS168" r:id="rId281"/>
    <hyperlink ref="AV168" r:id="rId282"/>
    <hyperlink ref="AS169" r:id="rId283"/>
    <hyperlink ref="AV169" r:id="rId284"/>
    <hyperlink ref="AS170" r:id="rId285"/>
    <hyperlink ref="AV170" r:id="rId286"/>
    <hyperlink ref="AS171" r:id="rId287"/>
    <hyperlink ref="AV171" r:id="rId288"/>
    <hyperlink ref="AS172" r:id="rId289"/>
    <hyperlink ref="AV172" r:id="rId290"/>
    <hyperlink ref="AS173" r:id="rId291"/>
    <hyperlink ref="AV173" r:id="rId292"/>
    <hyperlink ref="AS174" r:id="rId293"/>
    <hyperlink ref="AV174" r:id="rId294"/>
    <hyperlink ref="AV175" r:id="rId295"/>
    <hyperlink ref="AS176" r:id="rId296"/>
    <hyperlink ref="AV176" r:id="rId297"/>
    <hyperlink ref="AS177" r:id="rId298"/>
    <hyperlink ref="AV177" r:id="rId299"/>
    <hyperlink ref="AS178" r:id="rId300"/>
    <hyperlink ref="AV178" r:id="rId301"/>
    <hyperlink ref="AS179" r:id="rId302"/>
    <hyperlink ref="AV179" r:id="rId303"/>
    <hyperlink ref="AV180" r:id="rId304"/>
    <hyperlink ref="AS181" r:id="rId305"/>
    <hyperlink ref="AV181" r:id="rId306"/>
    <hyperlink ref="AV182" r:id="rId307"/>
    <hyperlink ref="AS183" r:id="rId308"/>
    <hyperlink ref="AV183" r:id="rId309"/>
    <hyperlink ref="AS184" r:id="rId310"/>
    <hyperlink ref="AV184" r:id="rId311"/>
    <hyperlink ref="AV185" r:id="rId312"/>
    <hyperlink ref="AS186" r:id="rId313"/>
    <hyperlink ref="AV186" r:id="rId314"/>
    <hyperlink ref="AV187" r:id="rId315"/>
    <hyperlink ref="AS188" r:id="rId316"/>
    <hyperlink ref="AV188" r:id="rId317"/>
    <hyperlink ref="AS189" r:id="rId318"/>
    <hyperlink ref="AV189" r:id="rId319"/>
    <hyperlink ref="AV190" r:id="rId320"/>
    <hyperlink ref="AS191" r:id="rId321"/>
    <hyperlink ref="AV191" r:id="rId322"/>
    <hyperlink ref="AV192" r:id="rId323"/>
    <hyperlink ref="AS193" r:id="rId324"/>
    <hyperlink ref="AV193" r:id="rId325"/>
    <hyperlink ref="AS194" r:id="rId326"/>
    <hyperlink ref="AV194" r:id="rId327"/>
    <hyperlink ref="AS195" r:id="rId328"/>
    <hyperlink ref="AV195" r:id="rId329"/>
    <hyperlink ref="AS196" r:id="rId330"/>
    <hyperlink ref="AV196" r:id="rId331"/>
    <hyperlink ref="AV197" r:id="rId332"/>
    <hyperlink ref="AS198" r:id="rId333"/>
    <hyperlink ref="AV198" r:id="rId334"/>
    <hyperlink ref="AV199" r:id="rId335"/>
    <hyperlink ref="AS200" r:id="rId336"/>
    <hyperlink ref="AV200" r:id="rId337"/>
    <hyperlink ref="AS201" r:id="rId338"/>
    <hyperlink ref="AV201" r:id="rId339"/>
    <hyperlink ref="AS202" r:id="rId340"/>
    <hyperlink ref="AV202" r:id="rId341"/>
    <hyperlink ref="AS203" r:id="rId342"/>
    <hyperlink ref="AV203" r:id="rId343"/>
    <hyperlink ref="AS204" r:id="rId344"/>
    <hyperlink ref="AV204" r:id="rId345"/>
    <hyperlink ref="AV205" r:id="rId346"/>
    <hyperlink ref="AV206" r:id="rId347"/>
    <hyperlink ref="AS207" r:id="rId348"/>
    <hyperlink ref="AV207" r:id="rId349"/>
    <hyperlink ref="AV208" r:id="rId350"/>
    <hyperlink ref="AV209" r:id="rId351"/>
    <hyperlink ref="AS210" r:id="rId352"/>
    <hyperlink ref="AV210" r:id="rId353"/>
    <hyperlink ref="AS211" r:id="rId354"/>
    <hyperlink ref="AV211" r:id="rId355"/>
    <hyperlink ref="AS212" r:id="rId356"/>
    <hyperlink ref="AV212" r:id="rId357"/>
    <hyperlink ref="AS213" r:id="rId358"/>
    <hyperlink ref="AV213" r:id="rId359"/>
    <hyperlink ref="AV214" r:id="rId360"/>
    <hyperlink ref="AS215" r:id="rId361"/>
    <hyperlink ref="AV215" r:id="rId362"/>
    <hyperlink ref="AS216" r:id="rId363"/>
    <hyperlink ref="AV216" r:id="rId364"/>
    <hyperlink ref="AV217" r:id="rId365"/>
    <hyperlink ref="AS218" r:id="rId366"/>
    <hyperlink ref="AV218" r:id="rId367"/>
    <hyperlink ref="AS219" r:id="rId368"/>
    <hyperlink ref="AV219" r:id="rId369"/>
    <hyperlink ref="AS220" r:id="rId370"/>
    <hyperlink ref="AV220" r:id="rId371"/>
    <hyperlink ref="AS221" r:id="rId372"/>
    <hyperlink ref="AV221" r:id="rId373"/>
    <hyperlink ref="AS222" r:id="rId374"/>
    <hyperlink ref="AV222" r:id="rId375"/>
    <hyperlink ref="AV223" r:id="rId376"/>
    <hyperlink ref="AS224" r:id="rId377"/>
    <hyperlink ref="AV224" r:id="rId378"/>
    <hyperlink ref="AS225" r:id="rId379"/>
    <hyperlink ref="AV225" r:id="rId380"/>
    <hyperlink ref="AS226" r:id="rId381"/>
    <hyperlink ref="AV226" r:id="rId382"/>
    <hyperlink ref="AS227" r:id="rId383"/>
    <hyperlink ref="AV227" r:id="rId384"/>
    <hyperlink ref="AS228" r:id="rId385"/>
    <hyperlink ref="AV228" r:id="rId386"/>
    <hyperlink ref="AS229" r:id="rId387"/>
    <hyperlink ref="AV229" r:id="rId388"/>
    <hyperlink ref="AV230" r:id="rId389"/>
    <hyperlink ref="AV231" r:id="rId390"/>
    <hyperlink ref="AS232" r:id="rId391"/>
    <hyperlink ref="AV232" r:id="rId392"/>
    <hyperlink ref="AS233" r:id="rId393"/>
    <hyperlink ref="AV233" r:id="rId394"/>
    <hyperlink ref="AV234" r:id="rId395"/>
    <hyperlink ref="AS235" r:id="rId396"/>
    <hyperlink ref="AV235" r:id="rId397"/>
    <hyperlink ref="AV236" r:id="rId398"/>
    <hyperlink ref="AV237" r:id="rId399"/>
    <hyperlink ref="AS238" r:id="rId400"/>
    <hyperlink ref="AV238" r:id="rId401"/>
    <hyperlink ref="AS239" r:id="rId402"/>
    <hyperlink ref="AV239" r:id="rId403"/>
    <hyperlink ref="AV240" r:id="rId404"/>
    <hyperlink ref="AS241" r:id="rId405"/>
    <hyperlink ref="AV241" r:id="rId406"/>
    <hyperlink ref="AV242" r:id="rId407"/>
    <hyperlink ref="AV243" r:id="rId408"/>
    <hyperlink ref="AV244" r:id="rId409"/>
    <hyperlink ref="AS245" r:id="rId410"/>
    <hyperlink ref="AV245" r:id="rId411"/>
    <hyperlink ref="AS246" r:id="rId412"/>
    <hyperlink ref="AV246" r:id="rId413"/>
    <hyperlink ref="AV247" r:id="rId414"/>
    <hyperlink ref="AS248" r:id="rId415"/>
    <hyperlink ref="AV248" r:id="rId416"/>
    <hyperlink ref="AS249" r:id="rId417"/>
    <hyperlink ref="AV249" r:id="rId418"/>
    <hyperlink ref="AV250" r:id="rId419"/>
    <hyperlink ref="AS251" r:id="rId420"/>
    <hyperlink ref="AV251" r:id="rId421"/>
    <hyperlink ref="AS252" r:id="rId422"/>
    <hyperlink ref="AV252" r:id="rId423"/>
    <hyperlink ref="AS253" r:id="rId424"/>
    <hyperlink ref="AV253" r:id="rId425"/>
    <hyperlink ref="AS254" r:id="rId426"/>
    <hyperlink ref="AV254" r:id="rId427"/>
    <hyperlink ref="AS255" r:id="rId428"/>
    <hyperlink ref="AV255" r:id="rId429"/>
    <hyperlink ref="AS256" r:id="rId430"/>
    <hyperlink ref="AV256" r:id="rId431"/>
    <hyperlink ref="AS257" r:id="rId432"/>
    <hyperlink ref="AV257" r:id="rId433"/>
    <hyperlink ref="AS258" r:id="rId434"/>
    <hyperlink ref="AV258" r:id="rId435"/>
    <hyperlink ref="AV259" r:id="rId436"/>
    <hyperlink ref="AV260" r:id="rId437"/>
    <hyperlink ref="AS261" r:id="rId438"/>
    <hyperlink ref="AV261" r:id="rId439"/>
    <hyperlink ref="AS262" r:id="rId440"/>
    <hyperlink ref="AV262" r:id="rId441"/>
    <hyperlink ref="AS263" r:id="rId442"/>
    <hyperlink ref="AV263" r:id="rId443"/>
    <hyperlink ref="AS264" r:id="rId444"/>
    <hyperlink ref="AV264" r:id="rId445"/>
    <hyperlink ref="AV265" r:id="rId446"/>
    <hyperlink ref="AS266" r:id="rId447"/>
    <hyperlink ref="AV266" r:id="rId448"/>
    <hyperlink ref="AS267" r:id="rId449"/>
    <hyperlink ref="AV267" r:id="rId450"/>
    <hyperlink ref="AS268" r:id="rId451"/>
    <hyperlink ref="AV268" r:id="rId452"/>
    <hyperlink ref="AS269" r:id="rId453"/>
    <hyperlink ref="AV269" r:id="rId454"/>
    <hyperlink ref="AS270" r:id="rId455"/>
    <hyperlink ref="AV270" r:id="rId456"/>
    <hyperlink ref="AV271" r:id="rId457"/>
    <hyperlink ref="AS272" r:id="rId458"/>
    <hyperlink ref="AV272" r:id="rId459"/>
    <hyperlink ref="AS273" r:id="rId460"/>
    <hyperlink ref="AV273" r:id="rId461"/>
    <hyperlink ref="AS274" r:id="rId462"/>
    <hyperlink ref="AV274" r:id="rId463"/>
    <hyperlink ref="AH276" r:id="rId464"/>
    <hyperlink ref="AS276" r:id="rId465"/>
    <hyperlink ref="AV276" r:id="rId466"/>
    <hyperlink ref="AS277" r:id="rId467"/>
    <hyperlink ref="AV277" r:id="rId468"/>
    <hyperlink ref="AS278" r:id="rId469"/>
    <hyperlink ref="AV278" r:id="rId470"/>
    <hyperlink ref="AS279" r:id="rId471"/>
    <hyperlink ref="AV279" r:id="rId472"/>
    <hyperlink ref="AS280" r:id="rId473"/>
    <hyperlink ref="AV280" r:id="rId474"/>
    <hyperlink ref="AV281" r:id="rId475"/>
    <hyperlink ref="AV282" r:id="rId476"/>
    <hyperlink ref="AS283" r:id="rId477"/>
    <hyperlink ref="AV283" r:id="rId478"/>
    <hyperlink ref="AV284" r:id="rId479"/>
    <hyperlink ref="AS285" r:id="rId480"/>
    <hyperlink ref="AV285" r:id="rId481"/>
    <hyperlink ref="AV286" r:id="rId482"/>
    <hyperlink ref="AS287" r:id="rId483"/>
    <hyperlink ref="AV287" r:id="rId484"/>
    <hyperlink ref="AS288" r:id="rId485"/>
    <hyperlink ref="AV288" r:id="rId486"/>
    <hyperlink ref="AV289" r:id="rId487"/>
    <hyperlink ref="AS290" r:id="rId488"/>
    <hyperlink ref="AV290" r:id="rId489"/>
    <hyperlink ref="AV291" r:id="rId490"/>
    <hyperlink ref="AV292" r:id="rId491"/>
    <hyperlink ref="AS293" r:id="rId492"/>
    <hyperlink ref="AV293" r:id="rId493"/>
    <hyperlink ref="AS294" r:id="rId494"/>
    <hyperlink ref="AV294" r:id="rId495"/>
    <hyperlink ref="AS295" r:id="rId496"/>
    <hyperlink ref="AV295" r:id="rId497"/>
    <hyperlink ref="AS296" r:id="rId498"/>
    <hyperlink ref="AV296" r:id="rId499"/>
    <hyperlink ref="AS298" r:id="rId500"/>
    <hyperlink ref="AV298" r:id="rId501"/>
    <hyperlink ref="AV299" r:id="rId502"/>
    <hyperlink ref="AV300" r:id="rId503"/>
    <hyperlink ref="AS301" r:id="rId504"/>
    <hyperlink ref="AV301" r:id="rId505"/>
    <hyperlink ref="AV302" r:id="rId506"/>
    <hyperlink ref="AS303" r:id="rId507"/>
    <hyperlink ref="AV303" r:id="rId508"/>
    <hyperlink ref="AS304" r:id="rId509"/>
    <hyperlink ref="AV304" r:id="rId510"/>
    <hyperlink ref="AS305" r:id="rId511"/>
    <hyperlink ref="AV305" r:id="rId512"/>
    <hyperlink ref="AS306" r:id="rId513"/>
    <hyperlink ref="AV306" r:id="rId514"/>
    <hyperlink ref="AS307" r:id="rId515"/>
    <hyperlink ref="AV307" r:id="rId516"/>
    <hyperlink ref="AS308" r:id="rId517"/>
    <hyperlink ref="AV308" r:id="rId518"/>
    <hyperlink ref="AS309" r:id="rId519"/>
    <hyperlink ref="AS310" r:id="rId520"/>
    <hyperlink ref="AV310" r:id="rId521"/>
    <hyperlink ref="AS311" r:id="rId522"/>
    <hyperlink ref="AV311" r:id="rId523"/>
    <hyperlink ref="AS312" r:id="rId524"/>
    <hyperlink ref="AV312" r:id="rId525"/>
    <hyperlink ref="AS313" r:id="rId526"/>
    <hyperlink ref="AV313" r:id="rId527"/>
    <hyperlink ref="AS314" r:id="rId528"/>
    <hyperlink ref="AV314" r:id="rId529"/>
    <hyperlink ref="AS315" r:id="rId530"/>
    <hyperlink ref="AV315" r:id="rId531"/>
    <hyperlink ref="AS316" r:id="rId532"/>
    <hyperlink ref="AV316" r:id="rId533"/>
    <hyperlink ref="AS317" r:id="rId534"/>
    <hyperlink ref="AV317" r:id="rId535"/>
    <hyperlink ref="AS318" r:id="rId536"/>
    <hyperlink ref="AS319" r:id="rId537"/>
    <hyperlink ref="AV319" r:id="rId538"/>
    <hyperlink ref="AV320" r:id="rId539"/>
    <hyperlink ref="AS321" r:id="rId540"/>
    <hyperlink ref="AV321" r:id="rId541"/>
    <hyperlink ref="AS322" r:id="rId542"/>
    <hyperlink ref="AV322" r:id="rId543"/>
    <hyperlink ref="AS324" r:id="rId544"/>
    <hyperlink ref="AV324" r:id="rId545"/>
    <hyperlink ref="AS325" r:id="rId546"/>
    <hyperlink ref="AV325" r:id="rId547"/>
    <hyperlink ref="AS326" r:id="rId548"/>
    <hyperlink ref="AV326" r:id="rId549"/>
    <hyperlink ref="AS327" r:id="rId550"/>
    <hyperlink ref="AV327" r:id="rId551"/>
    <hyperlink ref="AS329" r:id="rId552"/>
    <hyperlink ref="AV329" r:id="rId553"/>
    <hyperlink ref="AS330" r:id="rId554"/>
    <hyperlink ref="AV330" r:id="rId555"/>
    <hyperlink ref="AS331" r:id="rId556"/>
    <hyperlink ref="AV331" r:id="rId557"/>
    <hyperlink ref="AV332" r:id="rId558"/>
    <hyperlink ref="AH335" r:id="rId559"/>
    <hyperlink ref="AH336" r:id="rId560"/>
    <hyperlink ref="AS336" r:id="rId561"/>
    <hyperlink ref="AV336" r:id="rId562"/>
    <hyperlink ref="AH337" r:id="rId563"/>
    <hyperlink ref="AS337" r:id="rId564"/>
    <hyperlink ref="AV337" r:id="rId565"/>
    <hyperlink ref="AH338" r:id="rId566"/>
    <hyperlink ref="AS338" r:id="rId567"/>
    <hyperlink ref="AV338" r:id="rId568"/>
    <hyperlink ref="AH339" r:id="rId569"/>
    <hyperlink ref="AS339" r:id="rId570"/>
    <hyperlink ref="AV339" r:id="rId571"/>
    <hyperlink ref="AH340" r:id="rId572"/>
    <hyperlink ref="AS340" r:id="rId573"/>
    <hyperlink ref="AV340" r:id="rId574"/>
    <hyperlink ref="AH341" r:id="rId575"/>
    <hyperlink ref="AH342" r:id="rId576"/>
    <hyperlink ref="AS342" r:id="rId577"/>
    <hyperlink ref="AV342" r:id="rId578"/>
    <hyperlink ref="AH343" r:id="rId579"/>
    <hyperlink ref="AS344" r:id="rId580"/>
    <hyperlink ref="AV344" r:id="rId581"/>
    <hyperlink ref="AH346" r:id="rId582"/>
    <hyperlink ref="AS346" r:id="rId583"/>
    <hyperlink ref="AV346" r:id="rId584"/>
    <hyperlink ref="AH347" r:id="rId585"/>
    <hyperlink ref="AS347" r:id="rId586"/>
    <hyperlink ref="AV347" r:id="rId587"/>
    <hyperlink ref="AH348" r:id="rId588"/>
    <hyperlink ref="AS348" r:id="rId589"/>
    <hyperlink ref="AH349" r:id="rId590"/>
    <hyperlink ref="AS349" r:id="rId591"/>
    <hyperlink ref="AV349" r:id="rId592"/>
    <hyperlink ref="AH350" r:id="rId593"/>
    <hyperlink ref="AS350" r:id="rId594"/>
    <hyperlink ref="AV350" r:id="rId595"/>
    <hyperlink ref="AH351" r:id="rId596"/>
    <hyperlink ref="AS351" r:id="rId597"/>
    <hyperlink ref="AV351" r:id="rId598"/>
    <hyperlink ref="AH352" r:id="rId599"/>
    <hyperlink ref="AV352" r:id="rId600"/>
    <hyperlink ref="AH353" r:id="rId601"/>
    <hyperlink ref="AS353" r:id="rId602"/>
    <hyperlink ref="AV353" r:id="rId603"/>
    <hyperlink ref="AH354" r:id="rId604"/>
    <hyperlink ref="AH355" r:id="rId605"/>
    <hyperlink ref="AS355" r:id="rId606"/>
    <hyperlink ref="AV355" r:id="rId607"/>
    <hyperlink ref="AH356" r:id="rId608"/>
    <hyperlink ref="AS356" r:id="rId609"/>
    <hyperlink ref="AV356" r:id="rId610"/>
    <hyperlink ref="AH358" r:id="rId611"/>
    <hyperlink ref="AS358" r:id="rId612"/>
    <hyperlink ref="AV358" r:id="rId613"/>
    <hyperlink ref="AH359" r:id="rId614"/>
    <hyperlink ref="AS359" r:id="rId615"/>
    <hyperlink ref="AV359" r:id="rId616"/>
    <hyperlink ref="AH360" r:id="rId617"/>
    <hyperlink ref="AH361" r:id="rId618"/>
    <hyperlink ref="AS361" r:id="rId619"/>
    <hyperlink ref="AV361" r:id="rId620"/>
    <hyperlink ref="AH364" r:id="rId621"/>
    <hyperlink ref="AV364" r:id="rId622"/>
    <hyperlink ref="AS365" r:id="rId623"/>
    <hyperlink ref="AV365" r:id="rId624"/>
    <hyperlink ref="AH366" r:id="rId625"/>
    <hyperlink ref="AS366" r:id="rId626"/>
    <hyperlink ref="AV366" r:id="rId627"/>
    <hyperlink ref="AH367" r:id="rId628"/>
    <hyperlink ref="AS367" r:id="rId629"/>
    <hyperlink ref="AV367" r:id="rId630"/>
    <hyperlink ref="AH368" r:id="rId631"/>
    <hyperlink ref="AS368" r:id="rId632"/>
    <hyperlink ref="AV368" r:id="rId633"/>
    <hyperlink ref="AH369" r:id="rId634"/>
    <hyperlink ref="AS369" r:id="rId635"/>
    <hyperlink ref="AV369" r:id="rId636"/>
    <hyperlink ref="AH370" r:id="rId637"/>
    <hyperlink ref="AS370" r:id="rId638"/>
    <hyperlink ref="AV370" r:id="rId639"/>
    <hyperlink ref="AH371" r:id="rId640"/>
    <hyperlink ref="AS371" r:id="rId641"/>
    <hyperlink ref="AV371" r:id="rId642"/>
    <hyperlink ref="AH372" r:id="rId643"/>
    <hyperlink ref="AS372" r:id="rId644"/>
    <hyperlink ref="AV372" r:id="rId645"/>
    <hyperlink ref="AH373" r:id="rId646"/>
    <hyperlink ref="AV373" r:id="rId647"/>
    <hyperlink ref="AH374" r:id="rId648"/>
    <hyperlink ref="AS374" r:id="rId649"/>
    <hyperlink ref="AV374" r:id="rId650"/>
    <hyperlink ref="AH375" r:id="rId651"/>
    <hyperlink ref="AH376" r:id="rId652"/>
    <hyperlink ref="AS360" r:id="rId653"/>
    <hyperlink ref="AV360" r:id="rId654"/>
    <hyperlink ref="AV377" r:id="rId655"/>
    <hyperlink ref="AH378" r:id="rId656"/>
    <hyperlink ref="AH379" r:id="rId657"/>
    <hyperlink ref="AH380" r:id="rId658"/>
    <hyperlink ref="AV378" r:id="rId659"/>
    <hyperlink ref="AS379" r:id="rId660"/>
    <hyperlink ref="AV379" r:id="rId661"/>
    <hyperlink ref="AS380" r:id="rId662"/>
    <hyperlink ref="AV380" r:id="rId663"/>
    <hyperlink ref="AH382" r:id="rId664"/>
    <hyperlink ref="AV343" r:id="rId665"/>
    <hyperlink ref="AS381" r:id="rId666"/>
    <hyperlink ref="AV381" r:id="rId667"/>
    <hyperlink ref="AV382" r:id="rId668"/>
    <hyperlink ref="AH383" r:id="rId669"/>
    <hyperlink ref="AH384" r:id="rId670"/>
    <hyperlink ref="AS375" r:id="rId671"/>
    <hyperlink ref="AV375" r:id="rId672"/>
    <hyperlink ref="AS376" r:id="rId673"/>
    <hyperlink ref="AV376" r:id="rId674"/>
    <hyperlink ref="AH386" r:id="rId675"/>
    <hyperlink ref="AV383" r:id="rId676"/>
    <hyperlink ref="AV384" r:id="rId677"/>
    <hyperlink ref="AS384" r:id="rId678" display="jeanpierrezeluas@poelesgranules.fr"/>
    <hyperlink ref="AS382" r:id="rId679"/>
    <hyperlink ref="AS386" r:id="rId680"/>
    <hyperlink ref="AV386" r:id="rId681"/>
    <hyperlink ref="AH387" r:id="rId682"/>
    <hyperlink ref="AH388" r:id="rId683"/>
    <hyperlink ref="AH389" r:id="rId684"/>
    <hyperlink ref="AH390" r:id="rId685"/>
    <hyperlink ref="AH391" r:id="rId686"/>
    <hyperlink ref="AH392" r:id="rId687"/>
    <hyperlink ref="AH393" r:id="rId688"/>
    <hyperlink ref="AS387" r:id="rId689"/>
    <hyperlink ref="AV387" r:id="rId690"/>
    <hyperlink ref="AS389" r:id="rId691"/>
    <hyperlink ref="AV389" r:id="rId692"/>
    <hyperlink ref="AS390" r:id="rId693"/>
    <hyperlink ref="AV390" r:id="rId694"/>
    <hyperlink ref="AV391" r:id="rId695"/>
    <hyperlink ref="AS391" r:id="rId696" display="jeanpierrezeluas@poelesgranules.fr"/>
    <hyperlink ref="AH394" r:id="rId697"/>
    <hyperlink ref="AH396" r:id="rId698"/>
    <hyperlink ref="AH397" r:id="rId699"/>
    <hyperlink ref="AH398" r:id="rId700"/>
    <hyperlink ref="AH399" r:id="rId701"/>
    <hyperlink ref="AH400" r:id="rId702"/>
    <hyperlink ref="AH401" r:id="rId703"/>
    <hyperlink ref="AV392" r:id="rId704"/>
    <hyperlink ref="AS393" r:id="rId705"/>
    <hyperlink ref="AV393" r:id="rId706"/>
    <hyperlink ref="AH295" r:id="rId707"/>
    <hyperlink ref="AH402" r:id="rId708"/>
    <hyperlink ref="AH403" r:id="rId709"/>
    <hyperlink ref="AH404" r:id="rId710"/>
    <hyperlink ref="AH405" r:id="rId711"/>
    <hyperlink ref="AH406" r:id="rId712"/>
    <hyperlink ref="AH407" r:id="rId713"/>
    <hyperlink ref="AH395" r:id="rId714"/>
    <hyperlink ref="AH408" r:id="rId715"/>
    <hyperlink ref="AH409" r:id="rId716"/>
    <hyperlink ref="AS394" r:id="rId717"/>
    <hyperlink ref="AV394" r:id="rId718"/>
    <hyperlink ref="AS395" r:id="rId719"/>
    <hyperlink ref="AV395" r:id="rId720"/>
    <hyperlink ref="AS396" r:id="rId721"/>
    <hyperlink ref="AV396" r:id="rId722"/>
    <hyperlink ref="AS397" r:id="rId723"/>
    <hyperlink ref="AV397" r:id="rId724"/>
    <hyperlink ref="AS398" r:id="rId725"/>
    <hyperlink ref="AV398" r:id="rId726"/>
    <hyperlink ref="AS399" r:id="rId727"/>
    <hyperlink ref="AV399" r:id="rId728"/>
    <hyperlink ref="AV400" r:id="rId729"/>
    <hyperlink ref="AS401" r:id="rId730"/>
    <hyperlink ref="AV401" r:id="rId731"/>
    <hyperlink ref="AH410" r:id="rId732"/>
    <hyperlink ref="AH411" r:id="rId733"/>
    <hyperlink ref="AH412" r:id="rId734"/>
    <hyperlink ref="AS297" r:id="rId735"/>
    <hyperlink ref="AV297" r:id="rId736"/>
    <hyperlink ref="AH413" r:id="rId737"/>
    <hyperlink ref="AH414" r:id="rId738"/>
    <hyperlink ref="AH415" r:id="rId739"/>
    <hyperlink ref="AH417" r:id="rId740"/>
    <hyperlink ref="AS402" r:id="rId741"/>
    <hyperlink ref="AV402" r:id="rId742"/>
    <hyperlink ref="AS403" r:id="rId743"/>
    <hyperlink ref="AV403" r:id="rId744"/>
    <hyperlink ref="AS404" r:id="rId745"/>
    <hyperlink ref="AV404" r:id="rId746"/>
    <hyperlink ref="AS405" r:id="rId747"/>
    <hyperlink ref="AV405" r:id="rId748"/>
    <hyperlink ref="AS407" r:id="rId749"/>
    <hyperlink ref="AV407" r:id="rId750"/>
    <hyperlink ref="AS408" r:id="rId751"/>
    <hyperlink ref="AS409" r:id="rId752"/>
    <hyperlink ref="AV409" r:id="rId753"/>
    <hyperlink ref="AS410" r:id="rId754"/>
    <hyperlink ref="AV410" r:id="rId755"/>
    <hyperlink ref="AV411" r:id="rId756"/>
    <hyperlink ref="AS412" r:id="rId757"/>
    <hyperlink ref="AV412" r:id="rId758"/>
    <hyperlink ref="AS413" r:id="rId759"/>
    <hyperlink ref="AV413" r:id="rId760"/>
    <hyperlink ref="AS414" r:id="rId761"/>
    <hyperlink ref="AV414" r:id="rId762"/>
    <hyperlink ref="AS415" r:id="rId763"/>
    <hyperlink ref="AV415" r:id="rId764"/>
    <hyperlink ref="AS416" r:id="rId765"/>
    <hyperlink ref="AV416" r:id="rId766"/>
    <hyperlink ref="AV417" r:id="rId767"/>
    <hyperlink ref="AH419" r:id="rId768"/>
    <hyperlink ref="AH420" r:id="rId769"/>
    <hyperlink ref="AH421" r:id="rId770"/>
    <hyperlink ref="AS417" r:id="rId771"/>
    <hyperlink ref="AH422" r:id="rId772"/>
    <hyperlink ref="AH423" r:id="rId773"/>
    <hyperlink ref="AH424" r:id="rId774"/>
    <hyperlink ref="AH425" r:id="rId775"/>
    <hyperlink ref="AS419" r:id="rId776"/>
    <hyperlink ref="AV419" r:id="rId777"/>
    <hyperlink ref="AS420" r:id="rId778"/>
    <hyperlink ref="AV420" r:id="rId779"/>
    <hyperlink ref="AS421" r:id="rId780"/>
    <hyperlink ref="AV421" r:id="rId781"/>
    <hyperlink ref="AH426" r:id="rId782"/>
    <hyperlink ref="AH427" r:id="rId783"/>
    <hyperlink ref="AH428" r:id="rId784"/>
    <hyperlink ref="AH416" r:id="rId785"/>
    <hyperlink ref="AS422" r:id="rId786"/>
    <hyperlink ref="AV422" r:id="rId787"/>
    <hyperlink ref="AH429" r:id="rId788"/>
    <hyperlink ref="AH430" r:id="rId789"/>
    <hyperlink ref="AS429" r:id="rId790"/>
    <hyperlink ref="AV429" r:id="rId791"/>
    <hyperlink ref="AS430" r:id="rId792"/>
    <hyperlink ref="AV430" r:id="rId793"/>
    <hyperlink ref="AS423" r:id="rId794"/>
    <hyperlink ref="AV423" r:id="rId795"/>
    <hyperlink ref="AS431" r:id="rId796"/>
    <hyperlink ref="AV431" r:id="rId797"/>
    <hyperlink ref="AH432" r:id="rId798"/>
    <hyperlink ref="AS426" r:id="rId799"/>
    <hyperlink ref="AV426" r:id="rId800"/>
    <hyperlink ref="AS427" r:id="rId801"/>
    <hyperlink ref="AV427" r:id="rId802"/>
    <hyperlink ref="AS428" r:id="rId803"/>
    <hyperlink ref="AV428" r:id="rId804"/>
    <hyperlink ref="AV424" r:id="rId805"/>
    <hyperlink ref="AH431" r:id="rId806"/>
    <hyperlink ref="AH433" r:id="rId807"/>
    <hyperlink ref="AH434" r:id="rId808"/>
    <hyperlink ref="AS432" r:id="rId809"/>
    <hyperlink ref="AV432" r:id="rId810"/>
    <hyperlink ref="AH435" r:id="rId811"/>
    <hyperlink ref="AH436" r:id="rId812"/>
    <hyperlink ref="AH437" r:id="rId813"/>
    <hyperlink ref="AH438" r:id="rId814"/>
    <hyperlink ref="AH440" r:id="rId815"/>
    <hyperlink ref="AH441" r:id="rId816"/>
    <hyperlink ref="AH442" r:id="rId817"/>
    <hyperlink ref="AH439" r:id="rId818"/>
    <hyperlink ref="AH443" r:id="rId819"/>
    <hyperlink ref="AH444" r:id="rId820"/>
    <hyperlink ref="AH445" r:id="rId821"/>
    <hyperlink ref="AH446" r:id="rId822"/>
    <hyperlink ref="AH447" r:id="rId823"/>
    <hyperlink ref="AH448" r:id="rId824"/>
    <hyperlink ref="AH449" r:id="rId825"/>
    <hyperlink ref="AS442" r:id="rId826"/>
    <hyperlink ref="AV442" r:id="rId827"/>
    <hyperlink ref="AS437" r:id="rId828"/>
    <hyperlink ref="AV437" r:id="rId829"/>
    <hyperlink ref="AS436" r:id="rId830"/>
    <hyperlink ref="AV436" r:id="rId831"/>
    <hyperlink ref="AS435" r:id="rId832"/>
    <hyperlink ref="AV435" r:id="rId833"/>
    <hyperlink ref="AS425" r:id="rId834"/>
    <hyperlink ref="AV425" r:id="rId835"/>
    <hyperlink ref="AH451" r:id="rId836"/>
    <hyperlink ref="AH453" r:id="rId837"/>
    <hyperlink ref="AH454" r:id="rId838"/>
    <hyperlink ref="AH455" r:id="rId839"/>
    <hyperlink ref="AH456" r:id="rId840"/>
    <hyperlink ref="AS438" r:id="rId841"/>
    <hyperlink ref="AS439" r:id="rId842"/>
    <hyperlink ref="AS440" r:id="rId843"/>
    <hyperlink ref="AS441" r:id="rId844"/>
    <hyperlink ref="AS443" r:id="rId845"/>
    <hyperlink ref="AS444" r:id="rId846"/>
    <hyperlink ref="AS446" r:id="rId847"/>
    <hyperlink ref="AS447" r:id="rId848"/>
    <hyperlink ref="AV447" r:id="rId849"/>
    <hyperlink ref="AS448" r:id="rId850"/>
    <hyperlink ref="AV448" r:id="rId851"/>
    <hyperlink ref="AH457" r:id="rId852"/>
    <hyperlink ref="AH458" r:id="rId853"/>
    <hyperlink ref="AH459" r:id="rId854"/>
    <hyperlink ref="AH460" r:id="rId855"/>
    <hyperlink ref="AS449" r:id="rId856"/>
    <hyperlink ref="AS451" r:id="rId857"/>
    <hyperlink ref="AV451" r:id="rId858"/>
    <hyperlink ref="AS454" r:id="rId859"/>
    <hyperlink ref="AS455" r:id="rId860"/>
    <hyperlink ref="AV455" r:id="rId861"/>
    <hyperlink ref="AS456" r:id="rId862"/>
    <hyperlink ref="AS457" r:id="rId863"/>
    <hyperlink ref="AS453" r:id="rId864"/>
    <hyperlink ref="AV453" r:id="rId865"/>
    <hyperlink ref="AH463" r:id="rId866"/>
    <hyperlink ref="AH464" r:id="rId867"/>
    <hyperlink ref="AH465" r:id="rId868"/>
    <hyperlink ref="AH466" r:id="rId869"/>
    <hyperlink ref="AH467" r:id="rId870"/>
    <hyperlink ref="AH468" r:id="rId871"/>
    <hyperlink ref="AH470" r:id="rId872"/>
    <hyperlink ref="AS424" r:id="rId873"/>
    <hyperlink ref="AH471" r:id="rId874"/>
    <hyperlink ref="AH473" r:id="rId875"/>
    <hyperlink ref="AH474" r:id="rId876"/>
    <hyperlink ref="AH475" r:id="rId877"/>
    <hyperlink ref="AH476" r:id="rId878"/>
    <hyperlink ref="AH477" r:id="rId879"/>
    <hyperlink ref="AS458" r:id="rId880"/>
    <hyperlink ref="AS459" r:id="rId881"/>
    <hyperlink ref="AV459" r:id="rId882"/>
    <hyperlink ref="AS460" r:id="rId883"/>
    <hyperlink ref="AS463" r:id="rId884"/>
    <hyperlink ref="AS464" r:id="rId885"/>
    <hyperlink ref="AS465" r:id="rId886"/>
    <hyperlink ref="AS466" r:id="rId887"/>
    <hyperlink ref="AS468" r:id="rId888"/>
    <hyperlink ref="AS470" r:id="rId889"/>
    <hyperlink ref="AV470" r:id="rId890"/>
    <hyperlink ref="AS471" r:id="rId891"/>
    <hyperlink ref="AV471" r:id="rId892"/>
    <hyperlink ref="AS473" r:id="rId893"/>
    <hyperlink ref="AV473" r:id="rId894"/>
    <hyperlink ref="AV474" r:id="rId895"/>
    <hyperlink ref="AS475" r:id="rId896"/>
    <hyperlink ref="AV475" r:id="rId897"/>
    <hyperlink ref="AV476" r:id="rId898"/>
    <hyperlink ref="AS476" r:id="rId899"/>
    <hyperlink ref="AS477" r:id="rId900"/>
    <hyperlink ref="AV477" r:id="rId901"/>
    <hyperlink ref="AH365" r:id="rId902"/>
    <hyperlink ref="AH381" r:id="rId903" display="mailto:diebolt.didier60@free.fr"/>
    <hyperlink ref="AS433" r:id="rId904"/>
    <hyperlink ref="AV433" r:id="rId905"/>
    <hyperlink ref="AH478" r:id="rId906"/>
    <hyperlink ref="AH479" r:id="rId907"/>
    <hyperlink ref="AH480" r:id="rId908"/>
    <hyperlink ref="AH481" r:id="rId909"/>
    <hyperlink ref="AH482" r:id="rId910"/>
    <hyperlink ref="AH483" r:id="rId911"/>
    <hyperlink ref="AH484" r:id="rId912"/>
    <hyperlink ref="AH485" r:id="rId913"/>
    <hyperlink ref="AH486" r:id="rId914"/>
    <hyperlink ref="AH487" r:id="rId915"/>
    <hyperlink ref="AH488" r:id="rId916"/>
    <hyperlink ref="AH490" r:id="rId917"/>
    <hyperlink ref="AH491" r:id="rId918"/>
    <hyperlink ref="AH492" r:id="rId919"/>
    <hyperlink ref="AH493" r:id="rId920"/>
    <hyperlink ref="AS478" r:id="rId921"/>
    <hyperlink ref="AS479" r:id="rId922"/>
    <hyperlink ref="AS480" r:id="rId923"/>
    <hyperlink ref="AS481" r:id="rId924"/>
    <hyperlink ref="AS482" r:id="rId925"/>
    <hyperlink ref="AS483" r:id="rId926"/>
    <hyperlink ref="AS484" r:id="rId927"/>
    <hyperlink ref="AS486" r:id="rId928"/>
    <hyperlink ref="AS487" r:id="rId929"/>
    <hyperlink ref="AS488" r:id="rId930"/>
    <hyperlink ref="AS491" r:id="rId931"/>
    <hyperlink ref="AS492" r:id="rId932"/>
    <hyperlink ref="AS493" r:id="rId933"/>
    <hyperlink ref="AH495" r:id="rId934"/>
    <hyperlink ref="AH496" r:id="rId935"/>
    <hyperlink ref="AH497" r:id="rId936"/>
    <hyperlink ref="AH498" r:id="rId937"/>
    <hyperlink ref="AH499" r:id="rId938"/>
    <hyperlink ref="AS495" r:id="rId939"/>
    <hyperlink ref="AS496" r:id="rId940"/>
    <hyperlink ref="AS497" r:id="rId941"/>
    <hyperlink ref="AS498" r:id="rId942"/>
    <hyperlink ref="AS499" r:id="rId943"/>
    <hyperlink ref="AH501" r:id="rId944"/>
    <hyperlink ref="AH502" r:id="rId945"/>
    <hyperlink ref="AH503" r:id="rId946"/>
    <hyperlink ref="AH504" r:id="rId947"/>
    <hyperlink ref="AH505" r:id="rId948"/>
    <hyperlink ref="AH506" r:id="rId949"/>
    <hyperlink ref="AH507" r:id="rId950"/>
    <hyperlink ref="AH508" r:id="rId951"/>
    <hyperlink ref="AH509" r:id="rId952"/>
    <hyperlink ref="AH510" r:id="rId953"/>
    <hyperlink ref="AH511" r:id="rId954"/>
    <hyperlink ref="AH512" r:id="rId955"/>
    <hyperlink ref="AH513" r:id="rId956"/>
    <hyperlink ref="AH514" r:id="rId957"/>
    <hyperlink ref="AH515" r:id="rId958"/>
    <hyperlink ref="AV318" r:id="rId959"/>
    <hyperlink ref="AH517" r:id="rId960"/>
    <hyperlink ref="AH518" r:id="rId961"/>
    <hyperlink ref="AH519" r:id="rId962"/>
    <hyperlink ref="AH520" r:id="rId963"/>
    <hyperlink ref="AH521" r:id="rId964"/>
    <hyperlink ref="AH522" r:id="rId965"/>
    <hyperlink ref="AH523" r:id="rId966"/>
    <hyperlink ref="AH525" r:id="rId967"/>
    <hyperlink ref="AH526" r:id="rId968"/>
    <hyperlink ref="AS501" r:id="rId969"/>
    <hyperlink ref="AS502" r:id="rId970"/>
    <hyperlink ref="AS503" r:id="rId971"/>
    <hyperlink ref="AS504" r:id="rId972"/>
    <hyperlink ref="AS505" r:id="rId973"/>
    <hyperlink ref="AV505" r:id="rId974"/>
    <hyperlink ref="AS506" r:id="rId975"/>
    <hyperlink ref="AS507" r:id="rId976"/>
    <hyperlink ref="AS508" r:id="rId977"/>
    <hyperlink ref="AS509" r:id="rId978"/>
    <hyperlink ref="AS510" r:id="rId979"/>
    <hyperlink ref="AV510" r:id="rId980"/>
    <hyperlink ref="AS511" r:id="rId981"/>
    <hyperlink ref="AH528" r:id="rId982"/>
    <hyperlink ref="AS514" r:id="rId983"/>
    <hyperlink ref="AV514" r:id="rId984"/>
    <hyperlink ref="AS515" r:id="rId985"/>
    <hyperlink ref="AS512" r:id="rId986"/>
    <hyperlink ref="AH529" r:id="rId987"/>
    <hyperlink ref="AH530" r:id="rId988"/>
    <hyperlink ref="AH531" r:id="rId989"/>
    <hyperlink ref="AH532" r:id="rId990"/>
    <hyperlink ref="AS526" r:id="rId991"/>
    <hyperlink ref="AS523" r:id="rId992"/>
    <hyperlink ref="AS522" r:id="rId993"/>
    <hyperlink ref="AV522" r:id="rId994"/>
    <hyperlink ref="AS525" r:id="rId995"/>
    <hyperlink ref="AS513" r:id="rId996"/>
    <hyperlink ref="AV513" r:id="rId997"/>
    <hyperlink ref="AS516" r:id="rId998"/>
    <hyperlink ref="AH516" r:id="rId999"/>
    <hyperlink ref="AS517" r:id="rId1000"/>
    <hyperlink ref="AS518" r:id="rId1001"/>
    <hyperlink ref="AH533" r:id="rId1002"/>
    <hyperlink ref="AH534" r:id="rId1003"/>
    <hyperlink ref="AH535" r:id="rId1004"/>
    <hyperlink ref="AS519" r:id="rId1005" display="patrickduranton@passionflamme.fr"/>
    <hyperlink ref="AV519" r:id="rId1006"/>
    <hyperlink ref="AV528" r:id="rId1007"/>
    <hyperlink ref="AS529" r:id="rId1008"/>
    <hyperlink ref="AS530" r:id="rId1009"/>
    <hyperlink ref="AS531" r:id="rId1010"/>
    <hyperlink ref="AV532" r:id="rId1011"/>
    <hyperlink ref="AS533" r:id="rId1012"/>
    <hyperlink ref="AS534" r:id="rId1013"/>
    <hyperlink ref="AV534" r:id="rId1014"/>
    <hyperlink ref="AS520" r:id="rId1015"/>
    <hyperlink ref="AV520" r:id="rId1016"/>
    <hyperlink ref="AH537" r:id="rId1017"/>
    <hyperlink ref="AS532" r:id="rId1018" display="renatofarvelli@gmail.com"/>
    <hyperlink ref="AH538" r:id="rId1019"/>
    <hyperlink ref="AH539" r:id="rId1020"/>
    <hyperlink ref="AH540" r:id="rId1021"/>
    <hyperlink ref="AS535" r:id="rId1022"/>
    <hyperlink ref="AS537" r:id="rId1023"/>
    <hyperlink ref="AV537" r:id="rId1024"/>
    <hyperlink ref="AS538" r:id="rId1025"/>
    <hyperlink ref="AS539" r:id="rId1026"/>
    <hyperlink ref="AV539" r:id="rId1027"/>
    <hyperlink ref="AS540" r:id="rId1028"/>
    <hyperlink ref="AH541" r:id="rId1029"/>
    <hyperlink ref="AH542" r:id="rId1030"/>
    <hyperlink ref="AH543" r:id="rId1031"/>
    <hyperlink ref="AS541" r:id="rId1032"/>
    <hyperlink ref="AV74" r:id="rId1033"/>
    <hyperlink ref="AS74" r:id="rId1034"/>
    <hyperlink ref="AV542" r:id="rId1035"/>
    <hyperlink ref="AS542" r:id="rId1036"/>
    <hyperlink ref="AS543" r:id="rId1037"/>
    <hyperlink ref="AH544" r:id="rId1038"/>
    <hyperlink ref="AH545" r:id="rId1039"/>
    <hyperlink ref="AH546" r:id="rId1040"/>
    <hyperlink ref="AS544" r:id="rId1041"/>
    <hyperlink ref="AS545" r:id="rId1042"/>
    <hyperlink ref="AS546" r:id="rId1043"/>
    <hyperlink ref="AV546" r:id="rId1044"/>
    <hyperlink ref="AH547" r:id="rId1045"/>
    <hyperlink ref="AH548" r:id="rId1046"/>
    <hyperlink ref="AH549" r:id="rId1047"/>
    <hyperlink ref="AH550" r:id="rId1048"/>
    <hyperlink ref="AS547" r:id="rId1049"/>
    <hyperlink ref="AS549" r:id="rId1050"/>
    <hyperlink ref="AV549" r:id="rId1051"/>
    <hyperlink ref="AS548" r:id="rId1052"/>
    <hyperlink ref="AS550" r:id="rId1053"/>
    <hyperlink ref="AV550" r:id="rId1054"/>
    <hyperlink ref="AS333" r:id="rId1055"/>
    <hyperlink ref="AV333" r:id="rId1056"/>
    <hyperlink ref="AH334" r:id="rId1057"/>
    <hyperlink ref="AS334" r:id="rId1058"/>
    <hyperlink ref="AV334" r:id="rId1059"/>
    <hyperlink ref="AH345" r:id="rId1060"/>
    <hyperlink ref="AS345" r:id="rId1061"/>
    <hyperlink ref="AV345" r:id="rId1062"/>
    <hyperlink ref="AS385" r:id="rId1063"/>
    <hyperlink ref="AV385" r:id="rId1064"/>
    <hyperlink ref="AH418" r:id="rId1065"/>
    <hyperlink ref="AS418" r:id="rId1066"/>
    <hyperlink ref="AV418" r:id="rId1067"/>
    <hyperlink ref="AH450" r:id="rId1068"/>
    <hyperlink ref="AS450" r:id="rId1069"/>
    <hyperlink ref="AH452" r:id="rId1070"/>
    <hyperlink ref="AS452" r:id="rId1071"/>
    <hyperlink ref="AH461" r:id="rId1072"/>
    <hyperlink ref="AH462" r:id="rId1073"/>
    <hyperlink ref="AS461" r:id="rId1074"/>
    <hyperlink ref="AS462" r:id="rId1075"/>
    <hyperlink ref="AH469" r:id="rId1076"/>
    <hyperlink ref="AS469" r:id="rId1077"/>
    <hyperlink ref="AV469" r:id="rId1078"/>
    <hyperlink ref="AH472" r:id="rId1079"/>
    <hyperlink ref="AS472" r:id="rId1080"/>
    <hyperlink ref="AV472" r:id="rId1081"/>
    <hyperlink ref="AH489" r:id="rId1082"/>
    <hyperlink ref="AS489" r:id="rId1083"/>
    <hyperlink ref="AH494" r:id="rId1084"/>
    <hyperlink ref="AS494" r:id="rId1085"/>
    <hyperlink ref="AH500" r:id="rId1086"/>
    <hyperlink ref="AS500" r:id="rId1087"/>
    <hyperlink ref="AH524" r:id="rId1088"/>
    <hyperlink ref="AS524" r:id="rId1089"/>
    <hyperlink ref="AV524" r:id="rId1090"/>
    <hyperlink ref="AS275" r:id="rId1091"/>
    <hyperlink ref="AV275" r:id="rId1092"/>
    <hyperlink ref="AV323" r:id="rId1093"/>
    <hyperlink ref="AS323" r:id="rId1094"/>
    <hyperlink ref="AH552" r:id="rId1095"/>
    <hyperlink ref="AS552" r:id="rId1096"/>
    <hyperlink ref="AH553" r:id="rId1097"/>
    <hyperlink ref="AS553" r:id="rId1098" display="patrickduranton@passionflamme.fr"/>
    <hyperlink ref="AV553" r:id="rId1099"/>
    <hyperlink ref="AH555" r:id="rId1100"/>
    <hyperlink ref="AS555" r:id="rId1101"/>
    <hyperlink ref="AH557" r:id="rId1102"/>
    <hyperlink ref="AS557" r:id="rId1103"/>
    <hyperlink ref="AV557" r:id="rId1104"/>
    <hyperlink ref="AH570" r:id="rId1105"/>
    <hyperlink ref="AS570" r:id="rId1106"/>
    <hyperlink ref="AH571" r:id="rId1107"/>
    <hyperlink ref="AH573" r:id="rId1108"/>
    <hyperlink ref="AS571" r:id="rId1109"/>
    <hyperlink ref="AS573" r:id="rId1110"/>
  </hyperlinks>
  <pageMargins left="0.7" right="0.7" top="0.75" bottom="0.75" header="0.3" footer="0.3"/>
  <pageSetup paperSize="9" orientation="portrait" r:id="rId1111"/>
  <drawing r:id="rId1112"/>
  <legacyDrawing r:id="rId111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149"/>
  <sheetViews>
    <sheetView topLeftCell="P7" zoomScale="70" zoomScaleNormal="70" workbookViewId="0">
      <selection activeCell="G28" sqref="G28"/>
    </sheetView>
  </sheetViews>
  <sheetFormatPr baseColWidth="10" defaultColWidth="11.54296875" defaultRowHeight="14.5"/>
  <cols>
    <col min="1" max="1" width="27.26953125" style="97" customWidth="1"/>
    <col min="2" max="2" width="35.1796875" style="97" customWidth="1"/>
    <col min="3" max="3" width="29.7265625" style="97" customWidth="1"/>
    <col min="4" max="4" width="27.26953125" style="97" customWidth="1"/>
    <col min="5" max="5" width="23.54296875" style="97" customWidth="1"/>
    <col min="6" max="6" width="15" style="97" customWidth="1"/>
    <col min="7" max="7" width="27.26953125" style="97" customWidth="1"/>
    <col min="8" max="8" width="23.54296875" style="97" customWidth="1"/>
    <col min="9" max="9" width="15" style="97" customWidth="1"/>
    <col min="10" max="10" width="27.26953125" style="97" customWidth="1"/>
    <col min="11" max="11" width="23.54296875" style="97" customWidth="1"/>
    <col min="12" max="12" width="15" style="97" customWidth="1"/>
    <col min="13" max="13" width="27.26953125" style="97" customWidth="1"/>
    <col min="14" max="14" width="36" style="97" customWidth="1"/>
    <col min="15" max="15" width="15" style="97" customWidth="1"/>
    <col min="16" max="16" width="27.26953125" style="97" customWidth="1"/>
    <col min="17" max="17" width="23.54296875" style="97" customWidth="1"/>
    <col min="18" max="19" width="15" style="97" customWidth="1"/>
    <col min="20" max="20" width="11.54296875" style="97"/>
    <col min="21" max="38" width="15" style="97" customWidth="1"/>
    <col min="39" max="39" width="21" style="97" customWidth="1"/>
    <col min="40" max="40" width="26.1796875" style="97" customWidth="1"/>
    <col min="41" max="41" width="8.7265625" style="97" customWidth="1"/>
    <col min="42" max="42" width="21" style="97" customWidth="1"/>
    <col min="43" max="43" width="25.54296875" style="97" customWidth="1"/>
    <col min="44" max="44" width="8.7265625" style="97" customWidth="1"/>
    <col min="45" max="45" width="21" style="97" customWidth="1"/>
    <col min="46" max="46" width="25.54296875" style="97" customWidth="1"/>
    <col min="47" max="47" width="8.7265625" style="97" customWidth="1"/>
    <col min="48" max="48" width="21" style="97" bestFit="1" customWidth="1"/>
    <col min="49" max="49" width="25.54296875" style="97" bestFit="1" customWidth="1"/>
    <col min="50" max="50" width="8.7265625" style="97" customWidth="1"/>
    <col min="51" max="51" width="21" style="97" bestFit="1" customWidth="1"/>
    <col min="52" max="52" width="25.54296875" style="97" bestFit="1" customWidth="1"/>
    <col min="53" max="53" width="8.7265625" style="97" customWidth="1"/>
    <col min="54" max="16384" width="11.54296875" style="97"/>
  </cols>
  <sheetData>
    <row r="1" spans="1:21">
      <c r="A1" s="97" t="s">
        <v>4116</v>
      </c>
      <c r="B1" s="343" t="s">
        <v>4107</v>
      </c>
    </row>
    <row r="3" spans="1:21" ht="29">
      <c r="A3" s="342" t="s">
        <v>4114</v>
      </c>
      <c r="B3" s="342" t="s">
        <v>4115</v>
      </c>
      <c r="C3" s="108" t="s">
        <v>4117</v>
      </c>
      <c r="D3" s="99">
        <v>2020</v>
      </c>
      <c r="E3" s="99">
        <v>2020</v>
      </c>
      <c r="F3" s="99">
        <v>2021</v>
      </c>
      <c r="G3" s="99">
        <v>2021</v>
      </c>
      <c r="H3" s="99">
        <v>2022</v>
      </c>
      <c r="I3" s="99">
        <v>2022</v>
      </c>
      <c r="J3" s="99" t="str">
        <f>B1</f>
        <v>2020-2022</v>
      </c>
      <c r="K3" s="87" t="str">
        <f>CONCATENATE(B1,CHAR(10),"N=",J11)</f>
        <v>2020-2022
N=425</v>
      </c>
      <c r="M3" s="57"/>
      <c r="N3" s="99">
        <v>2020</v>
      </c>
      <c r="O3" s="99">
        <v>2020</v>
      </c>
      <c r="P3" s="99">
        <v>2021</v>
      </c>
      <c r="Q3" s="99">
        <v>2021</v>
      </c>
      <c r="R3" s="99">
        <v>2022</v>
      </c>
      <c r="S3" s="99">
        <v>2022</v>
      </c>
      <c r="T3" s="87" t="str">
        <f>B1</f>
        <v>2020-2022</v>
      </c>
      <c r="U3" s="87" t="str">
        <f>CONCATENATE(B1,CHAR(10),"N=",J11)</f>
        <v>2020-2022
N=425</v>
      </c>
    </row>
    <row r="4" spans="1:21">
      <c r="A4" s="342" t="s">
        <v>4113</v>
      </c>
      <c r="B4" s="342" t="s">
        <v>380</v>
      </c>
      <c r="C4" s="57" t="str">
        <f>CONCATENATE(A4," ",B4)</f>
        <v>insert / foyer fermé bûche</v>
      </c>
      <c r="D4" s="84">
        <f>COUNTIFS('3_BD instruction total'!$C:$C,"non",'3_BD instruction total'!$A:$A,D$3,'3_BD instruction total'!$AZ:$AZ,A4,'3_BD instruction total'!$BA:$BA,B4)</f>
        <v>1</v>
      </c>
      <c r="E4" s="62">
        <f t="shared" ref="E4:E10" si="0">D4/$D$11</f>
        <v>9.0909090909090912E-2</v>
      </c>
      <c r="F4" s="84">
        <f>COUNTIFS('3_BD instruction total'!$C:$C,"non",'3_BD instruction total'!$A:$A,F$3,'3_BD instruction total'!$AZ:$AZ,A4,'3_BD instruction total'!$BA:$BA,B4)</f>
        <v>27</v>
      </c>
      <c r="G4" s="62">
        <f t="shared" ref="G4:G11" si="1">F4/F$11</f>
        <v>0.13106796116504854</v>
      </c>
      <c r="H4" s="84">
        <f>COUNTIFS('3_BD instruction total'!$C:$C,"non",'3_BD instruction total'!$A:$A,H$3,'3_BD instruction total'!$AZ:$AZ,A4,'3_BD instruction total'!$BA:$BA,B4)</f>
        <v>32</v>
      </c>
      <c r="I4" s="62">
        <f t="shared" ref="I4:I11" si="2">H4/H$11</f>
        <v>0.15384615384615385</v>
      </c>
      <c r="J4" s="99">
        <f>D4+F4+H4</f>
        <v>60</v>
      </c>
      <c r="K4" s="62">
        <f t="shared" ref="K4:K10" si="3">J4/J$11</f>
        <v>0.14117647058823529</v>
      </c>
      <c r="M4" s="57" t="s">
        <v>622</v>
      </c>
      <c r="N4" s="84">
        <f>D4+D6</f>
        <v>6</v>
      </c>
      <c r="O4" s="61">
        <f t="shared" ref="O4:S6" si="4">N4/N$7</f>
        <v>0.54545454545454541</v>
      </c>
      <c r="P4" s="84">
        <f>F4+F6</f>
        <v>125</v>
      </c>
      <c r="Q4" s="61">
        <f t="shared" si="4"/>
        <v>0.60679611650485432</v>
      </c>
      <c r="R4" s="84">
        <f>H4+H6</f>
        <v>116</v>
      </c>
      <c r="S4" s="61">
        <f t="shared" si="4"/>
        <v>0.55769230769230771</v>
      </c>
      <c r="T4" s="84">
        <f>J4+J6</f>
        <v>247</v>
      </c>
      <c r="U4" s="62">
        <f>T4/$J$11</f>
        <v>0.58117647058823529</v>
      </c>
    </row>
    <row r="5" spans="1:21">
      <c r="A5" s="342" t="s">
        <v>4113</v>
      </c>
      <c r="B5" s="342" t="s">
        <v>267</v>
      </c>
      <c r="C5" s="57" t="str">
        <f t="shared" ref="C5:C10" si="5">CONCATENATE(A5," ",B5)</f>
        <v>insert / foyer fermé granulé</v>
      </c>
      <c r="D5" s="84">
        <f>COUNTIFS('3_BD instruction total'!$C:$C,"non",'3_BD instruction total'!$A:$A,D$3,'3_BD instruction total'!$AZ:$AZ,A5,'3_BD instruction total'!$BA:$BA,B5)</f>
        <v>0</v>
      </c>
      <c r="E5" s="62">
        <f t="shared" si="0"/>
        <v>0</v>
      </c>
      <c r="F5" s="84">
        <f>COUNTIFS('3_BD instruction total'!$C:$C,"non",'3_BD instruction total'!$A:$A,F$3,'3_BD instruction total'!$AZ:$AZ,A5,'3_BD instruction total'!$BA:$BA,B5)</f>
        <v>1</v>
      </c>
      <c r="G5" s="62">
        <f t="shared" si="1"/>
        <v>4.8543689320388345E-3</v>
      </c>
      <c r="H5" s="84">
        <f>COUNTIFS('3_BD instruction total'!$C:$C,"non",'3_BD instruction total'!$A:$A,H$3,'3_BD instruction total'!$AZ:$AZ,A5,'3_BD instruction total'!$BA:$BA,B5)</f>
        <v>0</v>
      </c>
      <c r="I5" s="62">
        <f t="shared" si="2"/>
        <v>0</v>
      </c>
      <c r="J5" s="99">
        <f t="shared" ref="J5:J10" si="6">D5+F5+H5</f>
        <v>1</v>
      </c>
      <c r="K5" s="62">
        <f t="shared" si="3"/>
        <v>2.352941176470588E-3</v>
      </c>
      <c r="M5" s="57" t="s">
        <v>623</v>
      </c>
      <c r="N5" s="84">
        <f>D5+D7</f>
        <v>5</v>
      </c>
      <c r="O5" s="61">
        <f t="shared" si="4"/>
        <v>0.45454545454545453</v>
      </c>
      <c r="P5" s="84">
        <f>F5+F7</f>
        <v>75</v>
      </c>
      <c r="Q5" s="61">
        <f t="shared" si="4"/>
        <v>0.36407766990291263</v>
      </c>
      <c r="R5" s="84">
        <f>H5+H7</f>
        <v>88</v>
      </c>
      <c r="S5" s="61">
        <f t="shared" si="4"/>
        <v>0.42307692307692307</v>
      </c>
      <c r="T5" s="84">
        <f>J5+J7</f>
        <v>168</v>
      </c>
      <c r="U5" s="62">
        <f>T5/$J$11</f>
        <v>0.3952941176470588</v>
      </c>
    </row>
    <row r="6" spans="1:21">
      <c r="A6" s="342" t="s">
        <v>1880</v>
      </c>
      <c r="B6" s="342" t="s">
        <v>380</v>
      </c>
      <c r="C6" s="57" t="str">
        <f t="shared" si="5"/>
        <v>poêle bûche</v>
      </c>
      <c r="D6" s="84">
        <f>COUNTIFS('3_BD instruction total'!$C:$C,"non",'3_BD instruction total'!$A:$A,D$3,'3_BD instruction total'!$AZ:$AZ,A6,'3_BD instruction total'!$BA:$BA,B6)</f>
        <v>5</v>
      </c>
      <c r="E6" s="62">
        <f t="shared" si="0"/>
        <v>0.45454545454545453</v>
      </c>
      <c r="F6" s="84">
        <f>COUNTIFS('3_BD instruction total'!$C:$C,"non",'3_BD instruction total'!$A:$A,F$3,'3_BD instruction total'!$AZ:$AZ,A6,'3_BD instruction total'!$BA:$BA,B6)</f>
        <v>98</v>
      </c>
      <c r="G6" s="62">
        <f t="shared" si="1"/>
        <v>0.47572815533980584</v>
      </c>
      <c r="H6" s="84">
        <f>COUNTIFS('3_BD instruction total'!$C:$C,"non",'3_BD instruction total'!$A:$A,H$3,'3_BD instruction total'!$AZ:$AZ,A6,'3_BD instruction total'!$BA:$BA,B6)</f>
        <v>84</v>
      </c>
      <c r="I6" s="62">
        <f t="shared" si="2"/>
        <v>0.40384615384615385</v>
      </c>
      <c r="J6" s="99">
        <f t="shared" si="6"/>
        <v>187</v>
      </c>
      <c r="K6" s="62">
        <f t="shared" si="3"/>
        <v>0.44</v>
      </c>
      <c r="M6" s="57" t="s">
        <v>509</v>
      </c>
      <c r="N6" s="84">
        <f>D11-N4-N5</f>
        <v>0</v>
      </c>
      <c r="O6" s="61">
        <f t="shared" si="4"/>
        <v>0</v>
      </c>
      <c r="P6" s="84">
        <f>F11-P4-P5</f>
        <v>6</v>
      </c>
      <c r="Q6" s="61">
        <f t="shared" si="4"/>
        <v>2.9126213592233011E-2</v>
      </c>
      <c r="R6" s="84">
        <f>H11-R4-R5</f>
        <v>4</v>
      </c>
      <c r="S6" s="61">
        <f t="shared" si="4"/>
        <v>1.9230769230769232E-2</v>
      </c>
      <c r="T6" s="84">
        <f>J11-T4-T5</f>
        <v>10</v>
      </c>
      <c r="U6" s="62">
        <f>T6/$J$11</f>
        <v>2.3529411764705882E-2</v>
      </c>
    </row>
    <row r="7" spans="1:21">
      <c r="A7" s="342" t="s">
        <v>1880</v>
      </c>
      <c r="B7" s="342" t="s">
        <v>267</v>
      </c>
      <c r="C7" s="57" t="str">
        <f t="shared" si="5"/>
        <v>poêle granulé</v>
      </c>
      <c r="D7" s="84">
        <f>COUNTIFS('3_BD instruction total'!$C:$C,"non",'3_BD instruction total'!$A:$A,D$3,'3_BD instruction total'!$AZ:$AZ,A7,'3_BD instruction total'!$BA:$BA,B7)</f>
        <v>5</v>
      </c>
      <c r="E7" s="62">
        <f t="shared" si="0"/>
        <v>0.45454545454545453</v>
      </c>
      <c r="F7" s="84">
        <f>COUNTIFS('3_BD instruction total'!$C:$C,"non",'3_BD instruction total'!$A:$A,F$3,'3_BD instruction total'!$AZ:$AZ,A7,'3_BD instruction total'!$BA:$BA,B7)</f>
        <v>74</v>
      </c>
      <c r="G7" s="62">
        <f t="shared" si="1"/>
        <v>0.35922330097087379</v>
      </c>
      <c r="H7" s="84">
        <f>COUNTIFS('3_BD instruction total'!$C:$C,"non",'3_BD instruction total'!$A:$A,H$3,'3_BD instruction total'!$AZ:$AZ,A7,'3_BD instruction total'!$BA:$BA,B7)</f>
        <v>88</v>
      </c>
      <c r="I7" s="62">
        <f t="shared" si="2"/>
        <v>0.42307692307692307</v>
      </c>
      <c r="J7" s="99">
        <f t="shared" si="6"/>
        <v>167</v>
      </c>
      <c r="K7" s="62">
        <f t="shared" si="3"/>
        <v>0.39294117647058824</v>
      </c>
      <c r="M7" s="57" t="s">
        <v>438</v>
      </c>
      <c r="N7" s="84">
        <f>SUM(N4:N6)</f>
        <v>11</v>
      </c>
      <c r="O7" s="61">
        <f>N7/N$7</f>
        <v>1</v>
      </c>
      <c r="P7" s="84">
        <f>SUM(P4:P6)</f>
        <v>206</v>
      </c>
      <c r="Q7" s="61">
        <f>P7/P$7</f>
        <v>1</v>
      </c>
      <c r="R7" s="84">
        <f>SUM(R4:R6)</f>
        <v>208</v>
      </c>
      <c r="S7" s="61">
        <f>R7/R$7</f>
        <v>1</v>
      </c>
      <c r="T7" s="60">
        <f>J11</f>
        <v>425</v>
      </c>
      <c r="U7" s="62">
        <f>T7/$J$11</f>
        <v>1</v>
      </c>
    </row>
    <row r="8" spans="1:21">
      <c r="A8" s="342" t="s">
        <v>1181</v>
      </c>
      <c r="B8" s="342" t="s">
        <v>380</v>
      </c>
      <c r="C8" s="57" t="str">
        <f t="shared" si="5"/>
        <v>chaudière bûche</v>
      </c>
      <c r="D8" s="84">
        <f>COUNTIFS('3_BD instruction total'!$C:$C,"non",'3_BD instruction total'!$A:$A,D$3,'3_BD instruction total'!$AZ:$AZ,A8,'3_BD instruction total'!$BA:$BA,B8)</f>
        <v>0</v>
      </c>
      <c r="E8" s="62">
        <f t="shared" si="0"/>
        <v>0</v>
      </c>
      <c r="F8" s="84">
        <f>COUNTIFS('3_BD instruction total'!$C:$C,"non",'3_BD instruction total'!$A:$A,F$3,'3_BD instruction total'!$AZ:$AZ,A8,'3_BD instruction total'!$BA:$BA,B8)</f>
        <v>0</v>
      </c>
      <c r="G8" s="62">
        <f t="shared" si="1"/>
        <v>0</v>
      </c>
      <c r="H8" s="84">
        <f>COUNTIFS('3_BD instruction total'!$C:$C,"non",'3_BD instruction total'!$A:$A,H$3,'3_BD instruction total'!$AZ:$AZ,A8,'3_BD instruction total'!$BA:$BA,B8)</f>
        <v>0</v>
      </c>
      <c r="I8" s="62">
        <f t="shared" si="2"/>
        <v>0</v>
      </c>
      <c r="J8" s="99">
        <f t="shared" si="6"/>
        <v>0</v>
      </c>
      <c r="K8" s="62">
        <f t="shared" si="3"/>
        <v>0</v>
      </c>
      <c r="T8" s="98"/>
      <c r="U8" s="98"/>
    </row>
    <row r="9" spans="1:21">
      <c r="A9" s="342" t="s">
        <v>1181</v>
      </c>
      <c r="B9" s="342" t="s">
        <v>267</v>
      </c>
      <c r="C9" s="57" t="str">
        <f t="shared" si="5"/>
        <v>chaudière granulé</v>
      </c>
      <c r="D9" s="84">
        <f>COUNTIFS('3_BD instruction total'!$C:$C,"non",'3_BD instruction total'!$A:$A,D$3,'3_BD instruction total'!$AZ:$AZ,A9,'3_BD instruction total'!$BA:$BA,B9)</f>
        <v>0</v>
      </c>
      <c r="E9" s="62">
        <f t="shared" si="0"/>
        <v>0</v>
      </c>
      <c r="F9" s="84">
        <f>COUNTIFS('3_BD instruction total'!$C:$C,"non",'3_BD instruction total'!$A:$A,F$3,'3_BD instruction total'!$AZ:$AZ,A9,'3_BD instruction total'!$BA:$BA,B9)</f>
        <v>3</v>
      </c>
      <c r="G9" s="62">
        <f t="shared" si="1"/>
        <v>1.4563106796116505E-2</v>
      </c>
      <c r="H9" s="84">
        <f>COUNTIFS('3_BD instruction total'!$C:$C,"non",'3_BD instruction total'!$A:$A,H$3,'3_BD instruction total'!$AZ:$AZ,A9,'3_BD instruction total'!$BA:$BA,B9)</f>
        <v>1</v>
      </c>
      <c r="I9" s="62">
        <f t="shared" si="2"/>
        <v>4.807692307692308E-3</v>
      </c>
      <c r="J9" s="99">
        <f t="shared" si="6"/>
        <v>4</v>
      </c>
      <c r="K9" s="62">
        <f t="shared" si="3"/>
        <v>9.4117647058823521E-3</v>
      </c>
      <c r="T9" s="98"/>
      <c r="U9" s="98"/>
    </row>
    <row r="10" spans="1:21">
      <c r="A10" s="342" t="s">
        <v>1179</v>
      </c>
      <c r="B10" s="342" t="s">
        <v>380</v>
      </c>
      <c r="C10" s="57" t="str">
        <f t="shared" si="5"/>
        <v>cuisinière bûche</v>
      </c>
      <c r="D10" s="84">
        <f>COUNTIFS('3_BD instruction total'!$C:$C,"non",'3_BD instruction total'!$A:$A,D$3,'3_BD instruction total'!$AZ:$AZ,A10,'3_BD instruction total'!$BA:$BA,B10)</f>
        <v>0</v>
      </c>
      <c r="E10" s="62">
        <f t="shared" si="0"/>
        <v>0</v>
      </c>
      <c r="F10" s="84">
        <f>COUNTIFS('3_BD instruction total'!$C:$C,"non",'3_BD instruction total'!$A:$A,F$3,'3_BD instruction total'!$AZ:$AZ,A10,'3_BD instruction total'!$BA:$BA,B10)</f>
        <v>3</v>
      </c>
      <c r="G10" s="62">
        <f t="shared" si="1"/>
        <v>1.4563106796116505E-2</v>
      </c>
      <c r="H10" s="84">
        <f>COUNTIFS('3_BD instruction total'!$C:$C,"non",'3_BD instruction total'!$A:$A,H$3,'3_BD instruction total'!$AZ:$AZ,A10,'3_BD instruction total'!$BA:$BA,B10)</f>
        <v>3</v>
      </c>
      <c r="I10" s="62">
        <f t="shared" si="2"/>
        <v>1.4423076923076924E-2</v>
      </c>
      <c r="J10" s="99">
        <f t="shared" si="6"/>
        <v>6</v>
      </c>
      <c r="K10" s="62">
        <f t="shared" si="3"/>
        <v>1.411764705882353E-2</v>
      </c>
      <c r="T10" s="98"/>
      <c r="U10" s="98"/>
    </row>
    <row r="11" spans="1:21">
      <c r="C11" s="57" t="s">
        <v>438</v>
      </c>
      <c r="D11" s="84">
        <f>SUM(D4:D10)</f>
        <v>11</v>
      </c>
      <c r="E11" s="62">
        <f>D11/D$11</f>
        <v>1</v>
      </c>
      <c r="F11" s="84">
        <f>SUM(F4:F10)</f>
        <v>206</v>
      </c>
      <c r="G11" s="62">
        <f t="shared" si="1"/>
        <v>1</v>
      </c>
      <c r="H11" s="84">
        <f>SUM(H4:H10)</f>
        <v>208</v>
      </c>
      <c r="I11" s="62">
        <f t="shared" si="2"/>
        <v>1</v>
      </c>
      <c r="J11" s="60">
        <f>SUM(J4:J10)</f>
        <v>425</v>
      </c>
      <c r="K11" s="62">
        <f>J11/$J$11</f>
        <v>1</v>
      </c>
      <c r="T11" s="98"/>
      <c r="U11" s="98"/>
    </row>
    <row r="12" spans="1:21" ht="15" thickBot="1"/>
    <row r="13" spans="1:21" ht="29">
      <c r="A13" s="345" t="s">
        <v>924</v>
      </c>
      <c r="B13" s="92">
        <v>2020</v>
      </c>
      <c r="C13" s="92">
        <v>2021</v>
      </c>
      <c r="D13" s="92">
        <v>2022</v>
      </c>
      <c r="E13" s="92">
        <v>2023</v>
      </c>
      <c r="F13" s="92">
        <v>2024</v>
      </c>
      <c r="G13" s="93" t="str">
        <f>B1</f>
        <v>2020-2022</v>
      </c>
      <c r="H13" s="400"/>
      <c r="I13" s="401"/>
    </row>
    <row r="14" spans="1:21">
      <c r="A14" s="351" t="s">
        <v>380</v>
      </c>
      <c r="B14" s="352">
        <f>AVERAGEIFS('3_BD instruction total'!$BQ:$BQ,'3_BD instruction total'!$C:$C,"non",'3_BD instruction total'!$A:$A,B$13,'3_BD instruction total'!$BA:$BA,$A$14,'3_BD instruction total'!$AZ:$AZ,"&lt;&gt;chaudière")</f>
        <v>6162.7877749999998</v>
      </c>
      <c r="C14" s="352">
        <f>AVERAGEIFS('3_BD instruction total'!$BQ:$BQ,'3_BD instruction total'!$C:$C,"non",'3_BD instruction total'!$A:$A,C$13,'3_BD instruction total'!$BA:$BA,$A$14,'3_BD instruction total'!$AZ:$AZ,"&lt;&gt;chaudière")</f>
        <v>5484.6098973828148</v>
      </c>
      <c r="D14" s="352">
        <f>AVERAGEIFS('3_BD instruction total'!$BQ:$BQ,'3_BD instruction total'!$C:$C,"non",'3_BD instruction total'!$A:$A,D$13,'3_BD instruction total'!$BA:$BA,$A$14,'3_BD instruction total'!$AZ:$AZ,"&lt;&gt;chaudière")</f>
        <v>6399.6848211855649</v>
      </c>
      <c r="E14" s="352" t="e">
        <f>AVERAGEIFS('3_BD instruction total'!$BQ:$BQ,'3_BD instruction total'!$C:$C,"non",'3_BD instruction total'!$A:$A,E$13,'3_BD instruction total'!$BA:$BA,$A$14,'3_BD instruction total'!$AZ:$AZ,"&lt;&gt;chaudière")</f>
        <v>#DIV/0!</v>
      </c>
      <c r="F14" s="352" t="e">
        <f>AVERAGEIFS('3_BD instruction total'!$BQ:$BQ,'3_BD instruction total'!$C:$C,"non",'3_BD instruction total'!$A:$A,F$13,'3_BD instruction total'!$BA:$BA,$A$14,'3_BD instruction total'!$AZ:$AZ,"&lt;&gt;chaudière")</f>
        <v>#DIV/0!</v>
      </c>
      <c r="G14" s="353">
        <f>AVERAGEIFS('3_BD instruction total'!$BQ:$BQ,'3_BD instruction total'!$C:$C,"non",'3_BD instruction total'!$AZ:$AZ,"&lt;&gt;$A$8",'3_BD instruction total'!$BA:$BA,$A$14)</f>
        <v>5924.8502914520559</v>
      </c>
    </row>
    <row r="15" spans="1:21" ht="15" thickBot="1">
      <c r="A15" s="359" t="s">
        <v>267</v>
      </c>
      <c r="B15" s="360">
        <f>AVERAGEIFS('3_BD instruction total'!$BQ:$BQ,'3_BD instruction total'!$C:$C,"non",'3_BD instruction total'!$A:$A,B$13,'3_BD instruction total'!$BA:$BA,$A$15,'3_BD instruction total'!$AZ:$AZ,"&lt;&gt;chaudière")</f>
        <v>6100.1745799999999</v>
      </c>
      <c r="C15" s="360">
        <f>AVERAGEIFS('3_BD instruction total'!$BQ:$BQ,'3_BD instruction total'!$C:$C,"non",'3_BD instruction total'!$A:$A,C$13,'3_BD instruction total'!$BA:$BA,$A$15,'3_BD instruction total'!$AZ:$AZ,"&lt;&gt;chaudière")</f>
        <v>6184.6444913333335</v>
      </c>
      <c r="D15" s="360">
        <f>AVERAGEIFS('3_BD instruction total'!$BQ:$BQ,'3_BD instruction total'!$C:$C,"non",'3_BD instruction total'!$A:$A,D$13,'3_BD instruction total'!$BA:$BA,$A$15,'3_BD instruction total'!$AZ:$AZ,"&lt;&gt;chaudière")</f>
        <v>6467.3017329545455</v>
      </c>
      <c r="E15" s="360" t="e">
        <f>AVERAGEIFS('3_BD instruction total'!$BQ:$BQ,'3_BD instruction total'!$C:$C,"non",'3_BD instruction total'!$A:$A,E$13,'3_BD instruction total'!$BA:$BA,$A$15,'3_BD instruction total'!$AZ:$AZ,"&lt;&gt;chaudière")</f>
        <v>#DIV/0!</v>
      </c>
      <c r="F15" s="360" t="e">
        <f>AVERAGEIFS('3_BD instruction total'!$BQ:$BQ,'3_BD instruction total'!$C:$C,"non",'3_BD instruction total'!$A:$A,F$13,'3_BD instruction total'!$BA:$BA,$A$15,'3_BD instruction total'!$AZ:$AZ,"&lt;&gt;chaudière")</f>
        <v>#DIV/0!</v>
      </c>
      <c r="G15" s="361">
        <f>AVERAGEIFS('3_BD instruction total'!$BQ:$BQ,'3_BD instruction total'!$C:$C,"non",'3_BD instruction total'!$AZ:$AZ,"&lt;&gt;$A$8",'3_BD instruction total'!$BA:$BA,$A$15)</f>
        <v>6840.0379900568141</v>
      </c>
    </row>
    <row r="16" spans="1:21" ht="15" thickBot="1">
      <c r="A16" s="100"/>
      <c r="B16" s="110"/>
      <c r="C16" s="110"/>
      <c r="D16" s="110"/>
      <c r="E16" s="110"/>
      <c r="F16" s="110"/>
      <c r="G16" s="154"/>
    </row>
    <row r="17" spans="1:9">
      <c r="A17" s="345" t="s">
        <v>920</v>
      </c>
      <c r="B17" s="349">
        <v>2020</v>
      </c>
      <c r="C17" s="349">
        <v>2021</v>
      </c>
      <c r="D17" s="349">
        <v>2022</v>
      </c>
      <c r="E17" s="349">
        <v>2023</v>
      </c>
      <c r="F17" s="349">
        <v>2024</v>
      </c>
      <c r="G17" s="350" t="str">
        <f>B1</f>
        <v>2020-2022</v>
      </c>
      <c r="H17" s="400"/>
      <c r="I17" s="401"/>
    </row>
    <row r="18" spans="1:9">
      <c r="A18" s="351" t="s">
        <v>921</v>
      </c>
      <c r="B18" s="352">
        <f>AVERAGEIFS('3_BD instruction total'!$BQ:$BQ,'3_BD instruction total'!$C:$C,"non",'3_BD instruction total'!$A:$A,B$17,'3_BD instruction total'!$AZ:$AZ,$A$5)</f>
        <v>9577.4588000000003</v>
      </c>
      <c r="C18" s="352">
        <f>AVERAGEIFS('3_BD instruction total'!$BQ:$BQ,'3_BD instruction total'!$C:$C,"non",'3_BD instruction total'!$A:$A,C$17,'3_BD instruction total'!$AZ:$AZ,$A$5)</f>
        <v>6132.9565196428566</v>
      </c>
      <c r="D18" s="352">
        <f>AVERAGEIFS('3_BD instruction total'!$BQ:$BQ,'3_BD instruction total'!$C:$C,"non",'3_BD instruction total'!$A:$A,D$17,'3_BD instruction total'!$AZ:$AZ,$A$5)</f>
        <v>7052.8474796874998</v>
      </c>
      <c r="E18" s="352" t="e">
        <f>AVERAGEIFS('3_BD instruction total'!$BQ:$BQ,'3_BD instruction total'!$C:$C,"non",'3_BD instruction total'!$A:$A,E$17,'3_BD instruction total'!$AZ:$AZ,$A$5)</f>
        <v>#DIV/0!</v>
      </c>
      <c r="F18" s="352" t="e">
        <f>AVERAGEIFS('3_BD instruction total'!$BQ:$BQ,'3_BD instruction total'!$C:$C,"non",'3_BD instruction total'!$A:$A,F$17,'3_BD instruction total'!$AZ:$AZ,$A$5)</f>
        <v>#DIV/0!</v>
      </c>
      <c r="G18" s="353">
        <v>7295</v>
      </c>
    </row>
    <row r="19" spans="1:9" ht="15" thickBot="1">
      <c r="A19" s="359" t="s">
        <v>922</v>
      </c>
      <c r="B19" s="360">
        <f>AVERAGEIFS('3_BD instruction total'!$BQ:$BQ,'3_BD instruction total'!$C:$C,"non",'3_BD instruction total'!$A:$A,B$17,'3_BD instruction total'!$AZ:$AZ,$A$6)</f>
        <v>5790.014075</v>
      </c>
      <c r="C19" s="360">
        <f>AVERAGEIFS('3_BD instruction total'!$BQ:$BQ,'3_BD instruction total'!$C:$C,"non",'3_BD instruction total'!$A:$A,C$17,'3_BD instruction total'!$AZ:$AZ,$A$6)</f>
        <v>5678.5261710174436</v>
      </c>
      <c r="D19" s="360">
        <f>AVERAGEIFS('3_BD instruction total'!$BQ:$BQ,'3_BD instruction total'!$C:$C,"non",'3_BD instruction total'!$A:$A,D$17,'3_BD instruction total'!$AZ:$AZ,$A$6)</f>
        <v>6303.1196329714085</v>
      </c>
      <c r="E19" s="360" t="e">
        <f>AVERAGEIFS('3_BD instruction total'!$BQ:$BQ,'3_BD instruction total'!$C:$C,"non",'3_BD instruction total'!$A:$A,E$17,'3_BD instruction total'!$AZ:$AZ,$A$6)</f>
        <v>#DIV/0!</v>
      </c>
      <c r="F19" s="360" t="e">
        <f>AVERAGEIFS('3_BD instruction total'!$BQ:$BQ,'3_BD instruction total'!$C:$C,"non",'3_BD instruction total'!$A:$A,F$17,'3_BD instruction total'!$AZ:$AZ,$A$6)</f>
        <v>#DIV/0!</v>
      </c>
      <c r="G19" s="361">
        <v>5285</v>
      </c>
    </row>
    <row r="20" spans="1:9" ht="15" thickBot="1"/>
    <row r="21" spans="1:9">
      <c r="A21" s="345" t="s">
        <v>4118</v>
      </c>
      <c r="B21" s="349">
        <v>2020</v>
      </c>
      <c r="C21" s="349">
        <v>2021</v>
      </c>
      <c r="D21" s="349">
        <v>2022</v>
      </c>
      <c r="E21" s="349">
        <v>2023</v>
      </c>
      <c r="F21" s="349">
        <v>2024</v>
      </c>
      <c r="G21" s="350" t="str">
        <f>B1</f>
        <v>2020-2022</v>
      </c>
      <c r="H21" s="100"/>
      <c r="I21" s="100"/>
    </row>
    <row r="22" spans="1:9">
      <c r="A22" s="351" t="s">
        <v>715</v>
      </c>
      <c r="B22" s="352">
        <f>AVERAGEIFS('3_BD instruction total'!$BQ:$BQ,'3_BD instruction total'!$C:$C,"non",'3_BD instruction total'!$A:$A,B$21)</f>
        <v>6134.3272318181816</v>
      </c>
      <c r="C22" s="352">
        <f>AVERAGEIFS('3_BD instruction total'!$BQ:$BQ,'3_BD instruction total'!$C:$C,"non",'3_BD instruction total'!$A:$A,C$21)</f>
        <v>5958.7958583252412</v>
      </c>
      <c r="D22" s="352">
        <f>AVERAGEIFS('3_BD instruction total'!$BQ:$BQ,'3_BD instruction total'!$C:$C,"non",'3_BD instruction total'!$A:$A,D$21)</f>
        <v>6628.7943611590499</v>
      </c>
      <c r="E22" s="352" t="e">
        <f>AVERAGEIFS('3_BD instruction total'!$BQ:$BQ,'3_BD instruction total'!$C:$C,"non",'3_BD instruction total'!$A:$A,E$21)</f>
        <v>#DIV/0!</v>
      </c>
      <c r="F22" s="352" t="e">
        <f>AVERAGEIFS('3_BD instruction total'!$BQ:$BQ,'3_BD instruction total'!$C:$C,"non",'3_BD instruction total'!$A:$A,F$21)</f>
        <v>#DIV/0!</v>
      </c>
      <c r="G22" s="353">
        <f>AVERAGEIFS('3_BD instruction total'!$BQ:$BQ,'3_BD instruction total'!$C:$C,"non")</f>
        <v>6295.1331304277755</v>
      </c>
      <c r="H22" s="101"/>
      <c r="I22" s="101"/>
    </row>
    <row r="23" spans="1:9">
      <c r="A23" s="351" t="s">
        <v>917</v>
      </c>
      <c r="B23" s="352">
        <f>AVERAGEIFS('3_BD instruction total'!$BQ:$BQ,'3_BD instruction total'!$C:$C,"non",'3_BD instruction total'!$A:$A,B$21,'3_BD instruction total'!$D:$D,"non maj")</f>
        <v>6062.1154550000001</v>
      </c>
      <c r="C23" s="352">
        <f>AVERAGEIFS('3_BD instruction total'!$BQ:$BQ,'3_BD instruction total'!$C:$C,"non",'3_BD instruction total'!$A:$A,C$21,'3_BD instruction total'!$D:$D,"non maj")</f>
        <v>5848.8405208214299</v>
      </c>
      <c r="D23" s="352">
        <f>AVERAGEIFS('3_BD instruction total'!$BQ:$BQ,'3_BD instruction total'!$C:$C,"non",'3_BD instruction total'!$A:$A,D$21,'3_BD instruction total'!$D:$D,"non maj")</f>
        <v>7006.5429143364336</v>
      </c>
      <c r="E23" s="352" t="e">
        <f>AVERAGEIFS('3_BD instruction total'!$BQ:$BQ,'3_BD instruction total'!$C:$C,"non",'3_BD instruction total'!$A:$A,E$21,'3_BD instruction total'!$D:$D,"non maj")</f>
        <v>#DIV/0!</v>
      </c>
      <c r="F23" s="352" t="e">
        <f>AVERAGEIFS('3_BD instruction total'!$BQ:$BQ,'3_BD instruction total'!$C:$C,"non",'3_BD instruction total'!$A:$A,F$21,'3_BD instruction total'!$D:$D,"non maj")</f>
        <v>#DIV/0!</v>
      </c>
      <c r="G23" s="353">
        <f>AVERAGEIFS('3_BD instruction total'!$BQ:$BQ,'3_BD instruction total'!$C:$C,"non",'3_BD instruction total'!$D:$D,"non maj")</f>
        <v>6416.8508709143734</v>
      </c>
      <c r="H23" s="101"/>
      <c r="I23" s="101"/>
    </row>
    <row r="24" spans="1:9">
      <c r="A24" s="351" t="s">
        <v>918</v>
      </c>
      <c r="B24" s="352">
        <f>AVERAGEIFS('3_BD instruction total'!$BQ:$BQ,'3_BD instruction total'!$C:$C,"non",'3_BD instruction total'!$A:$A,B$21,'3_BD instruction total'!$D:$D,"maj")</f>
        <v>6856.4449999999997</v>
      </c>
      <c r="C24" s="352">
        <f>AVERAGEIFS('3_BD instruction total'!$BQ:$BQ,'3_BD instruction total'!$C:$C,"non",'3_BD instruction total'!$A:$A,C$21,'3_BD instruction total'!$D:$D,"maj")</f>
        <v>6192.0344530303046</v>
      </c>
      <c r="D24" s="352">
        <f>AVERAGEIFS('3_BD instruction total'!$BQ:$BQ,'3_BD instruction total'!$C:$C,"non",'3_BD instruction total'!$A:$A,D$21,'3_BD instruction total'!$D:$D,"maj")</f>
        <v>6026.1983095890428</v>
      </c>
      <c r="E24" s="352" t="e">
        <f>AVERAGEIFS('3_BD instruction total'!$BQ:$BQ,'3_BD instruction total'!$C:$C,"non",'3_BD instruction total'!$A:$A,E$21,'3_BD instruction total'!$D:$D,"maj")</f>
        <v>#DIV/0!</v>
      </c>
      <c r="F24" s="352" t="e">
        <f>AVERAGEIFS('3_BD instruction total'!$BQ:$BQ,'3_BD instruction total'!$C:$C,"non",'3_BD instruction total'!$A:$A,F$21,'3_BD instruction total'!$D:$D,"maj")</f>
        <v>#DIV/0!</v>
      </c>
      <c r="G24" s="353">
        <f>AVERAGEIFS('3_BD instruction total'!$BQ:$BQ,'3_BD instruction total'!$C:$C,"non",'3_BD instruction total'!$D:$D,"maj")</f>
        <v>6091.4636944055947</v>
      </c>
      <c r="H24" s="101"/>
      <c r="I24" s="101"/>
    </row>
    <row r="25" spans="1:9">
      <c r="A25" s="354" t="s">
        <v>919</v>
      </c>
      <c r="B25" s="102"/>
      <c r="C25" s="102"/>
      <c r="D25" s="102"/>
      <c r="E25" s="102"/>
      <c r="F25" s="102"/>
      <c r="G25" s="355">
        <f>T7</f>
        <v>425</v>
      </c>
    </row>
    <row r="26" spans="1:9">
      <c r="A26" s="104" t="s">
        <v>716</v>
      </c>
      <c r="B26" s="344"/>
      <c r="C26" s="344"/>
      <c r="D26" s="344"/>
      <c r="E26" s="344"/>
      <c r="F26" s="344"/>
      <c r="G26" s="356">
        <f>G22*G25</f>
        <v>2675431.5804318045</v>
      </c>
    </row>
    <row r="27" spans="1:9" ht="15" thickBot="1">
      <c r="A27" s="106" t="s">
        <v>717</v>
      </c>
      <c r="B27" s="357"/>
      <c r="C27" s="357"/>
      <c r="D27" s="357"/>
      <c r="E27" s="357"/>
      <c r="F27" s="357"/>
      <c r="G27" s="358">
        <f>G26*'détail installateur'!N4</f>
        <v>1325095.8299308466</v>
      </c>
      <c r="H27" s="402" t="s">
        <v>1066</v>
      </c>
      <c r="I27" s="403"/>
    </row>
    <row r="28" spans="1:9" ht="15" thickBot="1"/>
    <row r="29" spans="1:9" ht="28.9" customHeight="1">
      <c r="A29" s="345" t="s">
        <v>4119</v>
      </c>
      <c r="B29" s="96">
        <v>2020</v>
      </c>
      <c r="C29" s="96">
        <v>2021</v>
      </c>
      <c r="D29" s="96">
        <v>2022</v>
      </c>
      <c r="E29" s="96">
        <v>2023</v>
      </c>
      <c r="F29" s="96">
        <v>2024</v>
      </c>
      <c r="G29" s="93" t="str">
        <f>B1</f>
        <v>2020-2022</v>
      </c>
    </row>
    <row r="30" spans="1:9">
      <c r="A30" s="104" t="s">
        <v>712</v>
      </c>
      <c r="B30" s="346">
        <f>AVERAGEIFS('3_BD instruction total'!$BQ:$BQ,'3_BD instruction total'!$C:$C,"non",'3_BD instruction total'!$A:$A,B$13,'3_BD instruction total'!$BA:$BA,$A$14)*COUNTIFS('3_BD instruction total'!$C:$C,"non",'3_BD instruction total'!$A:$A,B$29,'3_BD instruction total'!$BA:$BA,$A$14)</f>
        <v>36976.726649999997</v>
      </c>
      <c r="C30" s="346">
        <f>AVERAGEIFS('3_BD instruction total'!$BQ:$BQ,'3_BD instruction total'!$C:$C,"non",'3_BD instruction total'!$A:$A,C$13,'3_BD instruction total'!$BA:$BA,$A$14)*COUNTIFS('3_BD instruction total'!$C:$C,"non",'3_BD instruction total'!$A:$A,C$29,'3_BD instruction total'!$BA:$BA,$A$14)</f>
        <v>702030.06686500029</v>
      </c>
      <c r="D30" s="346">
        <f>AVERAGEIFS('3_BD instruction total'!$BQ:$BQ,'3_BD instruction total'!$C:$C,"non",'3_BD instruction total'!$A:$A,D$13,'3_BD instruction total'!$BA:$BA,$A$14)*COUNTIFS('3_BD instruction total'!$C:$C,"non",'3_BD instruction total'!$A:$A,D$29,'3_BD instruction total'!$BA:$BA,$A$14)</f>
        <v>761562.49372108222</v>
      </c>
      <c r="E30" s="346" t="e">
        <f>AVERAGEIFS('3_BD instruction total'!$BQ:$BQ,'3_BD instruction total'!$C:$C,"non",'3_BD instruction total'!$A:$A,E$13,'3_BD instruction total'!$BA:$BA,$A$14)*COUNTIFS('3_BD instruction total'!$C:$C,"non",'3_BD instruction total'!$A:$A,E$29,'3_BD instruction total'!$BA:$BA,$A$14)</f>
        <v>#DIV/0!</v>
      </c>
      <c r="F30" s="346" t="e">
        <f>AVERAGEIFS('3_BD instruction total'!$BQ:$BQ,'3_BD instruction total'!$C:$C,"non",'3_BD instruction total'!$A:$A,F$13,'3_BD instruction total'!$BA:$BA,$A$14)*COUNTIFS('3_BD instruction total'!$C:$C,"non",'3_BD instruction total'!$A:$A,F$29,'3_BD instruction total'!$BA:$BA,$A$14)</f>
        <v>#DIV/0!</v>
      </c>
      <c r="G30" s="105">
        <f>G14*T4</f>
        <v>1463438.0219886578</v>
      </c>
    </row>
    <row r="31" spans="1:9">
      <c r="A31" s="104" t="s">
        <v>713</v>
      </c>
      <c r="B31" s="346">
        <f>AVERAGEIFS('3_BD instruction total'!$BQ:$BQ,'3_BD instruction total'!$C:$C,"non",'3_BD instruction total'!$A:$A,B$13,'3_BD instruction total'!$BA:$BA,$A$15)*COUNTIFS('3_BD instruction total'!$C:$C,"non",'3_BD instruction total'!$A:$A,B$29,'3_BD instruction total'!$BA:$BA,$A$15)</f>
        <v>30500.872899999998</v>
      </c>
      <c r="C31" s="346">
        <f>AVERAGEIFS('3_BD instruction total'!$BQ:$BQ,'3_BD instruction total'!$C:$C,"non",'3_BD instruction total'!$A:$A,C$13,'3_BD instruction total'!$BA:$BA,$A$15)*COUNTIFS('3_BD instruction total'!$C:$C,"non",'3_BD instruction total'!$A:$A,C$29,'3_BD instruction total'!$BA:$BA,$A$15)</f>
        <v>525481.87994999997</v>
      </c>
      <c r="D31" s="346">
        <f>AVERAGEIFS('3_BD instruction total'!$BQ:$BQ,'3_BD instruction total'!$C:$C,"non",'3_BD instruction total'!$A:$A,D$13,'3_BD instruction total'!$BA:$BA,$A$15)*COUNTIFS('3_BD instruction total'!$C:$C,"non",'3_BD instruction total'!$A:$A,D$29,'3_BD instruction total'!$BA:$BA,$A$15)</f>
        <v>617226.73340000014</v>
      </c>
      <c r="E31" s="346" t="e">
        <f>AVERAGEIFS('3_BD instruction total'!$BQ:$BQ,'3_BD instruction total'!$C:$C,"non",'3_BD instruction total'!$A:$A,E$13,'3_BD instruction total'!$BA:$BA,$A$15)*COUNTIFS('3_BD instruction total'!$C:$C,"non",'3_BD instruction total'!$A:$A,E$29,'3_BD instruction total'!$BA:$BA,$A$15)</f>
        <v>#DIV/0!</v>
      </c>
      <c r="F31" s="346" t="e">
        <f>AVERAGEIFS('3_BD instruction total'!$BQ:$BQ,'3_BD instruction total'!$C:$C,"non",'3_BD instruction total'!$A:$A,F$13,'3_BD instruction total'!$BA:$BA,$A$15)*COUNTIFS('3_BD instruction total'!$C:$C,"non",'3_BD instruction total'!$A:$A,F$29,'3_BD instruction total'!$BA:$BA,$A$15)</f>
        <v>#DIV/0!</v>
      </c>
      <c r="G31" s="105">
        <f>G15*T5</f>
        <v>1149126.3823295448</v>
      </c>
    </row>
    <row r="32" spans="1:9" ht="15" thickBot="1">
      <c r="A32" s="106" t="s">
        <v>714</v>
      </c>
      <c r="B32" s="347">
        <f t="shared" ref="B32:G32" si="7">B30+B31</f>
        <v>67477.599549999999</v>
      </c>
      <c r="C32" s="347">
        <f t="shared" si="7"/>
        <v>1227511.9468150004</v>
      </c>
      <c r="D32" s="347">
        <f t="shared" si="7"/>
        <v>1378789.2271210824</v>
      </c>
      <c r="E32" s="347" t="e">
        <f t="shared" si="7"/>
        <v>#DIV/0!</v>
      </c>
      <c r="F32" s="347" t="e">
        <f t="shared" si="7"/>
        <v>#DIV/0!</v>
      </c>
      <c r="G32" s="348">
        <f t="shared" si="7"/>
        <v>2612564.4043182023</v>
      </c>
    </row>
    <row r="34" spans="1:49" ht="15" customHeight="1">
      <c r="A34" s="395" t="s">
        <v>916</v>
      </c>
      <c r="B34" s="395"/>
      <c r="C34" s="143"/>
      <c r="D34" s="395" t="s">
        <v>923</v>
      </c>
      <c r="E34" s="395"/>
      <c r="F34" s="143"/>
      <c r="G34" s="395" t="s">
        <v>925</v>
      </c>
      <c r="H34" s="395"/>
      <c r="I34" s="143"/>
      <c r="J34" s="395" t="s">
        <v>926</v>
      </c>
      <c r="K34" s="395"/>
      <c r="L34" s="143"/>
      <c r="M34" s="395" t="s">
        <v>1064</v>
      </c>
      <c r="N34" s="395"/>
      <c r="O34" s="143"/>
      <c r="P34" s="395" t="s">
        <v>926</v>
      </c>
      <c r="Q34" s="395"/>
      <c r="R34" s="143"/>
      <c r="AS34"/>
      <c r="AT34"/>
      <c r="AU34" s="153"/>
      <c r="AV34" s="153"/>
      <c r="AW34" s="153"/>
    </row>
    <row r="35" spans="1:49">
      <c r="A35"/>
      <c r="B35"/>
      <c r="C35" s="143"/>
      <c r="D35"/>
      <c r="E35"/>
      <c r="F35" s="143"/>
      <c r="G35"/>
      <c r="H35"/>
      <c r="I35" s="143"/>
      <c r="J35"/>
      <c r="K35"/>
      <c r="L35" s="143"/>
      <c r="M35" s="153"/>
      <c r="N35" s="153"/>
      <c r="O35" s="143"/>
      <c r="P35"/>
      <c r="Q35"/>
      <c r="R35" s="143"/>
      <c r="AS35"/>
      <c r="AT35"/>
      <c r="AU35" s="153"/>
      <c r="AV35" s="153"/>
      <c r="AW35" s="153"/>
    </row>
    <row r="36" spans="1:49">
      <c r="A36"/>
      <c r="B36"/>
      <c r="C36" s="143"/>
      <c r="D36" s="340" t="s">
        <v>179</v>
      </c>
      <c r="E36" s="364" t="s">
        <v>621</v>
      </c>
      <c r="F36" s="143"/>
      <c r="G36" s="340" t="s">
        <v>179</v>
      </c>
      <c r="H36" s="364" t="s">
        <v>621</v>
      </c>
      <c r="I36" s="143"/>
      <c r="J36" s="340" t="s">
        <v>179</v>
      </c>
      <c r="K36" s="364" t="s">
        <v>621</v>
      </c>
      <c r="L36" s="143"/>
      <c r="M36"/>
      <c r="N36"/>
      <c r="O36" s="143"/>
      <c r="P36" s="340" t="s">
        <v>179</v>
      </c>
      <c r="Q36" s="364" t="s">
        <v>621</v>
      </c>
      <c r="R36" s="143"/>
      <c r="AS36"/>
      <c r="AT36"/>
      <c r="AU36" s="153"/>
      <c r="AV36" s="153"/>
      <c r="AW36" s="153"/>
    </row>
    <row r="37" spans="1:49">
      <c r="A37" s="153"/>
      <c r="B37" s="153"/>
      <c r="C37" s="143"/>
      <c r="D37" s="153"/>
      <c r="E37" s="153"/>
      <c r="F37" s="143"/>
      <c r="G37" s="153"/>
      <c r="H37" s="153"/>
      <c r="I37" s="143"/>
      <c r="J37" s="153"/>
      <c r="K37" s="153"/>
      <c r="L37" s="143"/>
      <c r="M37" s="153"/>
      <c r="N37" s="153"/>
      <c r="O37" s="143"/>
      <c r="P37" s="153"/>
      <c r="Q37" s="153"/>
      <c r="R37" s="143"/>
      <c r="AS37"/>
      <c r="AT37"/>
      <c r="AU37" s="153"/>
      <c r="AV37" s="153"/>
      <c r="AW37" s="153"/>
    </row>
    <row r="38" spans="1:49">
      <c r="A38" s="340" t="s">
        <v>282</v>
      </c>
      <c r="B38"/>
      <c r="C38" s="143"/>
      <c r="D38" s="340" t="s">
        <v>282</v>
      </c>
      <c r="E38"/>
      <c r="F38" s="143"/>
      <c r="G38" s="340" t="s">
        <v>282</v>
      </c>
      <c r="H38"/>
      <c r="I38" s="143"/>
      <c r="J38" s="340" t="s">
        <v>282</v>
      </c>
      <c r="K38"/>
      <c r="L38" s="143"/>
      <c r="M38" s="340" t="s">
        <v>282</v>
      </c>
      <c r="N38"/>
      <c r="O38" s="143"/>
      <c r="P38" s="340" t="s">
        <v>282</v>
      </c>
      <c r="Q38"/>
      <c r="R38" s="143"/>
      <c r="AS38"/>
      <c r="AT38"/>
      <c r="AU38" s="153"/>
      <c r="AV38" s="153"/>
      <c r="AW38" s="153"/>
    </row>
    <row r="39" spans="1:49">
      <c r="A39" s="72">
        <v>2020</v>
      </c>
      <c r="B39"/>
      <c r="C39" s="143"/>
      <c r="D39" s="72">
        <v>2020</v>
      </c>
      <c r="E39"/>
      <c r="F39" s="143"/>
      <c r="G39" s="72" t="s">
        <v>618</v>
      </c>
      <c r="H39"/>
      <c r="I39" s="143"/>
      <c r="J39" s="72">
        <v>2020</v>
      </c>
      <c r="K39"/>
      <c r="L39" s="143"/>
      <c r="M39" s="72" t="s">
        <v>1880</v>
      </c>
      <c r="N39"/>
      <c r="O39" s="143"/>
      <c r="P39" s="72" t="s">
        <v>380</v>
      </c>
      <c r="Q39"/>
      <c r="R39" s="143"/>
      <c r="AS39"/>
      <c r="AT39"/>
      <c r="AU39" s="153"/>
      <c r="AV39" s="153"/>
      <c r="AW39" s="153"/>
    </row>
    <row r="40" spans="1:49">
      <c r="A40" s="72">
        <v>2021</v>
      </c>
      <c r="B40"/>
      <c r="C40" s="143"/>
      <c r="D40" s="72">
        <v>2021</v>
      </c>
      <c r="E40"/>
      <c r="F40" s="143"/>
      <c r="G40" s="5">
        <v>2020</v>
      </c>
      <c r="H40"/>
      <c r="I40" s="143"/>
      <c r="J40" s="72">
        <v>2021</v>
      </c>
      <c r="K40"/>
      <c r="L40" s="143"/>
      <c r="M40" s="5">
        <v>2020</v>
      </c>
      <c r="N40"/>
      <c r="O40" s="143"/>
      <c r="P40" s="5">
        <v>2020</v>
      </c>
      <c r="Q40"/>
      <c r="R40" s="143"/>
      <c r="AS40"/>
      <c r="AT40"/>
      <c r="AU40" s="153"/>
      <c r="AV40" s="153"/>
      <c r="AW40" s="153"/>
    </row>
    <row r="41" spans="1:49">
      <c r="A41" s="72">
        <v>2022</v>
      </c>
      <c r="B41"/>
      <c r="C41" s="143"/>
      <c r="D41" s="72">
        <v>2022</v>
      </c>
      <c r="E41"/>
      <c r="F41" s="143"/>
      <c r="G41" s="5">
        <v>2021</v>
      </c>
      <c r="H41"/>
      <c r="I41" s="143"/>
      <c r="J41" s="72">
        <v>2022</v>
      </c>
      <c r="K41"/>
      <c r="L41" s="143"/>
      <c r="M41" s="5">
        <v>2021</v>
      </c>
      <c r="N41"/>
      <c r="O41" s="143"/>
      <c r="P41" s="5">
        <v>2021</v>
      </c>
      <c r="Q41"/>
      <c r="R41" s="143"/>
      <c r="AS41"/>
      <c r="AT41"/>
      <c r="AU41" s="153"/>
      <c r="AV41" s="153"/>
      <c r="AW41" s="153"/>
    </row>
    <row r="42" spans="1:49">
      <c r="A42" s="72" t="s">
        <v>284</v>
      </c>
      <c r="B42"/>
      <c r="C42" s="143"/>
      <c r="D42" s="72" t="s">
        <v>284</v>
      </c>
      <c r="E42"/>
      <c r="F42" s="143"/>
      <c r="G42" s="5">
        <v>2022</v>
      </c>
      <c r="H42"/>
      <c r="I42" s="143"/>
      <c r="J42" s="72" t="s">
        <v>284</v>
      </c>
      <c r="K42"/>
      <c r="L42" s="143"/>
      <c r="M42" s="5">
        <v>2022</v>
      </c>
      <c r="N42"/>
      <c r="O42" s="143"/>
      <c r="P42" s="5">
        <v>2022</v>
      </c>
      <c r="Q42"/>
      <c r="R42" s="143"/>
      <c r="AS42"/>
      <c r="AT42"/>
      <c r="AU42" s="153"/>
      <c r="AV42" s="153"/>
      <c r="AW42" s="153"/>
    </row>
    <row r="43" spans="1:49">
      <c r="A43"/>
      <c r="B43"/>
      <c r="C43" s="143"/>
      <c r="D43"/>
      <c r="E43"/>
      <c r="F43" s="143"/>
      <c r="G43" s="72" t="s">
        <v>620</v>
      </c>
      <c r="H43"/>
      <c r="I43" s="143"/>
      <c r="J43"/>
      <c r="K43"/>
      <c r="L43" s="143"/>
      <c r="M43" s="72" t="s">
        <v>284</v>
      </c>
      <c r="N43"/>
      <c r="O43" s="143"/>
      <c r="P43" s="72" t="s">
        <v>267</v>
      </c>
      <c r="Q43"/>
      <c r="R43" s="143"/>
      <c r="AS43"/>
      <c r="AT43"/>
      <c r="AU43" s="153"/>
      <c r="AV43" s="153"/>
      <c r="AW43" s="153"/>
    </row>
    <row r="44" spans="1:49">
      <c r="A44"/>
      <c r="B44"/>
      <c r="C44" s="143"/>
      <c r="D44"/>
      <c r="E44"/>
      <c r="F44" s="143"/>
      <c r="G44" s="5">
        <v>2020</v>
      </c>
      <c r="H44"/>
      <c r="I44" s="143"/>
      <c r="J44"/>
      <c r="K44"/>
      <c r="L44" s="143"/>
      <c r="M44"/>
      <c r="N44"/>
      <c r="O44" s="143"/>
      <c r="P44" s="72" t="s">
        <v>284</v>
      </c>
      <c r="Q44"/>
      <c r="R44" s="143"/>
      <c r="AS44"/>
      <c r="AT44"/>
      <c r="AU44" s="153"/>
      <c r="AV44" s="153"/>
      <c r="AW44" s="153"/>
    </row>
    <row r="45" spans="1:49">
      <c r="A45"/>
      <c r="B45"/>
      <c r="C45" s="143"/>
      <c r="D45"/>
      <c r="E45"/>
      <c r="F45" s="143"/>
      <c r="G45" s="5">
        <v>2021</v>
      </c>
      <c r="H45"/>
      <c r="I45" s="143"/>
      <c r="J45"/>
      <c r="K45"/>
      <c r="L45" s="143"/>
      <c r="M45"/>
      <c r="N45"/>
      <c r="O45" s="143"/>
      <c r="P45"/>
      <c r="Q45"/>
      <c r="R45" s="143"/>
      <c r="AS45"/>
      <c r="AT45"/>
      <c r="AU45" s="153"/>
      <c r="AV45" s="153"/>
      <c r="AW45" s="153"/>
    </row>
    <row r="46" spans="1:49">
      <c r="A46"/>
      <c r="B46"/>
      <c r="C46" s="143"/>
      <c r="D46"/>
      <c r="E46"/>
      <c r="F46" s="143"/>
      <c r="G46" s="5">
        <v>2022</v>
      </c>
      <c r="H46"/>
      <c r="I46" s="143"/>
      <c r="J46"/>
      <c r="K46"/>
      <c r="L46" s="143"/>
      <c r="M46"/>
      <c r="N46"/>
      <c r="O46" s="143"/>
      <c r="P46"/>
      <c r="Q46"/>
      <c r="R46" s="143"/>
      <c r="AS46"/>
      <c r="AT46"/>
      <c r="AU46" s="153"/>
      <c r="AV46" s="153"/>
      <c r="AW46" s="153"/>
    </row>
    <row r="47" spans="1:49">
      <c r="A47"/>
      <c r="B47"/>
      <c r="D47"/>
      <c r="E47"/>
      <c r="G47" s="72" t="s">
        <v>284</v>
      </c>
      <c r="H47"/>
      <c r="J47"/>
      <c r="K47"/>
      <c r="M47"/>
      <c r="N47"/>
      <c r="P47"/>
      <c r="Q47"/>
      <c r="AS47"/>
      <c r="AT47"/>
      <c r="AU47" s="153"/>
      <c r="AV47" s="153"/>
      <c r="AW47" s="153"/>
    </row>
    <row r="48" spans="1:49">
      <c r="A48"/>
      <c r="B48"/>
      <c r="D48"/>
      <c r="E48"/>
      <c r="G48"/>
      <c r="H48"/>
      <c r="J48"/>
      <c r="K48"/>
      <c r="M48"/>
      <c r="N48"/>
      <c r="P48"/>
      <c r="Q48"/>
      <c r="AS48"/>
      <c r="AT48"/>
      <c r="AU48" s="153"/>
      <c r="AV48" s="153"/>
      <c r="AW48" s="153"/>
    </row>
    <row r="49" spans="1:49">
      <c r="A49"/>
      <c r="B49"/>
      <c r="D49"/>
      <c r="E49"/>
      <c r="G49"/>
      <c r="H49"/>
      <c r="J49"/>
      <c r="K49"/>
      <c r="M49"/>
      <c r="N49"/>
      <c r="P49"/>
      <c r="Q49"/>
      <c r="AS49"/>
      <c r="AT49"/>
      <c r="AU49" s="153"/>
      <c r="AV49" s="153"/>
      <c r="AW49" s="153"/>
    </row>
    <row r="50" spans="1:49">
      <c r="A50"/>
      <c r="B50"/>
      <c r="D50"/>
      <c r="E50"/>
      <c r="G50"/>
      <c r="H50"/>
      <c r="M50"/>
      <c r="N50"/>
      <c r="P50"/>
      <c r="Q50"/>
      <c r="AS50"/>
      <c r="AT50"/>
      <c r="AU50" s="153"/>
      <c r="AV50" s="153"/>
      <c r="AW50" s="153"/>
    </row>
    <row r="51" spans="1:49">
      <c r="A51"/>
      <c r="B51"/>
      <c r="D51"/>
      <c r="E51"/>
      <c r="G51"/>
      <c r="H51"/>
      <c r="M51"/>
      <c r="N51"/>
      <c r="P51"/>
      <c r="Q51"/>
      <c r="AS51"/>
      <c r="AT51"/>
      <c r="AU51" s="153"/>
      <c r="AV51" s="153"/>
      <c r="AW51" s="153"/>
    </row>
    <row r="52" spans="1:49">
      <c r="A52"/>
      <c r="B52"/>
      <c r="D52"/>
      <c r="E52"/>
      <c r="G52"/>
      <c r="H52"/>
      <c r="M52"/>
      <c r="N52"/>
      <c r="P52"/>
      <c r="Q52"/>
      <c r="AS52"/>
      <c r="AT52"/>
      <c r="AU52" s="153"/>
      <c r="AV52" s="153"/>
      <c r="AW52" s="153"/>
    </row>
    <row r="53" spans="1:49">
      <c r="A53"/>
      <c r="B53"/>
      <c r="D53"/>
      <c r="E53"/>
      <c r="G53"/>
      <c r="H53"/>
      <c r="M53"/>
      <c r="N53"/>
      <c r="P53"/>
      <c r="Q53"/>
      <c r="AS53"/>
      <c r="AT53"/>
      <c r="AU53" s="153"/>
      <c r="AV53" s="153"/>
      <c r="AW53" s="153"/>
    </row>
    <row r="54" spans="1:49">
      <c r="A54"/>
      <c r="B54"/>
      <c r="D54"/>
      <c r="E54"/>
      <c r="G54"/>
      <c r="H54"/>
      <c r="M54"/>
      <c r="N54"/>
      <c r="P54"/>
      <c r="Q54"/>
      <c r="AS54"/>
      <c r="AT54"/>
      <c r="AU54" s="153"/>
      <c r="AV54" s="153"/>
      <c r="AW54" s="153"/>
    </row>
    <row r="55" spans="1:49">
      <c r="A55"/>
      <c r="B55"/>
      <c r="D55"/>
      <c r="E55"/>
      <c r="G55"/>
      <c r="H55"/>
      <c r="M55"/>
      <c r="N55"/>
      <c r="P55"/>
      <c r="Q55"/>
      <c r="AS55"/>
      <c r="AT55"/>
      <c r="AU55" s="153"/>
      <c r="AV55" s="153"/>
      <c r="AW55" s="153"/>
    </row>
    <row r="56" spans="1:49">
      <c r="A56"/>
      <c r="B56"/>
      <c r="D56"/>
      <c r="E56"/>
      <c r="G56"/>
      <c r="H56"/>
      <c r="M56"/>
      <c r="N56"/>
      <c r="P56"/>
      <c r="Q56"/>
      <c r="AS56"/>
      <c r="AT56"/>
      <c r="AU56" s="153"/>
      <c r="AV56" s="153"/>
      <c r="AW56" s="153"/>
    </row>
    <row r="57" spans="1:49">
      <c r="A57"/>
      <c r="B57"/>
      <c r="D57"/>
      <c r="E57"/>
      <c r="G57"/>
      <c r="H57"/>
      <c r="M57"/>
      <c r="N57"/>
      <c r="P57"/>
      <c r="Q57"/>
      <c r="AS57"/>
      <c r="AT57"/>
      <c r="AU57" s="153"/>
      <c r="AV57" s="153"/>
      <c r="AW57" s="153"/>
    </row>
    <row r="58" spans="1:49">
      <c r="A58"/>
      <c r="B58"/>
      <c r="D58"/>
      <c r="E58"/>
      <c r="M58"/>
      <c r="N58"/>
      <c r="P58"/>
      <c r="Q58"/>
      <c r="S58"/>
      <c r="T58"/>
      <c r="V58"/>
      <c r="W58"/>
      <c r="AS58"/>
      <c r="AT58"/>
      <c r="AU58" s="153"/>
      <c r="AV58" s="153"/>
      <c r="AW58" s="153"/>
    </row>
    <row r="59" spans="1:49">
      <c r="A59"/>
      <c r="B59"/>
      <c r="D59"/>
      <c r="E59"/>
      <c r="M59"/>
      <c r="N59"/>
      <c r="P59"/>
      <c r="Q59"/>
      <c r="S59"/>
      <c r="T59"/>
      <c r="V59"/>
      <c r="W59"/>
      <c r="AS59"/>
      <c r="AT59"/>
      <c r="AU59" s="153"/>
      <c r="AV59" s="153"/>
      <c r="AW59" s="153"/>
    </row>
    <row r="60" spans="1:49">
      <c r="A60"/>
      <c r="B60"/>
      <c r="M60"/>
      <c r="N60"/>
      <c r="P60"/>
      <c r="Q60"/>
      <c r="S60"/>
      <c r="T60"/>
      <c r="V60"/>
      <c r="W60"/>
      <c r="AS60"/>
      <c r="AT60"/>
      <c r="AU60" s="153"/>
      <c r="AV60" s="153"/>
      <c r="AW60" s="153"/>
    </row>
    <row r="61" spans="1:49">
      <c r="A61"/>
      <c r="B61"/>
      <c r="J61"/>
      <c r="K61"/>
      <c r="M61"/>
      <c r="N61"/>
      <c r="P61"/>
      <c r="Q61"/>
      <c r="AS61"/>
      <c r="AT61"/>
      <c r="AU61" s="153"/>
      <c r="AV61" s="153"/>
      <c r="AW61" s="153"/>
    </row>
    <row r="62" spans="1:49">
      <c r="A62"/>
      <c r="B62"/>
      <c r="J62"/>
      <c r="K62"/>
      <c r="M62"/>
      <c r="N62"/>
      <c r="P62"/>
      <c r="Q62"/>
      <c r="AS62"/>
      <c r="AT62"/>
      <c r="AU62" s="153"/>
      <c r="AV62" s="153"/>
      <c r="AW62" s="153"/>
    </row>
    <row r="63" spans="1:49">
      <c r="A63"/>
      <c r="B63"/>
      <c r="J63"/>
      <c r="K63"/>
      <c r="M63"/>
      <c r="N63"/>
      <c r="P63"/>
      <c r="Q63"/>
      <c r="AS63"/>
      <c r="AT63"/>
      <c r="AU63" s="153"/>
      <c r="AV63" s="153"/>
      <c r="AW63" s="153"/>
    </row>
    <row r="64" spans="1:49">
      <c r="A64"/>
      <c r="B64"/>
      <c r="J64"/>
      <c r="K64"/>
      <c r="M64"/>
      <c r="N64"/>
      <c r="AS64"/>
      <c r="AT64"/>
      <c r="AU64" s="153"/>
      <c r="AV64" s="153"/>
      <c r="AW64" s="153"/>
    </row>
    <row r="65" spans="1:49">
      <c r="A65"/>
      <c r="B65"/>
      <c r="J65"/>
      <c r="K65"/>
      <c r="M65"/>
      <c r="N65"/>
      <c r="AS65"/>
      <c r="AT65"/>
      <c r="AU65" s="153"/>
      <c r="AV65" s="153"/>
      <c r="AW65" s="153"/>
    </row>
    <row r="66" spans="1:49">
      <c r="A66"/>
      <c r="B66"/>
      <c r="AS66"/>
      <c r="AT66"/>
      <c r="AU66" s="153"/>
      <c r="AV66" s="153"/>
      <c r="AW66" s="153"/>
    </row>
    <row r="67" spans="1:49">
      <c r="A67"/>
      <c r="B67"/>
      <c r="AS67"/>
      <c r="AT67"/>
      <c r="AU67" s="153"/>
      <c r="AV67" s="153"/>
      <c r="AW67" s="153"/>
    </row>
    <row r="68" spans="1:49">
      <c r="A68"/>
      <c r="B68"/>
      <c r="AS68"/>
      <c r="AT68"/>
      <c r="AU68" s="153"/>
      <c r="AV68" s="153"/>
      <c r="AW68" s="153"/>
    </row>
    <row r="69" spans="1:49">
      <c r="A69"/>
      <c r="B69"/>
      <c r="AS69"/>
      <c r="AT69"/>
      <c r="AU69" s="153"/>
      <c r="AV69" s="153"/>
      <c r="AW69" s="153"/>
    </row>
    <row r="70" spans="1:49">
      <c r="A70"/>
      <c r="B70"/>
      <c r="AS70"/>
      <c r="AT70"/>
      <c r="AU70" s="153"/>
      <c r="AV70" s="153"/>
      <c r="AW70" s="153"/>
    </row>
    <row r="71" spans="1:49">
      <c r="A71"/>
      <c r="B71"/>
      <c r="AS71"/>
      <c r="AT71"/>
      <c r="AU71" s="153"/>
      <c r="AV71" s="153"/>
      <c r="AW71" s="153"/>
    </row>
    <row r="72" spans="1:49">
      <c r="A72"/>
      <c r="B72"/>
      <c r="AS72"/>
      <c r="AT72"/>
      <c r="AU72" s="153"/>
      <c r="AV72" s="153"/>
      <c r="AW72" s="153"/>
    </row>
    <row r="73" spans="1:49">
      <c r="A73"/>
      <c r="B73"/>
      <c r="AS73"/>
      <c r="AT73"/>
      <c r="AU73" s="153"/>
      <c r="AV73" s="153"/>
      <c r="AW73" s="153"/>
    </row>
    <row r="74" spans="1:49">
      <c r="A74"/>
      <c r="B74"/>
      <c r="AS74"/>
      <c r="AT74"/>
      <c r="AU74" s="153"/>
      <c r="AV74" s="153"/>
      <c r="AW74" s="153"/>
    </row>
    <row r="75" spans="1:49">
      <c r="A75"/>
      <c r="B75"/>
      <c r="AS75"/>
      <c r="AT75"/>
      <c r="AU75" s="153"/>
      <c r="AV75" s="153"/>
      <c r="AW75" s="153"/>
    </row>
    <row r="76" spans="1:49">
      <c r="A76"/>
      <c r="B76"/>
      <c r="AS76"/>
      <c r="AT76"/>
      <c r="AU76" s="153"/>
      <c r="AV76" s="153"/>
      <c r="AW76" s="153"/>
    </row>
    <row r="77" spans="1:49">
      <c r="A77"/>
      <c r="B77"/>
      <c r="AS77"/>
      <c r="AT77"/>
      <c r="AU77" s="153"/>
      <c r="AV77" s="153"/>
      <c r="AW77" s="153"/>
    </row>
    <row r="78" spans="1:49">
      <c r="A78"/>
      <c r="B78"/>
      <c r="AS78"/>
      <c r="AT78"/>
      <c r="AU78" s="153"/>
      <c r="AV78" s="153"/>
      <c r="AW78" s="153"/>
    </row>
    <row r="79" spans="1:49">
      <c r="A79"/>
      <c r="B79"/>
      <c r="AS79"/>
      <c r="AT79"/>
      <c r="AU79" s="153"/>
      <c r="AV79" s="153"/>
      <c r="AW79" s="153"/>
    </row>
    <row r="80" spans="1:49">
      <c r="A80"/>
      <c r="B80"/>
      <c r="AS80"/>
      <c r="AT80"/>
      <c r="AU80" s="153"/>
      <c r="AV80" s="153"/>
      <c r="AW80" s="153"/>
    </row>
    <row r="81" spans="1:49">
      <c r="A81"/>
      <c r="B81"/>
      <c r="AS81"/>
      <c r="AT81"/>
      <c r="AU81" s="153"/>
      <c r="AV81" s="153"/>
      <c r="AW81" s="153"/>
    </row>
    <row r="82" spans="1:49">
      <c r="A82"/>
      <c r="B82"/>
      <c r="AS82"/>
      <c r="AT82"/>
      <c r="AU82" s="153"/>
      <c r="AV82" s="153"/>
      <c r="AW82" s="153"/>
    </row>
    <row r="83" spans="1:49">
      <c r="A83"/>
      <c r="B83"/>
      <c r="AS83"/>
      <c r="AT83"/>
      <c r="AU83" s="153"/>
      <c r="AV83" s="153"/>
      <c r="AW83" s="153"/>
    </row>
    <row r="84" spans="1:49">
      <c r="A84"/>
      <c r="B84"/>
      <c r="AS84"/>
      <c r="AT84"/>
      <c r="AU84" s="153"/>
      <c r="AV84" s="153"/>
      <c r="AW84" s="153"/>
    </row>
    <row r="85" spans="1:49">
      <c r="A85"/>
      <c r="B85"/>
      <c r="AS85"/>
      <c r="AT85"/>
      <c r="AU85" s="153"/>
      <c r="AV85" s="153"/>
      <c r="AW85" s="153"/>
    </row>
    <row r="86" spans="1:49">
      <c r="A86"/>
      <c r="B86"/>
      <c r="AS86"/>
      <c r="AT86"/>
      <c r="AU86" s="153"/>
      <c r="AV86" s="153"/>
      <c r="AW86" s="153"/>
    </row>
    <row r="87" spans="1:49">
      <c r="A87"/>
      <c r="B87"/>
      <c r="AS87"/>
      <c r="AT87"/>
      <c r="AU87" s="153"/>
      <c r="AV87" s="153"/>
      <c r="AW87" s="153"/>
    </row>
    <row r="88" spans="1:49">
      <c r="A88"/>
      <c r="B88"/>
      <c r="AS88"/>
      <c r="AT88"/>
      <c r="AU88" s="153"/>
      <c r="AV88" s="153"/>
      <c r="AW88" s="153"/>
    </row>
    <row r="89" spans="1:49">
      <c r="A89"/>
      <c r="B89"/>
      <c r="AS89"/>
      <c r="AT89"/>
      <c r="AU89" s="153"/>
      <c r="AV89" s="153"/>
      <c r="AW89" s="153"/>
    </row>
    <row r="90" spans="1:49">
      <c r="A90"/>
      <c r="B90"/>
      <c r="AS90"/>
      <c r="AT90"/>
      <c r="AU90" s="153"/>
      <c r="AV90" s="153"/>
      <c r="AW90" s="153"/>
    </row>
    <row r="91" spans="1:49">
      <c r="A91"/>
      <c r="B91"/>
      <c r="AS91"/>
      <c r="AT91"/>
      <c r="AU91" s="153"/>
      <c r="AV91" s="153"/>
      <c r="AW91" s="153"/>
    </row>
    <row r="92" spans="1:49">
      <c r="A92"/>
      <c r="B92"/>
      <c r="AS92"/>
      <c r="AT92"/>
      <c r="AU92" s="153"/>
      <c r="AV92" s="153"/>
      <c r="AW92" s="153"/>
    </row>
    <row r="93" spans="1:49">
      <c r="A93"/>
      <c r="B93"/>
      <c r="AS93"/>
      <c r="AT93"/>
      <c r="AU93" s="153"/>
      <c r="AV93" s="153"/>
      <c r="AW93" s="153"/>
    </row>
    <row r="94" spans="1:49">
      <c r="A94"/>
      <c r="B94"/>
      <c r="AO94"/>
      <c r="AP94"/>
      <c r="AQ94" s="153"/>
      <c r="AR94" s="153"/>
      <c r="AS94" s="153"/>
    </row>
    <row r="95" spans="1:49">
      <c r="A95"/>
      <c r="B95"/>
      <c r="AO95"/>
      <c r="AP95"/>
      <c r="AQ95" s="153"/>
      <c r="AR95" s="153"/>
      <c r="AS95" s="153"/>
    </row>
    <row r="96" spans="1:49">
      <c r="A96"/>
      <c r="B96"/>
      <c r="AO96"/>
      <c r="AP96"/>
      <c r="AQ96" s="153"/>
      <c r="AR96" s="153"/>
      <c r="AS96" s="153"/>
    </row>
    <row r="97" spans="1:45">
      <c r="A97"/>
      <c r="B97"/>
      <c r="AO97"/>
      <c r="AP97"/>
      <c r="AQ97" s="153"/>
      <c r="AR97" s="153"/>
      <c r="AS97" s="153"/>
    </row>
    <row r="98" spans="1:45">
      <c r="AO98"/>
      <c r="AP98"/>
      <c r="AQ98" s="153"/>
      <c r="AR98" s="153"/>
      <c r="AS98" s="153"/>
    </row>
    <row r="99" spans="1:45">
      <c r="AO99"/>
      <c r="AP99"/>
      <c r="AQ99" s="153"/>
      <c r="AR99" s="153"/>
      <c r="AS99" s="153"/>
    </row>
    <row r="100" spans="1:45">
      <c r="AO100"/>
      <c r="AP100"/>
      <c r="AQ100" s="153"/>
      <c r="AR100" s="153"/>
      <c r="AS100" s="153"/>
    </row>
    <row r="101" spans="1:45">
      <c r="AO101"/>
      <c r="AP101"/>
      <c r="AQ101" s="153"/>
      <c r="AR101" s="153"/>
      <c r="AS101" s="153"/>
    </row>
    <row r="102" spans="1:45">
      <c r="AO102"/>
      <c r="AP102"/>
      <c r="AQ102" s="153"/>
      <c r="AR102" s="153"/>
      <c r="AS102" s="153"/>
    </row>
    <row r="103" spans="1:45">
      <c r="AO103"/>
      <c r="AP103"/>
      <c r="AQ103" s="153"/>
      <c r="AR103" s="153"/>
      <c r="AS103" s="153"/>
    </row>
    <row r="104" spans="1:45">
      <c r="AO104"/>
      <c r="AP104"/>
      <c r="AQ104" s="153"/>
      <c r="AR104" s="153"/>
      <c r="AS104" s="153"/>
    </row>
    <row r="105" spans="1:45">
      <c r="AO105"/>
      <c r="AP105"/>
      <c r="AQ105" s="153"/>
      <c r="AR105" s="153"/>
      <c r="AS105" s="153"/>
    </row>
    <row r="106" spans="1:45">
      <c r="AO106"/>
      <c r="AP106"/>
      <c r="AQ106" s="153"/>
      <c r="AR106" s="153"/>
      <c r="AS106" s="153"/>
    </row>
    <row r="107" spans="1:45">
      <c r="AO107"/>
      <c r="AP107"/>
      <c r="AQ107" s="153"/>
      <c r="AR107" s="153"/>
      <c r="AS107" s="153"/>
    </row>
    <row r="108" spans="1:45">
      <c r="AO108"/>
      <c r="AP108"/>
      <c r="AQ108" s="153"/>
      <c r="AR108" s="153"/>
      <c r="AS108" s="153"/>
    </row>
    <row r="109" spans="1:45">
      <c r="AO109"/>
      <c r="AP109"/>
      <c r="AQ109" s="153"/>
      <c r="AR109" s="153"/>
      <c r="AS109" s="153"/>
    </row>
    <row r="110" spans="1:45">
      <c r="AO110"/>
      <c r="AP110"/>
      <c r="AQ110" s="153"/>
      <c r="AR110" s="153"/>
      <c r="AS110" s="153"/>
    </row>
    <row r="111" spans="1:45">
      <c r="AO111"/>
      <c r="AP111"/>
      <c r="AQ111" s="153"/>
      <c r="AR111" s="153"/>
      <c r="AS111" s="153"/>
    </row>
    <row r="112" spans="1:45">
      <c r="AO112"/>
      <c r="AP112"/>
      <c r="AQ112" s="153"/>
      <c r="AR112" s="153"/>
      <c r="AS112" s="153"/>
    </row>
    <row r="113" spans="41:45">
      <c r="AO113"/>
      <c r="AP113"/>
      <c r="AQ113" s="153"/>
      <c r="AR113" s="153"/>
      <c r="AS113" s="153"/>
    </row>
    <row r="114" spans="41:45">
      <c r="AO114"/>
      <c r="AP114"/>
      <c r="AQ114" s="153"/>
      <c r="AR114" s="153"/>
      <c r="AS114" s="153"/>
    </row>
    <row r="115" spans="41:45">
      <c r="AO115"/>
      <c r="AP115"/>
      <c r="AQ115" s="153"/>
      <c r="AR115" s="153"/>
      <c r="AS115" s="153"/>
    </row>
    <row r="116" spans="41:45">
      <c r="AO116"/>
      <c r="AP116"/>
      <c r="AQ116" s="153"/>
      <c r="AR116" s="153"/>
      <c r="AS116" s="153"/>
    </row>
    <row r="117" spans="41:45">
      <c r="AO117"/>
      <c r="AP117"/>
      <c r="AQ117" s="153"/>
      <c r="AR117" s="153"/>
      <c r="AS117" s="153"/>
    </row>
    <row r="118" spans="41:45">
      <c r="AO118"/>
      <c r="AP118"/>
      <c r="AQ118" s="153"/>
      <c r="AR118" s="153"/>
      <c r="AS118" s="153"/>
    </row>
    <row r="119" spans="41:45">
      <c r="AO119"/>
      <c r="AP119"/>
      <c r="AQ119" s="153"/>
      <c r="AR119" s="153"/>
      <c r="AS119" s="153"/>
    </row>
    <row r="120" spans="41:45">
      <c r="AO120"/>
      <c r="AP120"/>
      <c r="AQ120" s="153"/>
      <c r="AR120" s="153"/>
      <c r="AS120" s="153"/>
    </row>
    <row r="121" spans="41:45">
      <c r="AO121"/>
      <c r="AP121"/>
      <c r="AQ121" s="153"/>
      <c r="AR121" s="153"/>
      <c r="AS121" s="153"/>
    </row>
    <row r="122" spans="41:45">
      <c r="AO122"/>
      <c r="AP122"/>
      <c r="AQ122" s="153"/>
      <c r="AR122" s="153"/>
      <c r="AS122" s="153"/>
    </row>
    <row r="123" spans="41:45">
      <c r="AO123"/>
      <c r="AP123"/>
      <c r="AQ123" s="153"/>
      <c r="AR123" s="153"/>
      <c r="AS123" s="153"/>
    </row>
    <row r="124" spans="41:45">
      <c r="AO124"/>
      <c r="AP124"/>
      <c r="AQ124" s="153"/>
      <c r="AR124" s="153"/>
      <c r="AS124" s="153"/>
    </row>
    <row r="125" spans="41:45">
      <c r="AO125"/>
      <c r="AP125"/>
      <c r="AQ125" s="153"/>
      <c r="AR125" s="153"/>
      <c r="AS125" s="153"/>
    </row>
    <row r="126" spans="41:45">
      <c r="AO126"/>
      <c r="AP126"/>
      <c r="AQ126" s="153"/>
      <c r="AR126" s="153"/>
      <c r="AS126" s="153"/>
    </row>
    <row r="127" spans="41:45">
      <c r="AO127"/>
      <c r="AP127"/>
      <c r="AQ127" s="153"/>
      <c r="AR127" s="153"/>
      <c r="AS127" s="153"/>
    </row>
    <row r="128" spans="41:45">
      <c r="AO128"/>
      <c r="AP128"/>
      <c r="AQ128" s="153"/>
      <c r="AR128" s="153"/>
      <c r="AS128" s="153"/>
    </row>
    <row r="129" spans="41:46">
      <c r="AO129"/>
      <c r="AP129"/>
      <c r="AQ129" s="153"/>
      <c r="AR129" s="153"/>
      <c r="AS129" s="153"/>
    </row>
    <row r="130" spans="41:46">
      <c r="AO130"/>
      <c r="AP130"/>
      <c r="AQ130" s="153"/>
      <c r="AR130" s="153"/>
      <c r="AS130" s="153"/>
    </row>
    <row r="131" spans="41:46">
      <c r="AO131"/>
      <c r="AP131"/>
      <c r="AQ131" s="153"/>
      <c r="AR131" s="153"/>
      <c r="AS131" s="153"/>
    </row>
    <row r="132" spans="41:46">
      <c r="AO132"/>
      <c r="AP132"/>
      <c r="AQ132" s="153"/>
      <c r="AR132" s="153"/>
      <c r="AS132" s="153"/>
    </row>
    <row r="133" spans="41:46">
      <c r="AO133"/>
      <c r="AP133"/>
      <c r="AQ133" s="153"/>
      <c r="AR133" s="153"/>
      <c r="AS133" s="153"/>
    </row>
    <row r="134" spans="41:46">
      <c r="AO134"/>
      <c r="AP134"/>
      <c r="AQ134" s="153"/>
      <c r="AR134" s="153"/>
      <c r="AS134" s="153"/>
    </row>
    <row r="135" spans="41:46">
      <c r="AO135"/>
      <c r="AP135"/>
      <c r="AQ135" s="153"/>
      <c r="AR135" s="153"/>
      <c r="AS135" s="153"/>
    </row>
    <row r="136" spans="41:46">
      <c r="AO136"/>
      <c r="AP136"/>
      <c r="AQ136" s="153"/>
      <c r="AR136" s="153"/>
      <c r="AS136" s="153"/>
    </row>
    <row r="137" spans="41:46">
      <c r="AO137"/>
      <c r="AP137"/>
      <c r="AQ137" s="153"/>
      <c r="AR137" s="153"/>
      <c r="AS137" s="153"/>
    </row>
    <row r="138" spans="41:46">
      <c r="AO138"/>
      <c r="AP138"/>
      <c r="AQ138" s="153"/>
      <c r="AR138" s="153"/>
      <c r="AS138" s="153"/>
    </row>
    <row r="139" spans="41:46">
      <c r="AO139"/>
      <c r="AP139"/>
      <c r="AQ139" s="153"/>
      <c r="AR139" s="153"/>
      <c r="AS139" s="153"/>
    </row>
    <row r="140" spans="41:46">
      <c r="AP140"/>
      <c r="AQ140"/>
      <c r="AR140" s="153"/>
      <c r="AS140" s="153"/>
      <c r="AT140" s="153"/>
    </row>
    <row r="141" spans="41:46">
      <c r="AP141"/>
      <c r="AQ141"/>
      <c r="AR141" s="153"/>
      <c r="AS141" s="153"/>
      <c r="AT141" s="153"/>
    </row>
    <row r="142" spans="41:46">
      <c r="AP142"/>
      <c r="AQ142"/>
      <c r="AR142" s="153"/>
      <c r="AS142" s="153"/>
      <c r="AT142" s="153"/>
    </row>
    <row r="143" spans="41:46">
      <c r="AP143"/>
      <c r="AQ143"/>
      <c r="AR143" s="153"/>
      <c r="AS143" s="153"/>
      <c r="AT143" s="153"/>
    </row>
    <row r="144" spans="41:46">
      <c r="AP144"/>
      <c r="AQ144"/>
      <c r="AR144" s="153"/>
      <c r="AS144" s="153"/>
      <c r="AT144" s="153"/>
    </row>
    <row r="145" spans="42:46">
      <c r="AP145"/>
      <c r="AQ145"/>
      <c r="AR145" s="153"/>
      <c r="AS145" s="153"/>
      <c r="AT145" s="153"/>
    </row>
    <row r="146" spans="42:46">
      <c r="AP146"/>
      <c r="AQ146"/>
      <c r="AR146" s="153"/>
      <c r="AS146" s="153"/>
      <c r="AT146" s="153"/>
    </row>
    <row r="147" spans="42:46">
      <c r="AP147"/>
      <c r="AQ147"/>
      <c r="AR147" s="153"/>
      <c r="AS147" s="153"/>
      <c r="AT147" s="153"/>
    </row>
    <row r="148" spans="42:46">
      <c r="AP148"/>
      <c r="AQ148"/>
      <c r="AR148" s="153"/>
      <c r="AS148" s="153"/>
      <c r="AT148" s="153"/>
    </row>
    <row r="149" spans="42:46">
      <c r="AP149"/>
      <c r="AQ149"/>
      <c r="AR149" s="153"/>
      <c r="AS149" s="153"/>
      <c r="AT149" s="153"/>
    </row>
  </sheetData>
  <mergeCells count="9">
    <mergeCell ref="P34:Q34"/>
    <mergeCell ref="G34:H34"/>
    <mergeCell ref="M34:N34"/>
    <mergeCell ref="H27:I27"/>
    <mergeCell ref="H13:I13"/>
    <mergeCell ref="H17:I17"/>
    <mergeCell ref="D34:E34"/>
    <mergeCell ref="J34:K34"/>
    <mergeCell ref="A34:B34"/>
  </mergeCells>
  <pageMargins left="0.7" right="0.7" top="0.75" bottom="0.75" header="0.3" footer="0.3"/>
  <pageSetup paperSize="9" orientation="portrait" r:id="rId7"/>
  <drawing r:id="rId8"/>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4"/>
  <sheetViews>
    <sheetView topLeftCell="A7" workbookViewId="0"/>
  </sheetViews>
  <sheetFormatPr baseColWidth="10" defaultRowHeight="14.5"/>
  <cols>
    <col min="1" max="1" width="14.7265625" customWidth="1"/>
    <col min="2" max="2" width="21" customWidth="1"/>
    <col min="3" max="3" width="24.453125" customWidth="1"/>
    <col min="22" max="23" width="16" customWidth="1"/>
  </cols>
  <sheetData>
    <row r="1" spans="1:13" s="203" customFormat="1">
      <c r="A1" s="40" t="s">
        <v>1220</v>
      </c>
      <c r="B1" s="215" t="s">
        <v>4107</v>
      </c>
    </row>
    <row r="3" spans="1:13" ht="29">
      <c r="A3" s="108"/>
      <c r="B3" s="99">
        <v>2020</v>
      </c>
      <c r="C3" s="99">
        <v>2020</v>
      </c>
      <c r="D3" s="99">
        <v>2021</v>
      </c>
      <c r="E3" s="99">
        <v>2021</v>
      </c>
      <c r="F3" s="99">
        <v>2022</v>
      </c>
      <c r="G3" s="99">
        <v>2022</v>
      </c>
      <c r="H3" s="99">
        <v>2023</v>
      </c>
      <c r="I3" s="99">
        <v>2023</v>
      </c>
      <c r="J3" s="99">
        <v>2024</v>
      </c>
      <c r="K3" s="99">
        <v>2024</v>
      </c>
      <c r="L3" s="58" t="str">
        <f>B1</f>
        <v>2020-2022</v>
      </c>
      <c r="M3" s="58" t="str">
        <f>CONCATENATE(L3,CHAR(10),"N=",L6)</f>
        <v>2020-2022
N=424</v>
      </c>
    </row>
    <row r="4" spans="1:13">
      <c r="A4" s="57" t="s">
        <v>927</v>
      </c>
      <c r="B4" s="84">
        <f>COUNTIFS('3_BD instruction total'!$A:$A,B3,'3_BD instruction total'!$C:$C,"non",'3_BD instruction total'!$D:$D,"maj")</f>
        <v>1</v>
      </c>
      <c r="C4" s="62">
        <f>B4/$B$6</f>
        <v>9.0909090909090912E-2</v>
      </c>
      <c r="D4" s="84">
        <f>COUNTIFS('3_BD instruction total'!$A:$A,D3,'3_BD instruction total'!$C:$C,"non",'3_BD instruction total'!$D:$D,"maj")</f>
        <v>66</v>
      </c>
      <c r="E4" s="62">
        <f>D4/D$6</f>
        <v>0.32038834951456313</v>
      </c>
      <c r="F4" s="84">
        <f>COUNTIFS('3_BD instruction total'!$A:$A,F3,'3_BD instruction total'!$C:$C,"non",'3_BD instruction total'!$D:$D,"maj")</f>
        <v>73</v>
      </c>
      <c r="G4" s="62">
        <f>F4/F$6</f>
        <v>0.35265700483091789</v>
      </c>
      <c r="H4" s="84">
        <f>COUNTIFS('3_BD instruction total'!$A:$A,H3,'3_BD instruction total'!$C:$C,"non",'3_BD instruction total'!$D:$D,"maj")</f>
        <v>0</v>
      </c>
      <c r="I4" s="62" t="e">
        <f>H4/H$6</f>
        <v>#DIV/0!</v>
      </c>
      <c r="J4" s="84">
        <f>COUNTIFS('3_BD instruction total'!$A:$A,J3,'3_BD instruction total'!$C:$C,"non",'3_BD instruction total'!$D:$D,"maj")</f>
        <v>0</v>
      </c>
      <c r="K4" s="62" t="e">
        <f>J4/J$6</f>
        <v>#DIV/0!</v>
      </c>
      <c r="L4" s="58">
        <f>B4+D4+F4+H4+J4</f>
        <v>140</v>
      </c>
      <c r="M4" s="61">
        <f>L4/L$6</f>
        <v>0.330188679245283</v>
      </c>
    </row>
    <row r="5" spans="1:13" ht="29">
      <c r="A5" s="57" t="s">
        <v>928</v>
      </c>
      <c r="B5" s="84">
        <f>COUNTIFS('3_BD instruction total'!$A:$A,B3,'3_BD instruction total'!$C:$C,"non",'3_BD instruction total'!$D:$D,"non maj")</f>
        <v>10</v>
      </c>
      <c r="C5" s="62">
        <f>B5/$B$6</f>
        <v>0.90909090909090906</v>
      </c>
      <c r="D5" s="84">
        <f>COUNTIFS('3_BD instruction total'!$A:$A,D3,'3_BD instruction total'!$C:$C,"non",'3_BD instruction total'!$D:$D,"non maj")</f>
        <v>140</v>
      </c>
      <c r="E5" s="62">
        <f>D5/D$6</f>
        <v>0.67961165048543692</v>
      </c>
      <c r="F5" s="84">
        <f>COUNTIFS('3_BD instruction total'!$A:$A,F3,'3_BD instruction total'!$C:$C,"non",'3_BD instruction total'!$D:$D,"non maj")</f>
        <v>134</v>
      </c>
      <c r="G5" s="62">
        <f>F5/F$6</f>
        <v>0.64734299516908211</v>
      </c>
      <c r="H5" s="84">
        <f>COUNTIFS('3_BD instruction total'!$A:$A,H3,'3_BD instruction total'!$C:$C,"non",'3_BD instruction total'!$D:$D,"non maj")</f>
        <v>0</v>
      </c>
      <c r="I5" s="62" t="e">
        <f>H5/H$6</f>
        <v>#DIV/0!</v>
      </c>
      <c r="J5" s="84">
        <f>COUNTIFS('3_BD instruction total'!$A:$A,J3,'3_BD instruction total'!$C:$C,"non",'3_BD instruction total'!$D:$D,"non maj")</f>
        <v>0</v>
      </c>
      <c r="K5" s="62" t="e">
        <f>J5/J$6</f>
        <v>#DIV/0!</v>
      </c>
      <c r="L5" s="58">
        <f>B5+D5+F5+H5+J5</f>
        <v>284</v>
      </c>
      <c r="M5" s="61">
        <f>L5/L$6</f>
        <v>0.66981132075471694</v>
      </c>
    </row>
    <row r="6" spans="1:13">
      <c r="A6" s="57" t="s">
        <v>438</v>
      </c>
      <c r="B6" s="84">
        <f>SUM(B4:B5)</f>
        <v>11</v>
      </c>
      <c r="C6" s="62">
        <f>B6/B$6</f>
        <v>1</v>
      </c>
      <c r="D6" s="84">
        <f>SUM(D4:D5)</f>
        <v>206</v>
      </c>
      <c r="E6" s="62">
        <f>D6/D$6</f>
        <v>1</v>
      </c>
      <c r="F6" s="84">
        <f>SUM(F4:F5)</f>
        <v>207</v>
      </c>
      <c r="G6" s="62">
        <f>F6/F$6</f>
        <v>1</v>
      </c>
      <c r="H6" s="84">
        <f>SUM(H4:H5)</f>
        <v>0</v>
      </c>
      <c r="I6" s="62" t="e">
        <f>H6/H$6</f>
        <v>#DIV/0!</v>
      </c>
      <c r="J6" s="84">
        <f>SUM(J4:J5)</f>
        <v>0</v>
      </c>
      <c r="K6" s="62" t="e">
        <f>J6/J$6</f>
        <v>#DIV/0!</v>
      </c>
      <c r="L6" s="60">
        <f>SUM(L4:L5)</f>
        <v>424</v>
      </c>
      <c r="M6" s="62">
        <f>L6/$L$6</f>
        <v>1</v>
      </c>
    </row>
    <row r="7" spans="1:13">
      <c r="E7" s="153"/>
      <c r="F7" s="153"/>
      <c r="G7" s="153"/>
    </row>
    <row r="9" spans="1:13">
      <c r="B9" s="395" t="s">
        <v>1223</v>
      </c>
      <c r="C9" s="395"/>
      <c r="D9" s="143"/>
    </row>
    <row r="10" spans="1:13">
      <c r="D10" s="143"/>
    </row>
    <row r="11" spans="1:13">
      <c r="B11" s="153"/>
      <c r="C11" s="153"/>
      <c r="D11" s="143"/>
    </row>
    <row r="12" spans="1:13">
      <c r="B12" s="340" t="s">
        <v>282</v>
      </c>
      <c r="C12" t="s">
        <v>909</v>
      </c>
      <c r="D12" s="143"/>
    </row>
    <row r="13" spans="1:13">
      <c r="B13" s="72" t="s">
        <v>618</v>
      </c>
      <c r="C13" s="73"/>
      <c r="D13" s="143"/>
    </row>
    <row r="14" spans="1:13">
      <c r="B14" s="5">
        <v>2020</v>
      </c>
      <c r="C14" s="73">
        <v>18</v>
      </c>
      <c r="D14" s="143"/>
    </row>
    <row r="15" spans="1:13">
      <c r="B15" s="5">
        <v>2021</v>
      </c>
      <c r="C15" s="73">
        <v>67</v>
      </c>
      <c r="D15" s="143"/>
    </row>
    <row r="16" spans="1:13">
      <c r="B16" s="5">
        <v>2022</v>
      </c>
      <c r="C16" s="73">
        <v>73</v>
      </c>
      <c r="D16" s="143"/>
    </row>
    <row r="17" spans="2:4">
      <c r="B17" s="72" t="s">
        <v>620</v>
      </c>
      <c r="C17" s="73"/>
      <c r="D17" s="143"/>
    </row>
    <row r="18" spans="2:4">
      <c r="B18" s="5">
        <v>2020</v>
      </c>
      <c r="C18" s="73">
        <v>59</v>
      </c>
      <c r="D18" s="143"/>
    </row>
    <row r="19" spans="2:4">
      <c r="B19" s="5">
        <v>2021</v>
      </c>
      <c r="C19" s="73">
        <v>141</v>
      </c>
      <c r="D19" s="143"/>
    </row>
    <row r="20" spans="2:4">
      <c r="B20" s="5">
        <v>2022</v>
      </c>
      <c r="C20" s="73">
        <v>134</v>
      </c>
      <c r="D20" s="143"/>
    </row>
    <row r="21" spans="2:4">
      <c r="B21" s="72" t="s">
        <v>284</v>
      </c>
      <c r="C21" s="73">
        <v>492</v>
      </c>
      <c r="D21" s="143"/>
    </row>
    <row r="22" spans="2:4">
      <c r="D22" s="143"/>
    </row>
    <row r="23" spans="2:4">
      <c r="D23" s="143"/>
    </row>
    <row r="24" spans="2:4">
      <c r="D24" s="143"/>
    </row>
    <row r="25" spans="2:4">
      <c r="D25" s="143"/>
    </row>
    <row r="26" spans="2:4">
      <c r="D26" s="143"/>
    </row>
    <row r="27" spans="2:4">
      <c r="D27" s="143"/>
    </row>
    <row r="28" spans="2:4">
      <c r="D28" s="143"/>
    </row>
    <row r="29" spans="2:4">
      <c r="D29" s="143"/>
    </row>
    <row r="30" spans="2:4">
      <c r="D30" s="143"/>
    </row>
    <row r="31" spans="2:4">
      <c r="D31" s="143"/>
    </row>
    <row r="32" spans="2:4">
      <c r="D32" s="143"/>
    </row>
    <row r="33" spans="4:7">
      <c r="D33" s="143"/>
      <c r="E33" s="153"/>
      <c r="F33" s="153"/>
      <c r="G33" s="153"/>
    </row>
    <row r="34" spans="4:7">
      <c r="D34" s="143"/>
    </row>
  </sheetData>
  <mergeCells count="1">
    <mergeCell ref="B9:C9"/>
  </mergeCells>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09"/>
  <sheetViews>
    <sheetView topLeftCell="G19" zoomScale="70" zoomScaleNormal="70" workbookViewId="0">
      <selection activeCell="L27" sqref="L27"/>
    </sheetView>
  </sheetViews>
  <sheetFormatPr baseColWidth="10" defaultRowHeight="14.5"/>
  <cols>
    <col min="1" max="1" width="39.1796875" customWidth="1"/>
    <col min="2" max="2" width="7.81640625" bestFit="1" customWidth="1"/>
    <col min="4" max="4" width="66" customWidth="1"/>
    <col min="5" max="5" width="28.81640625" customWidth="1"/>
    <col min="8" max="8" width="37.7265625" bestFit="1" customWidth="1"/>
    <col min="10" max="10" width="11.453125" style="2"/>
    <col min="11" max="11" width="11.453125" style="364"/>
    <col min="12" max="12" width="44" style="364" bestFit="1" customWidth="1"/>
    <col min="13" max="13" width="15.26953125" style="364" bestFit="1" customWidth="1"/>
    <col min="14" max="14" width="13.453125" bestFit="1" customWidth="1"/>
    <col min="15" max="15" width="11.453125" style="364"/>
    <col min="16" max="16" width="66" style="153" customWidth="1"/>
    <col min="17" max="17" width="28.81640625" style="153" customWidth="1"/>
  </cols>
  <sheetData>
    <row r="1" spans="1:18">
      <c r="A1" s="119" t="s">
        <v>719</v>
      </c>
      <c r="B1" s="119" t="s">
        <v>718</v>
      </c>
      <c r="D1" s="397"/>
      <c r="E1" s="397"/>
      <c r="F1" s="143"/>
      <c r="H1" s="1" t="s">
        <v>4107</v>
      </c>
      <c r="I1" s="1">
        <v>425</v>
      </c>
      <c r="P1" s="395" t="s">
        <v>1065</v>
      </c>
      <c r="Q1" s="395"/>
      <c r="R1" s="143"/>
    </row>
    <row r="2" spans="1:18">
      <c r="A2" s="11">
        <v>2020</v>
      </c>
      <c r="B2" s="4">
        <v>11</v>
      </c>
      <c r="D2" s="340" t="s">
        <v>4105</v>
      </c>
      <c r="E2" s="364" t="s">
        <v>191</v>
      </c>
      <c r="F2" s="143"/>
      <c r="H2" s="119" t="s">
        <v>719</v>
      </c>
      <c r="I2" s="119" t="s">
        <v>718</v>
      </c>
      <c r="J2" s="119" t="s">
        <v>858</v>
      </c>
      <c r="K2" s="120"/>
      <c r="L2" s="120"/>
      <c r="M2" s="120"/>
      <c r="P2" s="340" t="s">
        <v>383</v>
      </c>
      <c r="Q2" s="364" t="s">
        <v>621</v>
      </c>
      <c r="R2" s="143"/>
    </row>
    <row r="3" spans="1:18" ht="29">
      <c r="A3" s="5" t="s">
        <v>1957</v>
      </c>
      <c r="B3" s="73">
        <v>2</v>
      </c>
      <c r="F3" s="143"/>
      <c r="H3" s="72" t="s">
        <v>232</v>
      </c>
      <c r="I3" s="73">
        <v>29</v>
      </c>
      <c r="J3" s="120">
        <f t="shared" ref="J3:J37" si="0">I3/I$38</f>
        <v>6.8235294117647061E-2</v>
      </c>
      <c r="K3" s="120"/>
      <c r="L3" s="177" t="str">
        <f>CONCATENATE("Années ",H1,CHAR(10),"N=",I1)</f>
        <v>Années 2020-2022
N=425</v>
      </c>
      <c r="M3" s="178" t="s">
        <v>508</v>
      </c>
      <c r="N3" s="179"/>
      <c r="P3" s="340" t="s">
        <v>4105</v>
      </c>
      <c r="Q3" s="364" t="s">
        <v>191</v>
      </c>
      <c r="R3" s="143"/>
    </row>
    <row r="4" spans="1:18">
      <c r="A4" s="5" t="s">
        <v>1951</v>
      </c>
      <c r="B4" s="73">
        <v>1</v>
      </c>
      <c r="D4" s="340" t="s">
        <v>282</v>
      </c>
      <c r="E4" t="s">
        <v>4120</v>
      </c>
      <c r="F4" s="143"/>
      <c r="H4" s="72" t="s">
        <v>1916</v>
      </c>
      <c r="I4" s="73">
        <v>27</v>
      </c>
      <c r="J4" s="120">
        <f t="shared" si="0"/>
        <v>6.3529411764705876E-2</v>
      </c>
      <c r="K4" s="120"/>
      <c r="L4" s="74" t="str">
        <f>P6</f>
        <v>VOREPPE</v>
      </c>
      <c r="M4" s="91">
        <f>Q6</f>
        <v>29</v>
      </c>
      <c r="N4" s="75">
        <f>M4/$M$15</f>
        <v>6.8235294117647061E-2</v>
      </c>
      <c r="R4" s="143"/>
    </row>
    <row r="5" spans="1:18">
      <c r="A5" s="5" t="s">
        <v>1946</v>
      </c>
      <c r="B5" s="73">
        <v>1</v>
      </c>
      <c r="D5" s="72">
        <v>2020</v>
      </c>
      <c r="E5" s="73">
        <v>11</v>
      </c>
      <c r="H5" s="72" t="s">
        <v>225</v>
      </c>
      <c r="I5" s="73">
        <v>26</v>
      </c>
      <c r="J5" s="120">
        <f t="shared" si="0"/>
        <v>6.1176470588235297E-2</v>
      </c>
      <c r="K5" s="120"/>
      <c r="L5" s="74" t="str">
        <f t="shared" ref="L5:M5" si="1">P7</f>
        <v>VILLAGES DU LAC DE PALADRU</v>
      </c>
      <c r="M5" s="91">
        <f t="shared" si="1"/>
        <v>27</v>
      </c>
      <c r="N5" s="75">
        <f t="shared" ref="N5:N13" si="2">M5/$M$15</f>
        <v>6.3529411764705876E-2</v>
      </c>
      <c r="P5" s="340" t="s">
        <v>282</v>
      </c>
      <c r="Q5" t="s">
        <v>4120</v>
      </c>
      <c r="R5" s="143"/>
    </row>
    <row r="6" spans="1:18">
      <c r="A6" s="5" t="s">
        <v>1893</v>
      </c>
      <c r="B6" s="73">
        <v>1</v>
      </c>
      <c r="D6" s="5" t="s">
        <v>1951</v>
      </c>
      <c r="E6" s="73">
        <v>1</v>
      </c>
      <c r="H6" s="72" t="s">
        <v>265</v>
      </c>
      <c r="I6" s="73">
        <v>24</v>
      </c>
      <c r="J6" s="120">
        <f t="shared" si="0"/>
        <v>5.647058823529412E-2</v>
      </c>
      <c r="K6" s="120"/>
      <c r="L6" s="74" t="str">
        <f t="shared" ref="L6:M6" si="3">P8</f>
        <v>VOIRON</v>
      </c>
      <c r="M6" s="91">
        <f t="shared" si="3"/>
        <v>26</v>
      </c>
      <c r="N6" s="75">
        <f t="shared" si="2"/>
        <v>6.1176470588235297E-2</v>
      </c>
      <c r="P6" s="72" t="s">
        <v>232</v>
      </c>
      <c r="Q6" s="73">
        <v>29</v>
      </c>
      <c r="R6" s="143"/>
    </row>
    <row r="7" spans="1:18">
      <c r="A7" s="5" t="s">
        <v>2010</v>
      </c>
      <c r="B7" s="73">
        <v>1</v>
      </c>
      <c r="D7" s="5" t="s">
        <v>1946</v>
      </c>
      <c r="E7" s="73">
        <v>1</v>
      </c>
      <c r="H7" s="72" t="s">
        <v>1893</v>
      </c>
      <c r="I7" s="73">
        <v>23</v>
      </c>
      <c r="J7" s="120">
        <f t="shared" si="0"/>
        <v>5.4117647058823527E-2</v>
      </c>
      <c r="K7" s="120"/>
      <c r="L7" s="74" t="str">
        <f t="shared" ref="L7:M7" si="4">P9</f>
        <v>TULLINS</v>
      </c>
      <c r="M7" s="91">
        <f t="shared" si="4"/>
        <v>24</v>
      </c>
      <c r="N7" s="75">
        <f t="shared" si="2"/>
        <v>5.647058823529412E-2</v>
      </c>
      <c r="P7" s="72" t="s">
        <v>1916</v>
      </c>
      <c r="Q7" s="73">
        <v>27</v>
      </c>
      <c r="R7" s="143"/>
    </row>
    <row r="8" spans="1:18">
      <c r="A8" s="5" t="s">
        <v>1964</v>
      </c>
      <c r="B8" s="73">
        <v>1</v>
      </c>
      <c r="D8" s="5" t="s">
        <v>1893</v>
      </c>
      <c r="E8" s="73">
        <v>1</v>
      </c>
      <c r="H8" s="72" t="s">
        <v>1907</v>
      </c>
      <c r="I8" s="73">
        <v>23</v>
      </c>
      <c r="J8" s="120">
        <f t="shared" si="0"/>
        <v>5.4117647058823527E-2</v>
      </c>
      <c r="K8" s="120"/>
      <c r="L8" s="74" t="str">
        <f t="shared" ref="L8:M8" si="5">P10</f>
        <v>MOIRANS</v>
      </c>
      <c r="M8" s="91">
        <f t="shared" si="5"/>
        <v>23</v>
      </c>
      <c r="N8" s="75">
        <f t="shared" si="2"/>
        <v>5.4117647058823527E-2</v>
      </c>
      <c r="P8" s="72" t="s">
        <v>225</v>
      </c>
      <c r="Q8" s="73">
        <v>26</v>
      </c>
      <c r="R8" s="143"/>
    </row>
    <row r="9" spans="1:18">
      <c r="A9" s="5" t="s">
        <v>2088</v>
      </c>
      <c r="B9" s="73">
        <v>1</v>
      </c>
      <c r="D9" s="5" t="s">
        <v>2010</v>
      </c>
      <c r="E9" s="73">
        <v>1</v>
      </c>
      <c r="H9" s="72" t="s">
        <v>271</v>
      </c>
      <c r="I9" s="73">
        <v>21</v>
      </c>
      <c r="J9" s="120">
        <f t="shared" si="0"/>
        <v>4.9411764705882349E-2</v>
      </c>
      <c r="K9" s="120"/>
      <c r="L9" s="74" t="str">
        <f t="shared" ref="L9:M9" si="6">P11</f>
        <v>LA BUISSE</v>
      </c>
      <c r="M9" s="91">
        <f t="shared" si="6"/>
        <v>23</v>
      </c>
      <c r="N9" s="75">
        <f t="shared" si="2"/>
        <v>5.4117647058823527E-2</v>
      </c>
      <c r="P9" s="72" t="s">
        <v>265</v>
      </c>
      <c r="Q9" s="73">
        <v>24</v>
      </c>
      <c r="R9" s="143"/>
    </row>
    <row r="10" spans="1:18">
      <c r="A10" s="5" t="s">
        <v>2079</v>
      </c>
      <c r="B10" s="73">
        <v>1</v>
      </c>
      <c r="D10" s="5" t="s">
        <v>1957</v>
      </c>
      <c r="E10" s="73">
        <v>2</v>
      </c>
      <c r="H10" s="72" t="s">
        <v>2088</v>
      </c>
      <c r="I10" s="73">
        <v>20</v>
      </c>
      <c r="J10" s="120">
        <f t="shared" si="0"/>
        <v>4.7058823529411764E-2</v>
      </c>
      <c r="K10" s="120"/>
      <c r="L10" s="74" t="str">
        <f t="shared" ref="L10:M10" si="7">P12</f>
        <v>COUBLEVIE</v>
      </c>
      <c r="M10" s="91">
        <f t="shared" si="7"/>
        <v>21</v>
      </c>
      <c r="N10" s="75">
        <f t="shared" si="2"/>
        <v>4.9411764705882349E-2</v>
      </c>
      <c r="P10" s="72" t="s">
        <v>1893</v>
      </c>
      <c r="Q10" s="73">
        <v>23</v>
      </c>
      <c r="R10" s="143"/>
    </row>
    <row r="11" spans="1:18">
      <c r="A11" s="5" t="s">
        <v>1916</v>
      </c>
      <c r="B11" s="73">
        <v>1</v>
      </c>
      <c r="D11" s="5" t="s">
        <v>1964</v>
      </c>
      <c r="E11" s="73">
        <v>1</v>
      </c>
      <c r="H11" s="72" t="s">
        <v>2151</v>
      </c>
      <c r="I11" s="73">
        <v>19</v>
      </c>
      <c r="J11" s="120">
        <f t="shared" si="0"/>
        <v>4.4705882352941179E-2</v>
      </c>
      <c r="K11" s="120"/>
      <c r="L11" s="74" t="str">
        <f t="shared" ref="L11:M11" si="8">P13</f>
        <v>SAINT ETIENNE DE CROSSEY</v>
      </c>
      <c r="M11" s="91">
        <f t="shared" si="8"/>
        <v>20</v>
      </c>
      <c r="N11" s="75">
        <f t="shared" si="2"/>
        <v>4.7058823529411764E-2</v>
      </c>
      <c r="P11" s="72" t="s">
        <v>1907</v>
      </c>
      <c r="Q11" s="73">
        <v>23</v>
      </c>
      <c r="R11" s="143"/>
    </row>
    <row r="12" spans="1:18">
      <c r="A12" s="5" t="s">
        <v>225</v>
      </c>
      <c r="B12" s="73">
        <v>1</v>
      </c>
      <c r="D12" s="5" t="s">
        <v>2088</v>
      </c>
      <c r="E12" s="73">
        <v>1</v>
      </c>
      <c r="H12" s="72" t="s">
        <v>1931</v>
      </c>
      <c r="I12" s="73">
        <v>17</v>
      </c>
      <c r="J12" s="120">
        <f t="shared" si="0"/>
        <v>0.04</v>
      </c>
      <c r="K12" s="120"/>
      <c r="L12" s="74" t="str">
        <f t="shared" ref="L12:M12" si="9">P14</f>
        <v>CHARAVINES</v>
      </c>
      <c r="M12" s="91">
        <f t="shared" si="9"/>
        <v>19</v>
      </c>
      <c r="N12" s="75">
        <f t="shared" si="2"/>
        <v>4.4705882352941179E-2</v>
      </c>
      <c r="P12" s="72" t="s">
        <v>271</v>
      </c>
      <c r="Q12" s="73">
        <v>21</v>
      </c>
      <c r="R12" s="143"/>
    </row>
    <row r="13" spans="1:18">
      <c r="A13" s="11">
        <v>2021</v>
      </c>
      <c r="B13" s="4">
        <v>206</v>
      </c>
      <c r="D13" s="5" t="s">
        <v>2079</v>
      </c>
      <c r="E13" s="73">
        <v>1</v>
      </c>
      <c r="H13" s="72" t="s">
        <v>1924</v>
      </c>
      <c r="I13" s="73">
        <v>17</v>
      </c>
      <c r="J13" s="120">
        <f t="shared" si="0"/>
        <v>0.04</v>
      </c>
      <c r="K13" s="120"/>
      <c r="L13" s="74" t="str">
        <f t="shared" ref="L13:M13" si="10">P15</f>
        <v>CHIRENS</v>
      </c>
      <c r="M13" s="91">
        <f t="shared" si="10"/>
        <v>17</v>
      </c>
      <c r="N13" s="75">
        <f t="shared" si="2"/>
        <v>0.04</v>
      </c>
      <c r="P13" s="72" t="s">
        <v>2088</v>
      </c>
      <c r="Q13" s="73">
        <v>20</v>
      </c>
      <c r="R13" s="143"/>
    </row>
    <row r="14" spans="1:18">
      <c r="A14" s="5" t="s">
        <v>1916</v>
      </c>
      <c r="B14" s="73">
        <v>17</v>
      </c>
      <c r="D14" s="5" t="s">
        <v>1916</v>
      </c>
      <c r="E14" s="73">
        <v>1</v>
      </c>
      <c r="H14" s="72" t="s">
        <v>2382</v>
      </c>
      <c r="I14" s="73">
        <v>16</v>
      </c>
      <c r="J14" s="120">
        <f t="shared" si="0"/>
        <v>3.7647058823529408E-2</v>
      </c>
      <c r="K14" s="120"/>
      <c r="L14" s="155" t="s">
        <v>4127</v>
      </c>
      <c r="M14" s="156">
        <f>SUM(M4:M13)</f>
        <v>229</v>
      </c>
      <c r="N14" s="157">
        <f>M14/$M$15</f>
        <v>0.5388235294117647</v>
      </c>
      <c r="P14" s="72" t="s">
        <v>2151</v>
      </c>
      <c r="Q14" s="73">
        <v>19</v>
      </c>
      <c r="R14" s="143"/>
    </row>
    <row r="15" spans="1:18">
      <c r="A15" s="5" t="s">
        <v>271</v>
      </c>
      <c r="B15" s="73">
        <v>14</v>
      </c>
      <c r="D15" s="5" t="s">
        <v>225</v>
      </c>
      <c r="E15" s="73">
        <v>1</v>
      </c>
      <c r="H15" s="72" t="s">
        <v>1951</v>
      </c>
      <c r="I15" s="73">
        <v>16</v>
      </c>
      <c r="J15" s="120">
        <f t="shared" si="0"/>
        <v>3.7647058823529408E-2</v>
      </c>
      <c r="K15" s="120"/>
      <c r="L15" s="155" t="s">
        <v>931</v>
      </c>
      <c r="M15" s="156">
        <f>I1</f>
        <v>425</v>
      </c>
      <c r="N15" s="157">
        <f>M15/$M$15</f>
        <v>1</v>
      </c>
      <c r="P15" s="72" t="s">
        <v>1931</v>
      </c>
      <c r="Q15" s="73">
        <v>17</v>
      </c>
      <c r="R15" s="143"/>
    </row>
    <row r="16" spans="1:18">
      <c r="A16" s="5" t="s">
        <v>265</v>
      </c>
      <c r="B16" s="73">
        <v>14</v>
      </c>
      <c r="D16" s="72">
        <v>2021</v>
      </c>
      <c r="E16" s="73">
        <v>206</v>
      </c>
      <c r="H16" s="72" t="s">
        <v>2081</v>
      </c>
      <c r="I16" s="73">
        <v>15</v>
      </c>
      <c r="J16" s="120">
        <f t="shared" si="0"/>
        <v>3.5294117647058823E-2</v>
      </c>
      <c r="K16" s="120"/>
      <c r="L16" s="120"/>
      <c r="M16" s="120"/>
      <c r="P16" s="72" t="s">
        <v>1924</v>
      </c>
      <c r="Q16" s="73">
        <v>17</v>
      </c>
      <c r="R16" s="143"/>
    </row>
    <row r="17" spans="1:18">
      <c r="A17" s="5" t="s">
        <v>1893</v>
      </c>
      <c r="B17" s="73">
        <v>13</v>
      </c>
      <c r="D17" s="5" t="s">
        <v>1951</v>
      </c>
      <c r="E17" s="73">
        <v>7</v>
      </c>
      <c r="H17" s="72" t="s">
        <v>1946</v>
      </c>
      <c r="I17" s="73">
        <v>14</v>
      </c>
      <c r="J17" s="120">
        <f t="shared" si="0"/>
        <v>3.2941176470588238E-2</v>
      </c>
      <c r="K17" s="120"/>
      <c r="L17" s="120"/>
      <c r="M17" s="120"/>
      <c r="P17" s="72" t="s">
        <v>2382</v>
      </c>
      <c r="Q17" s="73">
        <v>16</v>
      </c>
      <c r="R17" s="143"/>
    </row>
    <row r="18" spans="1:18">
      <c r="A18" s="5" t="s">
        <v>1907</v>
      </c>
      <c r="B18" s="73">
        <v>12</v>
      </c>
      <c r="D18" s="5" t="s">
        <v>1018</v>
      </c>
      <c r="E18" s="73">
        <v>2</v>
      </c>
      <c r="H18" s="72" t="s">
        <v>1903</v>
      </c>
      <c r="I18" s="73">
        <v>14</v>
      </c>
      <c r="J18" s="120">
        <f t="shared" si="0"/>
        <v>3.2941176470588238E-2</v>
      </c>
      <c r="K18" s="120"/>
      <c r="L18" s="120"/>
      <c r="M18" s="120"/>
      <c r="P18" s="72" t="s">
        <v>1951</v>
      </c>
      <c r="Q18" s="73">
        <v>16</v>
      </c>
      <c r="R18" s="143"/>
    </row>
    <row r="19" spans="1:18">
      <c r="A19" s="5" t="s">
        <v>232</v>
      </c>
      <c r="B19" s="73">
        <v>12</v>
      </c>
      <c r="D19" s="5" t="s">
        <v>2151</v>
      </c>
      <c r="E19" s="73">
        <v>9</v>
      </c>
      <c r="H19" s="72" t="s">
        <v>1964</v>
      </c>
      <c r="I19" s="73">
        <v>13</v>
      </c>
      <c r="J19" s="120">
        <f t="shared" si="0"/>
        <v>3.0588235294117649E-2</v>
      </c>
      <c r="K19" s="120"/>
      <c r="L19" s="120"/>
      <c r="M19" s="120"/>
      <c r="P19" s="72" t="s">
        <v>2081</v>
      </c>
      <c r="Q19" s="73">
        <v>15</v>
      </c>
      <c r="R19" s="143"/>
    </row>
    <row r="20" spans="1:18">
      <c r="A20" s="5" t="s">
        <v>225</v>
      </c>
      <c r="B20" s="73">
        <v>10</v>
      </c>
      <c r="D20" s="5" t="s">
        <v>1971</v>
      </c>
      <c r="E20" s="73">
        <v>1</v>
      </c>
      <c r="H20" s="72" t="s">
        <v>2010</v>
      </c>
      <c r="I20" s="73">
        <v>11</v>
      </c>
      <c r="J20" s="120">
        <f t="shared" si="0"/>
        <v>2.5882352941176471E-2</v>
      </c>
      <c r="K20" s="120"/>
      <c r="L20" s="120"/>
      <c r="M20" s="120"/>
      <c r="P20" s="72" t="s">
        <v>1946</v>
      </c>
      <c r="Q20" s="73">
        <v>14</v>
      </c>
      <c r="R20" s="143"/>
    </row>
    <row r="21" spans="1:18">
      <c r="A21" s="5" t="s">
        <v>2151</v>
      </c>
      <c r="B21" s="73">
        <v>9</v>
      </c>
      <c r="D21" s="5" t="s">
        <v>1931</v>
      </c>
      <c r="E21" s="73">
        <v>8</v>
      </c>
      <c r="H21" s="72" t="s">
        <v>1871</v>
      </c>
      <c r="I21" s="73">
        <v>10</v>
      </c>
      <c r="J21" s="120">
        <f t="shared" si="0"/>
        <v>2.3529411764705882E-2</v>
      </c>
      <c r="K21" s="120"/>
      <c r="L21" s="120"/>
      <c r="M21" s="120"/>
      <c r="P21" s="72" t="s">
        <v>1903</v>
      </c>
      <c r="Q21" s="73">
        <v>14</v>
      </c>
      <c r="R21" s="143"/>
    </row>
    <row r="22" spans="1:18">
      <c r="A22" s="5" t="s">
        <v>2382</v>
      </c>
      <c r="B22" s="73">
        <v>9</v>
      </c>
      <c r="D22" s="5" t="s">
        <v>271</v>
      </c>
      <c r="E22" s="73">
        <v>14</v>
      </c>
      <c r="H22" s="72" t="s">
        <v>1971</v>
      </c>
      <c r="I22" s="73">
        <v>9</v>
      </c>
      <c r="J22" s="120">
        <f t="shared" si="0"/>
        <v>2.1176470588235293E-2</v>
      </c>
      <c r="K22" s="120"/>
      <c r="L22" s="120"/>
      <c r="M22" s="120"/>
      <c r="P22" s="72" t="s">
        <v>1964</v>
      </c>
      <c r="Q22" s="73">
        <v>13</v>
      </c>
      <c r="R22" s="143"/>
    </row>
    <row r="23" spans="1:18">
      <c r="A23" s="5" t="s">
        <v>1931</v>
      </c>
      <c r="B23" s="73">
        <v>8</v>
      </c>
      <c r="D23" s="5" t="s">
        <v>1907</v>
      </c>
      <c r="E23" s="73">
        <v>12</v>
      </c>
      <c r="F23" s="143"/>
      <c r="H23" s="72" t="s">
        <v>1957</v>
      </c>
      <c r="I23" s="73">
        <v>8</v>
      </c>
      <c r="J23" s="120">
        <f t="shared" si="0"/>
        <v>1.8823529411764704E-2</v>
      </c>
      <c r="K23" s="120"/>
      <c r="L23" s="120"/>
      <c r="M23" s="120"/>
      <c r="P23" s="72" t="s">
        <v>2010</v>
      </c>
      <c r="Q23" s="73">
        <v>11</v>
      </c>
      <c r="R23" s="143"/>
    </row>
    <row r="24" spans="1:18">
      <c r="A24" s="5" t="s">
        <v>2081</v>
      </c>
      <c r="B24" s="73">
        <v>8</v>
      </c>
      <c r="D24" s="5" t="s">
        <v>1946</v>
      </c>
      <c r="E24" s="73">
        <v>7</v>
      </c>
      <c r="F24" s="143"/>
      <c r="H24" s="72" t="s">
        <v>2134</v>
      </c>
      <c r="I24" s="73">
        <v>7</v>
      </c>
      <c r="J24" s="120">
        <f t="shared" si="0"/>
        <v>1.6470588235294119E-2</v>
      </c>
      <c r="K24" s="120"/>
      <c r="L24" s="120"/>
      <c r="M24" s="120"/>
      <c r="P24" s="72" t="s">
        <v>1871</v>
      </c>
      <c r="Q24" s="73">
        <v>10</v>
      </c>
      <c r="R24" s="143"/>
    </row>
    <row r="25" spans="1:18">
      <c r="A25" s="5" t="s">
        <v>1951</v>
      </c>
      <c r="B25" s="73">
        <v>7</v>
      </c>
      <c r="D25" s="5" t="s">
        <v>2134</v>
      </c>
      <c r="E25" s="73">
        <v>4</v>
      </c>
      <c r="F25" s="143"/>
      <c r="H25" s="72" t="s">
        <v>1984</v>
      </c>
      <c r="I25" s="73">
        <v>7</v>
      </c>
      <c r="J25" s="120">
        <f t="shared" si="0"/>
        <v>1.6470588235294119E-2</v>
      </c>
      <c r="K25" s="120"/>
      <c r="L25" s="120"/>
      <c r="M25" s="120"/>
      <c r="P25" s="72" t="s">
        <v>1971</v>
      </c>
      <c r="Q25" s="73">
        <v>9</v>
      </c>
      <c r="R25" s="143"/>
    </row>
    <row r="26" spans="1:18">
      <c r="A26" s="5" t="s">
        <v>1946</v>
      </c>
      <c r="B26" s="73">
        <v>7</v>
      </c>
      <c r="D26" s="5" t="s">
        <v>2031</v>
      </c>
      <c r="E26" s="73">
        <v>1</v>
      </c>
      <c r="F26" s="143"/>
      <c r="H26" s="72" t="s">
        <v>1018</v>
      </c>
      <c r="I26" s="73">
        <v>7</v>
      </c>
      <c r="J26" s="120">
        <f t="shared" si="0"/>
        <v>1.6470588235294119E-2</v>
      </c>
      <c r="K26" s="120"/>
      <c r="L26" s="120"/>
      <c r="M26" s="120"/>
      <c r="P26" s="72" t="s">
        <v>1957</v>
      </c>
      <c r="Q26" s="73">
        <v>8</v>
      </c>
      <c r="R26" s="143"/>
    </row>
    <row r="27" spans="1:18">
      <c r="A27" s="5" t="s">
        <v>1924</v>
      </c>
      <c r="B27" s="73">
        <v>7</v>
      </c>
      <c r="D27" s="5" t="s">
        <v>1871</v>
      </c>
      <c r="E27" s="73">
        <v>5</v>
      </c>
      <c r="F27" s="143"/>
      <c r="H27" s="72" t="s">
        <v>2888</v>
      </c>
      <c r="I27" s="73">
        <v>6</v>
      </c>
      <c r="J27" s="120">
        <f t="shared" si="0"/>
        <v>1.411764705882353E-2</v>
      </c>
      <c r="K27" s="120"/>
      <c r="L27" s="120"/>
      <c r="M27" s="120"/>
      <c r="P27" s="72" t="s">
        <v>2134</v>
      </c>
      <c r="Q27" s="73">
        <v>7</v>
      </c>
      <c r="R27" s="143"/>
    </row>
    <row r="28" spans="1:18">
      <c r="A28" s="5" t="s">
        <v>1903</v>
      </c>
      <c r="B28" s="73">
        <v>7</v>
      </c>
      <c r="D28" s="5" t="s">
        <v>2540</v>
      </c>
      <c r="E28" s="73">
        <v>2</v>
      </c>
      <c r="F28" s="143"/>
      <c r="H28" s="72" t="s">
        <v>2297</v>
      </c>
      <c r="I28" s="73">
        <v>6</v>
      </c>
      <c r="J28" s="120">
        <f t="shared" si="0"/>
        <v>1.411764705882353E-2</v>
      </c>
      <c r="K28" s="120"/>
      <c r="L28" s="120"/>
      <c r="M28" s="120"/>
      <c r="P28" s="72" t="s">
        <v>1984</v>
      </c>
      <c r="Q28" s="73">
        <v>7</v>
      </c>
      <c r="R28" s="143"/>
    </row>
    <row r="29" spans="1:18">
      <c r="A29" s="5" t="s">
        <v>1984</v>
      </c>
      <c r="B29" s="73">
        <v>6</v>
      </c>
      <c r="D29" s="5" t="s">
        <v>1893</v>
      </c>
      <c r="E29" s="73">
        <v>13</v>
      </c>
      <c r="F29" s="143"/>
      <c r="H29" s="72" t="s">
        <v>2540</v>
      </c>
      <c r="I29" s="73">
        <v>4</v>
      </c>
      <c r="J29" s="120">
        <f t="shared" si="0"/>
        <v>9.4117647058823521E-3</v>
      </c>
      <c r="K29" s="120"/>
      <c r="L29" s="120"/>
      <c r="M29" s="120"/>
      <c r="P29" s="72" t="s">
        <v>1018</v>
      </c>
      <c r="Q29" s="73">
        <v>7</v>
      </c>
      <c r="R29" s="143"/>
    </row>
    <row r="30" spans="1:18">
      <c r="A30" s="5" t="s">
        <v>1871</v>
      </c>
      <c r="B30" s="73">
        <v>5</v>
      </c>
      <c r="D30" s="5" t="s">
        <v>2010</v>
      </c>
      <c r="E30" s="73">
        <v>4</v>
      </c>
      <c r="F30" s="143"/>
      <c r="H30" s="72" t="s">
        <v>2249</v>
      </c>
      <c r="I30" s="73">
        <v>3</v>
      </c>
      <c r="J30" s="120">
        <f t="shared" si="0"/>
        <v>7.058823529411765E-3</v>
      </c>
      <c r="K30" s="120"/>
      <c r="L30" s="120"/>
      <c r="M30" s="120"/>
      <c r="P30" s="72" t="s">
        <v>2888</v>
      </c>
      <c r="Q30" s="73">
        <v>6</v>
      </c>
      <c r="R30" s="143"/>
    </row>
    <row r="31" spans="1:18">
      <c r="A31" s="5" t="s">
        <v>1957</v>
      </c>
      <c r="B31" s="73">
        <v>5</v>
      </c>
      <c r="D31" s="5" t="s">
        <v>1957</v>
      </c>
      <c r="E31" s="73">
        <v>5</v>
      </c>
      <c r="F31" s="143"/>
      <c r="H31" s="72" t="s">
        <v>2031</v>
      </c>
      <c r="I31" s="73">
        <v>3</v>
      </c>
      <c r="J31" s="120">
        <f t="shared" si="0"/>
        <v>7.058823529411765E-3</v>
      </c>
      <c r="K31" s="120"/>
      <c r="L31" s="120"/>
      <c r="M31" s="120"/>
      <c r="P31" s="72" t="s">
        <v>2297</v>
      </c>
      <c r="Q31" s="73">
        <v>6</v>
      </c>
      <c r="R31" s="143"/>
    </row>
    <row r="32" spans="1:18">
      <c r="A32" s="5" t="s">
        <v>1964</v>
      </c>
      <c r="B32" s="73">
        <v>5</v>
      </c>
      <c r="D32" s="5" t="s">
        <v>1924</v>
      </c>
      <c r="E32" s="73">
        <v>8</v>
      </c>
      <c r="F32" s="143"/>
      <c r="H32" s="72" t="s">
        <v>3109</v>
      </c>
      <c r="I32" s="73">
        <v>2</v>
      </c>
      <c r="J32" s="120">
        <f t="shared" si="0"/>
        <v>4.7058823529411761E-3</v>
      </c>
      <c r="K32" s="120"/>
      <c r="L32" s="120"/>
      <c r="M32" s="120"/>
      <c r="P32" s="72" t="s">
        <v>2540</v>
      </c>
      <c r="Q32" s="73">
        <v>4</v>
      </c>
      <c r="R32" s="143"/>
    </row>
    <row r="33" spans="1:18">
      <c r="A33" s="5" t="s">
        <v>2297</v>
      </c>
      <c r="B33" s="73">
        <v>5</v>
      </c>
      <c r="D33" s="5" t="s">
        <v>1964</v>
      </c>
      <c r="E33" s="73">
        <v>5</v>
      </c>
      <c r="F33" s="143"/>
      <c r="H33" s="72" t="s">
        <v>1990</v>
      </c>
      <c r="I33" s="73">
        <v>2</v>
      </c>
      <c r="J33" s="120">
        <f t="shared" si="0"/>
        <v>4.7058823529411761E-3</v>
      </c>
      <c r="K33" s="120"/>
      <c r="L33" s="120"/>
      <c r="M33" s="120"/>
      <c r="P33" s="72" t="s">
        <v>2249</v>
      </c>
      <c r="Q33" s="73">
        <v>3</v>
      </c>
      <c r="R33" s="143"/>
    </row>
    <row r="34" spans="1:18">
      <c r="A34" s="5" t="s">
        <v>2088</v>
      </c>
      <c r="B34" s="73">
        <v>5</v>
      </c>
      <c r="D34" s="5" t="s">
        <v>1990</v>
      </c>
      <c r="E34" s="73">
        <v>1</v>
      </c>
      <c r="F34" s="143"/>
      <c r="H34" s="72" t="s">
        <v>2216</v>
      </c>
      <c r="I34" s="73">
        <v>2</v>
      </c>
      <c r="J34" s="120">
        <f t="shared" si="0"/>
        <v>4.7058823529411761E-3</v>
      </c>
      <c r="K34" s="120"/>
      <c r="L34" s="120"/>
      <c r="M34" s="120"/>
      <c r="P34" s="72" t="s">
        <v>2031</v>
      </c>
      <c r="Q34" s="73">
        <v>3</v>
      </c>
      <c r="R34" s="143"/>
    </row>
    <row r="35" spans="1:18">
      <c r="A35" s="5" t="s">
        <v>2134</v>
      </c>
      <c r="B35" s="73">
        <v>4</v>
      </c>
      <c r="D35" s="5" t="s">
        <v>2297</v>
      </c>
      <c r="E35" s="73">
        <v>5</v>
      </c>
      <c r="F35" s="143"/>
      <c r="H35" s="72" t="s">
        <v>2231</v>
      </c>
      <c r="I35" s="73">
        <v>2</v>
      </c>
      <c r="J35" s="120">
        <f t="shared" si="0"/>
        <v>4.7058823529411761E-3</v>
      </c>
      <c r="K35" s="120"/>
      <c r="L35" s="120"/>
      <c r="M35" s="120"/>
      <c r="P35" s="72" t="s">
        <v>3109</v>
      </c>
      <c r="Q35" s="73">
        <v>2</v>
      </c>
      <c r="R35" s="143"/>
    </row>
    <row r="36" spans="1:18">
      <c r="A36" s="5" t="s">
        <v>2010</v>
      </c>
      <c r="B36" s="73">
        <v>4</v>
      </c>
      <c r="D36" s="5" t="s">
        <v>2088</v>
      </c>
      <c r="E36" s="73">
        <v>5</v>
      </c>
      <c r="F36" s="143"/>
      <c r="H36" s="72" t="s">
        <v>216</v>
      </c>
      <c r="I36" s="73">
        <v>1</v>
      </c>
      <c r="J36" s="120">
        <f t="shared" si="0"/>
        <v>2.352941176470588E-3</v>
      </c>
      <c r="K36" s="120"/>
      <c r="L36" s="120"/>
      <c r="M36" s="120"/>
      <c r="P36" s="72" t="s">
        <v>1990</v>
      </c>
      <c r="Q36" s="73">
        <v>2</v>
      </c>
      <c r="R36" s="143"/>
    </row>
    <row r="37" spans="1:18">
      <c r="A37" s="5" t="s">
        <v>2888</v>
      </c>
      <c r="B37" s="73">
        <v>4</v>
      </c>
      <c r="D37" s="5" t="s">
        <v>2382</v>
      </c>
      <c r="E37" s="73">
        <v>9</v>
      </c>
      <c r="F37" s="143"/>
      <c r="H37" s="72" t="s">
        <v>2079</v>
      </c>
      <c r="I37" s="73">
        <v>1</v>
      </c>
      <c r="J37" s="120">
        <f t="shared" si="0"/>
        <v>2.352941176470588E-3</v>
      </c>
      <c r="K37" s="120"/>
      <c r="L37" s="120"/>
      <c r="M37" s="120"/>
      <c r="P37" s="72" t="s">
        <v>2216</v>
      </c>
      <c r="Q37" s="73">
        <v>2</v>
      </c>
      <c r="R37" s="143"/>
    </row>
    <row r="38" spans="1:18">
      <c r="A38" s="5" t="s">
        <v>1018</v>
      </c>
      <c r="B38" s="73">
        <v>2</v>
      </c>
      <c r="D38" s="5" t="s">
        <v>2081</v>
      </c>
      <c r="E38" s="73">
        <v>8</v>
      </c>
      <c r="F38" s="143"/>
      <c r="H38" s="94" t="s">
        <v>284</v>
      </c>
      <c r="I38" s="95">
        <v>425</v>
      </c>
      <c r="J38" s="166"/>
      <c r="K38" s="120"/>
      <c r="L38" s="120"/>
      <c r="M38" s="120"/>
      <c r="P38" s="72" t="s">
        <v>2231</v>
      </c>
      <c r="Q38" s="73">
        <v>2</v>
      </c>
      <c r="R38" s="143"/>
    </row>
    <row r="39" spans="1:18">
      <c r="A39" s="5" t="s">
        <v>2540</v>
      </c>
      <c r="B39" s="73">
        <v>2</v>
      </c>
      <c r="D39" s="5" t="s">
        <v>1984</v>
      </c>
      <c r="E39" s="73">
        <v>6</v>
      </c>
      <c r="F39" s="143"/>
      <c r="H39" s="166"/>
      <c r="I39" s="166"/>
      <c r="J39" s="166"/>
      <c r="K39" s="120"/>
      <c r="L39" s="120"/>
      <c r="M39" s="120"/>
      <c r="P39" s="72" t="s">
        <v>216</v>
      </c>
      <c r="Q39" s="73">
        <v>1</v>
      </c>
      <c r="R39" s="143"/>
    </row>
    <row r="40" spans="1:18">
      <c r="A40" s="5" t="s">
        <v>1971</v>
      </c>
      <c r="B40" s="73">
        <v>1</v>
      </c>
      <c r="D40" s="5" t="s">
        <v>2888</v>
      </c>
      <c r="E40" s="73">
        <v>4</v>
      </c>
      <c r="F40" s="143"/>
      <c r="H40" s="166"/>
      <c r="I40" s="166"/>
      <c r="J40" s="166"/>
      <c r="P40" s="72" t="s">
        <v>2079</v>
      </c>
      <c r="Q40" s="73">
        <v>1</v>
      </c>
      <c r="R40" s="143"/>
    </row>
    <row r="41" spans="1:18">
      <c r="A41" s="5" t="s">
        <v>2031</v>
      </c>
      <c r="B41" s="73">
        <v>1</v>
      </c>
      <c r="D41" s="5" t="s">
        <v>265</v>
      </c>
      <c r="E41" s="73">
        <v>14</v>
      </c>
      <c r="F41" s="143"/>
      <c r="H41" s="166"/>
      <c r="I41" s="166"/>
      <c r="J41" s="166"/>
      <c r="P41" s="72" t="s">
        <v>284</v>
      </c>
      <c r="Q41" s="73">
        <v>425</v>
      </c>
      <c r="R41" s="143"/>
    </row>
    <row r="42" spans="1:18">
      <c r="A42" s="5" t="s">
        <v>2948</v>
      </c>
      <c r="B42" s="73">
        <v>1</v>
      </c>
      <c r="D42" s="5" t="s">
        <v>1916</v>
      </c>
      <c r="E42" s="73">
        <v>17</v>
      </c>
      <c r="F42" s="143"/>
      <c r="H42" s="166"/>
      <c r="I42" s="166"/>
      <c r="J42" s="166"/>
      <c r="P42"/>
      <c r="Q42"/>
      <c r="R42" s="143"/>
    </row>
    <row r="43" spans="1:18">
      <c r="A43" s="5" t="s">
        <v>1990</v>
      </c>
      <c r="B43" s="73">
        <v>1</v>
      </c>
      <c r="D43" s="5" t="s">
        <v>225</v>
      </c>
      <c r="E43" s="73">
        <v>10</v>
      </c>
      <c r="F43" s="143"/>
      <c r="P43"/>
      <c r="Q43"/>
      <c r="R43" s="143"/>
    </row>
    <row r="44" spans="1:18">
      <c r="A44" s="5" t="s">
        <v>2249</v>
      </c>
      <c r="B44" s="73">
        <v>1</v>
      </c>
      <c r="D44" s="5" t="s">
        <v>2249</v>
      </c>
      <c r="E44" s="73">
        <v>1</v>
      </c>
      <c r="F44" s="143"/>
      <c r="P44"/>
      <c r="Q44"/>
      <c r="R44" s="143"/>
    </row>
    <row r="45" spans="1:18">
      <c r="A45" s="11">
        <v>2022</v>
      </c>
      <c r="B45" s="4">
        <v>208</v>
      </c>
      <c r="D45" s="5" t="s">
        <v>232</v>
      </c>
      <c r="E45" s="73">
        <v>12</v>
      </c>
      <c r="F45" s="143"/>
      <c r="P45"/>
      <c r="Q45"/>
      <c r="R45" s="143"/>
    </row>
    <row r="46" spans="1:18">
      <c r="A46" s="5" t="s">
        <v>232</v>
      </c>
      <c r="B46" s="73">
        <v>17</v>
      </c>
      <c r="D46" s="5" t="s">
        <v>1903</v>
      </c>
      <c r="E46" s="73">
        <v>7</v>
      </c>
      <c r="F46" s="143"/>
      <c r="P46"/>
      <c r="Q46"/>
      <c r="R46" s="143"/>
    </row>
    <row r="47" spans="1:18">
      <c r="A47" s="5" t="s">
        <v>225</v>
      </c>
      <c r="B47" s="73">
        <v>15</v>
      </c>
      <c r="D47" s="72">
        <v>2022</v>
      </c>
      <c r="E47" s="73">
        <v>208</v>
      </c>
      <c r="F47" s="143"/>
      <c r="P47"/>
      <c r="Q47"/>
      <c r="R47" s="143"/>
    </row>
    <row r="48" spans="1:18">
      <c r="A48" s="5" t="s">
        <v>2088</v>
      </c>
      <c r="B48" s="73">
        <v>14</v>
      </c>
      <c r="D48" s="5" t="s">
        <v>1951</v>
      </c>
      <c r="E48" s="73">
        <v>8</v>
      </c>
      <c r="F48" s="143"/>
      <c r="P48"/>
      <c r="Q48"/>
      <c r="R48" s="143"/>
    </row>
    <row r="49" spans="1:18">
      <c r="A49" s="5" t="s">
        <v>1907</v>
      </c>
      <c r="B49" s="73">
        <v>11</v>
      </c>
      <c r="D49" s="5" t="s">
        <v>1018</v>
      </c>
      <c r="E49" s="73">
        <v>5</v>
      </c>
      <c r="F49" s="143"/>
      <c r="P49"/>
      <c r="Q49"/>
      <c r="R49" s="143"/>
    </row>
    <row r="50" spans="1:18">
      <c r="A50" s="5" t="s">
        <v>2151</v>
      </c>
      <c r="B50" s="73">
        <v>10</v>
      </c>
      <c r="D50" s="5" t="s">
        <v>2151</v>
      </c>
      <c r="E50" s="73">
        <v>10</v>
      </c>
      <c r="F50" s="143"/>
      <c r="P50"/>
      <c r="Q50"/>
      <c r="R50" s="143"/>
    </row>
    <row r="51" spans="1:18">
      <c r="A51" s="5" t="s">
        <v>265</v>
      </c>
      <c r="B51" s="73">
        <v>10</v>
      </c>
      <c r="D51" s="5" t="s">
        <v>1971</v>
      </c>
      <c r="E51" s="73">
        <v>8</v>
      </c>
      <c r="F51" s="143"/>
      <c r="P51"/>
      <c r="Q51"/>
      <c r="R51" s="143"/>
    </row>
    <row r="52" spans="1:18">
      <c r="A52" s="5" t="s">
        <v>1931</v>
      </c>
      <c r="B52" s="73">
        <v>9</v>
      </c>
      <c r="D52" s="5" t="s">
        <v>1931</v>
      </c>
      <c r="E52" s="73">
        <v>9</v>
      </c>
      <c r="F52" s="143"/>
      <c r="P52"/>
      <c r="Q52"/>
      <c r="R52" s="143"/>
    </row>
    <row r="53" spans="1:18">
      <c r="A53" s="5" t="s">
        <v>1893</v>
      </c>
      <c r="B53" s="73">
        <v>9</v>
      </c>
      <c r="D53" s="5" t="s">
        <v>271</v>
      </c>
      <c r="E53" s="73">
        <v>7</v>
      </c>
      <c r="F53" s="143"/>
      <c r="P53"/>
      <c r="Q53"/>
      <c r="R53" s="143"/>
    </row>
    <row r="54" spans="1:18">
      <c r="A54" s="5" t="s">
        <v>1924</v>
      </c>
      <c r="B54" s="73">
        <v>9</v>
      </c>
      <c r="D54" s="5" t="s">
        <v>1907</v>
      </c>
      <c r="E54" s="73">
        <v>11</v>
      </c>
      <c r="F54" s="143"/>
      <c r="P54"/>
      <c r="Q54"/>
      <c r="R54" s="143"/>
    </row>
    <row r="55" spans="1:18">
      <c r="A55" s="5" t="s">
        <v>1916</v>
      </c>
      <c r="B55" s="73">
        <v>9</v>
      </c>
      <c r="D55" s="5" t="s">
        <v>1946</v>
      </c>
      <c r="E55" s="73">
        <v>6</v>
      </c>
      <c r="F55" s="143"/>
      <c r="P55"/>
      <c r="Q55"/>
      <c r="R55" s="143"/>
    </row>
    <row r="56" spans="1:18">
      <c r="A56" s="5" t="s">
        <v>1951</v>
      </c>
      <c r="B56" s="73">
        <v>8</v>
      </c>
      <c r="D56" s="5" t="s">
        <v>2134</v>
      </c>
      <c r="E56" s="73">
        <v>3</v>
      </c>
      <c r="F56" s="143"/>
      <c r="P56"/>
      <c r="Q56"/>
      <c r="R56" s="143"/>
    </row>
    <row r="57" spans="1:18">
      <c r="A57" s="5" t="s">
        <v>1971</v>
      </c>
      <c r="B57" s="73">
        <v>8</v>
      </c>
      <c r="D57" s="5" t="s">
        <v>2031</v>
      </c>
      <c r="E57" s="73">
        <v>2</v>
      </c>
      <c r="F57" s="143"/>
      <c r="P57"/>
      <c r="Q57"/>
      <c r="R57" s="143"/>
    </row>
    <row r="58" spans="1:18">
      <c r="A58" s="5" t="s">
        <v>271</v>
      </c>
      <c r="B58" s="73">
        <v>7</v>
      </c>
      <c r="D58" s="5" t="s">
        <v>3109</v>
      </c>
      <c r="E58" s="73">
        <v>2</v>
      </c>
      <c r="F58" s="143"/>
      <c r="P58"/>
      <c r="Q58"/>
      <c r="R58" s="143"/>
    </row>
    <row r="59" spans="1:18">
      <c r="A59" s="5" t="s">
        <v>1964</v>
      </c>
      <c r="B59" s="73">
        <v>7</v>
      </c>
      <c r="D59" s="5" t="s">
        <v>1871</v>
      </c>
      <c r="E59" s="73">
        <v>5</v>
      </c>
      <c r="F59" s="143"/>
      <c r="P59"/>
      <c r="Q59"/>
      <c r="R59" s="143"/>
    </row>
    <row r="60" spans="1:18">
      <c r="A60" s="5" t="s">
        <v>2382</v>
      </c>
      <c r="B60" s="73">
        <v>7</v>
      </c>
      <c r="D60" s="5" t="s">
        <v>2540</v>
      </c>
      <c r="E60" s="73">
        <v>2</v>
      </c>
      <c r="F60" s="143"/>
      <c r="P60"/>
      <c r="Q60"/>
      <c r="R60" s="143"/>
    </row>
    <row r="61" spans="1:18">
      <c r="A61" s="5" t="s">
        <v>2081</v>
      </c>
      <c r="B61" s="73">
        <v>7</v>
      </c>
      <c r="D61" s="5" t="s">
        <v>1893</v>
      </c>
      <c r="E61" s="73">
        <v>9</v>
      </c>
      <c r="F61" s="143"/>
      <c r="P61"/>
      <c r="Q61"/>
      <c r="R61" s="143"/>
    </row>
    <row r="62" spans="1:18">
      <c r="A62" s="5" t="s">
        <v>1903</v>
      </c>
      <c r="B62" s="73">
        <v>7</v>
      </c>
      <c r="D62" s="5" t="s">
        <v>2010</v>
      </c>
      <c r="E62" s="73">
        <v>6</v>
      </c>
      <c r="F62" s="143"/>
      <c r="P62"/>
      <c r="Q62"/>
      <c r="R62" s="143"/>
    </row>
    <row r="63" spans="1:18">
      <c r="A63" s="5" t="s">
        <v>1946</v>
      </c>
      <c r="B63" s="73">
        <v>6</v>
      </c>
      <c r="D63" s="5" t="s">
        <v>216</v>
      </c>
      <c r="E63" s="73">
        <v>1</v>
      </c>
      <c r="F63" s="143"/>
      <c r="P63"/>
      <c r="Q63"/>
      <c r="R63" s="143"/>
    </row>
    <row r="64" spans="1:18">
      <c r="A64" s="5" t="s">
        <v>2010</v>
      </c>
      <c r="B64" s="73">
        <v>6</v>
      </c>
      <c r="D64" s="5" t="s">
        <v>1957</v>
      </c>
      <c r="E64" s="73">
        <v>1</v>
      </c>
      <c r="F64" s="143"/>
      <c r="P64"/>
      <c r="Q64"/>
      <c r="R64" s="143"/>
    </row>
    <row r="65" spans="1:18">
      <c r="A65" s="5" t="s">
        <v>1018</v>
      </c>
      <c r="B65" s="73">
        <v>5</v>
      </c>
      <c r="D65" s="5" t="s">
        <v>1924</v>
      </c>
      <c r="E65" s="73">
        <v>9</v>
      </c>
      <c r="F65" s="143"/>
      <c r="P65"/>
      <c r="Q65"/>
      <c r="R65" s="143"/>
    </row>
    <row r="66" spans="1:18">
      <c r="A66" s="5" t="s">
        <v>1871</v>
      </c>
      <c r="B66" s="73">
        <v>5</v>
      </c>
      <c r="D66" s="5" t="s">
        <v>1964</v>
      </c>
      <c r="E66" s="73">
        <v>7</v>
      </c>
      <c r="F66" s="143"/>
      <c r="P66"/>
      <c r="Q66"/>
      <c r="R66" s="143"/>
    </row>
    <row r="67" spans="1:18">
      <c r="A67" s="5" t="s">
        <v>2134</v>
      </c>
      <c r="B67" s="73">
        <v>3</v>
      </c>
      <c r="D67" s="5" t="s">
        <v>2216</v>
      </c>
      <c r="E67" s="73">
        <v>2</v>
      </c>
      <c r="F67" s="143"/>
      <c r="P67"/>
      <c r="Q67"/>
      <c r="R67" s="143"/>
    </row>
    <row r="68" spans="1:18">
      <c r="A68" s="5" t="s">
        <v>2031</v>
      </c>
      <c r="B68" s="73">
        <v>2</v>
      </c>
      <c r="D68" s="5" t="s">
        <v>1990</v>
      </c>
      <c r="E68" s="73">
        <v>1</v>
      </c>
      <c r="F68" s="143"/>
      <c r="P68"/>
      <c r="Q68"/>
      <c r="R68" s="143"/>
    </row>
    <row r="69" spans="1:18">
      <c r="A69" s="5" t="s">
        <v>3109</v>
      </c>
      <c r="B69" s="73">
        <v>2</v>
      </c>
      <c r="D69" s="5" t="s">
        <v>2297</v>
      </c>
      <c r="E69" s="73">
        <v>1</v>
      </c>
      <c r="F69" s="143"/>
      <c r="P69"/>
      <c r="Q69"/>
      <c r="R69" s="143"/>
    </row>
    <row r="70" spans="1:18">
      <c r="A70" s="5" t="s">
        <v>2540</v>
      </c>
      <c r="B70" s="73">
        <v>2</v>
      </c>
      <c r="D70" s="5" t="s">
        <v>2088</v>
      </c>
      <c r="E70" s="73">
        <v>14</v>
      </c>
      <c r="F70" s="143"/>
      <c r="P70"/>
      <c r="Q70"/>
      <c r="R70" s="143"/>
    </row>
    <row r="71" spans="1:18">
      <c r="A71" s="5" t="s">
        <v>2216</v>
      </c>
      <c r="B71" s="73">
        <v>2</v>
      </c>
      <c r="D71" s="5" t="s">
        <v>2382</v>
      </c>
      <c r="E71" s="73">
        <v>7</v>
      </c>
      <c r="F71" s="143"/>
      <c r="P71"/>
      <c r="Q71"/>
      <c r="R71" s="143"/>
    </row>
    <row r="72" spans="1:18">
      <c r="A72" s="5" t="s">
        <v>2888</v>
      </c>
      <c r="B72" s="73">
        <v>2</v>
      </c>
      <c r="D72" s="5" t="s">
        <v>2081</v>
      </c>
      <c r="E72" s="73">
        <v>7</v>
      </c>
      <c r="F72" s="143"/>
      <c r="P72"/>
      <c r="Q72"/>
      <c r="R72" s="143"/>
    </row>
    <row r="73" spans="1:18">
      <c r="A73" s="5" t="s">
        <v>2231</v>
      </c>
      <c r="B73" s="73">
        <v>2</v>
      </c>
      <c r="D73" s="5" t="s">
        <v>1984</v>
      </c>
      <c r="E73" s="73">
        <v>1</v>
      </c>
      <c r="F73" s="143"/>
      <c r="P73"/>
      <c r="Q73"/>
      <c r="R73" s="143"/>
    </row>
    <row r="74" spans="1:18">
      <c r="A74" s="5" t="s">
        <v>2249</v>
      </c>
      <c r="B74" s="73">
        <v>2</v>
      </c>
      <c r="D74" s="5" t="s">
        <v>2888</v>
      </c>
      <c r="E74" s="73">
        <v>2</v>
      </c>
      <c r="F74" s="143"/>
      <c r="P74"/>
      <c r="Q74"/>
    </row>
    <row r="75" spans="1:18">
      <c r="A75" s="5" t="s">
        <v>216</v>
      </c>
      <c r="B75" s="73">
        <v>1</v>
      </c>
      <c r="D75" s="5" t="s">
        <v>265</v>
      </c>
      <c r="E75" s="73">
        <v>10</v>
      </c>
      <c r="F75" s="143"/>
      <c r="P75"/>
      <c r="Q75"/>
    </row>
    <row r="76" spans="1:18">
      <c r="A76" s="5" t="s">
        <v>1957</v>
      </c>
      <c r="B76" s="73">
        <v>1</v>
      </c>
      <c r="D76" s="5" t="s">
        <v>2231</v>
      </c>
      <c r="E76" s="73">
        <v>2</v>
      </c>
      <c r="F76" s="143"/>
      <c r="P76"/>
      <c r="Q76"/>
    </row>
    <row r="77" spans="1:18">
      <c r="A77" s="5" t="s">
        <v>1990</v>
      </c>
      <c r="B77" s="73">
        <v>1</v>
      </c>
      <c r="D77" s="5" t="s">
        <v>1916</v>
      </c>
      <c r="E77" s="73">
        <v>9</v>
      </c>
      <c r="F77" s="143"/>
      <c r="P77"/>
      <c r="Q77"/>
    </row>
    <row r="78" spans="1:18">
      <c r="A78" s="5" t="s">
        <v>2297</v>
      </c>
      <c r="B78" s="73">
        <v>1</v>
      </c>
      <c r="D78" s="5" t="s">
        <v>225</v>
      </c>
      <c r="E78" s="73">
        <v>15</v>
      </c>
      <c r="F78" s="143"/>
      <c r="P78"/>
      <c r="Q78"/>
    </row>
    <row r="79" spans="1:18">
      <c r="A79" s="5" t="s">
        <v>1984</v>
      </c>
      <c r="B79" s="73">
        <v>1</v>
      </c>
      <c r="D79" s="5" t="s">
        <v>2249</v>
      </c>
      <c r="E79" s="73">
        <v>2</v>
      </c>
      <c r="F79" s="143"/>
      <c r="P79"/>
      <c r="Q79"/>
    </row>
    <row r="80" spans="1:18">
      <c r="A80" s="94" t="s">
        <v>284</v>
      </c>
      <c r="B80" s="95">
        <v>425</v>
      </c>
      <c r="D80" s="5" t="s">
        <v>232</v>
      </c>
      <c r="E80" s="73">
        <v>17</v>
      </c>
      <c r="F80" s="143"/>
      <c r="P80"/>
      <c r="Q80"/>
    </row>
    <row r="81" spans="1:17">
      <c r="A81" s="166"/>
      <c r="B81" s="166"/>
      <c r="D81" s="5" t="s">
        <v>1903</v>
      </c>
      <c r="E81" s="73">
        <v>7</v>
      </c>
      <c r="F81" s="143"/>
      <c r="P81"/>
      <c r="Q81"/>
    </row>
    <row r="82" spans="1:17">
      <c r="A82" s="166"/>
      <c r="B82" s="166"/>
      <c r="D82" s="72" t="s">
        <v>284</v>
      </c>
      <c r="E82" s="73">
        <v>425</v>
      </c>
      <c r="F82" s="143"/>
      <c r="P82"/>
      <c r="Q82"/>
    </row>
    <row r="83" spans="1:17">
      <c r="A83" s="166"/>
      <c r="B83" s="166"/>
      <c r="F83" s="143"/>
      <c r="P83"/>
      <c r="Q83"/>
    </row>
    <row r="84" spans="1:17">
      <c r="A84" s="166"/>
      <c r="B84" s="166"/>
      <c r="F84" s="143"/>
      <c r="P84"/>
      <c r="Q84"/>
    </row>
    <row r="85" spans="1:17">
      <c r="A85" s="166"/>
      <c r="B85" s="166"/>
      <c r="F85" s="143"/>
      <c r="P85"/>
      <c r="Q85"/>
    </row>
    <row r="86" spans="1:17">
      <c r="A86" s="166"/>
      <c r="B86" s="166"/>
      <c r="F86" s="143"/>
      <c r="P86"/>
      <c r="Q86"/>
    </row>
    <row r="87" spans="1:17">
      <c r="F87" s="143"/>
      <c r="P87"/>
      <c r="Q87"/>
    </row>
    <row r="88" spans="1:17">
      <c r="F88" s="143"/>
      <c r="P88"/>
      <c r="Q88"/>
    </row>
    <row r="89" spans="1:17">
      <c r="F89" s="143"/>
      <c r="P89"/>
      <c r="Q89"/>
    </row>
    <row r="90" spans="1:17">
      <c r="F90" s="143"/>
      <c r="P90"/>
      <c r="Q90"/>
    </row>
    <row r="91" spans="1:17">
      <c r="F91" s="143"/>
      <c r="P91"/>
      <c r="Q91"/>
    </row>
    <row r="92" spans="1:17">
      <c r="F92" s="143"/>
      <c r="P92"/>
      <c r="Q92"/>
    </row>
    <row r="93" spans="1:17">
      <c r="F93" s="143"/>
      <c r="P93"/>
      <c r="Q93"/>
    </row>
    <row r="94" spans="1:17">
      <c r="F94" s="143"/>
      <c r="P94"/>
      <c r="Q94"/>
    </row>
    <row r="95" spans="1:17">
      <c r="F95" s="143"/>
      <c r="P95"/>
      <c r="Q95"/>
    </row>
    <row r="96" spans="1:17">
      <c r="F96" s="143"/>
      <c r="P96"/>
      <c r="Q96"/>
    </row>
    <row r="97" spans="6:17">
      <c r="F97" s="143"/>
      <c r="P97"/>
      <c r="Q97"/>
    </row>
    <row r="98" spans="6:17">
      <c r="F98" s="143"/>
      <c r="P98"/>
      <c r="Q98"/>
    </row>
    <row r="99" spans="6:17">
      <c r="F99" s="143"/>
      <c r="P99"/>
      <c r="Q99"/>
    </row>
    <row r="100" spans="6:17">
      <c r="F100" s="143"/>
      <c r="P100"/>
      <c r="Q100"/>
    </row>
    <row r="101" spans="6:17">
      <c r="F101" s="143"/>
      <c r="P101"/>
      <c r="Q101"/>
    </row>
    <row r="102" spans="6:17">
      <c r="F102" s="143"/>
      <c r="P102"/>
      <c r="Q102"/>
    </row>
    <row r="103" spans="6:17">
      <c r="F103" s="143"/>
      <c r="P103"/>
      <c r="Q103"/>
    </row>
    <row r="104" spans="6:17">
      <c r="F104" s="143"/>
      <c r="P104"/>
      <c r="Q104"/>
    </row>
    <row r="105" spans="6:17">
      <c r="F105" s="143"/>
      <c r="P105"/>
      <c r="Q105"/>
    </row>
    <row r="106" spans="6:17">
      <c r="F106" s="143"/>
      <c r="P106"/>
      <c r="Q106"/>
    </row>
    <row r="107" spans="6:17">
      <c r="F107" s="143"/>
      <c r="P107"/>
      <c r="Q107"/>
    </row>
    <row r="108" spans="6:17">
      <c r="F108" s="143"/>
      <c r="P108"/>
      <c r="Q108"/>
    </row>
    <row r="109" spans="6:17">
      <c r="F109" s="143"/>
      <c r="P109"/>
      <c r="Q109"/>
    </row>
    <row r="110" spans="6:17">
      <c r="F110" s="143"/>
      <c r="P110"/>
      <c r="Q110"/>
    </row>
    <row r="111" spans="6:17">
      <c r="F111" s="143"/>
      <c r="P111"/>
      <c r="Q111"/>
    </row>
    <row r="112" spans="6:17">
      <c r="F112" s="143"/>
      <c r="P112"/>
      <c r="Q112"/>
    </row>
    <row r="113" spans="6:17">
      <c r="F113" s="143"/>
      <c r="P113"/>
      <c r="Q113"/>
    </row>
    <row r="114" spans="6:17">
      <c r="F114" s="143"/>
      <c r="P114"/>
      <c r="Q114"/>
    </row>
    <row r="115" spans="6:17">
      <c r="F115" s="143"/>
      <c r="P115"/>
      <c r="Q115"/>
    </row>
    <row r="116" spans="6:17">
      <c r="F116" s="143"/>
      <c r="P116"/>
      <c r="Q116"/>
    </row>
    <row r="117" spans="6:17">
      <c r="F117" s="143"/>
      <c r="P117"/>
      <c r="Q117"/>
    </row>
    <row r="118" spans="6:17">
      <c r="F118" s="143"/>
      <c r="P118"/>
      <c r="Q118"/>
    </row>
    <row r="119" spans="6:17">
      <c r="F119" s="143"/>
      <c r="P119"/>
      <c r="Q119"/>
    </row>
    <row r="120" spans="6:17">
      <c r="F120" s="143"/>
      <c r="P120"/>
      <c r="Q120"/>
    </row>
    <row r="121" spans="6:17">
      <c r="F121" s="143"/>
      <c r="P121"/>
      <c r="Q121"/>
    </row>
    <row r="122" spans="6:17">
      <c r="F122" s="143"/>
      <c r="P122"/>
      <c r="Q122"/>
    </row>
    <row r="123" spans="6:17">
      <c r="F123" s="143"/>
      <c r="P123"/>
      <c r="Q123"/>
    </row>
    <row r="124" spans="6:17">
      <c r="F124" s="143"/>
      <c r="P124"/>
      <c r="Q124"/>
    </row>
    <row r="125" spans="6:17">
      <c r="F125" s="143"/>
      <c r="P125"/>
      <c r="Q125"/>
    </row>
    <row r="126" spans="6:17">
      <c r="F126" s="143"/>
      <c r="P126"/>
      <c r="Q126"/>
    </row>
    <row r="127" spans="6:17">
      <c r="F127" s="143"/>
      <c r="P127"/>
      <c r="Q127"/>
    </row>
    <row r="128" spans="6:17">
      <c r="F128" s="143"/>
      <c r="P128"/>
      <c r="Q128"/>
    </row>
    <row r="129" spans="6:17">
      <c r="F129" s="143"/>
      <c r="P129"/>
      <c r="Q129"/>
    </row>
    <row r="130" spans="6:17">
      <c r="F130" s="143"/>
      <c r="P130"/>
      <c r="Q130"/>
    </row>
    <row r="131" spans="6:17">
      <c r="F131" s="143"/>
      <c r="P131"/>
      <c r="Q131"/>
    </row>
    <row r="132" spans="6:17">
      <c r="F132" s="143"/>
      <c r="P132"/>
      <c r="Q132"/>
    </row>
    <row r="133" spans="6:17">
      <c r="F133" s="143"/>
      <c r="P133"/>
      <c r="Q133"/>
    </row>
    <row r="134" spans="6:17">
      <c r="F134" s="143"/>
      <c r="P134"/>
      <c r="Q134"/>
    </row>
    <row r="135" spans="6:17">
      <c r="F135" s="143"/>
      <c r="P135"/>
      <c r="Q135"/>
    </row>
    <row r="136" spans="6:17">
      <c r="F136" s="143"/>
      <c r="P136"/>
      <c r="Q136"/>
    </row>
    <row r="137" spans="6:17">
      <c r="F137" s="143"/>
      <c r="P137"/>
      <c r="Q137"/>
    </row>
    <row r="138" spans="6:17">
      <c r="F138" s="143"/>
      <c r="P138"/>
      <c r="Q138"/>
    </row>
    <row r="139" spans="6:17">
      <c r="F139" s="143"/>
      <c r="P139"/>
      <c r="Q139"/>
    </row>
    <row r="140" spans="6:17">
      <c r="F140" s="143"/>
      <c r="P140"/>
      <c r="Q140"/>
    </row>
    <row r="141" spans="6:17">
      <c r="F141" s="143"/>
      <c r="P141"/>
      <c r="Q141"/>
    </row>
    <row r="142" spans="6:17">
      <c r="F142" s="143"/>
      <c r="P142"/>
      <c r="Q142"/>
    </row>
    <row r="143" spans="6:17">
      <c r="F143" s="143"/>
      <c r="P143"/>
      <c r="Q143"/>
    </row>
    <row r="144" spans="6:17">
      <c r="F144" s="143"/>
      <c r="P144"/>
      <c r="Q144"/>
    </row>
    <row r="145" spans="6:17">
      <c r="F145" s="143"/>
      <c r="P145"/>
      <c r="Q145"/>
    </row>
    <row r="146" spans="6:17">
      <c r="F146" s="143"/>
      <c r="P146"/>
      <c r="Q146"/>
    </row>
    <row r="147" spans="6:17">
      <c r="F147" s="143"/>
      <c r="P147"/>
      <c r="Q147"/>
    </row>
    <row r="148" spans="6:17">
      <c r="F148" s="143"/>
      <c r="P148"/>
      <c r="Q148"/>
    </row>
    <row r="149" spans="6:17">
      <c r="F149" s="143"/>
      <c r="P149"/>
      <c r="Q149"/>
    </row>
    <row r="150" spans="6:17">
      <c r="F150" s="143"/>
      <c r="P150"/>
      <c r="Q150"/>
    </row>
    <row r="151" spans="6:17">
      <c r="F151" s="143"/>
      <c r="P151"/>
      <c r="Q151"/>
    </row>
    <row r="152" spans="6:17">
      <c r="F152" s="143"/>
      <c r="P152"/>
      <c r="Q152"/>
    </row>
    <row r="153" spans="6:17">
      <c r="F153" s="143"/>
      <c r="P153"/>
      <c r="Q153"/>
    </row>
    <row r="154" spans="6:17">
      <c r="F154" s="143"/>
      <c r="P154"/>
      <c r="Q154"/>
    </row>
    <row r="155" spans="6:17">
      <c r="F155" s="143"/>
      <c r="P155"/>
      <c r="Q155"/>
    </row>
    <row r="156" spans="6:17">
      <c r="F156" s="143"/>
      <c r="P156"/>
      <c r="Q156"/>
    </row>
    <row r="157" spans="6:17">
      <c r="F157" s="143"/>
      <c r="P157"/>
      <c r="Q157"/>
    </row>
    <row r="158" spans="6:17">
      <c r="F158" s="143"/>
      <c r="P158"/>
      <c r="Q158"/>
    </row>
    <row r="159" spans="6:17">
      <c r="F159" s="143"/>
      <c r="P159"/>
      <c r="Q159"/>
    </row>
    <row r="160" spans="6:17">
      <c r="F160" s="143"/>
      <c r="P160"/>
      <c r="Q160"/>
    </row>
    <row r="161" spans="6:17">
      <c r="F161" s="143"/>
      <c r="P161"/>
      <c r="Q161"/>
    </row>
    <row r="162" spans="6:17">
      <c r="F162" s="143"/>
      <c r="P162"/>
      <c r="Q162"/>
    </row>
    <row r="163" spans="6:17">
      <c r="F163" s="143"/>
      <c r="P163"/>
      <c r="Q163"/>
    </row>
    <row r="164" spans="6:17">
      <c r="F164" s="143"/>
      <c r="P164"/>
      <c r="Q164"/>
    </row>
    <row r="165" spans="6:17">
      <c r="F165" s="143"/>
      <c r="P165"/>
      <c r="Q165"/>
    </row>
    <row r="166" spans="6:17">
      <c r="F166" s="143"/>
      <c r="P166"/>
      <c r="Q166"/>
    </row>
    <row r="167" spans="6:17">
      <c r="F167" s="143"/>
      <c r="P167"/>
      <c r="Q167"/>
    </row>
    <row r="168" spans="6:17">
      <c r="F168" s="143"/>
      <c r="P168"/>
      <c r="Q168"/>
    </row>
    <row r="169" spans="6:17">
      <c r="F169" s="143"/>
      <c r="P169"/>
      <c r="Q169"/>
    </row>
    <row r="170" spans="6:17">
      <c r="F170" s="143"/>
      <c r="P170"/>
      <c r="Q170"/>
    </row>
    <row r="171" spans="6:17">
      <c r="F171" s="143"/>
      <c r="P171"/>
      <c r="Q171"/>
    </row>
    <row r="172" spans="6:17">
      <c r="F172" s="143"/>
      <c r="P172"/>
      <c r="Q172"/>
    </row>
    <row r="173" spans="6:17">
      <c r="F173" s="143"/>
      <c r="P173"/>
      <c r="Q173"/>
    </row>
    <row r="174" spans="6:17">
      <c r="F174" s="143"/>
      <c r="P174"/>
      <c r="Q174"/>
    </row>
    <row r="175" spans="6:17">
      <c r="F175" s="143"/>
      <c r="P175"/>
      <c r="Q175"/>
    </row>
    <row r="176" spans="6:17">
      <c r="F176" s="143"/>
      <c r="P176"/>
      <c r="Q176"/>
    </row>
    <row r="177" spans="6:17">
      <c r="F177" s="143"/>
      <c r="P177"/>
      <c r="Q177"/>
    </row>
    <row r="178" spans="6:17">
      <c r="F178" s="143"/>
      <c r="P178"/>
      <c r="Q178"/>
    </row>
    <row r="179" spans="6:17">
      <c r="F179" s="143"/>
      <c r="P179"/>
      <c r="Q179"/>
    </row>
    <row r="180" spans="6:17">
      <c r="F180" s="143"/>
      <c r="P180"/>
      <c r="Q180"/>
    </row>
    <row r="181" spans="6:17">
      <c r="F181" s="143"/>
      <c r="P181"/>
      <c r="Q181"/>
    </row>
    <row r="182" spans="6:17">
      <c r="F182" s="143"/>
      <c r="P182"/>
      <c r="Q182"/>
    </row>
    <row r="183" spans="6:17">
      <c r="F183" s="143"/>
      <c r="P183"/>
      <c r="Q183"/>
    </row>
    <row r="184" spans="6:17">
      <c r="F184" s="143"/>
      <c r="P184"/>
      <c r="Q184"/>
    </row>
    <row r="185" spans="6:17">
      <c r="F185" s="143"/>
      <c r="P185"/>
      <c r="Q185"/>
    </row>
    <row r="186" spans="6:17">
      <c r="F186" s="143"/>
      <c r="P186"/>
      <c r="Q186"/>
    </row>
    <row r="187" spans="6:17">
      <c r="F187" s="143"/>
      <c r="P187"/>
      <c r="Q187"/>
    </row>
    <row r="188" spans="6:17">
      <c r="F188" s="143"/>
      <c r="P188"/>
      <c r="Q188"/>
    </row>
    <row r="189" spans="6:17">
      <c r="F189" s="143"/>
      <c r="P189"/>
      <c r="Q189"/>
    </row>
    <row r="190" spans="6:17">
      <c r="F190" s="143"/>
      <c r="P190"/>
      <c r="Q190"/>
    </row>
    <row r="191" spans="6:17">
      <c r="F191" s="143"/>
      <c r="P191"/>
      <c r="Q191"/>
    </row>
    <row r="192" spans="6:17">
      <c r="F192" s="143"/>
      <c r="P192"/>
      <c r="Q192"/>
    </row>
    <row r="193" spans="6:17">
      <c r="F193" s="143"/>
      <c r="P193"/>
      <c r="Q193"/>
    </row>
    <row r="194" spans="6:17">
      <c r="F194" s="143"/>
      <c r="P194"/>
      <c r="Q194"/>
    </row>
    <row r="195" spans="6:17">
      <c r="F195" s="143"/>
      <c r="P195"/>
      <c r="Q195"/>
    </row>
    <row r="196" spans="6:17">
      <c r="F196" s="143"/>
      <c r="P196"/>
      <c r="Q196"/>
    </row>
    <row r="197" spans="6:17">
      <c r="F197" s="143"/>
      <c r="P197"/>
      <c r="Q197"/>
    </row>
    <row r="198" spans="6:17">
      <c r="F198" s="143"/>
      <c r="P198"/>
      <c r="Q198"/>
    </row>
    <row r="199" spans="6:17">
      <c r="F199" s="143"/>
      <c r="P199"/>
      <c r="Q199"/>
    </row>
    <row r="200" spans="6:17">
      <c r="F200" s="143"/>
      <c r="P200"/>
      <c r="Q200"/>
    </row>
    <row r="201" spans="6:17">
      <c r="F201" s="143"/>
      <c r="P201"/>
      <c r="Q201"/>
    </row>
    <row r="202" spans="6:17">
      <c r="F202" s="143"/>
      <c r="P202"/>
      <c r="Q202"/>
    </row>
    <row r="203" spans="6:17">
      <c r="F203" s="143"/>
      <c r="P203"/>
      <c r="Q203"/>
    </row>
    <row r="204" spans="6:17">
      <c r="F204" s="143"/>
      <c r="P204"/>
      <c r="Q204"/>
    </row>
    <row r="205" spans="6:17">
      <c r="F205" s="143"/>
      <c r="P205"/>
      <c r="Q205"/>
    </row>
    <row r="206" spans="6:17">
      <c r="F206" s="143"/>
      <c r="P206"/>
      <c r="Q206"/>
    </row>
    <row r="207" spans="6:17">
      <c r="F207" s="143"/>
      <c r="P207"/>
      <c r="Q207"/>
    </row>
    <row r="208" spans="6:17">
      <c r="F208" s="143"/>
      <c r="P208"/>
      <c r="Q208"/>
    </row>
    <row r="209" spans="6:17">
      <c r="F209" s="143"/>
      <c r="P209"/>
      <c r="Q209"/>
    </row>
    <row r="210" spans="6:17">
      <c r="F210" s="143"/>
      <c r="P210"/>
      <c r="Q210"/>
    </row>
    <row r="211" spans="6:17">
      <c r="F211" s="143"/>
      <c r="P211"/>
      <c r="Q211"/>
    </row>
    <row r="212" spans="6:17">
      <c r="F212" s="143"/>
      <c r="P212"/>
      <c r="Q212"/>
    </row>
    <row r="213" spans="6:17">
      <c r="F213" s="143"/>
      <c r="P213"/>
      <c r="Q213"/>
    </row>
    <row r="214" spans="6:17">
      <c r="F214" s="143"/>
      <c r="P214"/>
      <c r="Q214"/>
    </row>
    <row r="215" spans="6:17">
      <c r="F215" s="143"/>
      <c r="P215"/>
      <c r="Q215"/>
    </row>
    <row r="216" spans="6:17">
      <c r="F216" s="143"/>
      <c r="P216"/>
      <c r="Q216"/>
    </row>
    <row r="217" spans="6:17">
      <c r="F217" s="143"/>
      <c r="P217"/>
      <c r="Q217"/>
    </row>
    <row r="218" spans="6:17">
      <c r="F218" s="143"/>
      <c r="P218"/>
      <c r="Q218"/>
    </row>
    <row r="219" spans="6:17">
      <c r="F219" s="143"/>
      <c r="P219"/>
      <c r="Q219"/>
    </row>
    <row r="220" spans="6:17">
      <c r="F220" s="143"/>
      <c r="P220"/>
      <c r="Q220"/>
    </row>
    <row r="221" spans="6:17">
      <c r="F221" s="143"/>
      <c r="P221"/>
      <c r="Q221"/>
    </row>
    <row r="222" spans="6:17">
      <c r="F222" s="143"/>
      <c r="P222"/>
      <c r="Q222"/>
    </row>
    <row r="223" spans="6:17">
      <c r="F223" s="143"/>
      <c r="P223"/>
      <c r="Q223"/>
    </row>
    <row r="224" spans="6:17">
      <c r="F224" s="143"/>
      <c r="P224"/>
      <c r="Q224"/>
    </row>
    <row r="225" spans="6:17">
      <c r="F225" s="143"/>
      <c r="P225"/>
      <c r="Q225"/>
    </row>
    <row r="226" spans="6:17">
      <c r="F226" s="143"/>
      <c r="P226"/>
      <c r="Q226"/>
    </row>
    <row r="227" spans="6:17">
      <c r="F227" s="143"/>
      <c r="P227"/>
      <c r="Q227"/>
    </row>
    <row r="228" spans="6:17">
      <c r="F228" s="143"/>
      <c r="P228"/>
      <c r="Q228"/>
    </row>
    <row r="229" spans="6:17">
      <c r="F229" s="143"/>
      <c r="P229"/>
      <c r="Q229"/>
    </row>
    <row r="230" spans="6:17">
      <c r="F230" s="143"/>
      <c r="P230"/>
      <c r="Q230"/>
    </row>
    <row r="231" spans="6:17">
      <c r="F231" s="143"/>
      <c r="P231"/>
      <c r="Q231"/>
    </row>
    <row r="232" spans="6:17">
      <c r="F232" s="143"/>
      <c r="P232"/>
      <c r="Q232"/>
    </row>
    <row r="233" spans="6:17">
      <c r="F233" s="143"/>
      <c r="P233"/>
      <c r="Q233"/>
    </row>
    <row r="234" spans="6:17">
      <c r="F234" s="143"/>
      <c r="P234"/>
      <c r="Q234"/>
    </row>
    <row r="235" spans="6:17">
      <c r="F235" s="143"/>
      <c r="P235"/>
      <c r="Q235"/>
    </row>
    <row r="236" spans="6:17">
      <c r="F236" s="143"/>
      <c r="P236"/>
      <c r="Q236"/>
    </row>
    <row r="237" spans="6:17">
      <c r="F237" s="143"/>
      <c r="P237"/>
      <c r="Q237"/>
    </row>
    <row r="238" spans="6:17">
      <c r="F238" s="143"/>
      <c r="P238"/>
      <c r="Q238"/>
    </row>
    <row r="239" spans="6:17">
      <c r="F239" s="143"/>
      <c r="P239"/>
      <c r="Q239"/>
    </row>
    <row r="240" spans="6:17">
      <c r="F240" s="143"/>
      <c r="P240"/>
      <c r="Q240"/>
    </row>
    <row r="241" spans="6:17">
      <c r="F241" s="143"/>
      <c r="P241"/>
      <c r="Q241"/>
    </row>
    <row r="242" spans="6:17">
      <c r="F242" s="143"/>
      <c r="P242"/>
      <c r="Q242"/>
    </row>
    <row r="243" spans="6:17">
      <c r="F243" s="143"/>
      <c r="P243"/>
      <c r="Q243"/>
    </row>
    <row r="244" spans="6:17">
      <c r="F244" s="143"/>
      <c r="P244"/>
      <c r="Q244"/>
    </row>
    <row r="245" spans="6:17">
      <c r="F245" s="143"/>
      <c r="P245"/>
      <c r="Q245"/>
    </row>
    <row r="246" spans="6:17">
      <c r="F246" s="143"/>
      <c r="P246"/>
      <c r="Q246"/>
    </row>
    <row r="247" spans="6:17">
      <c r="F247" s="143"/>
      <c r="P247"/>
      <c r="Q247"/>
    </row>
    <row r="248" spans="6:17">
      <c r="F248" s="143"/>
      <c r="P248"/>
      <c r="Q248"/>
    </row>
    <row r="249" spans="6:17">
      <c r="F249" s="143"/>
      <c r="P249"/>
      <c r="Q249"/>
    </row>
    <row r="250" spans="6:17">
      <c r="F250" s="143"/>
      <c r="P250"/>
      <c r="Q250"/>
    </row>
    <row r="251" spans="6:17">
      <c r="F251" s="143"/>
      <c r="P251"/>
      <c r="Q251"/>
    </row>
    <row r="252" spans="6:17">
      <c r="F252" s="143"/>
      <c r="P252"/>
      <c r="Q252"/>
    </row>
    <row r="253" spans="6:17">
      <c r="F253" s="143"/>
      <c r="P253"/>
      <c r="Q253"/>
    </row>
    <row r="254" spans="6:17">
      <c r="F254" s="143"/>
      <c r="P254"/>
      <c r="Q254"/>
    </row>
    <row r="255" spans="6:17">
      <c r="F255" s="143"/>
      <c r="P255"/>
      <c r="Q255"/>
    </row>
    <row r="256" spans="6:17">
      <c r="F256" s="143"/>
      <c r="P256"/>
      <c r="Q256"/>
    </row>
    <row r="257" spans="6:17">
      <c r="F257" s="143"/>
      <c r="P257"/>
      <c r="Q257"/>
    </row>
    <row r="258" spans="6:17">
      <c r="F258" s="143"/>
      <c r="P258"/>
      <c r="Q258"/>
    </row>
    <row r="259" spans="6:17">
      <c r="F259" s="143"/>
      <c r="P259"/>
      <c r="Q259"/>
    </row>
    <row r="260" spans="6:17">
      <c r="F260" s="143"/>
      <c r="P260"/>
      <c r="Q260"/>
    </row>
    <row r="261" spans="6:17">
      <c r="F261" s="143"/>
      <c r="P261"/>
      <c r="Q261"/>
    </row>
    <row r="262" spans="6:17">
      <c r="F262" s="143"/>
      <c r="P262"/>
      <c r="Q262"/>
    </row>
    <row r="263" spans="6:17">
      <c r="F263" s="143"/>
      <c r="P263"/>
      <c r="Q263"/>
    </row>
    <row r="264" spans="6:17">
      <c r="F264" s="143"/>
      <c r="P264"/>
      <c r="Q264"/>
    </row>
    <row r="265" spans="6:17">
      <c r="F265" s="143"/>
      <c r="P265"/>
      <c r="Q265"/>
    </row>
    <row r="266" spans="6:17">
      <c r="F266" s="143"/>
      <c r="P266"/>
      <c r="Q266"/>
    </row>
    <row r="267" spans="6:17">
      <c r="F267" s="143"/>
      <c r="P267"/>
      <c r="Q267"/>
    </row>
    <row r="268" spans="6:17">
      <c r="F268" s="143"/>
      <c r="P268"/>
      <c r="Q268"/>
    </row>
    <row r="269" spans="6:17">
      <c r="F269" s="143"/>
      <c r="P269"/>
      <c r="Q269"/>
    </row>
    <row r="270" spans="6:17">
      <c r="F270" s="143"/>
      <c r="P270"/>
      <c r="Q270"/>
    </row>
    <row r="271" spans="6:17">
      <c r="F271" s="143"/>
      <c r="P271"/>
      <c r="Q271"/>
    </row>
    <row r="272" spans="6:17">
      <c r="F272" s="143"/>
      <c r="P272"/>
      <c r="Q272"/>
    </row>
    <row r="273" spans="6:17">
      <c r="F273" s="143"/>
      <c r="P273"/>
      <c r="Q273"/>
    </row>
    <row r="274" spans="6:17">
      <c r="F274" s="143"/>
      <c r="P274"/>
      <c r="Q274"/>
    </row>
    <row r="275" spans="6:17">
      <c r="F275" s="143"/>
      <c r="P275"/>
      <c r="Q275"/>
    </row>
    <row r="276" spans="6:17">
      <c r="F276" s="143"/>
      <c r="P276"/>
      <c r="Q276"/>
    </row>
    <row r="277" spans="6:17">
      <c r="F277" s="143"/>
      <c r="P277"/>
      <c r="Q277"/>
    </row>
    <row r="278" spans="6:17">
      <c r="F278" s="143"/>
      <c r="P278"/>
      <c r="Q278"/>
    </row>
    <row r="279" spans="6:17">
      <c r="F279" s="143"/>
      <c r="P279"/>
      <c r="Q279"/>
    </row>
    <row r="280" spans="6:17">
      <c r="F280" s="143"/>
      <c r="P280"/>
      <c r="Q280"/>
    </row>
    <row r="281" spans="6:17">
      <c r="F281" s="143"/>
      <c r="P281"/>
      <c r="Q281"/>
    </row>
    <row r="282" spans="6:17">
      <c r="F282" s="143"/>
      <c r="P282"/>
      <c r="Q282"/>
    </row>
    <row r="283" spans="6:17">
      <c r="F283" s="143"/>
      <c r="P283"/>
      <c r="Q283"/>
    </row>
    <row r="284" spans="6:17">
      <c r="F284" s="143"/>
      <c r="P284"/>
      <c r="Q284"/>
    </row>
    <row r="285" spans="6:17">
      <c r="F285" s="143"/>
      <c r="P285"/>
      <c r="Q285"/>
    </row>
    <row r="286" spans="6:17">
      <c r="F286" s="143"/>
      <c r="P286"/>
      <c r="Q286"/>
    </row>
    <row r="287" spans="6:17">
      <c r="F287" s="143"/>
      <c r="P287"/>
      <c r="Q287"/>
    </row>
    <row r="288" spans="6:17">
      <c r="F288" s="143"/>
      <c r="P288"/>
      <c r="Q288"/>
    </row>
    <row r="289" spans="6:17">
      <c r="F289" s="143"/>
      <c r="P289"/>
      <c r="Q289"/>
    </row>
    <row r="290" spans="6:17">
      <c r="F290" s="143"/>
      <c r="P290"/>
      <c r="Q290"/>
    </row>
    <row r="291" spans="6:17">
      <c r="F291" s="143"/>
      <c r="P291"/>
      <c r="Q291"/>
    </row>
    <row r="292" spans="6:17">
      <c r="F292" s="143"/>
      <c r="P292"/>
      <c r="Q292"/>
    </row>
    <row r="293" spans="6:17">
      <c r="F293" s="143"/>
      <c r="P293"/>
      <c r="Q293"/>
    </row>
    <row r="294" spans="6:17">
      <c r="F294" s="143"/>
      <c r="P294"/>
      <c r="Q294"/>
    </row>
    <row r="295" spans="6:17">
      <c r="F295" s="143"/>
      <c r="P295"/>
      <c r="Q295"/>
    </row>
    <row r="296" spans="6:17">
      <c r="F296" s="143"/>
      <c r="P296"/>
      <c r="Q296"/>
    </row>
    <row r="297" spans="6:17">
      <c r="F297" s="143"/>
      <c r="P297"/>
      <c r="Q297"/>
    </row>
    <row r="298" spans="6:17">
      <c r="F298" s="143"/>
      <c r="P298"/>
      <c r="Q298"/>
    </row>
    <row r="299" spans="6:17">
      <c r="F299" s="143"/>
      <c r="P299"/>
      <c r="Q299"/>
    </row>
    <row r="300" spans="6:17">
      <c r="F300" s="143"/>
      <c r="P300"/>
      <c r="Q300"/>
    </row>
    <row r="301" spans="6:17">
      <c r="F301" s="143"/>
      <c r="P301"/>
      <c r="Q301"/>
    </row>
    <row r="302" spans="6:17">
      <c r="F302" s="143"/>
      <c r="P302"/>
      <c r="Q302"/>
    </row>
    <row r="303" spans="6:17">
      <c r="F303" s="143"/>
      <c r="P303"/>
      <c r="Q303"/>
    </row>
    <row r="304" spans="6:17">
      <c r="F304" s="143"/>
      <c r="P304"/>
      <c r="Q304"/>
    </row>
    <row r="305" spans="6:17">
      <c r="F305" s="143"/>
      <c r="P305"/>
      <c r="Q305"/>
    </row>
    <row r="306" spans="6:17">
      <c r="F306" s="143"/>
      <c r="P306"/>
      <c r="Q306"/>
    </row>
    <row r="307" spans="6:17">
      <c r="F307" s="143"/>
      <c r="P307"/>
      <c r="Q307"/>
    </row>
    <row r="308" spans="6:17">
      <c r="F308" s="143"/>
      <c r="P308"/>
      <c r="Q308"/>
    </row>
    <row r="309" spans="6:17">
      <c r="P309"/>
      <c r="Q309"/>
    </row>
  </sheetData>
  <sortState ref="H3:J38">
    <sortCondition descending="1" ref="I3:I38"/>
  </sortState>
  <mergeCells count="2">
    <mergeCell ref="D1:E1"/>
    <mergeCell ref="P1:Q1"/>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81"/>
  <sheetViews>
    <sheetView workbookViewId="0"/>
  </sheetViews>
  <sheetFormatPr baseColWidth="10" defaultRowHeight="14.5"/>
  <cols>
    <col min="1" max="1" width="11.453125" style="166"/>
    <col min="2" max="2" width="30.54296875" bestFit="1" customWidth="1"/>
    <col min="3" max="3" width="55.54296875" style="166" bestFit="1" customWidth="1"/>
    <col min="5" max="5" width="11.453125" style="166"/>
    <col min="7" max="7" width="11.453125" style="166"/>
    <col min="9" max="9" width="11.453125" style="166"/>
  </cols>
  <sheetData>
    <row r="1" spans="2:3">
      <c r="B1" s="169" t="s">
        <v>719</v>
      </c>
      <c r="C1" s="170" t="s">
        <v>285</v>
      </c>
    </row>
    <row r="2" spans="2:3">
      <c r="B2" s="171" t="s">
        <v>265</v>
      </c>
      <c r="C2" s="134" t="s">
        <v>442</v>
      </c>
    </row>
    <row r="3" spans="2:3">
      <c r="B3" s="171" t="s">
        <v>225</v>
      </c>
      <c r="C3" s="134" t="s">
        <v>442</v>
      </c>
    </row>
    <row r="4" spans="2:3">
      <c r="B4" s="171" t="s">
        <v>232</v>
      </c>
      <c r="C4" s="134" t="s">
        <v>442</v>
      </c>
    </row>
    <row r="5" spans="2:3" s="174" customFormat="1">
      <c r="B5" s="171" t="s">
        <v>1074</v>
      </c>
      <c r="C5" s="134" t="s">
        <v>442</v>
      </c>
    </row>
    <row r="6" spans="2:3" s="174" customFormat="1">
      <c r="B6" s="171" t="s">
        <v>1076</v>
      </c>
      <c r="C6" s="134" t="s">
        <v>442</v>
      </c>
    </row>
    <row r="7" spans="2:3" s="174" customFormat="1">
      <c r="B7" s="171" t="s">
        <v>443</v>
      </c>
      <c r="C7" s="134" t="s">
        <v>442</v>
      </c>
    </row>
    <row r="8" spans="2:3" s="174" customFormat="1">
      <c r="B8" s="171" t="s">
        <v>450</v>
      </c>
      <c r="C8" s="134" t="s">
        <v>442</v>
      </c>
    </row>
    <row r="9" spans="2:3" s="174" customFormat="1">
      <c r="B9" s="171" t="s">
        <v>444</v>
      </c>
      <c r="C9" s="134" t="s">
        <v>442</v>
      </c>
    </row>
    <row r="10" spans="2:3" s="174" customFormat="1">
      <c r="B10" s="171" t="s">
        <v>2216</v>
      </c>
      <c r="C10" s="134" t="s">
        <v>442</v>
      </c>
    </row>
    <row r="11" spans="2:3" s="174" customFormat="1">
      <c r="B11" s="171"/>
      <c r="C11" s="134"/>
    </row>
    <row r="12" spans="2:3" s="174" customFormat="1">
      <c r="B12" s="171"/>
      <c r="C12" s="134"/>
    </row>
    <row r="13" spans="2:3">
      <c r="B13" s="171"/>
      <c r="C13" s="134"/>
    </row>
    <row r="14" spans="2:3">
      <c r="B14" s="171" t="s">
        <v>204</v>
      </c>
      <c r="C14" s="134" t="s">
        <v>454</v>
      </c>
    </row>
    <row r="15" spans="2:3">
      <c r="B15" s="171" t="s">
        <v>429</v>
      </c>
      <c r="C15" s="134" t="s">
        <v>454</v>
      </c>
    </row>
    <row r="16" spans="2:3">
      <c r="B16" s="171" t="s">
        <v>240</v>
      </c>
      <c r="C16" s="134" t="s">
        <v>454</v>
      </c>
    </row>
    <row r="17" spans="2:3">
      <c r="B17" s="171" t="s">
        <v>252</v>
      </c>
      <c r="C17" s="134" t="s">
        <v>454</v>
      </c>
    </row>
    <row r="18" spans="2:3">
      <c r="B18" s="171" t="s">
        <v>207</v>
      </c>
      <c r="C18" s="134" t="s">
        <v>454</v>
      </c>
    </row>
    <row r="19" spans="2:3">
      <c r="B19" s="171" t="s">
        <v>231</v>
      </c>
      <c r="C19" s="134" t="s">
        <v>454</v>
      </c>
    </row>
    <row r="20" spans="2:3">
      <c r="B20" s="171" t="s">
        <v>992</v>
      </c>
      <c r="C20" s="134" t="s">
        <v>454</v>
      </c>
    </row>
    <row r="21" spans="2:3">
      <c r="B21" s="171" t="s">
        <v>249</v>
      </c>
      <c r="C21" s="134" t="s">
        <v>454</v>
      </c>
    </row>
    <row r="22" spans="2:3">
      <c r="B22" s="171" t="s">
        <v>970</v>
      </c>
      <c r="C22" s="134" t="s">
        <v>454</v>
      </c>
    </row>
    <row r="23" spans="2:3">
      <c r="B23" s="171" t="s">
        <v>972</v>
      </c>
      <c r="C23" s="134" t="s">
        <v>454</v>
      </c>
    </row>
    <row r="24" spans="2:3">
      <c r="B24" s="171" t="s">
        <v>974</v>
      </c>
      <c r="C24" s="134" t="s">
        <v>454</v>
      </c>
    </row>
    <row r="25" spans="2:3">
      <c r="B25" s="171" t="s">
        <v>197</v>
      </c>
      <c r="C25" s="134" t="s">
        <v>454</v>
      </c>
    </row>
    <row r="26" spans="2:3">
      <c r="B26" s="171" t="s">
        <v>238</v>
      </c>
      <c r="C26" s="134" t="s">
        <v>454</v>
      </c>
    </row>
    <row r="27" spans="2:3">
      <c r="B27" s="171" t="s">
        <v>879</v>
      </c>
      <c r="C27" s="134" t="s">
        <v>454</v>
      </c>
    </row>
    <row r="28" spans="2:3">
      <c r="B28" s="171" t="s">
        <v>422</v>
      </c>
      <c r="C28" s="134" t="s">
        <v>454</v>
      </c>
    </row>
    <row r="29" spans="2:3">
      <c r="B29" s="171" t="s">
        <v>415</v>
      </c>
      <c r="C29" s="134" t="s">
        <v>454</v>
      </c>
    </row>
    <row r="30" spans="2:3">
      <c r="B30" s="171" t="s">
        <v>227</v>
      </c>
      <c r="C30" s="134" t="s">
        <v>454</v>
      </c>
    </row>
    <row r="31" spans="2:3">
      <c r="B31" s="171" t="s">
        <v>241</v>
      </c>
      <c r="C31" s="134" t="s">
        <v>454</v>
      </c>
    </row>
    <row r="32" spans="2:3" s="174" customFormat="1">
      <c r="B32" s="171" t="s">
        <v>722</v>
      </c>
      <c r="C32" s="134" t="s">
        <v>454</v>
      </c>
    </row>
    <row r="33" spans="2:3" s="174" customFormat="1">
      <c r="B33" s="171" t="s">
        <v>463</v>
      </c>
      <c r="C33" s="134" t="s">
        <v>454</v>
      </c>
    </row>
    <row r="34" spans="2:3" s="174" customFormat="1">
      <c r="B34" s="171" t="s">
        <v>496</v>
      </c>
      <c r="C34" s="134" t="s">
        <v>454</v>
      </c>
    </row>
    <row r="35" spans="2:3" s="174" customFormat="1">
      <c r="B35" s="171" t="s">
        <v>487</v>
      </c>
      <c r="C35" s="134" t="s">
        <v>454</v>
      </c>
    </row>
    <row r="36" spans="2:3" s="174" customFormat="1">
      <c r="B36" s="171"/>
      <c r="C36" s="134"/>
    </row>
    <row r="37" spans="2:3" s="174" customFormat="1">
      <c r="B37" s="171"/>
      <c r="C37" s="134"/>
    </row>
    <row r="38" spans="2:3" s="174" customFormat="1">
      <c r="B38" s="171"/>
      <c r="C38" s="134"/>
    </row>
    <row r="39" spans="2:3" s="174" customFormat="1">
      <c r="B39" s="171"/>
      <c r="C39" s="134"/>
    </row>
    <row r="40" spans="2:3" s="174" customFormat="1">
      <c r="B40" s="171"/>
      <c r="C40" s="134"/>
    </row>
    <row r="41" spans="2:3">
      <c r="B41" s="171"/>
      <c r="C41" s="134"/>
    </row>
    <row r="42" spans="2:3">
      <c r="B42" s="171" t="s">
        <v>230</v>
      </c>
      <c r="C42" s="134" t="s">
        <v>500</v>
      </c>
    </row>
    <row r="43" spans="2:3">
      <c r="B43" s="171" t="s">
        <v>387</v>
      </c>
      <c r="C43" s="134" t="s">
        <v>500</v>
      </c>
    </row>
    <row r="44" spans="2:3">
      <c r="B44" s="171" t="s">
        <v>396</v>
      </c>
      <c r="C44" s="134" t="s">
        <v>500</v>
      </c>
    </row>
    <row r="45" spans="2:3">
      <c r="B45" s="171" t="s">
        <v>685</v>
      </c>
      <c r="C45" s="134" t="s">
        <v>500</v>
      </c>
    </row>
    <row r="46" spans="2:3">
      <c r="B46" s="171" t="s">
        <v>209</v>
      </c>
      <c r="C46" s="134" t="s">
        <v>500</v>
      </c>
    </row>
    <row r="47" spans="2:3">
      <c r="B47" s="171" t="s">
        <v>988</v>
      </c>
      <c r="C47" s="134" t="s">
        <v>500</v>
      </c>
    </row>
    <row r="48" spans="2:3">
      <c r="B48" s="171" t="s">
        <v>702</v>
      </c>
      <c r="C48" s="134" t="s">
        <v>500</v>
      </c>
    </row>
    <row r="49" spans="2:3">
      <c r="B49" s="171" t="s">
        <v>200</v>
      </c>
      <c r="C49" s="134" t="s">
        <v>500</v>
      </c>
    </row>
    <row r="50" spans="2:3">
      <c r="B50" s="171" t="s">
        <v>606</v>
      </c>
      <c r="C50" s="134" t="s">
        <v>500</v>
      </c>
    </row>
    <row r="51" spans="2:3">
      <c r="B51" s="171" t="s">
        <v>1027</v>
      </c>
      <c r="C51" s="134" t="s">
        <v>500</v>
      </c>
    </row>
    <row r="52" spans="2:3">
      <c r="B52" s="171" t="s">
        <v>980</v>
      </c>
      <c r="C52" s="134" t="s">
        <v>500</v>
      </c>
    </row>
    <row r="53" spans="2:3">
      <c r="B53" s="171" t="s">
        <v>395</v>
      </c>
      <c r="C53" s="134" t="s">
        <v>500</v>
      </c>
    </row>
    <row r="54" spans="2:3">
      <c r="B54" s="171" t="s">
        <v>403</v>
      </c>
      <c r="C54" s="134" t="s">
        <v>500</v>
      </c>
    </row>
    <row r="55" spans="2:3" s="174" customFormat="1">
      <c r="B55" s="171" t="s">
        <v>501</v>
      </c>
      <c r="C55" s="134" t="s">
        <v>500</v>
      </c>
    </row>
    <row r="56" spans="2:3" s="174" customFormat="1">
      <c r="B56" s="171" t="s">
        <v>504</v>
      </c>
      <c r="C56" s="134" t="s">
        <v>500</v>
      </c>
    </row>
    <row r="57" spans="2:3" s="174" customFormat="1">
      <c r="B57" s="171" t="s">
        <v>724</v>
      </c>
      <c r="C57" s="134" t="s">
        <v>500</v>
      </c>
    </row>
    <row r="58" spans="2:3" s="174" customFormat="1">
      <c r="B58" s="171" t="s">
        <v>505</v>
      </c>
      <c r="C58" s="134" t="s">
        <v>500</v>
      </c>
    </row>
    <row r="59" spans="2:3" s="174" customFormat="1">
      <c r="B59" s="171" t="s">
        <v>578</v>
      </c>
      <c r="C59" s="134" t="s">
        <v>500</v>
      </c>
    </row>
    <row r="60" spans="2:3" s="174" customFormat="1">
      <c r="B60" s="171" t="s">
        <v>936</v>
      </c>
      <c r="C60" s="134" t="s">
        <v>500</v>
      </c>
    </row>
    <row r="61" spans="2:3" s="174" customFormat="1">
      <c r="B61" s="171" t="s">
        <v>965</v>
      </c>
      <c r="C61" s="134" t="s">
        <v>500</v>
      </c>
    </row>
    <row r="62" spans="2:3" s="174" customFormat="1">
      <c r="B62" s="171" t="s">
        <v>1084</v>
      </c>
      <c r="C62" s="134" t="s">
        <v>500</v>
      </c>
    </row>
    <row r="63" spans="2:3" s="174" customFormat="1">
      <c r="B63" s="171" t="s">
        <v>728</v>
      </c>
      <c r="C63" s="134" t="s">
        <v>500</v>
      </c>
    </row>
    <row r="64" spans="2:3" s="174" customFormat="1">
      <c r="B64" s="171" t="s">
        <v>959</v>
      </c>
      <c r="C64" s="134" t="s">
        <v>500</v>
      </c>
    </row>
    <row r="65" spans="2:3" s="174" customFormat="1">
      <c r="B65" s="171" t="s">
        <v>728</v>
      </c>
      <c r="C65" s="134" t="s">
        <v>500</v>
      </c>
    </row>
    <row r="66" spans="2:3" s="174" customFormat="1">
      <c r="B66" s="171" t="s">
        <v>1895</v>
      </c>
      <c r="C66" s="134" t="s">
        <v>500</v>
      </c>
    </row>
    <row r="67" spans="2:3" s="174" customFormat="1">
      <c r="B67" s="171" t="s">
        <v>2432</v>
      </c>
      <c r="C67" s="134" t="s">
        <v>500</v>
      </c>
    </row>
    <row r="68" spans="2:3" s="174" customFormat="1">
      <c r="B68" s="171"/>
      <c r="C68" s="134"/>
    </row>
    <row r="69" spans="2:3" s="174" customFormat="1">
      <c r="B69" s="171"/>
      <c r="C69" s="134"/>
    </row>
    <row r="70" spans="2:3">
      <c r="B70" s="171"/>
      <c r="C70" s="134"/>
    </row>
    <row r="71" spans="2:3">
      <c r="B71" s="171" t="s">
        <v>1023</v>
      </c>
      <c r="C71" s="134" t="s">
        <v>664</v>
      </c>
    </row>
    <row r="72" spans="2:3">
      <c r="B72" s="171" t="s">
        <v>276</v>
      </c>
      <c r="C72" s="134" t="s">
        <v>664</v>
      </c>
    </row>
    <row r="73" spans="2:3">
      <c r="B73" s="171" t="s">
        <v>1006</v>
      </c>
      <c r="C73" s="134" t="s">
        <v>664</v>
      </c>
    </row>
    <row r="74" spans="2:3">
      <c r="B74" s="171" t="s">
        <v>984</v>
      </c>
      <c r="C74" s="134" t="s">
        <v>664</v>
      </c>
    </row>
    <row r="75" spans="2:3">
      <c r="B75" s="171" t="s">
        <v>602</v>
      </c>
      <c r="C75" s="134" t="s">
        <v>664</v>
      </c>
    </row>
    <row r="76" spans="2:3">
      <c r="B76" s="171" t="s">
        <v>863</v>
      </c>
      <c r="C76" s="134" t="s">
        <v>664</v>
      </c>
    </row>
    <row r="77" spans="2:3">
      <c r="B77" s="171" t="s">
        <v>864</v>
      </c>
      <c r="C77" s="134" t="s">
        <v>664</v>
      </c>
    </row>
    <row r="78" spans="2:3">
      <c r="B78" s="171" t="s">
        <v>998</v>
      </c>
      <c r="C78" s="134" t="s">
        <v>664</v>
      </c>
    </row>
    <row r="79" spans="2:3">
      <c r="B79" s="171" t="s">
        <v>888</v>
      </c>
      <c r="C79" s="134" t="s">
        <v>664</v>
      </c>
    </row>
    <row r="80" spans="2:3">
      <c r="B80" s="171" t="s">
        <v>999</v>
      </c>
      <c r="C80" s="134" t="s">
        <v>664</v>
      </c>
    </row>
    <row r="81" spans="2:3">
      <c r="B81" s="171" t="s">
        <v>1005</v>
      </c>
      <c r="C81" s="134" t="s">
        <v>664</v>
      </c>
    </row>
    <row r="82" spans="2:3">
      <c r="B82" s="171" t="s">
        <v>694</v>
      </c>
      <c r="C82" s="134" t="s">
        <v>664</v>
      </c>
    </row>
    <row r="83" spans="2:3">
      <c r="B83" s="171" t="s">
        <v>990</v>
      </c>
      <c r="C83" s="134" t="s">
        <v>664</v>
      </c>
    </row>
    <row r="84" spans="2:3">
      <c r="B84" s="171" t="s">
        <v>608</v>
      </c>
      <c r="C84" s="134" t="s">
        <v>664</v>
      </c>
    </row>
    <row r="85" spans="2:3">
      <c r="B85" s="171" t="s">
        <v>402</v>
      </c>
      <c r="C85" s="134" t="s">
        <v>664</v>
      </c>
    </row>
    <row r="86" spans="2:3">
      <c r="B86" s="171" t="s">
        <v>868</v>
      </c>
      <c r="C86" s="134" t="s">
        <v>664</v>
      </c>
    </row>
    <row r="87" spans="2:3">
      <c r="B87" s="171" t="s">
        <v>406</v>
      </c>
      <c r="C87" s="134" t="s">
        <v>664</v>
      </c>
    </row>
    <row r="88" spans="2:3" s="172" customFormat="1">
      <c r="B88" s="171" t="s">
        <v>425</v>
      </c>
      <c r="C88" s="134" t="s">
        <v>664</v>
      </c>
    </row>
    <row r="89" spans="2:3">
      <c r="B89" s="171" t="s">
        <v>609</v>
      </c>
      <c r="C89" s="134" t="s">
        <v>664</v>
      </c>
    </row>
    <row r="90" spans="2:3">
      <c r="B90" s="171" t="s">
        <v>995</v>
      </c>
      <c r="C90" s="134" t="s">
        <v>664</v>
      </c>
    </row>
    <row r="91" spans="2:3" s="174" customFormat="1">
      <c r="B91" s="171" t="s">
        <v>939</v>
      </c>
      <c r="C91" s="134" t="s">
        <v>664</v>
      </c>
    </row>
    <row r="92" spans="2:3" s="174" customFormat="1">
      <c r="B92" s="171" t="s">
        <v>745</v>
      </c>
      <c r="C92" s="134" t="s">
        <v>664</v>
      </c>
    </row>
    <row r="93" spans="2:3" s="174" customFormat="1">
      <c r="B93" s="171" t="s">
        <v>1080</v>
      </c>
      <c r="C93" s="134" t="s">
        <v>664</v>
      </c>
    </row>
    <row r="94" spans="2:3" s="174" customFormat="1">
      <c r="B94" s="171" t="s">
        <v>747</v>
      </c>
      <c r="C94" s="134" t="s">
        <v>664</v>
      </c>
    </row>
    <row r="95" spans="2:3" s="174" customFormat="1">
      <c r="B95" s="171" t="s">
        <v>948</v>
      </c>
      <c r="C95" s="134" t="s">
        <v>664</v>
      </c>
    </row>
    <row r="96" spans="2:3" s="174" customFormat="1">
      <c r="B96" s="171" t="s">
        <v>963</v>
      </c>
      <c r="C96" s="134" t="s">
        <v>664</v>
      </c>
    </row>
    <row r="97" spans="2:3" s="174" customFormat="1">
      <c r="B97" s="171" t="s">
        <v>1088</v>
      </c>
      <c r="C97" s="134" t="s">
        <v>664</v>
      </c>
    </row>
    <row r="98" spans="2:3" s="174" customFormat="1">
      <c r="B98" s="171" t="s">
        <v>1095</v>
      </c>
      <c r="C98" s="134" t="s">
        <v>664</v>
      </c>
    </row>
    <row r="99" spans="2:3" s="339" customFormat="1">
      <c r="B99" s="171" t="s">
        <v>2083</v>
      </c>
      <c r="C99" s="134" t="s">
        <v>664</v>
      </c>
    </row>
    <row r="100" spans="2:3" s="339" customFormat="1">
      <c r="B100" s="171"/>
      <c r="C100" s="134"/>
    </row>
    <row r="101" spans="2:3" s="339" customFormat="1">
      <c r="B101" s="171"/>
      <c r="C101" s="134"/>
    </row>
    <row r="102" spans="2:3" s="339" customFormat="1">
      <c r="B102" s="171"/>
      <c r="C102" s="134"/>
    </row>
    <row r="103" spans="2:3" s="339" customFormat="1">
      <c r="B103" s="171"/>
      <c r="C103" s="134"/>
    </row>
    <row r="104" spans="2:3" s="339" customFormat="1">
      <c r="B104" s="171"/>
      <c r="C104" s="134"/>
    </row>
    <row r="105" spans="2:3">
      <c r="B105" s="171"/>
      <c r="C105" s="134"/>
    </row>
    <row r="106" spans="2:3">
      <c r="B106" s="171" t="s">
        <v>239</v>
      </c>
      <c r="C106" s="134" t="s">
        <v>663</v>
      </c>
    </row>
    <row r="107" spans="2:3">
      <c r="B107" s="171" t="s">
        <v>1018</v>
      </c>
      <c r="C107" s="134" t="s">
        <v>663</v>
      </c>
    </row>
    <row r="108" spans="2:3">
      <c r="B108" s="171" t="s">
        <v>423</v>
      </c>
      <c r="C108" s="134" t="s">
        <v>663</v>
      </c>
    </row>
    <row r="109" spans="2:3">
      <c r="B109" s="171" t="s">
        <v>683</v>
      </c>
      <c r="C109" s="134" t="s">
        <v>663</v>
      </c>
    </row>
    <row r="110" spans="2:3">
      <c r="B110" s="171" t="s">
        <v>1039</v>
      </c>
      <c r="C110" s="134" t="s">
        <v>663</v>
      </c>
    </row>
    <row r="111" spans="2:3">
      <c r="B111" s="171" t="s">
        <v>1002</v>
      </c>
      <c r="C111" s="134" t="s">
        <v>663</v>
      </c>
    </row>
    <row r="112" spans="2:3">
      <c r="B112" s="171" t="s">
        <v>993</v>
      </c>
      <c r="C112" s="134" t="s">
        <v>663</v>
      </c>
    </row>
    <row r="113" spans="2:3">
      <c r="B113" s="171" t="s">
        <v>987</v>
      </c>
      <c r="C113" s="134" t="s">
        <v>663</v>
      </c>
    </row>
    <row r="114" spans="2:3">
      <c r="B114" s="171" t="s">
        <v>216</v>
      </c>
      <c r="C114" s="134" t="s">
        <v>663</v>
      </c>
    </row>
    <row r="115" spans="2:3">
      <c r="B115" s="171" t="s">
        <v>873</v>
      </c>
      <c r="C115" s="134" t="s">
        <v>663</v>
      </c>
    </row>
    <row r="116" spans="2:3">
      <c r="B116" s="171" t="s">
        <v>597</v>
      </c>
      <c r="C116" s="134" t="s">
        <v>663</v>
      </c>
    </row>
    <row r="117" spans="2:3">
      <c r="B117" s="171" t="s">
        <v>1009</v>
      </c>
      <c r="C117" s="134" t="s">
        <v>663</v>
      </c>
    </row>
    <row r="118" spans="2:3">
      <c r="B118" s="171" t="s">
        <v>851</v>
      </c>
      <c r="C118" s="134" t="s">
        <v>663</v>
      </c>
    </row>
    <row r="119" spans="2:3">
      <c r="B119" s="171" t="s">
        <v>250</v>
      </c>
      <c r="C119" s="134" t="s">
        <v>663</v>
      </c>
    </row>
    <row r="120" spans="2:3">
      <c r="B120" s="171" t="s">
        <v>1007</v>
      </c>
      <c r="C120" s="134" t="s">
        <v>663</v>
      </c>
    </row>
    <row r="121" spans="2:3">
      <c r="B121" s="171" t="s">
        <v>850</v>
      </c>
      <c r="C121" s="134" t="s">
        <v>663</v>
      </c>
    </row>
    <row r="122" spans="2:3">
      <c r="B122" s="171" t="s">
        <v>194</v>
      </c>
      <c r="C122" s="134" t="s">
        <v>663</v>
      </c>
    </row>
    <row r="123" spans="2:3">
      <c r="B123" s="171" t="s">
        <v>259</v>
      </c>
      <c r="C123" s="134" t="s">
        <v>663</v>
      </c>
    </row>
    <row r="124" spans="2:3">
      <c r="B124" s="171" t="s">
        <v>977</v>
      </c>
      <c r="C124" s="134" t="s">
        <v>663</v>
      </c>
    </row>
    <row r="125" spans="2:3">
      <c r="B125" s="171" t="s">
        <v>1001</v>
      </c>
      <c r="C125" s="134" t="s">
        <v>663</v>
      </c>
    </row>
    <row r="126" spans="2:3">
      <c r="B126" s="171" t="s">
        <v>1025</v>
      </c>
      <c r="C126" s="134" t="s">
        <v>663</v>
      </c>
    </row>
    <row r="127" spans="2:3">
      <c r="B127" s="171" t="s">
        <v>1068</v>
      </c>
      <c r="C127" s="134" t="s">
        <v>663</v>
      </c>
    </row>
    <row r="128" spans="2:3" s="174" customFormat="1">
      <c r="B128" s="171" t="s">
        <v>451</v>
      </c>
      <c r="C128" s="134" t="s">
        <v>663</v>
      </c>
    </row>
    <row r="129" spans="2:3" s="174" customFormat="1">
      <c r="B129" s="171" t="s">
        <v>452</v>
      </c>
      <c r="C129" s="134" t="s">
        <v>663</v>
      </c>
    </row>
    <row r="130" spans="2:3" s="174" customFormat="1">
      <c r="B130" s="171" t="s">
        <v>941</v>
      </c>
      <c r="C130" s="134" t="s">
        <v>663</v>
      </c>
    </row>
    <row r="131" spans="2:3" s="174" customFormat="1">
      <c r="B131" s="171" t="s">
        <v>946</v>
      </c>
      <c r="C131" s="134" t="s">
        <v>663</v>
      </c>
    </row>
    <row r="132" spans="2:3" s="174" customFormat="1">
      <c r="B132" s="171" t="s">
        <v>753</v>
      </c>
      <c r="C132" s="134" t="s">
        <v>663</v>
      </c>
    </row>
    <row r="133" spans="2:3" s="174" customFormat="1">
      <c r="B133" s="171" t="s">
        <v>734</v>
      </c>
      <c r="C133" s="134" t="s">
        <v>663</v>
      </c>
    </row>
    <row r="134" spans="2:3" s="174" customFormat="1">
      <c r="B134" s="171" t="s">
        <v>726</v>
      </c>
      <c r="C134" s="134" t="s">
        <v>663</v>
      </c>
    </row>
    <row r="135" spans="2:3" s="174" customFormat="1">
      <c r="B135" s="171" t="s">
        <v>952</v>
      </c>
      <c r="C135" s="134" t="s">
        <v>663</v>
      </c>
    </row>
    <row r="136" spans="2:3">
      <c r="B136" s="171" t="s">
        <v>763</v>
      </c>
      <c r="C136" s="134" t="s">
        <v>663</v>
      </c>
    </row>
    <row r="137" spans="2:3" s="174" customFormat="1">
      <c r="B137" s="171" t="s">
        <v>1083</v>
      </c>
      <c r="C137" s="134" t="s">
        <v>663</v>
      </c>
    </row>
    <row r="138" spans="2:3" s="174" customFormat="1">
      <c r="B138" s="171" t="s">
        <v>1097</v>
      </c>
      <c r="C138" s="134" t="s">
        <v>663</v>
      </c>
    </row>
    <row r="139" spans="2:3" s="174" customFormat="1">
      <c r="B139" s="171" t="s">
        <v>743</v>
      </c>
      <c r="C139" s="134" t="s">
        <v>663</v>
      </c>
    </row>
    <row r="140" spans="2:3" s="174" customFormat="1">
      <c r="B140" s="171" t="s">
        <v>933</v>
      </c>
      <c r="C140" s="134" t="s">
        <v>663</v>
      </c>
    </row>
    <row r="141" spans="2:3" s="174" customFormat="1">
      <c r="B141" s="171" t="s">
        <v>1875</v>
      </c>
      <c r="C141" s="134" t="s">
        <v>663</v>
      </c>
    </row>
    <row r="142" spans="2:3" s="174" customFormat="1">
      <c r="B142" s="171" t="s">
        <v>1910</v>
      </c>
      <c r="C142" s="134" t="s">
        <v>663</v>
      </c>
    </row>
    <row r="143" spans="2:3" s="174" customFormat="1">
      <c r="B143" s="171" t="s">
        <v>1926</v>
      </c>
      <c r="C143" s="134" t="s">
        <v>663</v>
      </c>
    </row>
    <row r="144" spans="2:3" s="174" customFormat="1">
      <c r="B144" s="171" t="s">
        <v>2545</v>
      </c>
      <c r="C144" s="134" t="s">
        <v>663</v>
      </c>
    </row>
    <row r="145" spans="2:3" s="339" customFormat="1">
      <c r="B145" s="171" t="s">
        <v>2014</v>
      </c>
      <c r="C145" s="134" t="s">
        <v>663</v>
      </c>
    </row>
    <row r="146" spans="2:3" s="339" customFormat="1">
      <c r="B146" s="171" t="s">
        <v>2117</v>
      </c>
      <c r="C146" s="134" t="s">
        <v>663</v>
      </c>
    </row>
    <row r="147" spans="2:3" s="339" customFormat="1">
      <c r="B147" s="171" t="s">
        <v>3053</v>
      </c>
      <c r="C147" s="134" t="s">
        <v>663</v>
      </c>
    </row>
    <row r="148" spans="2:3" s="339" customFormat="1">
      <c r="B148" s="171" t="s">
        <v>3429</v>
      </c>
      <c r="C148" s="134" t="s">
        <v>663</v>
      </c>
    </row>
    <row r="149" spans="2:3" s="339" customFormat="1">
      <c r="B149" s="171" t="s">
        <v>3564</v>
      </c>
      <c r="C149" s="134" t="s">
        <v>663</v>
      </c>
    </row>
    <row r="150" spans="2:3" s="339" customFormat="1">
      <c r="B150" s="171" t="s">
        <v>3531</v>
      </c>
      <c r="C150" s="134" t="s">
        <v>663</v>
      </c>
    </row>
    <row r="151" spans="2:3" s="339" customFormat="1">
      <c r="B151" s="171" t="s">
        <v>3671</v>
      </c>
      <c r="C151" s="134" t="s">
        <v>663</v>
      </c>
    </row>
    <row r="152" spans="2:3" s="174" customFormat="1">
      <c r="B152" s="171"/>
      <c r="C152" s="134"/>
    </row>
    <row r="153" spans="2:3">
      <c r="B153" s="171" t="s">
        <v>435</v>
      </c>
      <c r="C153" s="134" t="s">
        <v>627</v>
      </c>
    </row>
    <row r="154" spans="2:3">
      <c r="B154" s="171" t="s">
        <v>193</v>
      </c>
      <c r="C154" s="134" t="s">
        <v>627</v>
      </c>
    </row>
    <row r="155" spans="2:3">
      <c r="B155" s="171" t="s">
        <v>223</v>
      </c>
      <c r="C155" s="134" t="s">
        <v>627</v>
      </c>
    </row>
    <row r="156" spans="2:3">
      <c r="B156" s="171" t="s">
        <v>860</v>
      </c>
      <c r="C156" s="134" t="s">
        <v>627</v>
      </c>
    </row>
    <row r="157" spans="2:3">
      <c r="B157" s="171" t="s">
        <v>613</v>
      </c>
      <c r="C157" s="134" t="s">
        <v>627</v>
      </c>
    </row>
    <row r="158" spans="2:3">
      <c r="B158" s="171" t="s">
        <v>825</v>
      </c>
      <c r="C158" s="134" t="s">
        <v>627</v>
      </c>
    </row>
    <row r="159" spans="2:3">
      <c r="B159" s="171" t="s">
        <v>213</v>
      </c>
      <c r="C159" s="134" t="s">
        <v>627</v>
      </c>
    </row>
    <row r="160" spans="2:3">
      <c r="B160" s="171" t="s">
        <v>983</v>
      </c>
      <c r="C160" s="134" t="s">
        <v>627</v>
      </c>
    </row>
    <row r="161" spans="2:3">
      <c r="B161" s="171" t="s">
        <v>978</v>
      </c>
      <c r="C161" s="134" t="s">
        <v>627</v>
      </c>
    </row>
    <row r="162" spans="2:3">
      <c r="B162" s="171" t="s">
        <v>996</v>
      </c>
      <c r="C162" s="134" t="s">
        <v>627</v>
      </c>
    </row>
    <row r="163" spans="2:3">
      <c r="B163" s="171" t="s">
        <v>1003</v>
      </c>
      <c r="C163" s="134" t="s">
        <v>627</v>
      </c>
    </row>
    <row r="164" spans="2:3">
      <c r="B164" s="171" t="s">
        <v>1067</v>
      </c>
      <c r="C164" s="134" t="s">
        <v>627</v>
      </c>
    </row>
    <row r="165" spans="2:3">
      <c r="B165" s="171" t="s">
        <v>615</v>
      </c>
      <c r="C165" s="134" t="s">
        <v>627</v>
      </c>
    </row>
    <row r="166" spans="2:3">
      <c r="B166" s="171" t="s">
        <v>874</v>
      </c>
      <c r="C166" s="134" t="s">
        <v>627</v>
      </c>
    </row>
    <row r="167" spans="2:3">
      <c r="B167" s="171" t="s">
        <v>1032</v>
      </c>
      <c r="C167" s="134" t="s">
        <v>627</v>
      </c>
    </row>
    <row r="168" spans="2:3">
      <c r="B168" s="171" t="s">
        <v>691</v>
      </c>
      <c r="C168" s="134" t="s">
        <v>627</v>
      </c>
    </row>
    <row r="169" spans="2:3">
      <c r="B169" s="171" t="s">
        <v>991</v>
      </c>
      <c r="C169" s="134" t="s">
        <v>627</v>
      </c>
    </row>
    <row r="170" spans="2:3">
      <c r="B170" s="171" t="s">
        <v>973</v>
      </c>
      <c r="C170" s="134" t="s">
        <v>627</v>
      </c>
    </row>
    <row r="171" spans="2:3">
      <c r="B171" s="171" t="s">
        <v>412</v>
      </c>
      <c r="C171" s="134" t="s">
        <v>627</v>
      </c>
    </row>
    <row r="172" spans="2:3">
      <c r="B172" s="171" t="s">
        <v>576</v>
      </c>
      <c r="C172" s="134" t="s">
        <v>627</v>
      </c>
    </row>
    <row r="173" spans="2:3">
      <c r="B173" s="171" t="s">
        <v>754</v>
      </c>
      <c r="C173" s="134" t="s">
        <v>627</v>
      </c>
    </row>
    <row r="174" spans="2:3">
      <c r="B174" s="171" t="s">
        <v>1000</v>
      </c>
      <c r="C174" s="134" t="s">
        <v>627</v>
      </c>
    </row>
    <row r="175" spans="2:3">
      <c r="B175" s="171" t="s">
        <v>935</v>
      </c>
      <c r="C175" s="134" t="s">
        <v>627</v>
      </c>
    </row>
    <row r="176" spans="2:3">
      <c r="B176" s="171" t="s">
        <v>758</v>
      </c>
      <c r="C176" s="134" t="s">
        <v>627</v>
      </c>
    </row>
    <row r="177" spans="2:3">
      <c r="B177" s="171" t="s">
        <v>938</v>
      </c>
      <c r="C177" s="134" t="s">
        <v>627</v>
      </c>
    </row>
    <row r="178" spans="2:3">
      <c r="B178" s="171" t="s">
        <v>2038</v>
      </c>
      <c r="C178" s="134" t="s">
        <v>627</v>
      </c>
    </row>
    <row r="179" spans="2:3">
      <c r="B179" s="171"/>
      <c r="C179" s="134"/>
    </row>
    <row r="180" spans="2:3">
      <c r="B180" s="171"/>
      <c r="C180" s="134"/>
    </row>
    <row r="181" spans="2:3">
      <c r="B181" s="171"/>
      <c r="C181" s="134"/>
    </row>
  </sheetData>
  <sortState ref="F4:F23">
    <sortCondition ref="F3"/>
  </sortState>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T353"/>
  <sheetViews>
    <sheetView topLeftCell="L1" zoomScale="70" zoomScaleNormal="70" workbookViewId="0">
      <selection activeCell="O27" sqref="O27"/>
    </sheetView>
  </sheetViews>
  <sheetFormatPr baseColWidth="10" defaultRowHeight="14.5"/>
  <cols>
    <col min="1" max="1" width="11.453125" style="172"/>
    <col min="2" max="2" width="56.453125" customWidth="1"/>
    <col min="3" max="3" width="18.26953125" bestFit="1" customWidth="1"/>
    <col min="4" max="4" width="31.26953125" customWidth="1"/>
    <col min="5" max="5" width="18.26953125" bestFit="1" customWidth="1"/>
    <col min="6" max="6" width="66" customWidth="1"/>
    <col min="7" max="7" width="37.81640625" customWidth="1"/>
    <col min="8" max="8" width="18.26953125" bestFit="1" customWidth="1"/>
    <col min="9" max="9" width="22.26953125" style="2" customWidth="1"/>
    <col min="10" max="10" width="67.453125" style="2" bestFit="1" customWidth="1"/>
    <col min="11" max="11" width="26.1796875" style="2" bestFit="1" customWidth="1"/>
    <col min="12" max="12" width="18.7265625" style="2" bestFit="1" customWidth="1"/>
    <col min="13" max="13" width="12" style="2" customWidth="1"/>
    <col min="14" max="14" width="51.1796875" style="2" customWidth="1"/>
    <col min="15" max="15" width="26.1796875" style="2" customWidth="1"/>
    <col min="16" max="16" width="18.7265625" style="2" bestFit="1" customWidth="1"/>
    <col min="17" max="17" width="13.453125" bestFit="1" customWidth="1"/>
    <col min="18" max="18" width="66" customWidth="1"/>
    <col min="19" max="19" width="31.54296875" customWidth="1"/>
    <col min="20" max="20" width="15.453125" customWidth="1"/>
    <col min="21" max="24" width="17" customWidth="1"/>
  </cols>
  <sheetData>
    <row r="1" spans="1:20" s="339" customFormat="1">
      <c r="B1" s="339" t="s">
        <v>4122</v>
      </c>
      <c r="C1" s="1" t="s">
        <v>4107</v>
      </c>
    </row>
    <row r="3" spans="1:20" ht="29">
      <c r="B3" s="38" t="s">
        <v>507</v>
      </c>
      <c r="C3" s="55">
        <v>2020</v>
      </c>
      <c r="D3" s="55" t="str">
        <f>CONCATENATE("Année ",C3,CHAR(10),"N=",C10)</f>
        <v>Année 2020
N=11</v>
      </c>
      <c r="E3" s="55">
        <v>2021</v>
      </c>
      <c r="F3" s="55" t="str">
        <f>CONCATENATE("Année ",E3,CHAR(10),"N=",E10)</f>
        <v>Année 2021
N=206</v>
      </c>
      <c r="G3" s="55">
        <v>2022</v>
      </c>
      <c r="H3" s="55" t="str">
        <f>CONCATENATE("Année ",G3,CHAR(10),"N=",G10)</f>
        <v>Année 2022
N=207</v>
      </c>
      <c r="I3" s="55">
        <v>2023</v>
      </c>
      <c r="J3" s="55" t="str">
        <f>CONCATENATE("Année ",I3,CHAR(10),"N=",I10)</f>
        <v>Année 2023
N=207</v>
      </c>
      <c r="K3" s="55">
        <v>2024</v>
      </c>
      <c r="L3" s="55" t="str">
        <f>CONCATENATE("Année ",K3,CHAR(10),"N=",K10)</f>
        <v>Année 2024
N=207</v>
      </c>
      <c r="M3" s="55" t="str">
        <f>C1</f>
        <v>2020-2022</v>
      </c>
      <c r="N3" s="55" t="str">
        <f>CONCATENATE("Années ",M3,CHAR(10),"N=",M10)</f>
        <v>Années 2020-2022
N=424</v>
      </c>
      <c r="O3"/>
      <c r="P3"/>
    </row>
    <row r="4" spans="1:20">
      <c r="B4" s="38" t="s">
        <v>442</v>
      </c>
      <c r="C4" s="175">
        <f t="shared" ref="C4:C9" si="0">SUMIFS($C:$C,$A:$A,$C$3,$D:$D,$B4)</f>
        <v>9</v>
      </c>
      <c r="D4" s="46">
        <f t="shared" ref="D4:D10" si="1">C4/$C$10</f>
        <v>0.81818181818181823</v>
      </c>
      <c r="E4" s="175">
        <f t="shared" ref="E4:E9" si="2">SUMIFS($C:$C,$A:$A,$E$3,$D:$D,$B4)</f>
        <v>112</v>
      </c>
      <c r="F4" s="46">
        <f t="shared" ref="F4:F10" si="3">E4/$E$10</f>
        <v>0.5436893203883495</v>
      </c>
      <c r="G4" s="175">
        <f t="shared" ref="G4:G9" si="4">SUMIFS($C:$C,$A:$A,$G$3,$D:$D,$B4)</f>
        <v>89</v>
      </c>
      <c r="H4" s="56">
        <f t="shared" ref="H4:H10" si="5">G4/$G$10</f>
        <v>0.42995169082125606</v>
      </c>
      <c r="I4" s="175">
        <f t="shared" ref="I4:I9" si="6">SUMIFS($C:$C,$A:$A,$G$3,$D:$D,$B4)</f>
        <v>89</v>
      </c>
      <c r="J4" s="56">
        <f t="shared" ref="J4:J10" si="7">I4/$G$10</f>
        <v>0.42995169082125606</v>
      </c>
      <c r="K4" s="175">
        <f t="shared" ref="K4:K9" si="8">SUMIFS($C:$C,$A:$A,$G$3,$D:$D,$B4)</f>
        <v>89</v>
      </c>
      <c r="L4" s="56">
        <f t="shared" ref="L4:L10" si="9">K4/$G$10</f>
        <v>0.42995169082125606</v>
      </c>
      <c r="M4" s="38">
        <f>C4+E4+G4</f>
        <v>210</v>
      </c>
      <c r="N4" s="56">
        <f t="shared" ref="N4:N10" si="10">M4/$M$10</f>
        <v>0.49528301886792453</v>
      </c>
      <c r="O4"/>
      <c r="P4"/>
    </row>
    <row r="5" spans="1:20">
      <c r="B5" s="38" t="s">
        <v>454</v>
      </c>
      <c r="C5" s="175">
        <f t="shared" si="0"/>
        <v>0</v>
      </c>
      <c r="D5" s="46">
        <f t="shared" si="1"/>
        <v>0</v>
      </c>
      <c r="E5" s="175">
        <f t="shared" si="2"/>
        <v>4</v>
      </c>
      <c r="F5" s="46">
        <f t="shared" si="3"/>
        <v>1.9417475728155338E-2</v>
      </c>
      <c r="G5" s="175">
        <f t="shared" si="4"/>
        <v>5</v>
      </c>
      <c r="H5" s="56">
        <f t="shared" si="5"/>
        <v>2.4154589371980676E-2</v>
      </c>
      <c r="I5" s="175">
        <f t="shared" si="6"/>
        <v>5</v>
      </c>
      <c r="J5" s="56">
        <f t="shared" si="7"/>
        <v>2.4154589371980676E-2</v>
      </c>
      <c r="K5" s="175">
        <f t="shared" si="8"/>
        <v>5</v>
      </c>
      <c r="L5" s="56">
        <f t="shared" si="9"/>
        <v>2.4154589371980676E-2</v>
      </c>
      <c r="M5" s="38">
        <f t="shared" ref="M5:M9" si="11">C5+E5+G5</f>
        <v>9</v>
      </c>
      <c r="N5" s="56">
        <f t="shared" si="10"/>
        <v>2.1226415094339621E-2</v>
      </c>
      <c r="O5"/>
      <c r="P5"/>
    </row>
    <row r="6" spans="1:20">
      <c r="B6" s="38" t="s">
        <v>500</v>
      </c>
      <c r="C6" s="175">
        <f t="shared" si="0"/>
        <v>1</v>
      </c>
      <c r="D6" s="46">
        <f t="shared" si="1"/>
        <v>9.0909090909090912E-2</v>
      </c>
      <c r="E6" s="175">
        <f t="shared" si="2"/>
        <v>25</v>
      </c>
      <c r="F6" s="46">
        <f t="shared" si="3"/>
        <v>0.12135922330097088</v>
      </c>
      <c r="G6" s="175">
        <f t="shared" si="4"/>
        <v>22</v>
      </c>
      <c r="H6" s="56">
        <f t="shared" si="5"/>
        <v>0.10628019323671498</v>
      </c>
      <c r="I6" s="175">
        <f t="shared" si="6"/>
        <v>22</v>
      </c>
      <c r="J6" s="56">
        <f t="shared" si="7"/>
        <v>0.10628019323671498</v>
      </c>
      <c r="K6" s="175">
        <f t="shared" si="8"/>
        <v>22</v>
      </c>
      <c r="L6" s="56">
        <f t="shared" si="9"/>
        <v>0.10628019323671498</v>
      </c>
      <c r="M6" s="38">
        <f t="shared" si="11"/>
        <v>48</v>
      </c>
      <c r="N6" s="56">
        <f t="shared" si="10"/>
        <v>0.11320754716981132</v>
      </c>
      <c r="O6"/>
      <c r="P6"/>
    </row>
    <row r="7" spans="1:20">
      <c r="B7" s="7" t="s">
        <v>664</v>
      </c>
      <c r="C7" s="175">
        <f t="shared" si="0"/>
        <v>1</v>
      </c>
      <c r="D7" s="46">
        <f t="shared" si="1"/>
        <v>9.0909090909090912E-2</v>
      </c>
      <c r="E7" s="175">
        <f t="shared" si="2"/>
        <v>4</v>
      </c>
      <c r="F7" s="46">
        <f t="shared" si="3"/>
        <v>1.9417475728155338E-2</v>
      </c>
      <c r="G7" s="175">
        <f t="shared" si="4"/>
        <v>8</v>
      </c>
      <c r="H7" s="56">
        <f t="shared" si="5"/>
        <v>3.864734299516908E-2</v>
      </c>
      <c r="I7" s="175">
        <f t="shared" si="6"/>
        <v>8</v>
      </c>
      <c r="J7" s="56">
        <f t="shared" si="7"/>
        <v>3.864734299516908E-2</v>
      </c>
      <c r="K7" s="175">
        <f t="shared" si="8"/>
        <v>8</v>
      </c>
      <c r="L7" s="56">
        <f t="shared" si="9"/>
        <v>3.864734299516908E-2</v>
      </c>
      <c r="M7" s="38">
        <f t="shared" si="11"/>
        <v>13</v>
      </c>
      <c r="N7" s="56">
        <f t="shared" si="10"/>
        <v>3.0660377358490566E-2</v>
      </c>
      <c r="O7"/>
      <c r="P7"/>
    </row>
    <row r="8" spans="1:20">
      <c r="B8" s="38" t="s">
        <v>663</v>
      </c>
      <c r="C8" s="175">
        <f t="shared" si="0"/>
        <v>0</v>
      </c>
      <c r="D8" s="46">
        <f t="shared" si="1"/>
        <v>0</v>
      </c>
      <c r="E8" s="175">
        <f t="shared" si="2"/>
        <v>59</v>
      </c>
      <c r="F8" s="46">
        <f t="shared" si="3"/>
        <v>0.28640776699029125</v>
      </c>
      <c r="G8" s="175">
        <f t="shared" si="4"/>
        <v>75</v>
      </c>
      <c r="H8" s="56">
        <f t="shared" si="5"/>
        <v>0.36231884057971014</v>
      </c>
      <c r="I8" s="175">
        <f t="shared" si="6"/>
        <v>75</v>
      </c>
      <c r="J8" s="56">
        <f t="shared" si="7"/>
        <v>0.36231884057971014</v>
      </c>
      <c r="K8" s="175">
        <f t="shared" si="8"/>
        <v>75</v>
      </c>
      <c r="L8" s="56">
        <f t="shared" si="9"/>
        <v>0.36231884057971014</v>
      </c>
      <c r="M8" s="38">
        <f t="shared" si="11"/>
        <v>134</v>
      </c>
      <c r="N8" s="56">
        <f t="shared" si="10"/>
        <v>0.31603773584905659</v>
      </c>
      <c r="O8"/>
      <c r="P8"/>
    </row>
    <row r="9" spans="1:20">
      <c r="B9" s="38" t="s">
        <v>627</v>
      </c>
      <c r="C9" s="175">
        <f t="shared" si="0"/>
        <v>0</v>
      </c>
      <c r="D9" s="46">
        <f t="shared" si="1"/>
        <v>0</v>
      </c>
      <c r="E9" s="175">
        <f t="shared" si="2"/>
        <v>2</v>
      </c>
      <c r="F9" s="46">
        <f t="shared" si="3"/>
        <v>9.7087378640776691E-3</v>
      </c>
      <c r="G9" s="175">
        <f t="shared" si="4"/>
        <v>8</v>
      </c>
      <c r="H9" s="56">
        <f t="shared" si="5"/>
        <v>3.864734299516908E-2</v>
      </c>
      <c r="I9" s="175">
        <f t="shared" si="6"/>
        <v>8</v>
      </c>
      <c r="J9" s="56">
        <f t="shared" si="7"/>
        <v>3.864734299516908E-2</v>
      </c>
      <c r="K9" s="175">
        <f t="shared" si="8"/>
        <v>8</v>
      </c>
      <c r="L9" s="56">
        <f t="shared" si="9"/>
        <v>3.864734299516908E-2</v>
      </c>
      <c r="M9" s="38">
        <f t="shared" si="11"/>
        <v>10</v>
      </c>
      <c r="N9" s="56">
        <f t="shared" si="10"/>
        <v>2.358490566037736E-2</v>
      </c>
      <c r="O9"/>
      <c r="P9"/>
    </row>
    <row r="10" spans="1:20">
      <c r="B10" s="38" t="s">
        <v>438</v>
      </c>
      <c r="C10" s="38">
        <f>SUM(C4:C9)</f>
        <v>11</v>
      </c>
      <c r="D10" s="56">
        <f t="shared" si="1"/>
        <v>1</v>
      </c>
      <c r="E10" s="38">
        <f>SUM(E4:E9)</f>
        <v>206</v>
      </c>
      <c r="F10" s="46">
        <f t="shared" si="3"/>
        <v>1</v>
      </c>
      <c r="G10" s="38">
        <f>SUM(G4:G9)</f>
        <v>207</v>
      </c>
      <c r="H10" s="56">
        <f t="shared" si="5"/>
        <v>1</v>
      </c>
      <c r="I10" s="38">
        <f>SUM(I4:I9)</f>
        <v>207</v>
      </c>
      <c r="J10" s="56">
        <f t="shared" si="7"/>
        <v>1</v>
      </c>
      <c r="K10" s="38">
        <f>SUM(K4:K9)</f>
        <v>207</v>
      </c>
      <c r="L10" s="56">
        <f t="shared" si="9"/>
        <v>1</v>
      </c>
      <c r="M10" s="38">
        <f>SUM(M4:M9)</f>
        <v>424</v>
      </c>
      <c r="N10" s="56">
        <f t="shared" si="10"/>
        <v>1</v>
      </c>
      <c r="O10"/>
      <c r="P10"/>
    </row>
    <row r="11" spans="1:20">
      <c r="M11" s="78"/>
      <c r="N11" s="78"/>
      <c r="O11" s="78"/>
      <c r="P11" s="78"/>
    </row>
    <row r="12" spans="1:20">
      <c r="H12" s="70"/>
      <c r="L12" s="70"/>
      <c r="M12" s="78"/>
      <c r="N12" s="78"/>
      <c r="O12" s="78"/>
      <c r="P12" s="70"/>
    </row>
    <row r="13" spans="1:20">
      <c r="D13" s="173"/>
      <c r="I13"/>
      <c r="J13"/>
      <c r="K13"/>
      <c r="L13"/>
      <c r="M13"/>
      <c r="N13"/>
      <c r="O13"/>
      <c r="P13"/>
    </row>
    <row r="14" spans="1:20" ht="15" thickBot="1">
      <c r="F14" s="153"/>
      <c r="G14" s="153"/>
      <c r="H14" s="153"/>
      <c r="I14"/>
      <c r="J14"/>
      <c r="K14"/>
      <c r="L14"/>
      <c r="M14"/>
      <c r="N14"/>
      <c r="O14"/>
      <c r="P14"/>
    </row>
    <row r="15" spans="1:20" ht="29.5" thickBot="1">
      <c r="A15" s="164" t="s">
        <v>383</v>
      </c>
      <c r="B15" s="165" t="s">
        <v>1070</v>
      </c>
      <c r="C15" s="176" t="s">
        <v>1069</v>
      </c>
      <c r="D15" s="165" t="s">
        <v>662</v>
      </c>
      <c r="F15" s="395" t="s">
        <v>929</v>
      </c>
      <c r="G15" s="395"/>
      <c r="H15" s="143"/>
      <c r="I15" s="153"/>
      <c r="J15" s="405" t="str">
        <f>C1</f>
        <v>2020-2022</v>
      </c>
      <c r="K15" s="406"/>
      <c r="L15" s="153"/>
      <c r="M15"/>
      <c r="N15" s="177" t="str">
        <f>CONCATENATE("Années ",M3,CHAR(10),"N=",M10)</f>
        <v>Années 2020-2022
N=424</v>
      </c>
      <c r="O15" s="178" t="s">
        <v>508</v>
      </c>
      <c r="P15" s="179"/>
      <c r="R15" s="404" t="s">
        <v>383</v>
      </c>
      <c r="S15" s="397" t="s">
        <v>621</v>
      </c>
      <c r="T15" s="143"/>
    </row>
    <row r="16" spans="1:20">
      <c r="A16" s="172">
        <v>2020</v>
      </c>
      <c r="B16" s="5" t="s">
        <v>225</v>
      </c>
      <c r="C16" s="73">
        <v>7</v>
      </c>
      <c r="D16" s="109" t="str">
        <f>INDEX('Affectation epci'!C:C,MATCH('détail installateur'!B16,'Affectation epci'!B:B,0))</f>
        <v>CA du Pays Voironnais</v>
      </c>
      <c r="F16" s="340" t="s">
        <v>4105</v>
      </c>
      <c r="G16" s="364" t="s">
        <v>191</v>
      </c>
      <c r="H16" s="143"/>
      <c r="I16" s="153"/>
      <c r="J16" s="162" t="s">
        <v>757</v>
      </c>
      <c r="K16" s="163">
        <v>210</v>
      </c>
      <c r="L16" s="153"/>
      <c r="M16"/>
      <c r="N16" s="74" t="str">
        <f>R19</f>
        <v>ESPACE CONFORT VOIRONNAIS</v>
      </c>
      <c r="O16" s="91">
        <f>S19</f>
        <v>60</v>
      </c>
      <c r="P16" s="75">
        <f>O16/$O$27</f>
        <v>0.14150943396226415</v>
      </c>
      <c r="R16" s="340" t="s">
        <v>4105</v>
      </c>
      <c r="S16" s="364" t="s">
        <v>191</v>
      </c>
      <c r="T16" s="143"/>
    </row>
    <row r="17" spans="1:20">
      <c r="A17" s="339">
        <v>2020</v>
      </c>
      <c r="B17" s="5" t="s">
        <v>232</v>
      </c>
      <c r="C17" s="73">
        <v>2</v>
      </c>
      <c r="D17" s="109" t="str">
        <f>INDEX('Affectation epci'!C:C,MATCH('détail installateur'!B17,'Affectation epci'!B:B,0))</f>
        <v>CA du Pays Voironnais</v>
      </c>
      <c r="F17" s="153"/>
      <c r="G17" s="153"/>
      <c r="H17" s="143"/>
      <c r="I17" s="153"/>
      <c r="J17" s="158" t="s">
        <v>805</v>
      </c>
      <c r="K17" s="159">
        <v>209</v>
      </c>
      <c r="L17" s="153"/>
      <c r="M17"/>
      <c r="N17" s="74" t="str">
        <f t="shared" ref="N17:N25" si="12">R20</f>
        <v>FRALOR POELES ET CUISINERES PASSION</v>
      </c>
      <c r="O17" s="91">
        <f t="shared" ref="O17:O25" si="13">S20</f>
        <v>33</v>
      </c>
      <c r="P17" s="75">
        <f t="shared" ref="P17:P27" si="14">O17/$O$27</f>
        <v>7.783018867924528E-2</v>
      </c>
      <c r="R17" s="153"/>
      <c r="S17" s="153"/>
      <c r="T17" s="143"/>
    </row>
    <row r="18" spans="1:20">
      <c r="A18" s="339">
        <v>2020</v>
      </c>
      <c r="B18" s="5" t="s">
        <v>2083</v>
      </c>
      <c r="C18" s="73">
        <v>1</v>
      </c>
      <c r="D18" s="109" t="str">
        <f>INDEX('Affectation epci'!C:C,MATCH('détail installateur'!B18,'Affectation epci'!B:B,0))</f>
        <v>autre département sauf Savoie (Ain, Drôme, Hautes-Alpes…)</v>
      </c>
      <c r="F18" s="340" t="s">
        <v>282</v>
      </c>
      <c r="G18" t="s">
        <v>4121</v>
      </c>
      <c r="H18" s="143"/>
      <c r="I18" s="153"/>
      <c r="J18" s="158" t="s">
        <v>751</v>
      </c>
      <c r="K18" s="159">
        <v>196</v>
      </c>
      <c r="L18" s="153"/>
      <c r="M18"/>
      <c r="N18" s="74" t="str">
        <f t="shared" si="12"/>
        <v>SAS CARRE</v>
      </c>
      <c r="O18" s="91">
        <f t="shared" si="13"/>
        <v>30</v>
      </c>
      <c r="P18" s="75">
        <f t="shared" si="14"/>
        <v>7.0754716981132074E-2</v>
      </c>
      <c r="R18" s="340" t="s">
        <v>282</v>
      </c>
      <c r="S18" t="s">
        <v>4123</v>
      </c>
      <c r="T18" s="143"/>
    </row>
    <row r="19" spans="1:20">
      <c r="A19" s="339">
        <v>2020</v>
      </c>
      <c r="B19" s="5" t="s">
        <v>1895</v>
      </c>
      <c r="C19" s="73">
        <v>1</v>
      </c>
      <c r="D19" s="109" t="str">
        <f>INDEX('Affectation epci'!C:C,MATCH('détail installateur'!B19,'Affectation epci'!B:B,0))</f>
        <v>Grenoble-Alpes-Métropole</v>
      </c>
      <c r="F19" s="72">
        <v>2020</v>
      </c>
      <c r="G19" s="73">
        <v>11</v>
      </c>
      <c r="H19" s="143"/>
      <c r="I19" s="153"/>
      <c r="J19" s="158" t="s">
        <v>206</v>
      </c>
      <c r="K19" s="159">
        <v>126</v>
      </c>
      <c r="L19" s="153"/>
      <c r="M19"/>
      <c r="N19" s="74" t="str">
        <f t="shared" si="12"/>
        <v>CHEMINEE JAY</v>
      </c>
      <c r="O19" s="91">
        <f t="shared" si="13"/>
        <v>29</v>
      </c>
      <c r="P19" s="75">
        <f t="shared" si="14"/>
        <v>6.8396226415094338E-2</v>
      </c>
      <c r="R19" s="72" t="s">
        <v>587</v>
      </c>
      <c r="S19" s="73">
        <v>60</v>
      </c>
      <c r="T19" s="143"/>
    </row>
    <row r="20" spans="1:20">
      <c r="A20" s="172">
        <v>2021</v>
      </c>
      <c r="B20" s="5" t="s">
        <v>225</v>
      </c>
      <c r="C20" s="73">
        <v>70</v>
      </c>
      <c r="D20" s="109" t="str">
        <f>INDEX('Affectation epci'!C:C,MATCH('détail installateur'!B20,'Affectation epci'!B:B,0))</f>
        <v>CA du Pays Voironnais</v>
      </c>
      <c r="F20" s="5" t="s">
        <v>2083</v>
      </c>
      <c r="G20" s="73">
        <v>1</v>
      </c>
      <c r="H20" s="143"/>
      <c r="I20" s="153"/>
      <c r="J20" s="158" t="s">
        <v>220</v>
      </c>
      <c r="K20" s="159">
        <v>120</v>
      </c>
      <c r="L20" s="153"/>
      <c r="M20"/>
      <c r="N20" s="74" t="str">
        <f t="shared" si="12"/>
        <v>JACQU'CHEMINEES</v>
      </c>
      <c r="O20" s="91">
        <f t="shared" si="13"/>
        <v>28</v>
      </c>
      <c r="P20" s="75">
        <f t="shared" si="14"/>
        <v>6.6037735849056603E-2</v>
      </c>
      <c r="R20" s="72" t="s">
        <v>1888</v>
      </c>
      <c r="S20" s="73">
        <v>33</v>
      </c>
      <c r="T20" s="143"/>
    </row>
    <row r="21" spans="1:20">
      <c r="A21" s="339">
        <v>2021</v>
      </c>
      <c r="B21" s="5" t="s">
        <v>1893</v>
      </c>
      <c r="C21" s="73">
        <v>21</v>
      </c>
      <c r="D21" s="109" t="str">
        <f>INDEX('Affectation epci'!C:C,MATCH('détail installateur'!B21,'Affectation epci'!B:B,0))</f>
        <v>CA du Pays Voironnais</v>
      </c>
      <c r="F21" s="5" t="s">
        <v>1895</v>
      </c>
      <c r="G21" s="73">
        <v>1</v>
      </c>
      <c r="H21" s="143"/>
      <c r="I21" s="153"/>
      <c r="J21" s="158" t="s">
        <v>585</v>
      </c>
      <c r="K21" s="159">
        <v>102</v>
      </c>
      <c r="L21" s="153"/>
      <c r="M21"/>
      <c r="N21" s="74" t="str">
        <f t="shared" si="12"/>
        <v>J3L AGENCEMENTS</v>
      </c>
      <c r="O21" s="91">
        <f t="shared" si="13"/>
        <v>26</v>
      </c>
      <c r="P21" s="75">
        <f t="shared" si="14"/>
        <v>6.1320754716981132E-2</v>
      </c>
      <c r="R21" s="72" t="s">
        <v>1874</v>
      </c>
      <c r="S21" s="73">
        <v>30</v>
      </c>
      <c r="T21" s="143"/>
    </row>
    <row r="22" spans="1:20">
      <c r="A22" s="339">
        <v>2021</v>
      </c>
      <c r="B22" s="5" t="s">
        <v>1875</v>
      </c>
      <c r="C22" s="73">
        <v>19</v>
      </c>
      <c r="D22" s="109" t="str">
        <f>INDEX('Affectation epci'!C:C,MATCH('détail installateur'!B22,'Affectation epci'!B:B,0))</f>
        <v>Isère (sauf GAM, CCG et CAPV)</v>
      </c>
      <c r="F22" s="5" t="s">
        <v>225</v>
      </c>
      <c r="G22" s="73">
        <v>7</v>
      </c>
      <c r="H22" s="143"/>
      <c r="I22" s="153"/>
      <c r="J22" s="158" t="s">
        <v>222</v>
      </c>
      <c r="K22" s="159">
        <v>101</v>
      </c>
      <c r="L22" s="153"/>
      <c r="M22"/>
      <c r="N22" s="74" t="str">
        <f t="shared" si="12"/>
        <v>TECHNI NATURE</v>
      </c>
      <c r="O22" s="91">
        <f t="shared" si="13"/>
        <v>25</v>
      </c>
      <c r="P22" s="75">
        <f t="shared" si="14"/>
        <v>5.8962264150943397E-2</v>
      </c>
      <c r="R22" s="72" t="s">
        <v>2052</v>
      </c>
      <c r="S22" s="73">
        <v>29</v>
      </c>
      <c r="T22" s="143"/>
    </row>
    <row r="23" spans="1:20">
      <c r="A23" s="339">
        <v>2021</v>
      </c>
      <c r="B23" s="5" t="s">
        <v>1895</v>
      </c>
      <c r="C23" s="73">
        <v>15</v>
      </c>
      <c r="D23" s="109" t="str">
        <f>INDEX('Affectation epci'!C:C,MATCH('détail installateur'!B23,'Affectation epci'!B:B,0))</f>
        <v>Grenoble-Alpes-Métropole</v>
      </c>
      <c r="F23" s="5" t="s">
        <v>232</v>
      </c>
      <c r="G23" s="73">
        <v>2</v>
      </c>
      <c r="H23" s="143"/>
      <c r="I23" s="153"/>
      <c r="J23" s="158" t="s">
        <v>579</v>
      </c>
      <c r="K23" s="159">
        <v>91</v>
      </c>
      <c r="L23" s="153"/>
      <c r="M23"/>
      <c r="N23" s="74" t="str">
        <f t="shared" si="12"/>
        <v>BOIS SOLEIL CHAUFFAGE SARL</v>
      </c>
      <c r="O23" s="91">
        <f t="shared" si="13"/>
        <v>21</v>
      </c>
      <c r="P23" s="75">
        <f t="shared" si="14"/>
        <v>4.9528301886792456E-2</v>
      </c>
      <c r="R23" s="72" t="s">
        <v>268</v>
      </c>
      <c r="S23" s="73">
        <v>28</v>
      </c>
      <c r="T23" s="143"/>
    </row>
    <row r="24" spans="1:20">
      <c r="A24" s="339">
        <v>2021</v>
      </c>
      <c r="B24" s="5" t="s">
        <v>232</v>
      </c>
      <c r="C24" s="73">
        <v>13</v>
      </c>
      <c r="D24" s="109" t="str">
        <f>INDEX('Affectation epci'!C:C,MATCH('détail installateur'!B24,'Affectation epci'!B:B,0))</f>
        <v>CA du Pays Voironnais</v>
      </c>
      <c r="E24" s="2"/>
      <c r="F24" s="72">
        <v>2021</v>
      </c>
      <c r="G24" s="73">
        <v>206</v>
      </c>
      <c r="H24" s="143"/>
      <c r="I24" s="153"/>
      <c r="J24" s="158" t="s">
        <v>823</v>
      </c>
      <c r="K24" s="159">
        <v>82</v>
      </c>
      <c r="L24" s="153"/>
      <c r="M24"/>
      <c r="N24" s="74" t="str">
        <f t="shared" si="12"/>
        <v>SARL DUO CHEMINEES</v>
      </c>
      <c r="O24" s="91">
        <f t="shared" si="13"/>
        <v>20</v>
      </c>
      <c r="P24" s="75">
        <f t="shared" si="14"/>
        <v>4.716981132075472E-2</v>
      </c>
      <c r="R24" s="72" t="s">
        <v>2762</v>
      </c>
      <c r="S24" s="73">
        <v>26</v>
      </c>
      <c r="T24" s="143"/>
    </row>
    <row r="25" spans="1:20">
      <c r="A25" s="339">
        <v>2021</v>
      </c>
      <c r="B25" s="5" t="s">
        <v>1910</v>
      </c>
      <c r="C25" s="73">
        <v>12</v>
      </c>
      <c r="D25" s="109" t="str">
        <f>INDEX('Affectation epci'!C:C,MATCH('détail installateur'!B25,'Affectation epci'!B:B,0))</f>
        <v>Isère (sauf GAM, CCG et CAPV)</v>
      </c>
      <c r="E25" s="2"/>
      <c r="F25" s="5" t="s">
        <v>1910</v>
      </c>
      <c r="G25" s="73">
        <v>12</v>
      </c>
      <c r="H25" s="143"/>
      <c r="I25" s="153"/>
      <c r="J25" s="158" t="s">
        <v>263</v>
      </c>
      <c r="K25" s="159">
        <v>77</v>
      </c>
      <c r="L25" s="153"/>
      <c r="M25"/>
      <c r="N25" s="74" t="str">
        <f t="shared" si="12"/>
        <v>ATRE DECORATION</v>
      </c>
      <c r="O25" s="91">
        <f t="shared" si="13"/>
        <v>16</v>
      </c>
      <c r="P25" s="75">
        <f t="shared" si="14"/>
        <v>3.7735849056603772E-2</v>
      </c>
      <c r="R25" s="72" t="s">
        <v>675</v>
      </c>
      <c r="S25" s="73">
        <v>25</v>
      </c>
      <c r="T25" s="143"/>
    </row>
    <row r="26" spans="1:20">
      <c r="A26" s="339">
        <v>2021</v>
      </c>
      <c r="B26" s="5" t="s">
        <v>1018</v>
      </c>
      <c r="C26" s="73">
        <v>7</v>
      </c>
      <c r="D26" s="109" t="str">
        <f>INDEX('Affectation epci'!C:C,MATCH('détail installateur'!B26,'Affectation epci'!B:B,0))</f>
        <v>Isère (sauf GAM, CCG et CAPV)</v>
      </c>
      <c r="E26" s="2"/>
      <c r="F26" s="5" t="s">
        <v>2038</v>
      </c>
      <c r="G26" s="73">
        <v>2</v>
      </c>
      <c r="H26" s="143"/>
      <c r="I26" s="153"/>
      <c r="J26" s="158" t="s">
        <v>778</v>
      </c>
      <c r="K26" s="159">
        <v>60</v>
      </c>
      <c r="L26" s="153"/>
      <c r="M26"/>
      <c r="N26" s="155" t="s">
        <v>930</v>
      </c>
      <c r="O26" s="156">
        <f>SUM(O16:O25)</f>
        <v>288</v>
      </c>
      <c r="P26" s="157">
        <f t="shared" si="14"/>
        <v>0.67924528301886788</v>
      </c>
      <c r="R26" s="72" t="s">
        <v>818</v>
      </c>
      <c r="S26" s="73">
        <v>21</v>
      </c>
      <c r="T26" s="143"/>
    </row>
    <row r="27" spans="1:20">
      <c r="A27" s="339">
        <v>2021</v>
      </c>
      <c r="B27" s="5" t="s">
        <v>1926</v>
      </c>
      <c r="C27" s="73">
        <v>6</v>
      </c>
      <c r="D27" s="109" t="str">
        <f>INDEX('Affectation epci'!C:C,MATCH('détail installateur'!B27,'Affectation epci'!B:B,0))</f>
        <v>Isère (sauf GAM, CCG et CAPV)</v>
      </c>
      <c r="E27" s="2"/>
      <c r="F27" s="5" t="s">
        <v>2802</v>
      </c>
      <c r="G27" s="73">
        <v>1</v>
      </c>
      <c r="H27" s="143"/>
      <c r="I27" s="153"/>
      <c r="J27" s="158" t="s">
        <v>577</v>
      </c>
      <c r="K27" s="159">
        <v>57</v>
      </c>
      <c r="L27" s="153"/>
      <c r="M27"/>
      <c r="N27" s="155" t="s">
        <v>931</v>
      </c>
      <c r="O27" s="156">
        <f>M10</f>
        <v>424</v>
      </c>
      <c r="P27" s="157">
        <f t="shared" si="14"/>
        <v>1</v>
      </c>
      <c r="R27" s="72" t="s">
        <v>579</v>
      </c>
      <c r="S27" s="73">
        <v>20</v>
      </c>
      <c r="T27" s="143"/>
    </row>
    <row r="28" spans="1:20">
      <c r="A28" s="339">
        <v>2021</v>
      </c>
      <c r="B28" s="5" t="s">
        <v>265</v>
      </c>
      <c r="C28" s="73">
        <v>5</v>
      </c>
      <c r="D28" s="109" t="str">
        <f>INDEX('Affectation epci'!C:C,MATCH('détail installateur'!B28,'Affectation epci'!B:B,0))</f>
        <v>CA du Pays Voironnais</v>
      </c>
      <c r="E28" s="2"/>
      <c r="F28" s="5" t="s">
        <v>1018</v>
      </c>
      <c r="G28" s="73">
        <v>7</v>
      </c>
      <c r="H28" s="143"/>
      <c r="I28" s="153"/>
      <c r="J28" s="158" t="s">
        <v>807</v>
      </c>
      <c r="K28" s="159">
        <v>49</v>
      </c>
      <c r="L28" s="153"/>
      <c r="M28"/>
      <c r="R28" s="72" t="s">
        <v>778</v>
      </c>
      <c r="S28" s="73">
        <v>16</v>
      </c>
      <c r="T28" s="143"/>
    </row>
    <row r="29" spans="1:20">
      <c r="A29" s="339">
        <v>2021</v>
      </c>
      <c r="B29" s="5" t="s">
        <v>209</v>
      </c>
      <c r="C29" s="73">
        <v>4</v>
      </c>
      <c r="D29" s="109" t="str">
        <f>INDEX('Affectation epci'!C:C,MATCH('détail installateur'!B29,'Affectation epci'!B:B,0))</f>
        <v>Grenoble-Alpes-Métropole</v>
      </c>
      <c r="E29" s="2"/>
      <c r="F29" s="5" t="s">
        <v>2999</v>
      </c>
      <c r="G29" s="73">
        <v>1</v>
      </c>
      <c r="H29" s="143"/>
      <c r="I29" s="153"/>
      <c r="J29" s="158" t="s">
        <v>835</v>
      </c>
      <c r="K29" s="159">
        <v>39</v>
      </c>
      <c r="L29" s="153"/>
      <c r="M29"/>
      <c r="R29" s="72" t="s">
        <v>845</v>
      </c>
      <c r="S29" s="73">
        <v>13</v>
      </c>
      <c r="T29" s="143"/>
    </row>
    <row r="30" spans="1:20">
      <c r="A30" s="339">
        <v>2021</v>
      </c>
      <c r="B30" s="5" t="s">
        <v>2014</v>
      </c>
      <c r="C30" s="73">
        <v>4</v>
      </c>
      <c r="D30" s="109" t="str">
        <f>INDEX('Affectation epci'!C:C,MATCH('détail installateur'!B30,'Affectation epci'!B:B,0))</f>
        <v>Isère (sauf GAM, CCG et CAPV)</v>
      </c>
      <c r="E30" s="2"/>
      <c r="F30" s="5" t="s">
        <v>2691</v>
      </c>
      <c r="G30" s="73">
        <v>1</v>
      </c>
      <c r="H30" s="143"/>
      <c r="I30" s="153"/>
      <c r="J30" s="158" t="s">
        <v>236</v>
      </c>
      <c r="K30" s="159">
        <v>28</v>
      </c>
      <c r="L30" s="153"/>
      <c r="M30"/>
      <c r="R30" s="72" t="s">
        <v>263</v>
      </c>
      <c r="S30" s="73">
        <v>8</v>
      </c>
      <c r="T30" s="143"/>
    </row>
    <row r="31" spans="1:20">
      <c r="A31" s="339">
        <v>2021</v>
      </c>
      <c r="B31" s="5" t="s">
        <v>2545</v>
      </c>
      <c r="C31" s="73">
        <v>4</v>
      </c>
      <c r="D31" s="109" t="str">
        <f>INDEX('Affectation epci'!C:C,MATCH('détail installateur'!B31,'Affectation epci'!B:B,0))</f>
        <v>Isère (sauf GAM, CCG et CAPV)</v>
      </c>
      <c r="E31" s="2"/>
      <c r="F31" s="5" t="s">
        <v>387</v>
      </c>
      <c r="G31" s="73">
        <v>3</v>
      </c>
      <c r="H31" s="143"/>
      <c r="I31" s="153"/>
      <c r="J31" s="158" t="s">
        <v>675</v>
      </c>
      <c r="K31" s="159">
        <v>25</v>
      </c>
      <c r="L31" s="153"/>
      <c r="M31"/>
      <c r="R31" s="72" t="s">
        <v>678</v>
      </c>
      <c r="S31" s="73">
        <v>8</v>
      </c>
      <c r="T31" s="143"/>
    </row>
    <row r="32" spans="1:20">
      <c r="A32" s="339">
        <v>2021</v>
      </c>
      <c r="B32" s="5" t="s">
        <v>387</v>
      </c>
      <c r="C32" s="73">
        <v>3</v>
      </c>
      <c r="D32" s="109" t="str">
        <f>INDEX('Affectation epci'!C:C,MATCH('détail installateur'!B32,'Affectation epci'!B:B,0))</f>
        <v>Grenoble-Alpes-Métropole</v>
      </c>
      <c r="E32" s="2"/>
      <c r="F32" s="5" t="s">
        <v>864</v>
      </c>
      <c r="G32" s="73">
        <v>2</v>
      </c>
      <c r="H32" s="143"/>
      <c r="I32" s="153"/>
      <c r="J32" s="158" t="s">
        <v>679</v>
      </c>
      <c r="K32" s="159">
        <v>24</v>
      </c>
      <c r="L32" s="153"/>
      <c r="M32"/>
      <c r="R32" s="72" t="s">
        <v>2002</v>
      </c>
      <c r="S32" s="73">
        <v>8</v>
      </c>
      <c r="T32" s="143"/>
    </row>
    <row r="33" spans="1:20">
      <c r="A33" s="339">
        <v>2021</v>
      </c>
      <c r="B33" s="5" t="s">
        <v>2432</v>
      </c>
      <c r="C33" s="73">
        <v>3</v>
      </c>
      <c r="D33" s="109" t="str">
        <f>INDEX('Affectation epci'!C:C,MATCH('détail installateur'!B33,'Affectation epci'!B:B,0))</f>
        <v>Grenoble-Alpes-Métropole</v>
      </c>
      <c r="E33" s="2"/>
      <c r="F33" s="5" t="s">
        <v>231</v>
      </c>
      <c r="G33" s="73">
        <v>2</v>
      </c>
      <c r="H33" s="143"/>
      <c r="I33" s="153"/>
      <c r="J33" s="158" t="s">
        <v>810</v>
      </c>
      <c r="K33" s="159">
        <v>23</v>
      </c>
      <c r="L33" s="153"/>
      <c r="M33"/>
      <c r="R33" s="72" t="s">
        <v>947</v>
      </c>
      <c r="S33" s="73">
        <v>7</v>
      </c>
      <c r="T33" s="143"/>
    </row>
    <row r="34" spans="1:20">
      <c r="A34" s="339">
        <v>2021</v>
      </c>
      <c r="B34" s="5" t="s">
        <v>2038</v>
      </c>
      <c r="C34" s="73">
        <v>2</v>
      </c>
      <c r="D34" s="109" t="str">
        <f>INDEX('Affectation epci'!C:C,MATCH('détail installateur'!B34,'Affectation epci'!B:B,0))</f>
        <v>Savoie</v>
      </c>
      <c r="E34" s="2"/>
      <c r="F34" s="5" t="s">
        <v>209</v>
      </c>
      <c r="G34" s="73">
        <v>4</v>
      </c>
      <c r="H34" s="143"/>
      <c r="I34" s="153"/>
      <c r="J34" s="158" t="s">
        <v>849</v>
      </c>
      <c r="K34" s="159">
        <v>20</v>
      </c>
      <c r="L34" s="153"/>
      <c r="M34"/>
      <c r="R34" s="72" t="s">
        <v>222</v>
      </c>
      <c r="S34" s="73">
        <v>7</v>
      </c>
      <c r="T34" s="143"/>
    </row>
    <row r="35" spans="1:20">
      <c r="A35" s="339">
        <v>2021</v>
      </c>
      <c r="B35" s="5" t="s">
        <v>864</v>
      </c>
      <c r="C35" s="73">
        <v>2</v>
      </c>
      <c r="D35" s="109" t="str">
        <f>INDEX('Affectation epci'!C:C,MATCH('détail installateur'!B35,'Affectation epci'!B:B,0))</f>
        <v>autre département sauf Savoie (Ain, Drôme, Hautes-Alpes…)</v>
      </c>
      <c r="E35" s="2"/>
      <c r="F35" s="5" t="s">
        <v>3035</v>
      </c>
      <c r="G35" s="73">
        <v>1</v>
      </c>
      <c r="H35" s="143"/>
      <c r="I35" s="153"/>
      <c r="J35" s="158" t="s">
        <v>749</v>
      </c>
      <c r="K35" s="159">
        <v>17</v>
      </c>
      <c r="L35" s="153"/>
      <c r="M35"/>
      <c r="R35" s="72" t="s">
        <v>749</v>
      </c>
      <c r="S35" s="73">
        <v>7</v>
      </c>
      <c r="T35" s="143"/>
    </row>
    <row r="36" spans="1:20">
      <c r="A36" s="339">
        <v>2021</v>
      </c>
      <c r="B36" s="5" t="s">
        <v>231</v>
      </c>
      <c r="C36" s="73">
        <v>2</v>
      </c>
      <c r="D36" s="109" t="str">
        <f>INDEX('Affectation epci'!C:C,MATCH('détail installateur'!B36,'Affectation epci'!B:B,0))</f>
        <v>CC Le Grésivaudan</v>
      </c>
      <c r="E36" s="2"/>
      <c r="F36" s="5" t="s">
        <v>1875</v>
      </c>
      <c r="G36" s="73">
        <v>19</v>
      </c>
      <c r="H36" s="143"/>
      <c r="I36" s="153"/>
      <c r="J36" s="158" t="s">
        <v>741</v>
      </c>
      <c r="K36" s="159">
        <v>15</v>
      </c>
      <c r="L36" s="153"/>
      <c r="M36"/>
      <c r="R36" s="72" t="s">
        <v>385</v>
      </c>
      <c r="S36" s="73">
        <v>5</v>
      </c>
      <c r="T36" s="143"/>
    </row>
    <row r="37" spans="1:20">
      <c r="A37" s="339">
        <v>2021</v>
      </c>
      <c r="B37" s="5" t="s">
        <v>2216</v>
      </c>
      <c r="C37" s="73">
        <v>2</v>
      </c>
      <c r="D37" s="109" t="str">
        <f>INDEX('Affectation epci'!C:C,MATCH('détail installateur'!B37,'Affectation epci'!B:B,0))</f>
        <v>CA du Pays Voironnais</v>
      </c>
      <c r="E37" s="2"/>
      <c r="F37" s="5" t="s">
        <v>2464</v>
      </c>
      <c r="G37" s="73">
        <v>1</v>
      </c>
      <c r="H37" s="143"/>
      <c r="I37" s="153"/>
      <c r="J37" s="158" t="s">
        <v>730</v>
      </c>
      <c r="K37" s="159">
        <v>14</v>
      </c>
      <c r="L37" s="153"/>
      <c r="M37"/>
      <c r="R37" s="72" t="s">
        <v>727</v>
      </c>
      <c r="S37" s="73">
        <v>5</v>
      </c>
      <c r="T37" s="143"/>
    </row>
    <row r="38" spans="1:20">
      <c r="A38" s="339">
        <v>2021</v>
      </c>
      <c r="B38" s="5" t="s">
        <v>227</v>
      </c>
      <c r="C38" s="73">
        <v>2</v>
      </c>
      <c r="D38" s="109" t="str">
        <f>INDEX('Affectation epci'!C:C,MATCH('détail installateur'!B38,'Affectation epci'!B:B,0))</f>
        <v>CC Le Grésivaudan</v>
      </c>
      <c r="E38" s="2"/>
      <c r="F38" s="5" t="s">
        <v>1893</v>
      </c>
      <c r="G38" s="73">
        <v>21</v>
      </c>
      <c r="H38" s="143"/>
      <c r="I38" s="153"/>
      <c r="J38" s="158" t="s">
        <v>836</v>
      </c>
      <c r="K38" s="159">
        <v>13</v>
      </c>
      <c r="L38" s="153"/>
      <c r="M38"/>
      <c r="R38" s="72" t="s">
        <v>3294</v>
      </c>
      <c r="S38" s="73">
        <v>5</v>
      </c>
      <c r="T38" s="143"/>
    </row>
    <row r="39" spans="1:20">
      <c r="A39" s="339">
        <v>2021</v>
      </c>
      <c r="B39" s="5" t="s">
        <v>2802</v>
      </c>
      <c r="C39" s="73">
        <v>1</v>
      </c>
      <c r="D39" s="109" t="str">
        <f>INDEX('Affectation epci'!C:C,MATCH('détail installateur'!B39,'Affectation epci'!B:B,0))</f>
        <v>Isère (sauf GAM, CCG et CAPV)</v>
      </c>
      <c r="E39" s="2"/>
      <c r="F39" s="5" t="s">
        <v>2477</v>
      </c>
      <c r="G39" s="73">
        <v>1</v>
      </c>
      <c r="H39" s="143"/>
      <c r="I39" s="153"/>
      <c r="J39" s="158" t="s">
        <v>254</v>
      </c>
      <c r="K39" s="159">
        <v>12</v>
      </c>
      <c r="L39" s="153"/>
      <c r="M39"/>
      <c r="R39" s="72" t="s">
        <v>2018</v>
      </c>
      <c r="S39" s="73">
        <v>5</v>
      </c>
      <c r="T39" s="143"/>
    </row>
    <row r="40" spans="1:20">
      <c r="A40" s="339">
        <v>2021</v>
      </c>
      <c r="B40" s="5" t="s">
        <v>2999</v>
      </c>
      <c r="C40" s="73">
        <v>1</v>
      </c>
      <c r="D40" s="109" t="str">
        <f>INDEX('Affectation epci'!C:C,MATCH('détail installateur'!B40,'Affectation epci'!B:B,0))</f>
        <v>Isère (sauf GAM, CCG et CAPV)</v>
      </c>
      <c r="E40" s="2"/>
      <c r="F40" s="5" t="s">
        <v>2117</v>
      </c>
      <c r="G40" s="73">
        <v>1</v>
      </c>
      <c r="H40" s="143"/>
      <c r="I40" s="153"/>
      <c r="J40" s="158" t="s">
        <v>237</v>
      </c>
      <c r="K40" s="159">
        <v>12</v>
      </c>
      <c r="L40" s="153"/>
      <c r="M40"/>
      <c r="R40" s="72" t="s">
        <v>624</v>
      </c>
      <c r="S40" s="73">
        <v>4</v>
      </c>
      <c r="T40" s="143"/>
    </row>
    <row r="41" spans="1:20">
      <c r="A41" s="339">
        <v>2021</v>
      </c>
      <c r="B41" s="5" t="s">
        <v>2691</v>
      </c>
      <c r="C41" s="73">
        <v>1</v>
      </c>
      <c r="D41" s="109" t="str">
        <f>INDEX('Affectation epci'!C:C,MATCH('détail installateur'!B41,'Affectation epci'!B:B,0))</f>
        <v>autre département sauf Savoie (Ain, Drôme, Hautes-Alpes…)</v>
      </c>
      <c r="E41" s="2"/>
      <c r="F41" s="5" t="s">
        <v>1926</v>
      </c>
      <c r="G41" s="73">
        <v>6</v>
      </c>
      <c r="H41" s="143"/>
      <c r="I41" s="153"/>
      <c r="J41" s="158" t="s">
        <v>771</v>
      </c>
      <c r="K41" s="159">
        <v>12</v>
      </c>
      <c r="L41" s="153"/>
      <c r="M41"/>
      <c r="R41" s="72" t="s">
        <v>585</v>
      </c>
      <c r="S41" s="73">
        <v>3</v>
      </c>
      <c r="T41" s="143"/>
    </row>
    <row r="42" spans="1:20">
      <c r="A42" s="339">
        <v>2021</v>
      </c>
      <c r="B42" s="5" t="s">
        <v>3035</v>
      </c>
      <c r="C42" s="73">
        <v>1</v>
      </c>
      <c r="D42" s="109" t="str">
        <f>INDEX('Affectation epci'!C:C,MATCH('détail installateur'!B42,'Affectation epci'!B:B,0))</f>
        <v>Isère (sauf GAM, CCG et CAPV)</v>
      </c>
      <c r="E42" s="2"/>
      <c r="F42" s="5" t="s">
        <v>2014</v>
      </c>
      <c r="G42" s="73">
        <v>4</v>
      </c>
      <c r="H42" s="143"/>
      <c r="I42" s="153"/>
      <c r="J42" s="158" t="s">
        <v>786</v>
      </c>
      <c r="K42" s="159">
        <v>11</v>
      </c>
      <c r="L42" s="153"/>
      <c r="M42"/>
      <c r="R42" s="72" t="s">
        <v>821</v>
      </c>
      <c r="S42" s="73">
        <v>3</v>
      </c>
      <c r="T42" s="143"/>
    </row>
    <row r="43" spans="1:20">
      <c r="A43" s="339">
        <v>2021</v>
      </c>
      <c r="B43" s="5" t="s">
        <v>2464</v>
      </c>
      <c r="C43" s="73">
        <v>1</v>
      </c>
      <c r="D43" s="109" t="str">
        <f>INDEX('Affectation epci'!C:C,MATCH('détail installateur'!B43,'Affectation epci'!B:B,0))</f>
        <v>Isère (sauf GAM, CCG et CAPV)</v>
      </c>
      <c r="E43" s="2"/>
      <c r="F43" s="5" t="s">
        <v>2216</v>
      </c>
      <c r="G43" s="73">
        <v>2</v>
      </c>
      <c r="H43" s="143"/>
      <c r="I43" s="153"/>
      <c r="J43" s="158" t="s">
        <v>586</v>
      </c>
      <c r="K43" s="159">
        <v>10</v>
      </c>
      <c r="L43" s="153"/>
      <c r="M43"/>
      <c r="R43" s="72" t="s">
        <v>1909</v>
      </c>
      <c r="S43" s="73">
        <v>3</v>
      </c>
      <c r="T43" s="143"/>
    </row>
    <row r="44" spans="1:20">
      <c r="A44" s="339">
        <v>2021</v>
      </c>
      <c r="B44" s="5" t="s">
        <v>2477</v>
      </c>
      <c r="C44" s="73">
        <v>1</v>
      </c>
      <c r="D44" s="109" t="str">
        <f>INDEX('Affectation epci'!C:C,MATCH('détail installateur'!B44,'Affectation epci'!B:B,0))</f>
        <v>CA du Pays Voironnais</v>
      </c>
      <c r="E44" s="2"/>
      <c r="F44" s="5" t="s">
        <v>2083</v>
      </c>
      <c r="G44" s="73">
        <v>1</v>
      </c>
      <c r="H44" s="143"/>
      <c r="I44" s="153"/>
      <c r="J44" s="158" t="s">
        <v>572</v>
      </c>
      <c r="K44" s="159">
        <v>8</v>
      </c>
      <c r="L44" s="153"/>
      <c r="M44"/>
      <c r="R44" s="72" t="s">
        <v>805</v>
      </c>
      <c r="S44" s="73">
        <v>3</v>
      </c>
      <c r="T44" s="143"/>
    </row>
    <row r="45" spans="1:20">
      <c r="A45" s="339">
        <v>2021</v>
      </c>
      <c r="B45" s="5" t="s">
        <v>2117</v>
      </c>
      <c r="C45" s="73">
        <v>1</v>
      </c>
      <c r="D45" s="109" t="str">
        <f>INDEX('Affectation epci'!C:C,MATCH('détail installateur'!B45,'Affectation epci'!B:B,0))</f>
        <v>Isère (sauf GAM, CCG et CAPV)</v>
      </c>
      <c r="E45" s="2"/>
      <c r="F45" s="5" t="s">
        <v>1895</v>
      </c>
      <c r="G45" s="73">
        <v>15</v>
      </c>
      <c r="H45" s="143"/>
      <c r="I45" s="153"/>
      <c r="J45" s="158" t="s">
        <v>772</v>
      </c>
      <c r="K45" s="159">
        <v>8</v>
      </c>
      <c r="L45" s="153"/>
      <c r="M45"/>
      <c r="R45" s="72" t="s">
        <v>835</v>
      </c>
      <c r="S45" s="73">
        <v>3</v>
      </c>
      <c r="T45" s="143"/>
    </row>
    <row r="46" spans="1:20">
      <c r="A46" s="339">
        <v>2021</v>
      </c>
      <c r="B46" s="5" t="s">
        <v>2083</v>
      </c>
      <c r="C46" s="73">
        <v>1</v>
      </c>
      <c r="D46" s="109" t="str">
        <f>INDEX('Affectation epci'!C:C,MATCH('détail installateur'!B46,'Affectation epci'!B:B,0))</f>
        <v>autre département sauf Savoie (Ain, Drôme, Hautes-Alpes…)</v>
      </c>
      <c r="E46" s="2"/>
      <c r="F46" s="5" t="s">
        <v>2545</v>
      </c>
      <c r="G46" s="73">
        <v>4</v>
      </c>
      <c r="H46" s="143"/>
      <c r="I46" s="153"/>
      <c r="J46" s="158" t="s">
        <v>421</v>
      </c>
      <c r="K46" s="159">
        <v>8</v>
      </c>
      <c r="L46" s="153"/>
      <c r="M46"/>
      <c r="R46" s="72" t="s">
        <v>769</v>
      </c>
      <c r="S46" s="73">
        <v>3</v>
      </c>
      <c r="T46" s="143"/>
    </row>
    <row r="47" spans="1:20">
      <c r="A47" s="339">
        <v>2021</v>
      </c>
      <c r="B47" s="5" t="s">
        <v>2493</v>
      </c>
      <c r="C47" s="73">
        <v>1</v>
      </c>
      <c r="D47" s="109" t="str">
        <f>INDEX('Affectation epci'!C:C,MATCH('détail installateur'!B47,'Affectation epci'!B:B,0))</f>
        <v>Isère (sauf GAM, CCG et CAPV)</v>
      </c>
      <c r="E47" s="2"/>
      <c r="F47" s="5" t="s">
        <v>2493</v>
      </c>
      <c r="G47" s="73">
        <v>1</v>
      </c>
      <c r="H47" s="143"/>
      <c r="I47" s="153"/>
      <c r="J47" s="158" t="s">
        <v>806</v>
      </c>
      <c r="K47" s="159">
        <v>7</v>
      </c>
      <c r="L47" s="153"/>
      <c r="M47"/>
      <c r="R47" s="72" t="s">
        <v>1071</v>
      </c>
      <c r="S47" s="73">
        <v>3</v>
      </c>
      <c r="T47" s="143"/>
    </row>
    <row r="48" spans="1:20">
      <c r="A48" s="339">
        <v>2021</v>
      </c>
      <c r="B48" s="5" t="s">
        <v>2167</v>
      </c>
      <c r="C48" s="73">
        <v>1</v>
      </c>
      <c r="D48" s="109" t="str">
        <f>INDEX('Affectation epci'!C:C,MATCH('détail installateur'!B48,'Affectation epci'!B:B,0))</f>
        <v>Isère (sauf GAM, CCG et CAPV)</v>
      </c>
      <c r="E48" s="2"/>
      <c r="F48" s="5" t="s">
        <v>2432</v>
      </c>
      <c r="G48" s="73">
        <v>3</v>
      </c>
      <c r="H48" s="143"/>
      <c r="I48" s="153"/>
      <c r="J48" s="158" t="s">
        <v>790</v>
      </c>
      <c r="K48" s="159">
        <v>7</v>
      </c>
      <c r="L48" s="153"/>
      <c r="M48"/>
      <c r="R48" s="72" t="s">
        <v>768</v>
      </c>
      <c r="S48" s="73">
        <v>2</v>
      </c>
      <c r="T48" s="143"/>
    </row>
    <row r="49" spans="1:20">
      <c r="A49" s="172">
        <v>2022</v>
      </c>
      <c r="B49" s="5" t="s">
        <v>225</v>
      </c>
      <c r="C49" s="73">
        <v>57</v>
      </c>
      <c r="D49" s="109" t="str">
        <f>INDEX('Affectation epci'!C:C,MATCH('détail installateur'!B49,'Affectation epci'!B:B,0))</f>
        <v>CA du Pays Voironnais</v>
      </c>
      <c r="E49" s="2"/>
      <c r="F49" s="5" t="s">
        <v>2167</v>
      </c>
      <c r="G49" s="73">
        <v>1</v>
      </c>
      <c r="H49" s="143"/>
      <c r="I49" s="153"/>
      <c r="J49" s="158" t="s">
        <v>692</v>
      </c>
      <c r="K49" s="159">
        <v>7</v>
      </c>
      <c r="L49" s="153"/>
      <c r="M49"/>
      <c r="R49" s="72" t="s">
        <v>759</v>
      </c>
      <c r="S49" s="73">
        <v>2</v>
      </c>
      <c r="T49" s="143"/>
    </row>
    <row r="50" spans="1:20">
      <c r="A50" s="339">
        <v>2022</v>
      </c>
      <c r="B50" s="5" t="s">
        <v>1018</v>
      </c>
      <c r="C50" s="73">
        <v>19</v>
      </c>
      <c r="D50" s="109" t="str">
        <f>INDEX('Affectation epci'!C:C,MATCH('détail installateur'!B50,'Affectation epci'!B:B,0))</f>
        <v>Isère (sauf GAM, CCG et CAPV)</v>
      </c>
      <c r="E50" s="2"/>
      <c r="F50" s="5" t="s">
        <v>227</v>
      </c>
      <c r="G50" s="73">
        <v>2</v>
      </c>
      <c r="H50" s="143"/>
      <c r="I50" s="153"/>
      <c r="J50" s="158" t="s">
        <v>385</v>
      </c>
      <c r="K50" s="159">
        <v>6</v>
      </c>
      <c r="L50" s="153"/>
      <c r="M50"/>
      <c r="R50" s="72" t="s">
        <v>2613</v>
      </c>
      <c r="S50" s="73">
        <v>2</v>
      </c>
      <c r="T50" s="143"/>
    </row>
    <row r="51" spans="1:20">
      <c r="A51" s="339">
        <v>2022</v>
      </c>
      <c r="B51" s="5" t="s">
        <v>1875</v>
      </c>
      <c r="C51" s="73">
        <v>17</v>
      </c>
      <c r="D51" s="109" t="str">
        <f>INDEX('Affectation epci'!C:C,MATCH('détail installateur'!B51,'Affectation epci'!B:B,0))</f>
        <v>Isère (sauf GAM, CCG et CAPV)</v>
      </c>
      <c r="E51" s="2"/>
      <c r="F51" s="5" t="s">
        <v>265</v>
      </c>
      <c r="G51" s="73">
        <v>5</v>
      </c>
      <c r="H51" s="143"/>
      <c r="I51" s="153"/>
      <c r="J51" s="158" t="s">
        <v>831</v>
      </c>
      <c r="K51" s="159">
        <v>6</v>
      </c>
      <c r="L51" s="153"/>
      <c r="M51"/>
      <c r="R51" s="72" t="s">
        <v>2082</v>
      </c>
      <c r="S51" s="73">
        <v>2</v>
      </c>
      <c r="T51" s="143"/>
    </row>
    <row r="52" spans="1:20">
      <c r="A52" s="339">
        <v>2022</v>
      </c>
      <c r="B52" s="5" t="s">
        <v>232</v>
      </c>
      <c r="C52" s="73">
        <v>17</v>
      </c>
      <c r="D52" s="109" t="str">
        <f>INDEX('Affectation epci'!C:C,MATCH('détail installateur'!B52,'Affectation epci'!B:B,0))</f>
        <v>CA du Pays Voironnais</v>
      </c>
      <c r="E52" s="2"/>
      <c r="F52" s="5" t="s">
        <v>225</v>
      </c>
      <c r="G52" s="73">
        <v>70</v>
      </c>
      <c r="H52" s="143"/>
      <c r="I52" s="153"/>
      <c r="J52" s="158" t="s">
        <v>684</v>
      </c>
      <c r="K52" s="159">
        <v>6</v>
      </c>
      <c r="L52" s="153"/>
      <c r="M52"/>
      <c r="R52" s="72" t="s">
        <v>836</v>
      </c>
      <c r="S52" s="73">
        <v>2</v>
      </c>
      <c r="T52" s="143"/>
    </row>
    <row r="53" spans="1:20">
      <c r="A53" s="339">
        <v>2022</v>
      </c>
      <c r="B53" s="5" t="s">
        <v>1895</v>
      </c>
      <c r="C53" s="73">
        <v>15</v>
      </c>
      <c r="D53" s="109" t="str">
        <f>INDEX('Affectation epci'!C:C,MATCH('détail installateur'!B53,'Affectation epci'!B:B,0))</f>
        <v>Grenoble-Alpes-Métropole</v>
      </c>
      <c r="E53" s="2"/>
      <c r="F53" s="5" t="s">
        <v>232</v>
      </c>
      <c r="G53" s="73">
        <v>13</v>
      </c>
      <c r="H53" s="143"/>
      <c r="I53" s="153"/>
      <c r="J53" s="158" t="s">
        <v>668</v>
      </c>
      <c r="K53" s="159">
        <v>5</v>
      </c>
      <c r="L53" s="153"/>
      <c r="M53"/>
      <c r="R53" s="72" t="s">
        <v>832</v>
      </c>
      <c r="S53" s="73">
        <v>2</v>
      </c>
      <c r="T53" s="143"/>
    </row>
    <row r="54" spans="1:20">
      <c r="A54" s="339">
        <v>2022</v>
      </c>
      <c r="B54" s="5" t="s">
        <v>1926</v>
      </c>
      <c r="C54" s="73">
        <v>10</v>
      </c>
      <c r="D54" s="109" t="str">
        <f>INDEX('Affectation epci'!C:C,MATCH('détail installateur'!B54,'Affectation epci'!B:B,0))</f>
        <v>Isère (sauf GAM, CCG et CAPV)</v>
      </c>
      <c r="E54" s="2"/>
      <c r="F54" s="72">
        <v>2022</v>
      </c>
      <c r="G54" s="73">
        <v>207</v>
      </c>
      <c r="H54" s="143"/>
      <c r="I54" s="153"/>
      <c r="J54" s="158" t="s">
        <v>811</v>
      </c>
      <c r="K54" s="159">
        <v>5</v>
      </c>
      <c r="L54" s="153"/>
      <c r="M54"/>
      <c r="R54" s="72" t="s">
        <v>625</v>
      </c>
      <c r="S54" s="73">
        <v>2</v>
      </c>
      <c r="T54" s="143"/>
    </row>
    <row r="55" spans="1:20">
      <c r="A55" s="339">
        <v>2022</v>
      </c>
      <c r="B55" s="5" t="s">
        <v>864</v>
      </c>
      <c r="C55" s="73">
        <v>8</v>
      </c>
      <c r="D55" s="109" t="str">
        <f>INDEX('Affectation epci'!C:C,MATCH('détail installateur'!B55,'Affectation epci'!B:B,0))</f>
        <v>autre département sauf Savoie (Ain, Drôme, Hautes-Alpes…)</v>
      </c>
      <c r="E55" s="2"/>
      <c r="F55" s="5" t="s">
        <v>3564</v>
      </c>
      <c r="G55" s="73">
        <v>1</v>
      </c>
      <c r="H55" s="143"/>
      <c r="I55" s="153"/>
      <c r="J55" s="158" t="s">
        <v>416</v>
      </c>
      <c r="K55" s="159">
        <v>5</v>
      </c>
      <c r="L55" s="153"/>
      <c r="M55"/>
      <c r="R55" s="72" t="s">
        <v>820</v>
      </c>
      <c r="S55" s="73">
        <v>2</v>
      </c>
      <c r="T55" s="143"/>
    </row>
    <row r="56" spans="1:20">
      <c r="A56" s="339">
        <v>2022</v>
      </c>
      <c r="B56" s="5" t="s">
        <v>1893</v>
      </c>
      <c r="C56" s="73">
        <v>8</v>
      </c>
      <c r="D56" s="109" t="str">
        <f>INDEX('Affectation epci'!C:C,MATCH('détail installateur'!B56,'Affectation epci'!B:B,0))</f>
        <v>CA du Pays Voironnais</v>
      </c>
      <c r="E56" s="2"/>
      <c r="F56" s="5" t="s">
        <v>3531</v>
      </c>
      <c r="G56" s="73">
        <v>1</v>
      </c>
      <c r="H56" s="143"/>
      <c r="I56" s="153"/>
      <c r="J56" s="158" t="s">
        <v>625</v>
      </c>
      <c r="K56" s="159">
        <v>5</v>
      </c>
      <c r="L56" s="153"/>
      <c r="M56"/>
      <c r="R56" s="72" t="s">
        <v>3613</v>
      </c>
      <c r="S56" s="73">
        <v>2</v>
      </c>
      <c r="T56" s="143"/>
    </row>
    <row r="57" spans="1:20">
      <c r="A57" s="339">
        <v>2022</v>
      </c>
      <c r="B57" s="5" t="s">
        <v>1910</v>
      </c>
      <c r="C57" s="73">
        <v>7</v>
      </c>
      <c r="D57" s="109" t="str">
        <f>INDEX('Affectation epci'!C:C,MATCH('détail installateur'!B57,'Affectation epci'!B:B,0))</f>
        <v>Isère (sauf GAM, CCG et CAPV)</v>
      </c>
      <c r="E57" s="2"/>
      <c r="F57" s="5" t="s">
        <v>3580</v>
      </c>
      <c r="G57" s="73">
        <v>4</v>
      </c>
      <c r="H57" s="143"/>
      <c r="I57" s="153"/>
      <c r="J57" s="158" t="s">
        <v>809</v>
      </c>
      <c r="K57" s="159">
        <v>4</v>
      </c>
      <c r="L57" s="153"/>
      <c r="M57"/>
      <c r="R57" s="72" t="s">
        <v>843</v>
      </c>
      <c r="S57" s="73">
        <v>1</v>
      </c>
      <c r="T57" s="143"/>
    </row>
    <row r="58" spans="1:20">
      <c r="A58" s="339">
        <v>2022</v>
      </c>
      <c r="B58" s="5" t="s">
        <v>2038</v>
      </c>
      <c r="C58" s="73">
        <v>7</v>
      </c>
      <c r="D58" s="109" t="str">
        <f>INDEX('Affectation epci'!C:C,MATCH('détail installateur'!B58,'Affectation epci'!B:B,0))</f>
        <v>Savoie</v>
      </c>
      <c r="E58" s="2"/>
      <c r="F58" s="5" t="s">
        <v>3671</v>
      </c>
      <c r="G58" s="73">
        <v>1</v>
      </c>
      <c r="H58" s="143"/>
      <c r="I58" s="153"/>
      <c r="J58" s="158" t="s">
        <v>889</v>
      </c>
      <c r="K58" s="159">
        <v>4</v>
      </c>
      <c r="L58" s="153"/>
      <c r="M58"/>
      <c r="R58" s="72" t="s">
        <v>2785</v>
      </c>
      <c r="S58" s="73">
        <v>1</v>
      </c>
      <c r="T58" s="143"/>
    </row>
    <row r="59" spans="1:20">
      <c r="A59" s="339">
        <v>2022</v>
      </c>
      <c r="B59" s="5" t="s">
        <v>3053</v>
      </c>
      <c r="C59" s="73">
        <v>5</v>
      </c>
      <c r="D59" s="109" t="str">
        <f>INDEX('Affectation epci'!C:C,MATCH('détail installateur'!B59,'Affectation epci'!B:B,0))</f>
        <v>Isère (sauf GAM, CCG et CAPV)</v>
      </c>
      <c r="E59" s="2"/>
      <c r="F59" s="5" t="s">
        <v>1910</v>
      </c>
      <c r="G59" s="73">
        <v>7</v>
      </c>
      <c r="H59" s="143"/>
      <c r="I59" s="153"/>
      <c r="J59" s="158" t="s">
        <v>848</v>
      </c>
      <c r="K59" s="159">
        <v>4</v>
      </c>
      <c r="L59" s="153"/>
      <c r="M59"/>
      <c r="R59" s="72" t="s">
        <v>577</v>
      </c>
      <c r="S59" s="73">
        <v>1</v>
      </c>
      <c r="T59" s="143"/>
    </row>
    <row r="60" spans="1:20">
      <c r="A60" s="339">
        <v>2022</v>
      </c>
      <c r="B60" s="5" t="s">
        <v>225</v>
      </c>
      <c r="C60" s="73">
        <v>4</v>
      </c>
      <c r="D60" s="109" t="str">
        <f>INDEX('Affectation epci'!C:C,MATCH('détail installateur'!B60,'Affectation epci'!B:B,0))</f>
        <v>CA du Pays Voironnais</v>
      </c>
      <c r="E60" s="2"/>
      <c r="F60" s="5" t="s">
        <v>2038</v>
      </c>
      <c r="G60" s="73">
        <v>7</v>
      </c>
      <c r="H60" s="143"/>
      <c r="I60" s="153"/>
      <c r="J60" s="158" t="s">
        <v>837</v>
      </c>
      <c r="K60" s="159">
        <v>4</v>
      </c>
      <c r="L60" s="153"/>
      <c r="M60"/>
      <c r="R60" s="72" t="s">
        <v>2690</v>
      </c>
      <c r="S60" s="73">
        <v>1</v>
      </c>
      <c r="T60" s="143"/>
    </row>
    <row r="61" spans="1:20">
      <c r="A61" s="339">
        <v>2022</v>
      </c>
      <c r="B61" s="5" t="s">
        <v>2999</v>
      </c>
      <c r="C61" s="73">
        <v>3</v>
      </c>
      <c r="D61" s="109" t="str">
        <f>INDEX('Affectation epci'!C:C,MATCH('détail installateur'!B61,'Affectation epci'!B:B,0))</f>
        <v>Isère (sauf GAM, CCG et CAPV)</v>
      </c>
      <c r="E61" s="2"/>
      <c r="F61" s="5" t="s">
        <v>1018</v>
      </c>
      <c r="G61" s="73">
        <v>19</v>
      </c>
      <c r="H61" s="143"/>
      <c r="I61" s="153"/>
      <c r="J61" s="158" t="s">
        <v>769</v>
      </c>
      <c r="K61" s="159">
        <v>4</v>
      </c>
      <c r="L61" s="153"/>
      <c r="M61"/>
      <c r="R61" s="72" t="s">
        <v>616</v>
      </c>
      <c r="S61" s="73">
        <v>1</v>
      </c>
      <c r="T61" s="143"/>
    </row>
    <row r="62" spans="1:20">
      <c r="A62" s="339">
        <v>2022</v>
      </c>
      <c r="B62" s="5" t="s">
        <v>231</v>
      </c>
      <c r="C62" s="73">
        <v>3</v>
      </c>
      <c r="D62" s="109" t="str">
        <f>INDEX('Affectation epci'!C:C,MATCH('détail installateur'!B62,'Affectation epci'!B:B,0))</f>
        <v>CC Le Grésivaudan</v>
      </c>
      <c r="E62" s="2"/>
      <c r="F62" s="5" t="s">
        <v>2999</v>
      </c>
      <c r="G62" s="73">
        <v>3</v>
      </c>
      <c r="H62" s="143"/>
      <c r="I62" s="153"/>
      <c r="J62" s="158" t="s">
        <v>812</v>
      </c>
      <c r="K62" s="159">
        <v>4</v>
      </c>
      <c r="L62" s="153"/>
      <c r="M62"/>
      <c r="R62" s="72" t="s">
        <v>740</v>
      </c>
      <c r="S62" s="73">
        <v>1</v>
      </c>
      <c r="T62" s="143"/>
    </row>
    <row r="63" spans="1:20">
      <c r="A63" s="339">
        <v>2022</v>
      </c>
      <c r="B63" s="5" t="s">
        <v>209</v>
      </c>
      <c r="C63" s="73">
        <v>2</v>
      </c>
      <c r="D63" s="109" t="str">
        <f>INDEX('Affectation epci'!C:C,MATCH('détail installateur'!B63,'Affectation epci'!B:B,0))</f>
        <v>Grenoble-Alpes-Métropole</v>
      </c>
      <c r="E63" s="2"/>
      <c r="F63" s="5" t="s">
        <v>230</v>
      </c>
      <c r="G63" s="73">
        <v>1</v>
      </c>
      <c r="H63" s="143"/>
      <c r="I63" s="153"/>
      <c r="J63" s="158" t="s">
        <v>262</v>
      </c>
      <c r="K63" s="159">
        <v>4</v>
      </c>
      <c r="L63" s="153"/>
      <c r="M63"/>
      <c r="R63" s="72" t="s">
        <v>3516</v>
      </c>
      <c r="S63" s="73">
        <v>1</v>
      </c>
      <c r="T63" s="143"/>
    </row>
    <row r="64" spans="1:20">
      <c r="A64" s="339">
        <v>2022</v>
      </c>
      <c r="B64" s="5" t="s">
        <v>2014</v>
      </c>
      <c r="C64" s="73">
        <v>2</v>
      </c>
      <c r="D64" s="109" t="str">
        <f>INDEX('Affectation epci'!C:C,MATCH('détail installateur'!B64,'Affectation epci'!B:B,0))</f>
        <v>Isère (sauf GAM, CCG et CAPV)</v>
      </c>
      <c r="E64" s="2"/>
      <c r="F64" s="5" t="s">
        <v>396</v>
      </c>
      <c r="G64" s="73">
        <v>1</v>
      </c>
      <c r="H64" s="143"/>
      <c r="I64" s="153"/>
      <c r="J64" s="158" t="s">
        <v>842</v>
      </c>
      <c r="K64" s="159">
        <v>4</v>
      </c>
      <c r="L64" s="153"/>
      <c r="M64"/>
      <c r="R64" s="72" t="s">
        <v>942</v>
      </c>
      <c r="S64" s="73">
        <v>1</v>
      </c>
      <c r="T64" s="143"/>
    </row>
    <row r="65" spans="1:20">
      <c r="A65" s="339">
        <v>2022</v>
      </c>
      <c r="B65" s="5" t="s">
        <v>3429</v>
      </c>
      <c r="C65" s="73">
        <v>2</v>
      </c>
      <c r="D65" s="109" t="str">
        <f>INDEX('Affectation epci'!C:C,MATCH('détail installateur'!B65,'Affectation epci'!B:B,0))</f>
        <v>Isère (sauf GAM, CCG et CAPV)</v>
      </c>
      <c r="E65" s="2"/>
      <c r="F65" s="5" t="s">
        <v>864</v>
      </c>
      <c r="G65" s="73">
        <v>8</v>
      </c>
      <c r="H65" s="143"/>
      <c r="I65" s="153"/>
      <c r="J65" s="158" t="s">
        <v>729</v>
      </c>
      <c r="K65" s="159">
        <v>4</v>
      </c>
      <c r="L65" s="153"/>
      <c r="M65"/>
      <c r="R65" s="72" t="s">
        <v>774</v>
      </c>
      <c r="S65" s="73">
        <v>1</v>
      </c>
      <c r="T65" s="143"/>
    </row>
    <row r="66" spans="1:20">
      <c r="A66" s="339">
        <v>2022</v>
      </c>
      <c r="B66" s="5" t="s">
        <v>1007</v>
      </c>
      <c r="C66" s="73">
        <v>2</v>
      </c>
      <c r="D66" s="109" t="str">
        <f>INDEX('Affectation epci'!C:C,MATCH('détail installateur'!B66,'Affectation epci'!B:B,0))</f>
        <v>Isère (sauf GAM, CCG et CAPV)</v>
      </c>
      <c r="E66" s="2"/>
      <c r="F66" s="5" t="s">
        <v>231</v>
      </c>
      <c r="G66" s="73">
        <v>3</v>
      </c>
      <c r="H66" s="143"/>
      <c r="I66" s="153"/>
      <c r="J66" s="158" t="s">
        <v>603</v>
      </c>
      <c r="K66" s="159">
        <v>3</v>
      </c>
      <c r="L66" s="153"/>
      <c r="M66"/>
      <c r="R66" s="72" t="s">
        <v>3034</v>
      </c>
      <c r="S66" s="73">
        <v>1</v>
      </c>
      <c r="T66" s="143"/>
    </row>
    <row r="67" spans="1:20">
      <c r="A67" s="339">
        <v>2022</v>
      </c>
      <c r="B67" s="5" t="s">
        <v>403</v>
      </c>
      <c r="C67" s="73">
        <v>2</v>
      </c>
      <c r="D67" s="109" t="str">
        <f>INDEX('Affectation epci'!C:C,MATCH('détail installateur'!B67,'Affectation epci'!B:B,0))</f>
        <v>Grenoble-Alpes-Métropole</v>
      </c>
      <c r="E67" s="2"/>
      <c r="F67" s="5" t="s">
        <v>209</v>
      </c>
      <c r="G67" s="73">
        <v>2</v>
      </c>
      <c r="H67" s="143"/>
      <c r="I67" s="153"/>
      <c r="J67" s="158" t="s">
        <v>681</v>
      </c>
      <c r="K67" s="159">
        <v>3</v>
      </c>
      <c r="L67" s="153"/>
      <c r="M67"/>
      <c r="R67" s="72" t="s">
        <v>720</v>
      </c>
      <c r="S67" s="73">
        <v>1</v>
      </c>
      <c r="T67" s="143"/>
    </row>
    <row r="68" spans="1:20">
      <c r="A68" s="339">
        <v>2022</v>
      </c>
      <c r="B68" s="5" t="s">
        <v>3564</v>
      </c>
      <c r="C68" s="73">
        <v>1</v>
      </c>
      <c r="D68" s="109" t="str">
        <f>INDEX('Affectation epci'!C:C,MATCH('détail installateur'!B68,'Affectation epci'!B:B,0))</f>
        <v>Isère (sauf GAM, CCG et CAPV)</v>
      </c>
      <c r="E68" s="2"/>
      <c r="F68" s="5" t="s">
        <v>3680</v>
      </c>
      <c r="G68" s="73">
        <v>1</v>
      </c>
      <c r="H68" s="143"/>
      <c r="I68" s="153"/>
      <c r="J68" s="158" t="s">
        <v>740</v>
      </c>
      <c r="K68" s="159">
        <v>3</v>
      </c>
      <c r="L68" s="153"/>
      <c r="M68"/>
      <c r="R68" s="72" t="s">
        <v>681</v>
      </c>
      <c r="S68" s="73">
        <v>1</v>
      </c>
      <c r="T68" s="143"/>
    </row>
    <row r="69" spans="1:20">
      <c r="A69" s="339">
        <v>2022</v>
      </c>
      <c r="B69" s="5" t="s">
        <v>3531</v>
      </c>
      <c r="C69" s="73">
        <v>1</v>
      </c>
      <c r="D69" s="109" t="str">
        <f>INDEX('Affectation epci'!C:C,MATCH('détail installateur'!B69,'Affectation epci'!B:B,0))</f>
        <v>Isère (sauf GAM, CCG et CAPV)</v>
      </c>
      <c r="E69" s="2"/>
      <c r="F69" s="5" t="s">
        <v>3053</v>
      </c>
      <c r="G69" s="73">
        <v>5</v>
      </c>
      <c r="H69" s="143"/>
      <c r="I69" s="153"/>
      <c r="J69" s="158" t="s">
        <v>808</v>
      </c>
      <c r="K69" s="159">
        <v>3</v>
      </c>
      <c r="L69" s="153"/>
      <c r="M69"/>
      <c r="R69" s="72" t="s">
        <v>4124</v>
      </c>
      <c r="S69" s="73">
        <v>1</v>
      </c>
      <c r="T69" s="143"/>
    </row>
    <row r="70" spans="1:20">
      <c r="A70" s="339">
        <v>2022</v>
      </c>
      <c r="B70" s="5" t="s">
        <v>3671</v>
      </c>
      <c r="C70" s="73">
        <v>1</v>
      </c>
      <c r="D70" s="109" t="str">
        <f>INDEX('Affectation epci'!C:C,MATCH('détail installateur'!B70,'Affectation epci'!B:B,0))</f>
        <v>Isère (sauf GAM, CCG et CAPV)</v>
      </c>
      <c r="E70" s="2"/>
      <c r="F70" s="5" t="s">
        <v>688</v>
      </c>
      <c r="G70" s="73">
        <v>1</v>
      </c>
      <c r="H70" s="143"/>
      <c r="I70" s="153"/>
      <c r="J70" s="158" t="s">
        <v>803</v>
      </c>
      <c r="K70" s="159">
        <v>3</v>
      </c>
      <c r="L70" s="153"/>
      <c r="M70"/>
      <c r="R70" s="72" t="s">
        <v>813</v>
      </c>
      <c r="S70" s="73">
        <v>1</v>
      </c>
      <c r="T70" s="143"/>
    </row>
    <row r="71" spans="1:20">
      <c r="A71" s="339">
        <v>2022</v>
      </c>
      <c r="B71" s="5" t="s">
        <v>230</v>
      </c>
      <c r="C71" s="73">
        <v>1</v>
      </c>
      <c r="D71" s="109" t="str">
        <f>INDEX('Affectation epci'!C:C,MATCH('détail installateur'!B71,'Affectation epci'!B:B,0))</f>
        <v>Grenoble-Alpes-Métropole</v>
      </c>
      <c r="E71" s="2"/>
      <c r="F71" s="5" t="s">
        <v>1875</v>
      </c>
      <c r="G71" s="73">
        <v>17</v>
      </c>
      <c r="H71" s="143"/>
      <c r="I71" s="153"/>
      <c r="J71" s="158" t="s">
        <v>820</v>
      </c>
      <c r="K71" s="159">
        <v>3</v>
      </c>
      <c r="L71" s="153"/>
      <c r="M71"/>
      <c r="R71" s="72" t="s">
        <v>2064</v>
      </c>
      <c r="S71" s="73">
        <v>1</v>
      </c>
      <c r="T71" s="143"/>
    </row>
    <row r="72" spans="1:20">
      <c r="A72" s="339">
        <v>2022</v>
      </c>
      <c r="B72" s="5" t="s">
        <v>396</v>
      </c>
      <c r="C72" s="73">
        <v>1</v>
      </c>
      <c r="D72" s="109" t="str">
        <f>INDEX('Affectation epci'!C:C,MATCH('détail installateur'!B72,'Affectation epci'!B:B,0))</f>
        <v>Grenoble-Alpes-Métropole</v>
      </c>
      <c r="E72" s="2"/>
      <c r="F72" s="5" t="s">
        <v>1893</v>
      </c>
      <c r="G72" s="73">
        <v>8</v>
      </c>
      <c r="H72" s="143"/>
      <c r="I72" s="153"/>
      <c r="J72" s="158" t="s">
        <v>761</v>
      </c>
      <c r="K72" s="159">
        <v>2</v>
      </c>
      <c r="L72" s="153"/>
      <c r="M72"/>
      <c r="R72" s="72" t="s">
        <v>283</v>
      </c>
      <c r="S72" s="73"/>
      <c r="T72" s="143"/>
    </row>
    <row r="73" spans="1:20">
      <c r="A73" s="339">
        <v>2022</v>
      </c>
      <c r="B73" s="5" t="s">
        <v>3680</v>
      </c>
      <c r="C73" s="73">
        <v>1</v>
      </c>
      <c r="D73" s="109" t="str">
        <f>INDEX('Affectation epci'!C:C,MATCH('détail installateur'!B73,'Affectation epci'!B:B,0))</f>
        <v>Savoie</v>
      </c>
      <c r="E73" s="2"/>
      <c r="F73" s="5" t="s">
        <v>2477</v>
      </c>
      <c r="G73" s="73">
        <v>1</v>
      </c>
      <c r="H73" s="143"/>
      <c r="I73" s="153"/>
      <c r="J73" s="158" t="s">
        <v>215</v>
      </c>
      <c r="K73" s="159">
        <v>2</v>
      </c>
      <c r="L73" s="153"/>
      <c r="M73"/>
      <c r="R73" s="72" t="s">
        <v>284</v>
      </c>
      <c r="S73" s="73">
        <v>424</v>
      </c>
      <c r="T73" s="143"/>
    </row>
    <row r="74" spans="1:20">
      <c r="A74" s="339">
        <v>2022</v>
      </c>
      <c r="B74" s="5" t="s">
        <v>688</v>
      </c>
      <c r="C74" s="73">
        <v>1</v>
      </c>
      <c r="D74" s="109" t="str">
        <f>INDEX('Affectation epci'!C:C,MATCH('détail installateur'!B74,'Affectation epci'!B:B,0))</f>
        <v>CC Le Grésivaudan</v>
      </c>
      <c r="E74" s="2"/>
      <c r="F74" s="5" t="s">
        <v>2117</v>
      </c>
      <c r="G74" s="73">
        <v>1</v>
      </c>
      <c r="H74" s="143"/>
      <c r="I74" s="153"/>
      <c r="J74" s="158" t="s">
        <v>818</v>
      </c>
      <c r="K74" s="159">
        <v>2</v>
      </c>
      <c r="L74" s="153"/>
      <c r="M74"/>
      <c r="T74" s="143"/>
    </row>
    <row r="75" spans="1:20">
      <c r="A75" s="339">
        <v>2022</v>
      </c>
      <c r="B75" s="5" t="s">
        <v>2477</v>
      </c>
      <c r="C75" s="73">
        <v>1</v>
      </c>
      <c r="D75" s="109" t="str">
        <f>INDEX('Affectation epci'!C:C,MATCH('détail installateur'!B75,'Affectation epci'!B:B,0))</f>
        <v>CA du Pays Voironnais</v>
      </c>
      <c r="E75" s="2"/>
      <c r="F75" s="5" t="s">
        <v>1926</v>
      </c>
      <c r="G75" s="73">
        <v>10</v>
      </c>
      <c r="H75" s="143"/>
      <c r="I75" s="153"/>
      <c r="J75" s="158" t="s">
        <v>723</v>
      </c>
      <c r="K75" s="159">
        <v>2</v>
      </c>
      <c r="L75" s="153"/>
      <c r="M75"/>
      <c r="T75" s="143"/>
    </row>
    <row r="76" spans="1:20">
      <c r="A76" s="339">
        <v>2022</v>
      </c>
      <c r="B76" s="5" t="s">
        <v>2117</v>
      </c>
      <c r="C76" s="73">
        <v>1</v>
      </c>
      <c r="D76" s="109" t="str">
        <f>INDEX('Affectation epci'!C:C,MATCH('détail installateur'!B76,'Affectation epci'!B:B,0))</f>
        <v>Isère (sauf GAM, CCG et CAPV)</v>
      </c>
      <c r="E76" s="2"/>
      <c r="F76" s="5" t="s">
        <v>2014</v>
      </c>
      <c r="G76" s="73">
        <v>2</v>
      </c>
      <c r="H76" s="143"/>
      <c r="I76" s="153"/>
      <c r="J76" s="158" t="s">
        <v>843</v>
      </c>
      <c r="K76" s="159">
        <v>2</v>
      </c>
      <c r="L76" s="153"/>
      <c r="M76"/>
      <c r="T76" s="143"/>
    </row>
    <row r="77" spans="1:20">
      <c r="A77" s="339">
        <v>2022</v>
      </c>
      <c r="B77" s="5" t="s">
        <v>2216</v>
      </c>
      <c r="C77" s="73">
        <v>1</v>
      </c>
      <c r="D77" s="109" t="str">
        <f>INDEX('Affectation epci'!C:C,MATCH('détail installateur'!B77,'Affectation epci'!B:B,0))</f>
        <v>CA du Pays Voironnais</v>
      </c>
      <c r="E77" s="2"/>
      <c r="F77" s="5" t="s">
        <v>2216</v>
      </c>
      <c r="G77" s="73">
        <v>1</v>
      </c>
      <c r="H77" s="143"/>
      <c r="I77" s="153"/>
      <c r="J77" s="158" t="s">
        <v>727</v>
      </c>
      <c r="K77" s="159">
        <v>2</v>
      </c>
      <c r="L77" s="153"/>
      <c r="M77"/>
      <c r="T77" s="143"/>
    </row>
    <row r="78" spans="1:20">
      <c r="A78" s="339">
        <v>2022</v>
      </c>
      <c r="B78" s="5" t="s">
        <v>2545</v>
      </c>
      <c r="C78" s="73">
        <v>1</v>
      </c>
      <c r="D78" s="109" t="str">
        <f>INDEX('Affectation epci'!C:C,MATCH('détail installateur'!B78,'Affectation epci'!B:B,0))</f>
        <v>Isère (sauf GAM, CCG et CAPV)</v>
      </c>
      <c r="E78" s="2"/>
      <c r="F78" s="5" t="s">
        <v>1895</v>
      </c>
      <c r="G78" s="73">
        <v>15</v>
      </c>
      <c r="H78" s="143"/>
      <c r="I78" s="153"/>
      <c r="J78" s="158" t="s">
        <v>846</v>
      </c>
      <c r="K78" s="159">
        <v>2</v>
      </c>
      <c r="L78" s="153"/>
      <c r="M78"/>
      <c r="T78" s="143"/>
    </row>
    <row r="79" spans="1:20">
      <c r="A79" s="339">
        <v>2022</v>
      </c>
      <c r="B79" s="5" t="s">
        <v>2493</v>
      </c>
      <c r="C79" s="73">
        <v>1</v>
      </c>
      <c r="D79" s="109" t="str">
        <f>INDEX('Affectation epci'!C:C,MATCH('détail installateur'!B79,'Affectation epci'!B:B,0))</f>
        <v>Isère (sauf GAM, CCG et CAPV)</v>
      </c>
      <c r="E79" s="2"/>
      <c r="F79" s="5" t="s">
        <v>2545</v>
      </c>
      <c r="G79" s="73">
        <v>1</v>
      </c>
      <c r="H79" s="143"/>
      <c r="I79" s="153"/>
      <c r="J79" s="158" t="s">
        <v>804</v>
      </c>
      <c r="K79" s="159">
        <v>2</v>
      </c>
      <c r="L79" s="153"/>
      <c r="M79"/>
      <c r="T79" s="143"/>
    </row>
    <row r="80" spans="1:20">
      <c r="A80" s="339">
        <v>2022</v>
      </c>
      <c r="B80" s="5" t="s">
        <v>851</v>
      </c>
      <c r="C80" s="73">
        <v>1</v>
      </c>
      <c r="D80" s="109" t="str">
        <f>INDEX('Affectation epci'!C:C,MATCH('détail installateur'!B80,'Affectation epci'!B:B,0))</f>
        <v>Isère (sauf GAM, CCG et CAPV)</v>
      </c>
      <c r="E80" s="2"/>
      <c r="F80" s="5" t="s">
        <v>3429</v>
      </c>
      <c r="G80" s="73">
        <v>2</v>
      </c>
      <c r="H80" s="143"/>
      <c r="I80" s="153"/>
      <c r="J80" s="158" t="s">
        <v>817</v>
      </c>
      <c r="K80" s="159">
        <v>2</v>
      </c>
      <c r="L80" s="153"/>
      <c r="M80"/>
      <c r="T80" s="143"/>
    </row>
    <row r="81" spans="1:20">
      <c r="A81" s="339">
        <v>2022</v>
      </c>
      <c r="B81" s="5" t="s">
        <v>200</v>
      </c>
      <c r="C81" s="73">
        <v>1</v>
      </c>
      <c r="D81" s="109" t="str">
        <f>INDEX('Affectation epci'!C:C,MATCH('détail installateur'!B81,'Affectation epci'!B:B,0))</f>
        <v>Grenoble-Alpes-Métropole</v>
      </c>
      <c r="E81" s="2"/>
      <c r="F81" s="5" t="s">
        <v>2493</v>
      </c>
      <c r="G81" s="73">
        <v>1</v>
      </c>
      <c r="H81" s="143"/>
      <c r="I81" s="153"/>
      <c r="J81" s="158" t="s">
        <v>845</v>
      </c>
      <c r="K81" s="159">
        <v>2</v>
      </c>
      <c r="L81" s="153"/>
      <c r="M81"/>
      <c r="T81" s="143"/>
    </row>
    <row r="82" spans="1:20">
      <c r="A82" s="339">
        <v>2022</v>
      </c>
      <c r="B82" s="5" t="s">
        <v>194</v>
      </c>
      <c r="C82" s="73">
        <v>1</v>
      </c>
      <c r="D82" s="109" t="str">
        <f>INDEX('Affectation epci'!C:C,MATCH('détail installateur'!B82,'Affectation epci'!B:B,0))</f>
        <v>Isère (sauf GAM, CCG et CAPV)</v>
      </c>
      <c r="E82" s="2"/>
      <c r="F82" s="5" t="s">
        <v>851</v>
      </c>
      <c r="G82" s="73">
        <v>1</v>
      </c>
      <c r="H82" s="143"/>
      <c r="I82" s="153"/>
      <c r="J82" s="158" t="s">
        <v>877</v>
      </c>
      <c r="K82" s="159">
        <v>1</v>
      </c>
      <c r="L82" s="153"/>
      <c r="M82"/>
      <c r="T82" s="143"/>
    </row>
    <row r="83" spans="1:20">
      <c r="A83" s="339">
        <v>2022</v>
      </c>
      <c r="B83" s="5" t="s">
        <v>227</v>
      </c>
      <c r="C83" s="73">
        <v>1</v>
      </c>
      <c r="D83" s="109" t="str">
        <f>INDEX('Affectation epci'!C:C,MATCH('détail installateur'!B83,'Affectation epci'!B:B,0))</f>
        <v>CC Le Grésivaudan</v>
      </c>
      <c r="E83" s="2"/>
      <c r="F83" s="5" t="s">
        <v>1007</v>
      </c>
      <c r="G83" s="73">
        <v>2</v>
      </c>
      <c r="H83" s="143"/>
      <c r="I83" s="153"/>
      <c r="J83" s="158" t="s">
        <v>789</v>
      </c>
      <c r="K83" s="159">
        <v>1</v>
      </c>
      <c r="L83" s="153"/>
      <c r="M83"/>
      <c r="T83" s="143"/>
    </row>
    <row r="84" spans="1:20">
      <c r="A84" s="339">
        <v>2022</v>
      </c>
      <c r="B84" s="5" t="s">
        <v>265</v>
      </c>
      <c r="C84" s="73">
        <v>1</v>
      </c>
      <c r="D84" s="109" t="str">
        <f>INDEX('Affectation epci'!C:C,MATCH('détail installateur'!B84,'Affectation epci'!B:B,0))</f>
        <v>CA du Pays Voironnais</v>
      </c>
      <c r="E84" s="2"/>
      <c r="F84" s="5" t="s">
        <v>200</v>
      </c>
      <c r="G84" s="73">
        <v>1</v>
      </c>
      <c r="H84" s="143"/>
      <c r="I84" s="153"/>
      <c r="J84" s="158" t="s">
        <v>678</v>
      </c>
      <c r="K84" s="159">
        <v>1</v>
      </c>
      <c r="L84" s="153"/>
      <c r="M84"/>
      <c r="T84" s="143"/>
    </row>
    <row r="85" spans="1:20">
      <c r="E85" s="2"/>
      <c r="F85" s="5" t="s">
        <v>194</v>
      </c>
      <c r="G85" s="73">
        <v>1</v>
      </c>
      <c r="H85" s="143"/>
      <c r="I85" s="153"/>
      <c r="J85" s="158" t="s">
        <v>815</v>
      </c>
      <c r="K85" s="159">
        <v>1</v>
      </c>
      <c r="L85" s="153"/>
      <c r="M85"/>
      <c r="T85" s="143"/>
    </row>
    <row r="86" spans="1:20">
      <c r="E86" s="2"/>
      <c r="F86" s="5" t="s">
        <v>227</v>
      </c>
      <c r="G86" s="73">
        <v>1</v>
      </c>
      <c r="H86" s="143"/>
      <c r="I86" s="153"/>
      <c r="J86" s="158" t="s">
        <v>408</v>
      </c>
      <c r="K86" s="159">
        <v>1</v>
      </c>
      <c r="L86" s="153"/>
      <c r="M86"/>
      <c r="T86" s="143"/>
    </row>
    <row r="87" spans="1:20">
      <c r="E87" s="2"/>
      <c r="F87" s="5" t="s">
        <v>265</v>
      </c>
      <c r="G87" s="73">
        <v>1</v>
      </c>
      <c r="H87" s="143"/>
      <c r="I87" s="153"/>
      <c r="J87" s="158" t="s">
        <v>828</v>
      </c>
      <c r="K87" s="159">
        <v>1</v>
      </c>
      <c r="L87" s="153"/>
      <c r="M87"/>
      <c r="T87" s="143"/>
    </row>
    <row r="88" spans="1:20">
      <c r="E88" s="2"/>
      <c r="F88" s="5" t="s">
        <v>403</v>
      </c>
      <c r="G88" s="73">
        <v>2</v>
      </c>
      <c r="H88" s="143"/>
      <c r="I88" s="153"/>
      <c r="J88" s="158" t="s">
        <v>891</v>
      </c>
      <c r="K88" s="159">
        <v>1</v>
      </c>
      <c r="L88" s="153"/>
      <c r="M88"/>
      <c r="T88" s="143"/>
    </row>
    <row r="89" spans="1:20">
      <c r="E89" s="2"/>
      <c r="F89" s="5" t="s">
        <v>225</v>
      </c>
      <c r="G89" s="73">
        <v>57</v>
      </c>
      <c r="H89" s="143"/>
      <c r="I89" s="153"/>
      <c r="J89" s="158" t="s">
        <v>829</v>
      </c>
      <c r="K89" s="159">
        <v>1</v>
      </c>
      <c r="L89" s="153"/>
      <c r="M89"/>
      <c r="T89" s="143"/>
    </row>
    <row r="90" spans="1:20">
      <c r="E90" s="2"/>
      <c r="F90" s="5" t="s">
        <v>232</v>
      </c>
      <c r="G90" s="73">
        <v>17</v>
      </c>
      <c r="H90" s="143"/>
      <c r="I90" s="153"/>
      <c r="J90" s="158" t="s">
        <v>834</v>
      </c>
      <c r="K90" s="159">
        <v>1</v>
      </c>
      <c r="L90" s="153"/>
      <c r="M90"/>
      <c r="T90" s="143"/>
    </row>
    <row r="91" spans="1:20">
      <c r="E91" s="2"/>
      <c r="F91" s="5" t="s">
        <v>283</v>
      </c>
      <c r="G91" s="73"/>
      <c r="H91" s="143"/>
      <c r="I91" s="153"/>
      <c r="J91" s="158" t="s">
        <v>211</v>
      </c>
      <c r="K91" s="159">
        <v>1</v>
      </c>
      <c r="L91" s="153"/>
      <c r="M91"/>
      <c r="T91" s="143"/>
    </row>
    <row r="92" spans="1:20">
      <c r="E92" s="2"/>
      <c r="F92" s="72" t="s">
        <v>284</v>
      </c>
      <c r="G92" s="73">
        <v>424</v>
      </c>
      <c r="H92" s="143"/>
      <c r="I92" s="153"/>
      <c r="J92" s="158" t="s">
        <v>907</v>
      </c>
      <c r="K92" s="159">
        <v>1</v>
      </c>
      <c r="L92" s="153"/>
      <c r="M92"/>
      <c r="T92" s="143"/>
    </row>
    <row r="93" spans="1:20">
      <c r="E93" s="2"/>
      <c r="H93" s="143"/>
      <c r="I93" s="153"/>
      <c r="J93" s="158" t="s">
        <v>841</v>
      </c>
      <c r="K93" s="159">
        <v>1</v>
      </c>
      <c r="L93" s="153"/>
      <c r="M93"/>
      <c r="T93" s="143"/>
    </row>
    <row r="94" spans="1:20">
      <c r="E94" s="2"/>
      <c r="H94" s="143"/>
      <c r="I94" s="153"/>
      <c r="J94" s="158" t="s">
        <v>869</v>
      </c>
      <c r="K94" s="159">
        <v>1</v>
      </c>
      <c r="L94" s="153"/>
      <c r="M94"/>
      <c r="T94" s="143"/>
    </row>
    <row r="95" spans="1:20">
      <c r="E95" s="2"/>
      <c r="H95" s="143"/>
      <c r="I95" s="153"/>
      <c r="J95" s="158" t="s">
        <v>748</v>
      </c>
      <c r="K95" s="159">
        <v>1</v>
      </c>
      <c r="L95" s="153"/>
      <c r="M95"/>
      <c r="T95" s="143"/>
    </row>
    <row r="96" spans="1:20">
      <c r="E96" s="2"/>
      <c r="H96" s="143"/>
      <c r="I96" s="153"/>
      <c r="J96" s="158" t="s">
        <v>887</v>
      </c>
      <c r="K96" s="159">
        <v>1</v>
      </c>
      <c r="L96" s="153"/>
      <c r="M96"/>
      <c r="T96" s="143"/>
    </row>
    <row r="97" spans="1:20">
      <c r="E97" s="2"/>
      <c r="H97" s="143"/>
      <c r="I97" s="153"/>
      <c r="J97" s="158" t="s">
        <v>830</v>
      </c>
      <c r="K97" s="159">
        <v>1</v>
      </c>
      <c r="L97" s="153"/>
      <c r="M97"/>
      <c r="T97" s="143"/>
    </row>
    <row r="98" spans="1:20">
      <c r="E98" s="2"/>
      <c r="H98" s="143"/>
      <c r="I98" s="153"/>
      <c r="J98" s="158" t="s">
        <v>902</v>
      </c>
      <c r="K98" s="159">
        <v>1</v>
      </c>
      <c r="L98" s="153"/>
      <c r="M98"/>
      <c r="T98" s="143"/>
    </row>
    <row r="99" spans="1:20">
      <c r="E99" s="2"/>
      <c r="H99" s="143"/>
      <c r="I99" s="153"/>
      <c r="J99" s="158" t="s">
        <v>833</v>
      </c>
      <c r="K99" s="159">
        <v>1</v>
      </c>
      <c r="L99" s="153"/>
      <c r="M99"/>
      <c r="T99" s="143"/>
    </row>
    <row r="100" spans="1:20">
      <c r="E100" s="2"/>
      <c r="H100" s="143"/>
      <c r="I100" s="153"/>
      <c r="J100" s="158" t="s">
        <v>839</v>
      </c>
      <c r="K100" s="159">
        <v>1</v>
      </c>
      <c r="L100" s="153"/>
      <c r="M100"/>
      <c r="T100" s="143"/>
    </row>
    <row r="101" spans="1:20">
      <c r="E101" s="2"/>
      <c r="H101" s="143"/>
      <c r="I101" s="153"/>
      <c r="J101" s="158" t="s">
        <v>813</v>
      </c>
      <c r="K101" s="159">
        <v>1</v>
      </c>
      <c r="L101" s="153"/>
      <c r="M101"/>
      <c r="T101" s="143"/>
    </row>
    <row r="102" spans="1:20" s="2" customFormat="1">
      <c r="A102" s="172"/>
      <c r="B102"/>
      <c r="C102"/>
      <c r="D102"/>
      <c r="F102"/>
      <c r="G102"/>
      <c r="H102" s="143"/>
      <c r="I102" s="153"/>
      <c r="J102" s="158" t="s">
        <v>838</v>
      </c>
      <c r="K102" s="159">
        <v>1</v>
      </c>
      <c r="L102" s="153"/>
      <c r="R102"/>
      <c r="S102"/>
      <c r="T102" s="143"/>
    </row>
    <row r="103" spans="1:20" s="2" customFormat="1">
      <c r="A103" s="172"/>
      <c r="B103"/>
      <c r="C103"/>
      <c r="D103"/>
      <c r="F103"/>
      <c r="G103"/>
      <c r="H103" s="143"/>
      <c r="I103" s="153"/>
      <c r="J103" s="158" t="s">
        <v>827</v>
      </c>
      <c r="K103" s="159">
        <v>1</v>
      </c>
      <c r="L103" s="153"/>
      <c r="R103"/>
      <c r="S103"/>
      <c r="T103" s="143"/>
    </row>
    <row r="104" spans="1:20" s="2" customFormat="1">
      <c r="A104" s="172"/>
      <c r="B104"/>
      <c r="C104"/>
      <c r="D104"/>
      <c r="F104"/>
      <c r="G104"/>
      <c r="H104" s="143"/>
      <c r="I104" s="153"/>
      <c r="J104" s="158" t="s">
        <v>847</v>
      </c>
      <c r="K104" s="159">
        <v>1</v>
      </c>
      <c r="L104" s="153"/>
      <c r="R104"/>
      <c r="S104"/>
      <c r="T104" s="143"/>
    </row>
    <row r="105" spans="1:20" s="2" customFormat="1">
      <c r="A105" s="172"/>
      <c r="B105"/>
      <c r="C105"/>
      <c r="D105"/>
      <c r="F105"/>
      <c r="G105"/>
      <c r="H105" s="143"/>
      <c r="I105" s="153"/>
      <c r="J105" s="158" t="s">
        <v>587</v>
      </c>
      <c r="K105" s="159">
        <v>1</v>
      </c>
      <c r="L105" s="153"/>
      <c r="R105"/>
      <c r="S105"/>
      <c r="T105" s="143"/>
    </row>
    <row r="106" spans="1:20" s="2" customFormat="1">
      <c r="A106" s="172"/>
      <c r="B106"/>
      <c r="C106"/>
      <c r="D106"/>
      <c r="F106"/>
      <c r="G106"/>
      <c r="H106" s="143"/>
      <c r="I106" s="153"/>
      <c r="J106" s="158" t="s">
        <v>862</v>
      </c>
      <c r="K106" s="159">
        <v>1</v>
      </c>
      <c r="L106" s="153"/>
      <c r="R106"/>
      <c r="S106"/>
      <c r="T106" s="143"/>
    </row>
    <row r="107" spans="1:20" s="2" customFormat="1">
      <c r="A107" s="172"/>
      <c r="B107"/>
      <c r="C107"/>
      <c r="D107"/>
      <c r="F107"/>
      <c r="G107"/>
      <c r="H107" s="143"/>
      <c r="I107" s="153"/>
      <c r="J107" s="158" t="s">
        <v>814</v>
      </c>
      <c r="K107" s="159">
        <v>1</v>
      </c>
      <c r="L107" s="153"/>
      <c r="R107"/>
      <c r="S107"/>
      <c r="T107" s="143"/>
    </row>
    <row r="108" spans="1:20" s="2" customFormat="1">
      <c r="A108" s="172"/>
      <c r="B108"/>
      <c r="C108"/>
      <c r="D108"/>
      <c r="F108"/>
      <c r="G108"/>
      <c r="H108" s="143"/>
      <c r="I108" s="153"/>
      <c r="J108" s="158" t="s">
        <v>867</v>
      </c>
      <c r="K108" s="159">
        <v>1</v>
      </c>
      <c r="L108" s="153"/>
      <c r="R108"/>
      <c r="S108"/>
      <c r="T108" s="143"/>
    </row>
    <row r="109" spans="1:20" s="2" customFormat="1">
      <c r="A109" s="172"/>
      <c r="B109"/>
      <c r="C109"/>
      <c r="D109"/>
      <c r="F109"/>
      <c r="G109"/>
      <c r="H109" s="143"/>
      <c r="I109" s="153"/>
      <c r="J109" s="158" t="s">
        <v>819</v>
      </c>
      <c r="K109" s="159">
        <v>1</v>
      </c>
      <c r="L109" s="153"/>
      <c r="R109"/>
      <c r="S109"/>
      <c r="T109" s="143"/>
    </row>
    <row r="110" spans="1:20">
      <c r="H110" s="143"/>
      <c r="I110" s="153"/>
      <c r="J110" s="158" t="s">
        <v>872</v>
      </c>
      <c r="K110" s="159">
        <v>1</v>
      </c>
      <c r="L110" s="153"/>
      <c r="M110"/>
      <c r="T110" s="143"/>
    </row>
    <row r="111" spans="1:20">
      <c r="H111" s="143"/>
      <c r="I111" s="153"/>
      <c r="J111" s="158" t="s">
        <v>826</v>
      </c>
      <c r="K111" s="159">
        <v>1</v>
      </c>
      <c r="L111" s="153"/>
      <c r="M111"/>
      <c r="T111" s="143"/>
    </row>
    <row r="112" spans="1:20">
      <c r="H112" s="143"/>
      <c r="I112" s="153"/>
      <c r="J112" s="158" t="s">
        <v>878</v>
      </c>
      <c r="K112" s="159">
        <v>1</v>
      </c>
      <c r="L112" s="153"/>
      <c r="M112"/>
      <c r="T112" s="143"/>
    </row>
    <row r="113" spans="8:20">
      <c r="H113" s="143"/>
      <c r="I113" s="153"/>
      <c r="J113" s="158" t="s">
        <v>816</v>
      </c>
      <c r="K113" s="159">
        <v>1</v>
      </c>
      <c r="L113" s="153"/>
      <c r="M113"/>
      <c r="T113" s="143"/>
    </row>
    <row r="114" spans="8:20">
      <c r="H114" s="143"/>
      <c r="I114" s="153"/>
      <c r="J114" s="158" t="s">
        <v>589</v>
      </c>
      <c r="K114" s="159">
        <v>1</v>
      </c>
      <c r="L114" s="153"/>
      <c r="M114"/>
      <c r="T114" s="143"/>
    </row>
    <row r="115" spans="8:20">
      <c r="H115" s="143"/>
      <c r="I115" s="153"/>
      <c r="J115" s="158" t="s">
        <v>824</v>
      </c>
      <c r="K115" s="159">
        <v>1</v>
      </c>
      <c r="L115" s="153"/>
      <c r="M115"/>
      <c r="T115" s="143"/>
    </row>
    <row r="116" spans="8:20">
      <c r="H116" s="143"/>
      <c r="I116" s="153"/>
      <c r="J116" s="158" t="s">
        <v>822</v>
      </c>
      <c r="K116" s="159">
        <v>1</v>
      </c>
      <c r="L116" s="153"/>
      <c r="M116"/>
      <c r="T116" s="143"/>
    </row>
    <row r="117" spans="8:20">
      <c r="H117" s="143"/>
      <c r="I117" s="153"/>
      <c r="J117" s="158" t="s">
        <v>840</v>
      </c>
      <c r="K117" s="159">
        <v>1</v>
      </c>
      <c r="L117" s="153"/>
      <c r="M117"/>
      <c r="T117" s="143"/>
    </row>
    <row r="118" spans="8:20">
      <c r="H118" s="143"/>
      <c r="I118" s="153"/>
      <c r="J118" s="158" t="s">
        <v>832</v>
      </c>
      <c r="K118" s="159">
        <v>1</v>
      </c>
      <c r="L118" s="153"/>
      <c r="M118"/>
      <c r="T118" s="143"/>
    </row>
    <row r="119" spans="8:20">
      <c r="H119" s="143"/>
      <c r="I119" s="153"/>
      <c r="J119" s="158" t="s">
        <v>744</v>
      </c>
      <c r="K119" s="159">
        <v>1</v>
      </c>
      <c r="M119"/>
      <c r="T119" s="143"/>
    </row>
    <row r="120" spans="8:20">
      <c r="H120" s="143"/>
      <c r="I120" s="153"/>
      <c r="J120" s="158" t="s">
        <v>844</v>
      </c>
      <c r="K120" s="159">
        <v>1</v>
      </c>
      <c r="M120"/>
      <c r="T120" s="143"/>
    </row>
    <row r="121" spans="8:20" ht="15" thickBot="1">
      <c r="H121" s="143"/>
      <c r="I121" s="153"/>
      <c r="J121" s="160" t="s">
        <v>284</v>
      </c>
      <c r="K121" s="161">
        <v>1951</v>
      </c>
      <c r="M121"/>
      <c r="T121" s="143"/>
    </row>
    <row r="122" spans="8:20">
      <c r="H122" s="143"/>
      <c r="I122" s="153"/>
      <c r="M122"/>
      <c r="T122" s="143"/>
    </row>
    <row r="123" spans="8:20">
      <c r="H123" s="143"/>
      <c r="I123" s="153"/>
      <c r="M123"/>
      <c r="T123" s="143"/>
    </row>
    <row r="124" spans="8:20">
      <c r="H124" s="143"/>
      <c r="I124" s="153"/>
      <c r="M124"/>
      <c r="T124" s="143"/>
    </row>
    <row r="125" spans="8:20">
      <c r="H125" s="143"/>
      <c r="I125" s="153"/>
      <c r="M125"/>
      <c r="T125" s="143"/>
    </row>
    <row r="126" spans="8:20">
      <c r="H126" s="143"/>
      <c r="I126" s="153"/>
      <c r="M126"/>
      <c r="N126"/>
      <c r="O126"/>
      <c r="P126"/>
      <c r="T126" s="143"/>
    </row>
    <row r="127" spans="8:20">
      <c r="H127" s="143"/>
      <c r="I127" s="153"/>
      <c r="M127"/>
      <c r="N127"/>
      <c r="O127"/>
      <c r="P127"/>
      <c r="T127" s="143"/>
    </row>
    <row r="128" spans="8:20">
      <c r="H128" s="143"/>
      <c r="I128" s="153"/>
      <c r="M128"/>
      <c r="N128"/>
      <c r="O128"/>
      <c r="P128"/>
      <c r="T128" s="143"/>
    </row>
    <row r="129" spans="8:20">
      <c r="H129" s="143"/>
      <c r="I129" s="153"/>
      <c r="M129"/>
      <c r="N129"/>
      <c r="O129"/>
      <c r="P129"/>
      <c r="T129" s="143"/>
    </row>
    <row r="130" spans="8:20">
      <c r="H130" s="143"/>
      <c r="I130" s="153"/>
      <c r="M130"/>
      <c r="N130"/>
      <c r="O130"/>
      <c r="P130"/>
      <c r="T130" s="143"/>
    </row>
    <row r="131" spans="8:20">
      <c r="H131" s="143"/>
      <c r="I131" s="153"/>
      <c r="J131" s="153"/>
      <c r="K131" s="153"/>
      <c r="L131" s="153"/>
      <c r="M131"/>
      <c r="N131"/>
      <c r="O131"/>
      <c r="P131"/>
    </row>
    <row r="132" spans="8:20">
      <c r="H132" s="143"/>
      <c r="I132" s="153"/>
      <c r="J132"/>
      <c r="K132"/>
      <c r="L132"/>
      <c r="M132"/>
      <c r="N132"/>
      <c r="O132"/>
      <c r="P132"/>
    </row>
    <row r="133" spans="8:20">
      <c r="H133" s="143"/>
      <c r="I133" s="153"/>
      <c r="J133"/>
      <c r="K133"/>
      <c r="L133"/>
      <c r="M133"/>
      <c r="N133"/>
      <c r="O133"/>
      <c r="P133"/>
    </row>
    <row r="134" spans="8:20">
      <c r="H134" s="143"/>
      <c r="I134" s="153"/>
      <c r="J134"/>
      <c r="K134"/>
      <c r="L134"/>
      <c r="M134"/>
      <c r="N134"/>
      <c r="O134"/>
      <c r="P134"/>
    </row>
    <row r="135" spans="8:20">
      <c r="H135" s="143"/>
      <c r="I135" s="153"/>
      <c r="J135"/>
      <c r="K135"/>
      <c r="L135"/>
      <c r="M135"/>
      <c r="N135"/>
      <c r="O135"/>
      <c r="P135"/>
    </row>
    <row r="136" spans="8:20">
      <c r="H136" s="143"/>
      <c r="I136" s="153"/>
      <c r="J136"/>
      <c r="K136"/>
      <c r="L136"/>
      <c r="M136"/>
      <c r="N136"/>
      <c r="O136"/>
      <c r="P136"/>
    </row>
    <row r="137" spans="8:20">
      <c r="H137" s="143"/>
      <c r="I137" s="153"/>
      <c r="J137"/>
      <c r="K137"/>
      <c r="L137"/>
      <c r="M137"/>
      <c r="N137"/>
      <c r="O137"/>
      <c r="P137"/>
    </row>
    <row r="138" spans="8:20">
      <c r="H138" s="143"/>
      <c r="I138" s="153"/>
      <c r="J138"/>
      <c r="K138"/>
      <c r="L138"/>
      <c r="M138"/>
      <c r="N138"/>
      <c r="O138"/>
      <c r="P138"/>
    </row>
    <row r="139" spans="8:20">
      <c r="I139" s="153"/>
      <c r="J139"/>
      <c r="K139"/>
      <c r="L139"/>
      <c r="M139"/>
      <c r="N139"/>
      <c r="O139"/>
      <c r="P139"/>
    </row>
    <row r="140" spans="8:20">
      <c r="I140" s="153"/>
      <c r="J140"/>
      <c r="K140"/>
      <c r="L140"/>
      <c r="M140"/>
      <c r="N140"/>
      <c r="O140"/>
      <c r="P140"/>
    </row>
    <row r="141" spans="8:20">
      <c r="I141" s="153"/>
      <c r="J141"/>
      <c r="K141"/>
      <c r="L141"/>
      <c r="M141"/>
      <c r="N141"/>
      <c r="O141"/>
      <c r="P141"/>
    </row>
    <row r="142" spans="8:20">
      <c r="I142" s="153"/>
      <c r="J142"/>
      <c r="K142"/>
      <c r="L142"/>
      <c r="M142"/>
      <c r="N142"/>
      <c r="O142"/>
      <c r="P142"/>
    </row>
    <row r="143" spans="8:20">
      <c r="I143" s="153"/>
      <c r="J143"/>
      <c r="K143"/>
      <c r="L143"/>
      <c r="M143"/>
      <c r="N143"/>
      <c r="O143"/>
      <c r="P143"/>
    </row>
    <row r="144" spans="8:20">
      <c r="I144" s="153"/>
      <c r="J144"/>
      <c r="K144"/>
      <c r="L144"/>
      <c r="M144"/>
      <c r="N144"/>
      <c r="O144"/>
      <c r="P144"/>
    </row>
    <row r="145" spans="9:16">
      <c r="I145" s="153"/>
      <c r="J145"/>
      <c r="K145"/>
      <c r="L145"/>
      <c r="M145"/>
      <c r="N145"/>
      <c r="O145"/>
      <c r="P145"/>
    </row>
    <row r="146" spans="9:16">
      <c r="I146" s="153"/>
      <c r="J146"/>
      <c r="K146"/>
      <c r="L146"/>
      <c r="M146"/>
      <c r="N146"/>
      <c r="O146"/>
      <c r="P146"/>
    </row>
    <row r="147" spans="9:16">
      <c r="I147" s="153"/>
      <c r="J147"/>
      <c r="K147"/>
      <c r="L147"/>
      <c r="M147"/>
      <c r="N147"/>
      <c r="O147"/>
      <c r="P147"/>
    </row>
    <row r="148" spans="9:16">
      <c r="I148" s="153"/>
      <c r="J148"/>
      <c r="K148"/>
      <c r="L148"/>
      <c r="M148"/>
      <c r="N148"/>
      <c r="O148"/>
      <c r="P148"/>
    </row>
    <row r="149" spans="9:16">
      <c r="I149" s="153"/>
      <c r="J149"/>
      <c r="K149"/>
      <c r="L149"/>
      <c r="M149"/>
      <c r="N149"/>
      <c r="O149"/>
      <c r="P149"/>
    </row>
    <row r="150" spans="9:16">
      <c r="I150" s="153"/>
      <c r="J150"/>
      <c r="K150"/>
      <c r="L150"/>
      <c r="M150"/>
      <c r="N150"/>
      <c r="O150"/>
      <c r="P150"/>
    </row>
    <row r="151" spans="9:16">
      <c r="I151" s="153"/>
      <c r="J151"/>
      <c r="K151"/>
      <c r="L151"/>
      <c r="M151"/>
      <c r="N151"/>
      <c r="O151"/>
      <c r="P151"/>
    </row>
    <row r="152" spans="9:16">
      <c r="I152" s="153"/>
      <c r="J152"/>
      <c r="K152"/>
      <c r="L152"/>
      <c r="M152"/>
      <c r="N152"/>
      <c r="O152"/>
      <c r="P152"/>
    </row>
    <row r="153" spans="9:16">
      <c r="I153" s="153"/>
      <c r="J153"/>
      <c r="K153"/>
      <c r="L153"/>
      <c r="M153"/>
      <c r="N153"/>
      <c r="O153"/>
      <c r="P153"/>
    </row>
    <row r="154" spans="9:16">
      <c r="I154" s="153"/>
      <c r="J154"/>
      <c r="K154"/>
      <c r="L154"/>
      <c r="M154"/>
      <c r="N154"/>
      <c r="O154"/>
      <c r="P154"/>
    </row>
    <row r="155" spans="9:16">
      <c r="I155" s="153"/>
      <c r="J155"/>
      <c r="K155"/>
      <c r="L155"/>
      <c r="M155"/>
      <c r="N155"/>
      <c r="O155"/>
      <c r="P155"/>
    </row>
    <row r="156" spans="9:16">
      <c r="I156" s="153"/>
      <c r="J156"/>
      <c r="K156"/>
      <c r="L156"/>
      <c r="M156"/>
      <c r="N156"/>
      <c r="O156"/>
      <c r="P156"/>
    </row>
    <row r="157" spans="9:16">
      <c r="I157"/>
      <c r="J157"/>
      <c r="K157"/>
      <c r="L157"/>
      <c r="M157"/>
      <c r="N157"/>
      <c r="O157"/>
      <c r="P157"/>
    </row>
    <row r="158" spans="9:16">
      <c r="I158"/>
      <c r="J158"/>
      <c r="K158"/>
      <c r="L158"/>
      <c r="M158"/>
      <c r="N158"/>
      <c r="O158"/>
      <c r="P158"/>
    </row>
    <row r="159" spans="9:16">
      <c r="I159"/>
      <c r="J159"/>
      <c r="K159"/>
      <c r="L159"/>
      <c r="M159"/>
      <c r="N159"/>
      <c r="O159"/>
      <c r="P159"/>
    </row>
    <row r="160" spans="9:16">
      <c r="I160"/>
      <c r="J160"/>
      <c r="K160"/>
      <c r="L160"/>
      <c r="M160"/>
      <c r="N160"/>
      <c r="O160"/>
      <c r="P160"/>
    </row>
    <row r="161" spans="9:16">
      <c r="I161"/>
      <c r="J161"/>
      <c r="K161"/>
      <c r="L161"/>
      <c r="M161"/>
      <c r="N161"/>
      <c r="O161"/>
      <c r="P161"/>
    </row>
    <row r="162" spans="9:16">
      <c r="I162"/>
      <c r="J162"/>
      <c r="K162"/>
      <c r="L162"/>
      <c r="M162"/>
      <c r="N162"/>
      <c r="O162"/>
      <c r="P162"/>
    </row>
    <row r="163" spans="9:16">
      <c r="I163"/>
      <c r="J163"/>
      <c r="K163"/>
      <c r="L163"/>
      <c r="M163"/>
      <c r="N163"/>
      <c r="O163"/>
      <c r="P163"/>
    </row>
    <row r="164" spans="9:16">
      <c r="I164"/>
      <c r="J164"/>
      <c r="K164"/>
      <c r="L164"/>
      <c r="M164"/>
      <c r="N164"/>
      <c r="O164"/>
      <c r="P164"/>
    </row>
    <row r="165" spans="9:16">
      <c r="I165"/>
      <c r="J165"/>
      <c r="K165"/>
      <c r="L165"/>
      <c r="M165"/>
      <c r="N165"/>
      <c r="O165"/>
      <c r="P165"/>
    </row>
    <row r="166" spans="9:16">
      <c r="I166"/>
      <c r="J166"/>
      <c r="K166"/>
      <c r="L166"/>
      <c r="M166"/>
      <c r="N166"/>
      <c r="O166"/>
      <c r="P166"/>
    </row>
    <row r="167" spans="9:16">
      <c r="I167"/>
      <c r="J167"/>
      <c r="K167"/>
      <c r="L167"/>
      <c r="M167"/>
      <c r="N167"/>
      <c r="O167"/>
      <c r="P167"/>
    </row>
    <row r="168" spans="9:16">
      <c r="I168"/>
      <c r="J168"/>
      <c r="K168"/>
      <c r="L168"/>
      <c r="M168"/>
      <c r="N168"/>
      <c r="O168"/>
      <c r="P168"/>
    </row>
    <row r="169" spans="9:16">
      <c r="I169"/>
      <c r="J169"/>
      <c r="K169"/>
      <c r="L169"/>
      <c r="M169"/>
      <c r="N169"/>
      <c r="O169"/>
      <c r="P169"/>
    </row>
    <row r="170" spans="9:16">
      <c r="I170"/>
      <c r="J170"/>
      <c r="K170"/>
      <c r="L170"/>
      <c r="M170"/>
      <c r="N170"/>
      <c r="O170"/>
      <c r="P170"/>
    </row>
    <row r="171" spans="9:16">
      <c r="I171"/>
      <c r="J171"/>
      <c r="K171"/>
      <c r="L171"/>
      <c r="M171"/>
      <c r="N171"/>
      <c r="O171"/>
      <c r="P171"/>
    </row>
    <row r="172" spans="9:16">
      <c r="I172"/>
      <c r="J172"/>
      <c r="K172"/>
      <c r="L172"/>
      <c r="M172"/>
      <c r="N172"/>
      <c r="O172"/>
      <c r="P172"/>
    </row>
    <row r="173" spans="9:16">
      <c r="I173"/>
      <c r="J173"/>
      <c r="K173"/>
      <c r="L173"/>
      <c r="M173"/>
      <c r="N173"/>
      <c r="O173"/>
      <c r="P173"/>
    </row>
    <row r="174" spans="9:16">
      <c r="I174"/>
      <c r="J174"/>
      <c r="K174"/>
      <c r="L174"/>
      <c r="M174"/>
      <c r="N174"/>
      <c r="O174"/>
      <c r="P174"/>
    </row>
    <row r="175" spans="9:16">
      <c r="I175"/>
      <c r="J175"/>
      <c r="K175"/>
      <c r="L175"/>
      <c r="M175"/>
      <c r="N175"/>
      <c r="O175"/>
      <c r="P175"/>
    </row>
    <row r="176" spans="9:16">
      <c r="I176"/>
      <c r="J176"/>
      <c r="K176"/>
      <c r="L176"/>
      <c r="M176"/>
      <c r="N176"/>
      <c r="O176"/>
      <c r="P176"/>
    </row>
    <row r="177" spans="1:16">
      <c r="I177"/>
      <c r="J177"/>
      <c r="K177"/>
      <c r="L177"/>
      <c r="M177"/>
      <c r="N177"/>
      <c r="O177"/>
      <c r="P177"/>
    </row>
    <row r="178" spans="1:16">
      <c r="I178"/>
      <c r="J178"/>
      <c r="K178"/>
      <c r="L178"/>
      <c r="M178"/>
      <c r="N178"/>
      <c r="O178"/>
      <c r="P178"/>
    </row>
    <row r="179" spans="1:16">
      <c r="I179"/>
      <c r="J179"/>
      <c r="K179"/>
      <c r="L179"/>
      <c r="M179"/>
      <c r="N179"/>
      <c r="O179"/>
      <c r="P179"/>
    </row>
    <row r="180" spans="1:16">
      <c r="I180"/>
      <c r="J180"/>
      <c r="K180"/>
      <c r="L180"/>
      <c r="M180"/>
      <c r="N180"/>
      <c r="O180"/>
      <c r="P180"/>
    </row>
    <row r="181" spans="1:16">
      <c r="I181"/>
      <c r="J181"/>
      <c r="K181"/>
      <c r="L181"/>
      <c r="M181"/>
      <c r="N181"/>
      <c r="O181"/>
      <c r="P181"/>
    </row>
    <row r="182" spans="1:16">
      <c r="I182"/>
      <c r="J182"/>
      <c r="K182"/>
      <c r="L182"/>
      <c r="M182"/>
      <c r="N182"/>
      <c r="O182"/>
      <c r="P182"/>
    </row>
    <row r="183" spans="1:16">
      <c r="I183"/>
      <c r="J183"/>
      <c r="K183"/>
      <c r="L183"/>
      <c r="M183"/>
      <c r="N183"/>
      <c r="O183"/>
      <c r="P183"/>
    </row>
    <row r="184" spans="1:16">
      <c r="I184"/>
      <c r="J184"/>
      <c r="K184"/>
      <c r="L184"/>
      <c r="M184"/>
      <c r="N184"/>
      <c r="O184"/>
      <c r="P184"/>
    </row>
    <row r="185" spans="1:16">
      <c r="I185"/>
      <c r="J185"/>
      <c r="K185"/>
      <c r="L185"/>
      <c r="M185"/>
      <c r="N185"/>
      <c r="O185"/>
      <c r="P185"/>
    </row>
    <row r="186" spans="1:16">
      <c r="I186"/>
      <c r="J186"/>
      <c r="K186"/>
      <c r="L186"/>
      <c r="M186"/>
      <c r="N186"/>
      <c r="O186"/>
      <c r="P186"/>
    </row>
    <row r="187" spans="1:16">
      <c r="I187"/>
      <c r="J187"/>
      <c r="K187"/>
      <c r="L187"/>
      <c r="M187"/>
      <c r="N187"/>
      <c r="O187"/>
      <c r="P187"/>
    </row>
    <row r="188" spans="1:16">
      <c r="I188"/>
      <c r="J188"/>
      <c r="K188"/>
      <c r="L188"/>
      <c r="M188"/>
      <c r="N188"/>
      <c r="O188"/>
      <c r="P188"/>
    </row>
    <row r="189" spans="1:16">
      <c r="I189"/>
      <c r="J189"/>
      <c r="K189"/>
      <c r="L189"/>
      <c r="M189"/>
      <c r="N189"/>
      <c r="O189"/>
      <c r="P189"/>
    </row>
    <row r="190" spans="1:16">
      <c r="I190"/>
      <c r="J190"/>
      <c r="K190"/>
      <c r="L190"/>
      <c r="M190"/>
      <c r="N190"/>
      <c r="O190"/>
      <c r="P190"/>
    </row>
    <row r="191" spans="1:16" s="2" customFormat="1">
      <c r="A191" s="172"/>
      <c r="B191"/>
      <c r="C191"/>
      <c r="D191"/>
      <c r="E191"/>
      <c r="F191"/>
      <c r="G191"/>
      <c r="H191"/>
      <c r="J191"/>
      <c r="K191"/>
    </row>
    <row r="192" spans="1:16" s="2" customFormat="1">
      <c r="A192" s="172"/>
      <c r="B192"/>
      <c r="C192"/>
      <c r="D192"/>
      <c r="E192"/>
      <c r="F192"/>
      <c r="G192"/>
      <c r="H192"/>
      <c r="J192"/>
      <c r="K192"/>
    </row>
    <row r="193" spans="1:11" s="2" customFormat="1">
      <c r="A193" s="172"/>
      <c r="B193"/>
      <c r="C193"/>
      <c r="D193"/>
      <c r="E193"/>
      <c r="F193"/>
      <c r="G193"/>
      <c r="H193"/>
      <c r="J193"/>
      <c r="K193"/>
    </row>
    <row r="194" spans="1:11" s="2" customFormat="1">
      <c r="A194" s="172"/>
      <c r="B194"/>
      <c r="C194"/>
      <c r="D194"/>
      <c r="E194"/>
      <c r="F194"/>
      <c r="G194"/>
      <c r="H194"/>
      <c r="J194"/>
      <c r="K194"/>
    </row>
    <row r="195" spans="1:11" s="2" customFormat="1">
      <c r="A195" s="172"/>
      <c r="B195"/>
      <c r="C195"/>
      <c r="D195"/>
      <c r="E195"/>
      <c r="F195"/>
      <c r="G195"/>
      <c r="H195"/>
      <c r="J195"/>
      <c r="K195"/>
    </row>
    <row r="196" spans="1:11" s="2" customFormat="1">
      <c r="A196" s="172"/>
      <c r="B196"/>
      <c r="C196"/>
      <c r="D196"/>
      <c r="E196"/>
      <c r="F196"/>
      <c r="G196"/>
      <c r="H196"/>
      <c r="J196"/>
      <c r="K196"/>
    </row>
    <row r="197" spans="1:11" s="2" customFormat="1">
      <c r="A197" s="172"/>
      <c r="B197"/>
      <c r="C197"/>
      <c r="D197"/>
      <c r="E197"/>
      <c r="F197"/>
      <c r="G197"/>
      <c r="H197"/>
      <c r="J197"/>
      <c r="K197"/>
    </row>
    <row r="198" spans="1:11" s="2" customFormat="1">
      <c r="A198" s="172"/>
      <c r="B198"/>
      <c r="C198"/>
      <c r="D198"/>
      <c r="E198"/>
      <c r="F198"/>
      <c r="G198"/>
      <c r="H198"/>
      <c r="J198"/>
      <c r="K198"/>
    </row>
    <row r="199" spans="1:11" s="2" customFormat="1">
      <c r="A199" s="172"/>
      <c r="B199"/>
      <c r="C199"/>
      <c r="D199"/>
      <c r="E199"/>
      <c r="F199"/>
      <c r="G199"/>
      <c r="H199"/>
      <c r="J199"/>
      <c r="K199"/>
    </row>
    <row r="200" spans="1:11" s="2" customFormat="1">
      <c r="A200" s="172"/>
      <c r="B200"/>
      <c r="C200"/>
      <c r="D200"/>
      <c r="E200"/>
      <c r="F200"/>
      <c r="G200"/>
      <c r="H200"/>
      <c r="J200"/>
      <c r="K200"/>
    </row>
    <row r="201" spans="1:11" s="2" customFormat="1">
      <c r="A201" s="172"/>
      <c r="B201"/>
      <c r="C201"/>
      <c r="D201"/>
      <c r="E201"/>
      <c r="F201"/>
      <c r="G201"/>
      <c r="H201"/>
      <c r="J201"/>
      <c r="K201"/>
    </row>
    <row r="202" spans="1:11" s="2" customFormat="1">
      <c r="A202" s="172"/>
      <c r="B202"/>
      <c r="C202"/>
      <c r="D202"/>
      <c r="E202"/>
      <c r="F202"/>
      <c r="G202"/>
      <c r="H202"/>
      <c r="J202"/>
      <c r="K202"/>
    </row>
    <row r="203" spans="1:11" s="2" customFormat="1">
      <c r="A203" s="172"/>
      <c r="B203"/>
      <c r="C203"/>
      <c r="D203"/>
      <c r="E203"/>
      <c r="F203"/>
      <c r="G203"/>
      <c r="H203"/>
      <c r="J203"/>
      <c r="K203"/>
    </row>
    <row r="204" spans="1:11" s="2" customFormat="1">
      <c r="A204" s="172"/>
      <c r="B204"/>
      <c r="C204"/>
      <c r="D204"/>
      <c r="E204"/>
      <c r="F204"/>
      <c r="G204"/>
      <c r="H204"/>
      <c r="J204"/>
      <c r="K204"/>
    </row>
    <row r="205" spans="1:11" s="2" customFormat="1">
      <c r="A205" s="172"/>
      <c r="B205"/>
      <c r="C205"/>
      <c r="D205"/>
      <c r="E205"/>
      <c r="F205"/>
      <c r="G205"/>
      <c r="H205"/>
      <c r="J205"/>
      <c r="K205"/>
    </row>
    <row r="206" spans="1:11" s="2" customFormat="1">
      <c r="A206" s="172"/>
      <c r="B206"/>
      <c r="C206"/>
      <c r="D206"/>
      <c r="E206"/>
      <c r="F206"/>
      <c r="G206"/>
      <c r="H206"/>
      <c r="J206"/>
      <c r="K206"/>
    </row>
    <row r="207" spans="1:11" s="2" customFormat="1">
      <c r="A207" s="172"/>
      <c r="B207"/>
      <c r="C207"/>
      <c r="D207"/>
      <c r="E207"/>
      <c r="F207"/>
      <c r="G207"/>
      <c r="H207"/>
      <c r="J207"/>
      <c r="K207"/>
    </row>
    <row r="208" spans="1:11" s="2" customFormat="1">
      <c r="A208" s="172"/>
      <c r="B208"/>
      <c r="C208"/>
      <c r="D208"/>
      <c r="E208"/>
      <c r="F208"/>
      <c r="G208"/>
      <c r="H208"/>
      <c r="J208"/>
      <c r="K208"/>
    </row>
    <row r="209" spans="1:16" s="2" customFormat="1">
      <c r="A209" s="172"/>
      <c r="B209"/>
      <c r="C209"/>
      <c r="D209"/>
      <c r="E209"/>
      <c r="F209"/>
      <c r="G209"/>
      <c r="H209"/>
      <c r="J209"/>
      <c r="K209"/>
    </row>
    <row r="210" spans="1:16" s="2" customFormat="1">
      <c r="A210" s="172"/>
      <c r="B210"/>
      <c r="C210"/>
      <c r="D210"/>
      <c r="E210"/>
      <c r="F210"/>
      <c r="G210"/>
      <c r="H210"/>
      <c r="J210"/>
      <c r="K210"/>
    </row>
    <row r="211" spans="1:16" s="2" customFormat="1">
      <c r="A211" s="172"/>
      <c r="B211"/>
      <c r="C211"/>
      <c r="D211"/>
      <c r="E211"/>
      <c r="F211"/>
      <c r="G211"/>
      <c r="H211"/>
      <c r="J211"/>
      <c r="K211"/>
    </row>
    <row r="212" spans="1:16" s="2" customFormat="1">
      <c r="A212" s="172"/>
      <c r="B212"/>
      <c r="C212"/>
      <c r="D212"/>
      <c r="E212"/>
      <c r="F212"/>
      <c r="G212"/>
      <c r="H212"/>
      <c r="J212"/>
      <c r="K212"/>
    </row>
    <row r="213" spans="1:16" s="2" customFormat="1">
      <c r="A213" s="172"/>
      <c r="B213"/>
      <c r="C213"/>
      <c r="D213"/>
      <c r="E213"/>
      <c r="F213"/>
      <c r="G213"/>
      <c r="H213"/>
      <c r="J213"/>
      <c r="K213"/>
    </row>
    <row r="214" spans="1:16" s="2" customFormat="1">
      <c r="A214" s="172"/>
      <c r="B214"/>
      <c r="C214"/>
      <c r="D214"/>
      <c r="E214"/>
      <c r="F214"/>
      <c r="G214"/>
      <c r="H214"/>
      <c r="J214"/>
      <c r="K214"/>
    </row>
    <row r="215" spans="1:16">
      <c r="I215"/>
      <c r="J215"/>
      <c r="K215"/>
      <c r="L215"/>
      <c r="M215"/>
      <c r="N215"/>
      <c r="O215"/>
      <c r="P215"/>
    </row>
    <row r="216" spans="1:16">
      <c r="I216"/>
      <c r="J216"/>
      <c r="K216"/>
      <c r="L216"/>
      <c r="M216"/>
      <c r="N216"/>
      <c r="O216"/>
      <c r="P216"/>
    </row>
    <row r="217" spans="1:16">
      <c r="I217"/>
      <c r="J217"/>
      <c r="K217"/>
      <c r="L217"/>
      <c r="M217"/>
      <c r="N217"/>
      <c r="O217"/>
      <c r="P217"/>
    </row>
    <row r="218" spans="1:16">
      <c r="I218"/>
      <c r="J218"/>
      <c r="K218"/>
      <c r="L218"/>
      <c r="M218"/>
      <c r="N218"/>
      <c r="O218"/>
      <c r="P218"/>
    </row>
    <row r="219" spans="1:16">
      <c r="I219"/>
      <c r="J219"/>
      <c r="K219"/>
      <c r="L219"/>
      <c r="M219"/>
      <c r="N219"/>
      <c r="O219"/>
      <c r="P219"/>
    </row>
    <row r="220" spans="1:16">
      <c r="I220"/>
      <c r="J220"/>
      <c r="K220"/>
      <c r="L220"/>
      <c r="M220"/>
      <c r="N220"/>
      <c r="O220"/>
      <c r="P220"/>
    </row>
    <row r="221" spans="1:16">
      <c r="I221"/>
      <c r="J221"/>
      <c r="K221"/>
      <c r="L221"/>
      <c r="M221"/>
      <c r="N221"/>
      <c r="O221"/>
      <c r="P221"/>
    </row>
    <row r="222" spans="1:16">
      <c r="I222"/>
      <c r="J222"/>
      <c r="K222"/>
      <c r="L222"/>
      <c r="M222"/>
      <c r="N222"/>
      <c r="O222"/>
      <c r="P222"/>
    </row>
    <row r="223" spans="1:16">
      <c r="I223"/>
      <c r="J223"/>
      <c r="K223"/>
      <c r="L223"/>
      <c r="M223"/>
      <c r="N223"/>
      <c r="O223"/>
      <c r="P223"/>
    </row>
    <row r="224" spans="1:16">
      <c r="I224"/>
      <c r="J224"/>
      <c r="K224"/>
      <c r="L224"/>
      <c r="M224"/>
      <c r="N224"/>
      <c r="O224"/>
      <c r="P224"/>
    </row>
    <row r="225" spans="9:16">
      <c r="I225"/>
      <c r="J225"/>
      <c r="K225"/>
      <c r="L225"/>
      <c r="M225"/>
      <c r="N225"/>
      <c r="O225"/>
      <c r="P225"/>
    </row>
    <row r="226" spans="9:16">
      <c r="I226"/>
      <c r="J226"/>
      <c r="K226"/>
      <c r="L226"/>
      <c r="M226"/>
      <c r="N226"/>
      <c r="O226"/>
      <c r="P226"/>
    </row>
    <row r="227" spans="9:16">
      <c r="I227"/>
      <c r="J227"/>
      <c r="K227"/>
      <c r="L227"/>
      <c r="M227"/>
      <c r="N227"/>
      <c r="O227"/>
      <c r="P227"/>
    </row>
    <row r="228" spans="9:16">
      <c r="I228"/>
      <c r="J228"/>
      <c r="K228"/>
      <c r="L228"/>
      <c r="M228"/>
      <c r="N228"/>
      <c r="O228"/>
      <c r="P228"/>
    </row>
    <row r="229" spans="9:16">
      <c r="I229"/>
      <c r="J229"/>
      <c r="K229"/>
      <c r="L229"/>
      <c r="M229"/>
      <c r="N229"/>
      <c r="O229"/>
      <c r="P229"/>
    </row>
    <row r="230" spans="9:16">
      <c r="I230"/>
      <c r="J230"/>
      <c r="K230"/>
      <c r="L230"/>
      <c r="M230"/>
      <c r="N230"/>
      <c r="O230"/>
      <c r="P230"/>
    </row>
    <row r="231" spans="9:16">
      <c r="I231"/>
      <c r="J231"/>
      <c r="K231"/>
      <c r="L231"/>
      <c r="M231"/>
      <c r="N231"/>
      <c r="O231"/>
      <c r="P231"/>
    </row>
    <row r="232" spans="9:16">
      <c r="J232"/>
      <c r="K232"/>
    </row>
    <row r="233" spans="9:16">
      <c r="J233"/>
      <c r="K233"/>
    </row>
    <row r="234" spans="9:16">
      <c r="J234"/>
      <c r="K234"/>
    </row>
    <row r="235" spans="9:16">
      <c r="J235"/>
      <c r="K235"/>
    </row>
    <row r="236" spans="9:16">
      <c r="J236"/>
      <c r="K236"/>
    </row>
    <row r="237" spans="9:16">
      <c r="J237"/>
      <c r="K237"/>
    </row>
    <row r="238" spans="9:16">
      <c r="J238"/>
      <c r="K238"/>
    </row>
    <row r="239" spans="9:16">
      <c r="J239"/>
      <c r="K239"/>
    </row>
    <row r="240" spans="9:16">
      <c r="J240"/>
      <c r="K240"/>
    </row>
    <row r="241" spans="10:11">
      <c r="J241"/>
      <c r="K241"/>
    </row>
    <row r="242" spans="10:11">
      <c r="J242"/>
      <c r="K242"/>
    </row>
    <row r="243" spans="10:11">
      <c r="J243"/>
      <c r="K243"/>
    </row>
    <row r="244" spans="10:11">
      <c r="J244"/>
      <c r="K244"/>
    </row>
    <row r="245" spans="10:11">
      <c r="J245"/>
      <c r="K245"/>
    </row>
    <row r="246" spans="10:11">
      <c r="J246"/>
      <c r="K246"/>
    </row>
    <row r="247" spans="10:11">
      <c r="J247"/>
      <c r="K247"/>
    </row>
    <row r="248" spans="10:11">
      <c r="J248"/>
      <c r="K248"/>
    </row>
    <row r="249" spans="10:11">
      <c r="J249"/>
      <c r="K249"/>
    </row>
    <row r="250" spans="10:11">
      <c r="J250"/>
      <c r="K250"/>
    </row>
    <row r="251" spans="10:11">
      <c r="J251"/>
      <c r="K251"/>
    </row>
    <row r="252" spans="10:11">
      <c r="J252"/>
      <c r="K252"/>
    </row>
    <row r="253" spans="10:11">
      <c r="J253"/>
      <c r="K253"/>
    </row>
    <row r="254" spans="10:11">
      <c r="J254"/>
      <c r="K254"/>
    </row>
    <row r="255" spans="10:11">
      <c r="J255"/>
      <c r="K255"/>
    </row>
    <row r="256" spans="10:11">
      <c r="J256"/>
      <c r="K256"/>
    </row>
    <row r="257" spans="10:11">
      <c r="J257"/>
      <c r="K257"/>
    </row>
    <row r="258" spans="10:11">
      <c r="J258"/>
      <c r="K258"/>
    </row>
    <row r="259" spans="10:11">
      <c r="J259"/>
      <c r="K259"/>
    </row>
    <row r="260" spans="10:11">
      <c r="J260"/>
      <c r="K260"/>
    </row>
    <row r="261" spans="10:11">
      <c r="J261"/>
      <c r="K261"/>
    </row>
    <row r="262" spans="10:11">
      <c r="J262"/>
      <c r="K262"/>
    </row>
    <row r="263" spans="10:11">
      <c r="J263"/>
      <c r="K263"/>
    </row>
    <row r="264" spans="10:11">
      <c r="J264"/>
      <c r="K264"/>
    </row>
    <row r="265" spans="10:11">
      <c r="J265"/>
      <c r="K265"/>
    </row>
    <row r="266" spans="10:11">
      <c r="J266"/>
      <c r="K266"/>
    </row>
    <row r="267" spans="10:11">
      <c r="J267"/>
      <c r="K267"/>
    </row>
    <row r="268" spans="10:11">
      <c r="J268"/>
      <c r="K268"/>
    </row>
    <row r="269" spans="10:11">
      <c r="J269"/>
      <c r="K269"/>
    </row>
    <row r="270" spans="10:11">
      <c r="J270"/>
      <c r="K270"/>
    </row>
    <row r="271" spans="10:11">
      <c r="J271"/>
      <c r="K271"/>
    </row>
    <row r="272" spans="10:11">
      <c r="J272"/>
      <c r="K272"/>
    </row>
    <row r="273" spans="10:11">
      <c r="J273"/>
      <c r="K273"/>
    </row>
    <row r="274" spans="10:11">
      <c r="J274"/>
      <c r="K274"/>
    </row>
    <row r="275" spans="10:11">
      <c r="J275"/>
      <c r="K275"/>
    </row>
    <row r="276" spans="10:11">
      <c r="J276"/>
      <c r="K276"/>
    </row>
    <row r="277" spans="10:11">
      <c r="J277"/>
      <c r="K277"/>
    </row>
    <row r="278" spans="10:11">
      <c r="J278"/>
      <c r="K278"/>
    </row>
    <row r="279" spans="10:11">
      <c r="J279"/>
      <c r="K279"/>
    </row>
    <row r="280" spans="10:11">
      <c r="J280"/>
      <c r="K280"/>
    </row>
    <row r="281" spans="10:11">
      <c r="J281"/>
      <c r="K281"/>
    </row>
    <row r="282" spans="10:11">
      <c r="J282"/>
      <c r="K282"/>
    </row>
    <row r="283" spans="10:11">
      <c r="J283"/>
      <c r="K283"/>
    </row>
    <row r="284" spans="10:11">
      <c r="J284"/>
      <c r="K284"/>
    </row>
    <row r="285" spans="10:11">
      <c r="J285"/>
      <c r="K285"/>
    </row>
    <row r="286" spans="10:11">
      <c r="J286"/>
      <c r="K286"/>
    </row>
    <row r="287" spans="10:11">
      <c r="J287"/>
      <c r="K287"/>
    </row>
    <row r="288" spans="10:11">
      <c r="J288"/>
      <c r="K288"/>
    </row>
    <row r="289" spans="10:11">
      <c r="J289"/>
      <c r="K289"/>
    </row>
    <row r="290" spans="10:11">
      <c r="J290"/>
      <c r="K290"/>
    </row>
    <row r="291" spans="10:11">
      <c r="J291"/>
      <c r="K291"/>
    </row>
    <row r="292" spans="10:11">
      <c r="J292"/>
      <c r="K292"/>
    </row>
    <row r="293" spans="10:11">
      <c r="J293"/>
      <c r="K293"/>
    </row>
    <row r="294" spans="10:11">
      <c r="J294"/>
      <c r="K294"/>
    </row>
    <row r="295" spans="10:11">
      <c r="J295"/>
      <c r="K295"/>
    </row>
    <row r="296" spans="10:11">
      <c r="J296"/>
      <c r="K296"/>
    </row>
    <row r="297" spans="10:11">
      <c r="J297"/>
      <c r="K297"/>
    </row>
    <row r="298" spans="10:11">
      <c r="J298"/>
      <c r="K298"/>
    </row>
    <row r="299" spans="10:11">
      <c r="J299"/>
      <c r="K299"/>
    </row>
    <row r="300" spans="10:11">
      <c r="J300"/>
      <c r="K300"/>
    </row>
    <row r="301" spans="10:11">
      <c r="J301"/>
      <c r="K301"/>
    </row>
    <row r="302" spans="10:11">
      <c r="J302"/>
      <c r="K302"/>
    </row>
    <row r="303" spans="10:11">
      <c r="J303"/>
      <c r="K303"/>
    </row>
    <row r="304" spans="10:11">
      <c r="J304"/>
      <c r="K304"/>
    </row>
    <row r="305" spans="10:11">
      <c r="J305"/>
      <c r="K305"/>
    </row>
    <row r="306" spans="10:11">
      <c r="J306"/>
      <c r="K306"/>
    </row>
    <row r="307" spans="10:11">
      <c r="J307"/>
      <c r="K307"/>
    </row>
    <row r="308" spans="10:11">
      <c r="J308"/>
      <c r="K308"/>
    </row>
    <row r="309" spans="10:11">
      <c r="J309"/>
      <c r="K309"/>
    </row>
    <row r="310" spans="10:11">
      <c r="J310"/>
      <c r="K310"/>
    </row>
    <row r="311" spans="10:11">
      <c r="J311"/>
      <c r="K311"/>
    </row>
    <row r="312" spans="10:11">
      <c r="J312"/>
      <c r="K312"/>
    </row>
    <row r="313" spans="10:11">
      <c r="J313"/>
      <c r="K313"/>
    </row>
    <row r="314" spans="10:11">
      <c r="J314"/>
      <c r="K314"/>
    </row>
    <row r="315" spans="10:11">
      <c r="J315"/>
      <c r="K315"/>
    </row>
    <row r="316" spans="10:11">
      <c r="J316"/>
      <c r="K316"/>
    </row>
    <row r="317" spans="10:11">
      <c r="J317"/>
      <c r="K317"/>
    </row>
    <row r="318" spans="10:11">
      <c r="J318"/>
      <c r="K318"/>
    </row>
    <row r="319" spans="10:11">
      <c r="J319"/>
      <c r="K319"/>
    </row>
    <row r="320" spans="10:11">
      <c r="J320"/>
      <c r="K320"/>
    </row>
    <row r="321" spans="10:11">
      <c r="J321"/>
      <c r="K321"/>
    </row>
    <row r="322" spans="10:11">
      <c r="J322"/>
      <c r="K322"/>
    </row>
    <row r="323" spans="10:11">
      <c r="J323"/>
      <c r="K323"/>
    </row>
    <row r="324" spans="10:11">
      <c r="J324"/>
      <c r="K324"/>
    </row>
    <row r="325" spans="10:11">
      <c r="J325"/>
      <c r="K325"/>
    </row>
    <row r="326" spans="10:11">
      <c r="J326"/>
      <c r="K326"/>
    </row>
    <row r="327" spans="10:11">
      <c r="J327"/>
      <c r="K327"/>
    </row>
    <row r="328" spans="10:11">
      <c r="J328"/>
      <c r="K328"/>
    </row>
    <row r="329" spans="10:11">
      <c r="J329"/>
      <c r="K329"/>
    </row>
    <row r="330" spans="10:11">
      <c r="J330"/>
      <c r="K330"/>
    </row>
    <row r="331" spans="10:11">
      <c r="J331"/>
      <c r="K331"/>
    </row>
    <row r="332" spans="10:11">
      <c r="J332"/>
      <c r="K332"/>
    </row>
    <row r="333" spans="10:11">
      <c r="J333"/>
      <c r="K333"/>
    </row>
    <row r="334" spans="10:11">
      <c r="J334"/>
      <c r="K334"/>
    </row>
    <row r="335" spans="10:11">
      <c r="J335"/>
      <c r="K335"/>
    </row>
    <row r="336" spans="10:11">
      <c r="J336"/>
      <c r="K336"/>
    </row>
    <row r="337" spans="10:11">
      <c r="J337"/>
      <c r="K337"/>
    </row>
    <row r="338" spans="10:11">
      <c r="J338"/>
      <c r="K338"/>
    </row>
    <row r="339" spans="10:11">
      <c r="J339"/>
      <c r="K339"/>
    </row>
    <row r="340" spans="10:11">
      <c r="J340"/>
      <c r="K340"/>
    </row>
    <row r="341" spans="10:11">
      <c r="J341"/>
      <c r="K341"/>
    </row>
    <row r="342" spans="10:11">
      <c r="J342"/>
      <c r="K342"/>
    </row>
    <row r="343" spans="10:11">
      <c r="J343"/>
      <c r="K343"/>
    </row>
    <row r="344" spans="10:11">
      <c r="J344"/>
      <c r="K344"/>
    </row>
    <row r="345" spans="10:11">
      <c r="J345"/>
      <c r="K345"/>
    </row>
    <row r="346" spans="10:11">
      <c r="J346"/>
      <c r="K346"/>
    </row>
    <row r="347" spans="10:11">
      <c r="J347"/>
      <c r="K347"/>
    </row>
    <row r="348" spans="10:11">
      <c r="J348"/>
      <c r="K348"/>
    </row>
    <row r="349" spans="10:11">
      <c r="J349"/>
      <c r="K349"/>
    </row>
    <row r="350" spans="10:11">
      <c r="J350"/>
      <c r="K350"/>
    </row>
    <row r="351" spans="10:11">
      <c r="J351"/>
      <c r="K351"/>
    </row>
    <row r="352" spans="10:11">
      <c r="J352" s="153"/>
      <c r="K352" s="153"/>
    </row>
    <row r="353" spans="10:11">
      <c r="J353" s="153"/>
      <c r="K353" s="153"/>
    </row>
  </sheetData>
  <autoFilter ref="A15:D84">
    <sortState ref="A16:D84">
      <sortCondition ref="A15:A84"/>
    </sortState>
  </autoFilter>
  <mergeCells count="3">
    <mergeCell ref="R15:S15"/>
    <mergeCell ref="F15:G15"/>
    <mergeCell ref="J15:K15"/>
  </mergeCells>
  <pageMargins left="0.7" right="0.7" top="0.75" bottom="0.75" header="0.3" footer="0.3"/>
  <drawing r:id="rId3"/>
  <legacyDrawing r:id="rId4"/>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6"/>
  <sheetViews>
    <sheetView workbookViewId="0"/>
  </sheetViews>
  <sheetFormatPr baseColWidth="10" defaultRowHeight="14.5"/>
  <cols>
    <col min="9" max="9" width="18.54296875" customWidth="1"/>
    <col min="13" max="13" width="21" customWidth="1"/>
    <col min="14" max="14" width="31.1796875" customWidth="1"/>
  </cols>
  <sheetData>
    <row r="1" spans="1:14" ht="114" thickBot="1">
      <c r="A1" s="66" t="s">
        <v>510</v>
      </c>
      <c r="B1" s="66" t="s">
        <v>511</v>
      </c>
      <c r="C1" s="66" t="s">
        <v>512</v>
      </c>
      <c r="D1" s="66" t="s">
        <v>513</v>
      </c>
      <c r="E1" s="66" t="s">
        <v>514</v>
      </c>
      <c r="F1" s="66" t="s">
        <v>515</v>
      </c>
      <c r="G1" s="66" t="s">
        <v>516</v>
      </c>
      <c r="H1" s="66" t="s">
        <v>517</v>
      </c>
      <c r="I1" s="362" t="s">
        <v>518</v>
      </c>
      <c r="M1" s="340" t="s">
        <v>282</v>
      </c>
      <c r="N1" t="s">
        <v>565</v>
      </c>
    </row>
    <row r="2" spans="1:14" ht="64" thickBot="1">
      <c r="A2" s="68">
        <v>42689.462337962963</v>
      </c>
      <c r="B2" s="66" t="s">
        <v>465</v>
      </c>
      <c r="C2" s="66" t="s">
        <v>519</v>
      </c>
      <c r="D2" s="66" t="s">
        <v>380</v>
      </c>
      <c r="E2" s="69">
        <v>4</v>
      </c>
      <c r="F2" s="66" t="s">
        <v>520</v>
      </c>
      <c r="G2" s="66" t="s">
        <v>521</v>
      </c>
      <c r="H2" s="66"/>
      <c r="I2" s="66" t="s">
        <v>522</v>
      </c>
      <c r="M2" s="72" t="s">
        <v>521</v>
      </c>
      <c r="N2" s="73">
        <v>52</v>
      </c>
    </row>
    <row r="3" spans="1:14" ht="126.5" thickBot="1">
      <c r="A3" s="68">
        <v>42689.759513888886</v>
      </c>
      <c r="B3" s="66" t="s">
        <v>523</v>
      </c>
      <c r="C3" s="66" t="s">
        <v>388</v>
      </c>
      <c r="D3" s="66" t="s">
        <v>380</v>
      </c>
      <c r="E3" s="69">
        <v>4</v>
      </c>
      <c r="F3" s="66" t="s">
        <v>524</v>
      </c>
      <c r="G3" s="66" t="s">
        <v>521</v>
      </c>
      <c r="H3" s="66"/>
      <c r="I3" s="66" t="s">
        <v>525</v>
      </c>
      <c r="M3" s="72" t="s">
        <v>633</v>
      </c>
      <c r="N3" s="73">
        <v>2</v>
      </c>
    </row>
    <row r="4" spans="1:14" ht="139" thickBot="1">
      <c r="A4" s="68">
        <v>42689.780069444445</v>
      </c>
      <c r="B4" s="66" t="s">
        <v>465</v>
      </c>
      <c r="C4" s="66" t="s">
        <v>519</v>
      </c>
      <c r="D4" s="66" t="s">
        <v>380</v>
      </c>
      <c r="E4" s="69">
        <v>4</v>
      </c>
      <c r="F4" s="66" t="s">
        <v>526</v>
      </c>
      <c r="G4" s="66" t="s">
        <v>521</v>
      </c>
      <c r="H4" s="66" t="s">
        <v>527</v>
      </c>
      <c r="I4" s="362" t="s">
        <v>528</v>
      </c>
      <c r="M4" s="72" t="s">
        <v>640</v>
      </c>
      <c r="N4" s="73">
        <v>1</v>
      </c>
    </row>
    <row r="5" spans="1:14" ht="139" thickBot="1">
      <c r="A5" s="68">
        <v>42690.85560185185</v>
      </c>
      <c r="B5" s="66" t="s">
        <v>446</v>
      </c>
      <c r="C5" s="66" t="s">
        <v>519</v>
      </c>
      <c r="D5" s="66" t="s">
        <v>380</v>
      </c>
      <c r="E5" s="69">
        <v>3</v>
      </c>
      <c r="F5" s="66" t="s">
        <v>529</v>
      </c>
      <c r="G5" s="66" t="s">
        <v>521</v>
      </c>
      <c r="H5" s="66" t="s">
        <v>530</v>
      </c>
      <c r="I5" s="66" t="s">
        <v>531</v>
      </c>
      <c r="M5" s="72" t="s">
        <v>283</v>
      </c>
      <c r="N5" s="73"/>
    </row>
    <row r="6" spans="1:14" ht="226.5" thickBot="1">
      <c r="A6" s="68">
        <v>42832.695914351854</v>
      </c>
      <c r="B6" s="66" t="s">
        <v>465</v>
      </c>
      <c r="C6" s="66" t="s">
        <v>388</v>
      </c>
      <c r="D6" s="66" t="s">
        <v>532</v>
      </c>
      <c r="E6" s="69">
        <v>4</v>
      </c>
      <c r="F6" s="66" t="s">
        <v>533</v>
      </c>
      <c r="G6" s="66" t="s">
        <v>521</v>
      </c>
      <c r="H6" s="66"/>
      <c r="I6" s="66" t="s">
        <v>534</v>
      </c>
      <c r="M6" s="72" t="s">
        <v>284</v>
      </c>
      <c r="N6" s="73">
        <v>55</v>
      </c>
    </row>
    <row r="7" spans="1:14" ht="101.5" thickBot="1">
      <c r="A7" s="68">
        <v>42832.713541666664</v>
      </c>
      <c r="B7" s="66" t="s">
        <v>523</v>
      </c>
      <c r="C7" s="66" t="s">
        <v>388</v>
      </c>
      <c r="D7" s="66" t="s">
        <v>380</v>
      </c>
      <c r="E7" s="69">
        <v>4</v>
      </c>
      <c r="F7" s="66" t="s">
        <v>535</v>
      </c>
      <c r="G7" s="66" t="s">
        <v>521</v>
      </c>
      <c r="H7" s="66"/>
      <c r="I7" s="66" t="s">
        <v>536</v>
      </c>
    </row>
    <row r="8" spans="1:14" ht="164" thickBot="1">
      <c r="A8" s="68">
        <v>42832.743819444448</v>
      </c>
      <c r="B8" s="66" t="s">
        <v>523</v>
      </c>
      <c r="C8" s="66" t="s">
        <v>519</v>
      </c>
      <c r="D8" s="66" t="s">
        <v>380</v>
      </c>
      <c r="E8" s="69">
        <v>4</v>
      </c>
      <c r="F8" s="66" t="s">
        <v>537</v>
      </c>
      <c r="G8" s="66" t="s">
        <v>521</v>
      </c>
      <c r="H8" s="66" t="s">
        <v>538</v>
      </c>
      <c r="I8" s="66" t="s">
        <v>539</v>
      </c>
    </row>
    <row r="9" spans="1:14" ht="126.5" thickBot="1">
      <c r="A9" s="68">
        <v>42832.790613425925</v>
      </c>
      <c r="B9" s="66" t="s">
        <v>465</v>
      </c>
      <c r="C9" s="66" t="s">
        <v>388</v>
      </c>
      <c r="D9" s="66" t="s">
        <v>532</v>
      </c>
      <c r="E9" s="69">
        <v>4</v>
      </c>
      <c r="F9" s="66" t="s">
        <v>526</v>
      </c>
      <c r="G9" s="66" t="s">
        <v>521</v>
      </c>
      <c r="H9" s="66"/>
      <c r="I9" s="66"/>
    </row>
    <row r="10" spans="1:14" ht="226.5" thickBot="1">
      <c r="A10" s="68">
        <v>42833.356828703705</v>
      </c>
      <c r="B10" s="66" t="s">
        <v>523</v>
      </c>
      <c r="C10" s="66" t="s">
        <v>519</v>
      </c>
      <c r="D10" s="66" t="s">
        <v>532</v>
      </c>
      <c r="E10" s="69">
        <v>3</v>
      </c>
      <c r="F10" s="66" t="s">
        <v>533</v>
      </c>
      <c r="G10" s="66" t="s">
        <v>521</v>
      </c>
      <c r="H10" s="66"/>
      <c r="I10" s="66" t="s">
        <v>540</v>
      </c>
      <c r="L10">
        <f>68/267</f>
        <v>0.25468164794007492</v>
      </c>
    </row>
    <row r="11" spans="1:14" ht="126.5" thickBot="1">
      <c r="A11" s="68">
        <v>42835.40116898148</v>
      </c>
      <c r="B11" s="66" t="s">
        <v>523</v>
      </c>
      <c r="C11" s="66" t="s">
        <v>388</v>
      </c>
      <c r="D11" s="66" t="s">
        <v>380</v>
      </c>
      <c r="E11" s="69">
        <v>4</v>
      </c>
      <c r="F11" s="66" t="s">
        <v>526</v>
      </c>
      <c r="G11" s="66" t="s">
        <v>521</v>
      </c>
      <c r="H11" s="66"/>
      <c r="I11" s="66"/>
      <c r="L11">
        <f>126/611</f>
        <v>0.20621931260229132</v>
      </c>
    </row>
    <row r="12" spans="1:14" ht="64" thickBot="1">
      <c r="A12" s="68">
        <v>42835.911759259259</v>
      </c>
      <c r="B12" s="66" t="s">
        <v>523</v>
      </c>
      <c r="C12" s="66" t="s">
        <v>388</v>
      </c>
      <c r="D12" s="66" t="s">
        <v>532</v>
      </c>
      <c r="E12" s="69">
        <v>3</v>
      </c>
      <c r="F12" s="66" t="s">
        <v>520</v>
      </c>
      <c r="G12" s="66" t="s">
        <v>521</v>
      </c>
      <c r="H12" s="67" t="s">
        <v>541</v>
      </c>
      <c r="I12" s="66"/>
    </row>
    <row r="13" spans="1:14" ht="89" thickBot="1">
      <c r="A13" s="68">
        <v>42836.384872685187</v>
      </c>
      <c r="B13" s="66" t="s">
        <v>465</v>
      </c>
      <c r="C13" s="66" t="s">
        <v>519</v>
      </c>
      <c r="D13" s="66" t="s">
        <v>380</v>
      </c>
      <c r="E13" s="69">
        <v>3</v>
      </c>
      <c r="F13" s="66" t="s">
        <v>537</v>
      </c>
      <c r="G13" s="66" t="s">
        <v>521</v>
      </c>
      <c r="H13" s="66"/>
      <c r="I13" s="66" t="s">
        <v>542</v>
      </c>
    </row>
    <row r="14" spans="1:14" ht="101.5" thickBot="1">
      <c r="A14" s="68">
        <v>42836.819085648145</v>
      </c>
      <c r="B14" s="66" t="s">
        <v>523</v>
      </c>
      <c r="C14" s="66" t="s">
        <v>519</v>
      </c>
      <c r="D14" s="66" t="s">
        <v>532</v>
      </c>
      <c r="E14" s="69">
        <v>4</v>
      </c>
      <c r="F14" s="66" t="s">
        <v>529</v>
      </c>
      <c r="G14" s="66" t="s">
        <v>521</v>
      </c>
      <c r="H14" s="66"/>
      <c r="I14" s="66" t="s">
        <v>543</v>
      </c>
    </row>
    <row r="15" spans="1:14" ht="89" thickBot="1">
      <c r="A15" s="68">
        <v>42837.379791666666</v>
      </c>
      <c r="B15" s="66" t="s">
        <v>544</v>
      </c>
      <c r="C15" s="66" t="s">
        <v>519</v>
      </c>
      <c r="D15" s="66" t="s">
        <v>380</v>
      </c>
      <c r="E15" s="69">
        <v>4</v>
      </c>
      <c r="F15" s="66" t="s">
        <v>537</v>
      </c>
      <c r="G15" s="66" t="s">
        <v>521</v>
      </c>
      <c r="H15" s="66" t="s">
        <v>545</v>
      </c>
      <c r="I15" s="66" t="s">
        <v>546</v>
      </c>
    </row>
    <row r="16" spans="1:14" ht="101.5" thickBot="1">
      <c r="A16" s="68">
        <v>42838.422407407408</v>
      </c>
      <c r="B16" s="66" t="s">
        <v>465</v>
      </c>
      <c r="C16" s="66" t="s">
        <v>519</v>
      </c>
      <c r="D16" s="66" t="s">
        <v>532</v>
      </c>
      <c r="E16" s="69">
        <v>4</v>
      </c>
      <c r="F16" s="66" t="s">
        <v>535</v>
      </c>
      <c r="G16" s="66" t="s">
        <v>521</v>
      </c>
      <c r="H16" s="66"/>
      <c r="I16" s="66"/>
    </row>
    <row r="17" spans="1:9" ht="126.5" thickBot="1">
      <c r="A17" s="68">
        <v>42840.426377314812</v>
      </c>
      <c r="B17" s="66" t="s">
        <v>523</v>
      </c>
      <c r="C17" s="66" t="s">
        <v>388</v>
      </c>
      <c r="D17" s="66" t="s">
        <v>380</v>
      </c>
      <c r="E17" s="69">
        <v>4</v>
      </c>
      <c r="F17" s="66" t="s">
        <v>547</v>
      </c>
      <c r="G17" s="66" t="s">
        <v>521</v>
      </c>
      <c r="H17" s="66"/>
      <c r="I17" s="66" t="s">
        <v>548</v>
      </c>
    </row>
    <row r="18" spans="1:9" ht="26.5" thickBot="1">
      <c r="A18" s="68">
        <v>43083.402291666665</v>
      </c>
      <c r="B18" s="66" t="s">
        <v>523</v>
      </c>
      <c r="C18" s="66" t="s">
        <v>519</v>
      </c>
      <c r="D18" s="66" t="s">
        <v>380</v>
      </c>
      <c r="E18" s="69">
        <v>4</v>
      </c>
      <c r="F18" s="66" t="s">
        <v>549</v>
      </c>
      <c r="G18" s="66" t="s">
        <v>521</v>
      </c>
      <c r="H18" s="66"/>
      <c r="I18" s="66"/>
    </row>
    <row r="19" spans="1:9" ht="64" thickBot="1">
      <c r="A19" s="68">
        <v>43083.413564814815</v>
      </c>
      <c r="B19" s="66" t="s">
        <v>523</v>
      </c>
      <c r="C19" s="66" t="s">
        <v>519</v>
      </c>
      <c r="D19" s="66" t="s">
        <v>380</v>
      </c>
      <c r="E19" s="69">
        <v>4</v>
      </c>
      <c r="F19" s="66" t="s">
        <v>520</v>
      </c>
      <c r="G19" s="66" t="s">
        <v>521</v>
      </c>
      <c r="H19" s="66"/>
      <c r="I19" s="66" t="s">
        <v>550</v>
      </c>
    </row>
    <row r="20" spans="1:9" ht="26.5" thickBot="1">
      <c r="A20" s="68">
        <v>43083.434398148151</v>
      </c>
      <c r="B20" s="66" t="s">
        <v>465</v>
      </c>
      <c r="C20" s="66" t="s">
        <v>519</v>
      </c>
      <c r="D20" s="66" t="s">
        <v>380</v>
      </c>
      <c r="E20" s="69">
        <v>4</v>
      </c>
      <c r="F20" s="66" t="s">
        <v>549</v>
      </c>
      <c r="G20" s="66" t="s">
        <v>521</v>
      </c>
      <c r="H20" s="66"/>
      <c r="I20" s="66" t="s">
        <v>551</v>
      </c>
    </row>
    <row r="21" spans="1:9" ht="114" thickBot="1">
      <c r="A21" s="68">
        <v>43083.442233796297</v>
      </c>
      <c r="B21" s="66" t="s">
        <v>465</v>
      </c>
      <c r="C21" s="66" t="s">
        <v>519</v>
      </c>
      <c r="D21" s="66" t="s">
        <v>380</v>
      </c>
      <c r="E21" s="69">
        <v>3</v>
      </c>
      <c r="F21" s="66" t="s">
        <v>520</v>
      </c>
      <c r="G21" s="66" t="s">
        <v>521</v>
      </c>
      <c r="H21" s="66" t="s">
        <v>552</v>
      </c>
      <c r="I21" s="66" t="s">
        <v>553</v>
      </c>
    </row>
    <row r="22" spans="1:9" ht="64" thickBot="1">
      <c r="A22" s="68">
        <v>43083.44872685185</v>
      </c>
      <c r="B22" s="66" t="s">
        <v>465</v>
      </c>
      <c r="C22" s="66" t="s">
        <v>388</v>
      </c>
      <c r="D22" s="66" t="s">
        <v>380</v>
      </c>
      <c r="E22" s="69">
        <v>4</v>
      </c>
      <c r="F22" s="66" t="s">
        <v>520</v>
      </c>
      <c r="G22" s="66" t="s">
        <v>521</v>
      </c>
      <c r="H22" s="66" t="s">
        <v>554</v>
      </c>
      <c r="I22" s="66"/>
    </row>
    <row r="23" spans="1:9" ht="76.5" thickBot="1">
      <c r="A23" s="68">
        <v>43083.449050925927</v>
      </c>
      <c r="B23" s="66" t="s">
        <v>555</v>
      </c>
      <c r="C23" s="66" t="s">
        <v>519</v>
      </c>
      <c r="D23" s="66" t="s">
        <v>380</v>
      </c>
      <c r="E23" s="69">
        <v>4</v>
      </c>
      <c r="F23" s="66" t="s">
        <v>549</v>
      </c>
      <c r="G23" s="66" t="s">
        <v>521</v>
      </c>
      <c r="H23" s="66"/>
      <c r="I23" s="66" t="s">
        <v>556</v>
      </c>
    </row>
    <row r="24" spans="1:9" ht="64" thickBot="1">
      <c r="A24" s="68">
        <v>43083.45826388889</v>
      </c>
      <c r="B24" s="66" t="s">
        <v>465</v>
      </c>
      <c r="C24" s="66" t="s">
        <v>519</v>
      </c>
      <c r="D24" s="66" t="s">
        <v>380</v>
      </c>
      <c r="E24" s="69">
        <v>4</v>
      </c>
      <c r="F24" s="66" t="s">
        <v>520</v>
      </c>
      <c r="G24" s="66" t="s">
        <v>521</v>
      </c>
      <c r="H24" s="66"/>
      <c r="I24" s="66"/>
    </row>
    <row r="25" spans="1:9" ht="64" thickBot="1">
      <c r="A25" s="68">
        <v>43083.474976851852</v>
      </c>
      <c r="B25" s="66" t="s">
        <v>465</v>
      </c>
      <c r="C25" s="66" t="s">
        <v>388</v>
      </c>
      <c r="D25" s="66" t="s">
        <v>380</v>
      </c>
      <c r="E25" s="69">
        <v>3</v>
      </c>
      <c r="F25" s="66" t="s">
        <v>557</v>
      </c>
      <c r="G25" s="66" t="s">
        <v>521</v>
      </c>
      <c r="H25" s="66"/>
      <c r="I25" s="66"/>
    </row>
    <row r="26" spans="1:9" ht="26.5" thickBot="1">
      <c r="A26" s="68">
        <v>43083.577708333331</v>
      </c>
      <c r="B26" s="66" t="s">
        <v>465</v>
      </c>
      <c r="C26" s="66" t="s">
        <v>388</v>
      </c>
      <c r="D26" s="66" t="s">
        <v>380</v>
      </c>
      <c r="E26" s="69">
        <v>4</v>
      </c>
      <c r="F26" s="66" t="s">
        <v>549</v>
      </c>
      <c r="G26" s="66" t="s">
        <v>521</v>
      </c>
      <c r="H26" s="66"/>
      <c r="I26" s="66" t="s">
        <v>558</v>
      </c>
    </row>
    <row r="27" spans="1:9" ht="64" thickBot="1">
      <c r="A27" s="68">
        <v>43083.785034722219</v>
      </c>
      <c r="B27" s="66" t="s">
        <v>207</v>
      </c>
      <c r="C27" s="66" t="s">
        <v>519</v>
      </c>
      <c r="D27" s="66" t="s">
        <v>380</v>
      </c>
      <c r="E27" s="69">
        <v>4</v>
      </c>
      <c r="F27" s="66" t="s">
        <v>520</v>
      </c>
      <c r="G27" s="66" t="s">
        <v>521</v>
      </c>
      <c r="H27" s="66" t="s">
        <v>559</v>
      </c>
      <c r="I27" s="66" t="s">
        <v>560</v>
      </c>
    </row>
    <row r="28" spans="1:9" ht="76.5" thickBot="1">
      <c r="A28" s="68">
        <v>43084.747719907406</v>
      </c>
      <c r="B28" s="66" t="s">
        <v>225</v>
      </c>
      <c r="C28" s="66" t="s">
        <v>388</v>
      </c>
      <c r="D28" s="66" t="s">
        <v>380</v>
      </c>
      <c r="E28" s="69">
        <v>4</v>
      </c>
      <c r="F28" s="66" t="s">
        <v>549</v>
      </c>
      <c r="G28" s="66" t="s">
        <v>521</v>
      </c>
      <c r="H28" s="66" t="s">
        <v>561</v>
      </c>
      <c r="I28" s="66" t="s">
        <v>562</v>
      </c>
    </row>
    <row r="29" spans="1:9" ht="64" thickBot="1">
      <c r="A29" s="68">
        <v>43085.385601851849</v>
      </c>
      <c r="B29" s="66" t="s">
        <v>446</v>
      </c>
      <c r="C29" s="66" t="s">
        <v>519</v>
      </c>
      <c r="D29" s="66" t="s">
        <v>380</v>
      </c>
      <c r="E29" s="69">
        <v>3</v>
      </c>
      <c r="F29" s="66" t="s">
        <v>557</v>
      </c>
      <c r="G29" s="66" t="s">
        <v>521</v>
      </c>
      <c r="H29" s="66"/>
      <c r="I29" s="66"/>
    </row>
    <row r="30" spans="1:9" ht="39" thickBot="1">
      <c r="A30" s="68">
        <v>43086.438969907409</v>
      </c>
      <c r="B30" s="66" t="s">
        <v>563</v>
      </c>
      <c r="C30" s="66" t="s">
        <v>388</v>
      </c>
      <c r="D30" s="66" t="s">
        <v>380</v>
      </c>
      <c r="E30" s="69">
        <v>4</v>
      </c>
      <c r="F30" s="66" t="s">
        <v>549</v>
      </c>
      <c r="G30" s="66" t="s">
        <v>521</v>
      </c>
      <c r="H30" s="66"/>
      <c r="I30" s="66"/>
    </row>
    <row r="31" spans="1:9" ht="64" thickBot="1">
      <c r="A31" s="68">
        <v>43092.616979166669</v>
      </c>
      <c r="B31" s="66" t="s">
        <v>523</v>
      </c>
      <c r="C31" s="66" t="s">
        <v>388</v>
      </c>
      <c r="D31" s="66" t="s">
        <v>532</v>
      </c>
      <c r="E31" s="69">
        <v>4</v>
      </c>
      <c r="F31" s="66" t="s">
        <v>520</v>
      </c>
      <c r="G31" s="66" t="s">
        <v>521</v>
      </c>
      <c r="H31" s="66"/>
      <c r="I31" s="66" t="s">
        <v>564</v>
      </c>
    </row>
    <row r="32" spans="1:9" ht="26.5" thickBot="1">
      <c r="A32" s="68">
        <v>43451.723587962966</v>
      </c>
      <c r="B32" s="66" t="s">
        <v>465</v>
      </c>
      <c r="C32" s="66" t="s">
        <v>519</v>
      </c>
      <c r="D32" s="66" t="s">
        <v>380</v>
      </c>
      <c r="E32" s="69">
        <v>4</v>
      </c>
      <c r="F32" s="66" t="s">
        <v>549</v>
      </c>
      <c r="G32" s="66" t="s">
        <v>521</v>
      </c>
      <c r="H32" s="66"/>
      <c r="I32" s="66" t="s">
        <v>628</v>
      </c>
    </row>
    <row r="33" spans="1:9" ht="26.5" thickBot="1">
      <c r="A33" s="68">
        <v>43451.723935185182</v>
      </c>
      <c r="B33" s="66" t="s">
        <v>465</v>
      </c>
      <c r="C33" s="66" t="s">
        <v>519</v>
      </c>
      <c r="D33" s="66" t="s">
        <v>380</v>
      </c>
      <c r="E33" s="69">
        <v>4</v>
      </c>
      <c r="F33" s="66" t="s">
        <v>549</v>
      </c>
      <c r="G33" s="66" t="s">
        <v>521</v>
      </c>
      <c r="H33" s="66"/>
      <c r="I33" s="66" t="s">
        <v>629</v>
      </c>
    </row>
    <row r="34" spans="1:9" ht="64" thickBot="1">
      <c r="A34" s="68">
        <v>43451.726469907408</v>
      </c>
      <c r="B34" s="66" t="s">
        <v>465</v>
      </c>
      <c r="C34" s="66" t="s">
        <v>519</v>
      </c>
      <c r="D34" s="66" t="s">
        <v>380</v>
      </c>
      <c r="E34" s="69">
        <v>4</v>
      </c>
      <c r="F34" s="66" t="s">
        <v>520</v>
      </c>
      <c r="G34" s="66" t="s">
        <v>521</v>
      </c>
      <c r="H34" s="66"/>
      <c r="I34" s="66" t="s">
        <v>630</v>
      </c>
    </row>
    <row r="35" spans="1:9" ht="64" thickBot="1">
      <c r="A35" s="68">
        <v>43451.727280092593</v>
      </c>
      <c r="B35" s="66" t="s">
        <v>465</v>
      </c>
      <c r="C35" s="66" t="s">
        <v>519</v>
      </c>
      <c r="D35" s="66" t="s">
        <v>380</v>
      </c>
      <c r="E35" s="69">
        <v>4</v>
      </c>
      <c r="F35" s="66" t="s">
        <v>557</v>
      </c>
      <c r="G35" s="66" t="s">
        <v>521</v>
      </c>
      <c r="H35" s="66"/>
      <c r="I35" s="66" t="s">
        <v>631</v>
      </c>
    </row>
    <row r="36" spans="1:9" ht="64" thickBot="1">
      <c r="A36" s="68">
        <v>43451.728460648148</v>
      </c>
      <c r="B36" s="66" t="s">
        <v>632</v>
      </c>
      <c r="C36" s="66" t="s">
        <v>519</v>
      </c>
      <c r="D36" s="66" t="s">
        <v>380</v>
      </c>
      <c r="E36" s="69">
        <v>4</v>
      </c>
      <c r="F36" s="66" t="s">
        <v>520</v>
      </c>
      <c r="G36" s="66" t="s">
        <v>633</v>
      </c>
      <c r="H36" s="66"/>
      <c r="I36" s="66" t="s">
        <v>634</v>
      </c>
    </row>
    <row r="37" spans="1:9" ht="39" thickBot="1">
      <c r="A37" s="68">
        <v>43451.72929398148</v>
      </c>
      <c r="B37" s="66" t="s">
        <v>465</v>
      </c>
      <c r="C37" s="66" t="s">
        <v>388</v>
      </c>
      <c r="D37" s="66" t="s">
        <v>380</v>
      </c>
      <c r="E37" s="69">
        <v>4</v>
      </c>
      <c r="F37" s="66" t="s">
        <v>635</v>
      </c>
      <c r="G37" s="66" t="s">
        <v>521</v>
      </c>
      <c r="H37" s="66"/>
      <c r="I37" s="66"/>
    </row>
    <row r="38" spans="1:9" ht="26.5" thickBot="1">
      <c r="A38" s="68">
        <v>43451.738217592596</v>
      </c>
      <c r="B38" s="66" t="s">
        <v>465</v>
      </c>
      <c r="C38" s="66" t="s">
        <v>519</v>
      </c>
      <c r="D38" s="66" t="s">
        <v>380</v>
      </c>
      <c r="E38" s="69">
        <v>4</v>
      </c>
      <c r="F38" s="66" t="s">
        <v>549</v>
      </c>
      <c r="G38" s="66" t="s">
        <v>521</v>
      </c>
      <c r="H38" s="66" t="s">
        <v>636</v>
      </c>
      <c r="I38" s="66" t="s">
        <v>637</v>
      </c>
    </row>
    <row r="39" spans="1:9" ht="64" thickBot="1">
      <c r="A39" s="68">
        <v>43451.755520833336</v>
      </c>
      <c r="B39" s="66" t="s">
        <v>465</v>
      </c>
      <c r="C39" s="66" t="s">
        <v>519</v>
      </c>
      <c r="D39" s="66" t="s">
        <v>380</v>
      </c>
      <c r="E39" s="69">
        <v>4</v>
      </c>
      <c r="F39" s="66" t="s">
        <v>557</v>
      </c>
      <c r="G39" s="66" t="s">
        <v>521</v>
      </c>
      <c r="H39" s="66"/>
      <c r="I39" s="66" t="s">
        <v>638</v>
      </c>
    </row>
    <row r="40" spans="1:9" ht="64" thickBot="1">
      <c r="A40" s="68">
        <v>43451.798761574071</v>
      </c>
      <c r="B40" s="66" t="s">
        <v>639</v>
      </c>
      <c r="C40" s="66" t="s">
        <v>519</v>
      </c>
      <c r="D40" s="66" t="s">
        <v>380</v>
      </c>
      <c r="E40" s="69">
        <v>4</v>
      </c>
      <c r="F40" s="66" t="s">
        <v>520</v>
      </c>
      <c r="G40" s="66" t="s">
        <v>521</v>
      </c>
      <c r="H40" s="66"/>
      <c r="I40" s="66"/>
    </row>
    <row r="41" spans="1:9" ht="76.5" thickBot="1">
      <c r="A41" s="68">
        <v>43451.867280092592</v>
      </c>
      <c r="B41" s="66" t="s">
        <v>465</v>
      </c>
      <c r="C41" s="66" t="s">
        <v>519</v>
      </c>
      <c r="D41" s="66" t="s">
        <v>380</v>
      </c>
      <c r="E41" s="69">
        <v>4</v>
      </c>
      <c r="F41" s="66" t="s">
        <v>549</v>
      </c>
      <c r="G41" s="66" t="s">
        <v>640</v>
      </c>
      <c r="H41" s="66" t="s">
        <v>641</v>
      </c>
      <c r="I41" s="66" t="s">
        <v>642</v>
      </c>
    </row>
    <row r="42" spans="1:9" ht="176.5" thickBot="1">
      <c r="A42" s="68">
        <v>43451.902002314811</v>
      </c>
      <c r="B42" s="66" t="s">
        <v>643</v>
      </c>
      <c r="C42" s="66" t="s">
        <v>519</v>
      </c>
      <c r="D42" s="66" t="s">
        <v>380</v>
      </c>
      <c r="E42" s="69">
        <v>4</v>
      </c>
      <c r="F42" s="66" t="s">
        <v>549</v>
      </c>
      <c r="G42" s="66" t="s">
        <v>521</v>
      </c>
      <c r="H42" s="66" t="s">
        <v>644</v>
      </c>
      <c r="I42" s="66" t="s">
        <v>645</v>
      </c>
    </row>
    <row r="43" spans="1:9" ht="276.5" thickBot="1">
      <c r="A43" s="68">
        <v>43452.000173611108</v>
      </c>
      <c r="B43" s="66" t="s">
        <v>465</v>
      </c>
      <c r="C43" s="66" t="s">
        <v>388</v>
      </c>
      <c r="D43" s="66" t="s">
        <v>380</v>
      </c>
      <c r="E43" s="69">
        <v>3</v>
      </c>
      <c r="F43" s="66" t="s">
        <v>549</v>
      </c>
      <c r="G43" s="66" t="s">
        <v>521</v>
      </c>
      <c r="H43" s="66" t="s">
        <v>646</v>
      </c>
      <c r="I43" s="66" t="s">
        <v>647</v>
      </c>
    </row>
    <row r="44" spans="1:9" ht="39" thickBot="1">
      <c r="A44" s="68">
        <v>43452.366296296299</v>
      </c>
      <c r="B44" s="66" t="s">
        <v>523</v>
      </c>
      <c r="C44" s="66" t="s">
        <v>519</v>
      </c>
      <c r="D44" s="66" t="s">
        <v>380</v>
      </c>
      <c r="E44" s="69">
        <v>4</v>
      </c>
      <c r="F44" s="66" t="s">
        <v>549</v>
      </c>
      <c r="G44" s="66" t="s">
        <v>521</v>
      </c>
      <c r="H44" s="66" t="s">
        <v>648</v>
      </c>
      <c r="I44" s="67" t="s">
        <v>649</v>
      </c>
    </row>
    <row r="45" spans="1:9" ht="64" thickBot="1">
      <c r="A45" s="68">
        <v>43452.371793981481</v>
      </c>
      <c r="B45" s="66" t="s">
        <v>523</v>
      </c>
      <c r="C45" s="66" t="s">
        <v>519</v>
      </c>
      <c r="D45" s="66" t="s">
        <v>532</v>
      </c>
      <c r="E45" s="69">
        <v>4</v>
      </c>
      <c r="F45" s="66" t="s">
        <v>557</v>
      </c>
      <c r="G45" s="66" t="s">
        <v>521</v>
      </c>
      <c r="H45" s="66"/>
      <c r="I45" s="66" t="s">
        <v>650</v>
      </c>
    </row>
    <row r="46" spans="1:9" ht="64" thickBot="1">
      <c r="A46" s="68">
        <v>43452.394733796296</v>
      </c>
      <c r="B46" s="66" t="s">
        <v>465</v>
      </c>
      <c r="C46" s="66" t="s">
        <v>519</v>
      </c>
      <c r="D46" s="66" t="s">
        <v>380</v>
      </c>
      <c r="E46" s="69">
        <v>4</v>
      </c>
      <c r="F46" s="66" t="s">
        <v>557</v>
      </c>
      <c r="G46" s="66" t="s">
        <v>521</v>
      </c>
      <c r="H46" s="66"/>
      <c r="I46" s="66"/>
    </row>
    <row r="47" spans="1:9" ht="289" thickBot="1">
      <c r="A47" s="68">
        <v>43452.400972222225</v>
      </c>
      <c r="B47" s="66" t="s">
        <v>465</v>
      </c>
      <c r="C47" s="66" t="s">
        <v>388</v>
      </c>
      <c r="D47" s="66" t="s">
        <v>532</v>
      </c>
      <c r="E47" s="69">
        <v>4</v>
      </c>
      <c r="F47" s="66" t="s">
        <v>557</v>
      </c>
      <c r="G47" s="66" t="s">
        <v>521</v>
      </c>
      <c r="H47" s="66" t="s">
        <v>651</v>
      </c>
      <c r="I47" s="66" t="s">
        <v>652</v>
      </c>
    </row>
    <row r="48" spans="1:9" ht="26.5" thickBot="1">
      <c r="A48" s="68">
        <v>43452.42046296296</v>
      </c>
      <c r="B48" s="66" t="s">
        <v>207</v>
      </c>
      <c r="C48" s="66" t="s">
        <v>519</v>
      </c>
      <c r="D48" s="66" t="s">
        <v>380</v>
      </c>
      <c r="E48" s="69">
        <v>4</v>
      </c>
      <c r="F48" s="66" t="s">
        <v>549</v>
      </c>
      <c r="G48" s="66" t="s">
        <v>521</v>
      </c>
      <c r="H48" s="66"/>
      <c r="I48" s="66" t="s">
        <v>614</v>
      </c>
    </row>
    <row r="49" spans="1:9" ht="64" thickBot="1">
      <c r="A49" s="68">
        <v>43452.468333333331</v>
      </c>
      <c r="B49" s="66" t="s">
        <v>465</v>
      </c>
      <c r="C49" s="66" t="s">
        <v>519</v>
      </c>
      <c r="D49" s="66" t="s">
        <v>380</v>
      </c>
      <c r="E49" s="69">
        <v>3</v>
      </c>
      <c r="F49" s="66" t="s">
        <v>520</v>
      </c>
      <c r="G49" s="66" t="s">
        <v>521</v>
      </c>
      <c r="H49" s="66"/>
      <c r="I49" s="66" t="s">
        <v>653</v>
      </c>
    </row>
    <row r="50" spans="1:9" ht="64" thickBot="1">
      <c r="A50" s="68">
        <v>43452.749756944446</v>
      </c>
      <c r="B50" s="66" t="s">
        <v>465</v>
      </c>
      <c r="C50" s="66" t="s">
        <v>519</v>
      </c>
      <c r="D50" s="66" t="s">
        <v>380</v>
      </c>
      <c r="E50" s="69">
        <v>4</v>
      </c>
      <c r="F50" s="66" t="s">
        <v>520</v>
      </c>
      <c r="G50" s="66" t="s">
        <v>521</v>
      </c>
      <c r="H50" s="66"/>
      <c r="I50" s="66" t="s">
        <v>654</v>
      </c>
    </row>
    <row r="51" spans="1:9" ht="26.5" thickBot="1">
      <c r="A51" s="68">
        <v>43453.276759259257</v>
      </c>
      <c r="B51" s="66" t="s">
        <v>465</v>
      </c>
      <c r="C51" s="66" t="s">
        <v>519</v>
      </c>
      <c r="D51" s="66" t="s">
        <v>380</v>
      </c>
      <c r="E51" s="69">
        <v>3</v>
      </c>
      <c r="F51" s="66" t="s">
        <v>549</v>
      </c>
      <c r="G51" s="66" t="s">
        <v>521</v>
      </c>
      <c r="H51" s="66"/>
      <c r="I51" s="66"/>
    </row>
    <row r="52" spans="1:9" ht="214" thickBot="1">
      <c r="A52" s="68">
        <v>43453.326886574076</v>
      </c>
      <c r="B52" s="66" t="s">
        <v>465</v>
      </c>
      <c r="C52" s="66" t="s">
        <v>388</v>
      </c>
      <c r="D52" s="66" t="s">
        <v>532</v>
      </c>
      <c r="E52" s="69">
        <v>3</v>
      </c>
      <c r="F52" s="66" t="s">
        <v>635</v>
      </c>
      <c r="G52" s="66" t="s">
        <v>633</v>
      </c>
      <c r="H52" s="66" t="s">
        <v>655</v>
      </c>
      <c r="I52" s="66" t="s">
        <v>656</v>
      </c>
    </row>
    <row r="53" spans="1:9" ht="289" thickBot="1">
      <c r="A53" s="68">
        <v>43453.404618055552</v>
      </c>
      <c r="B53" s="66" t="s">
        <v>497</v>
      </c>
      <c r="C53" s="66" t="s">
        <v>519</v>
      </c>
      <c r="D53" s="66" t="s">
        <v>380</v>
      </c>
      <c r="E53" s="69">
        <v>4</v>
      </c>
      <c r="F53" s="66" t="s">
        <v>635</v>
      </c>
      <c r="G53" s="66" t="s">
        <v>521</v>
      </c>
      <c r="H53" s="66" t="s">
        <v>657</v>
      </c>
      <c r="I53" s="66" t="s">
        <v>658</v>
      </c>
    </row>
    <row r="54" spans="1:9" ht="39" thickBot="1">
      <c r="A54" s="68">
        <v>43453.764907407407</v>
      </c>
      <c r="B54" s="66" t="s">
        <v>465</v>
      </c>
      <c r="C54" s="66" t="s">
        <v>519</v>
      </c>
      <c r="D54" s="66" t="s">
        <v>532</v>
      </c>
      <c r="E54" s="69">
        <v>3</v>
      </c>
      <c r="F54" s="66" t="s">
        <v>635</v>
      </c>
      <c r="G54" s="66" t="s">
        <v>521</v>
      </c>
      <c r="H54" s="66"/>
      <c r="I54" s="66" t="s">
        <v>659</v>
      </c>
    </row>
    <row r="55" spans="1:9" ht="64" thickBot="1">
      <c r="A55" s="68">
        <v>43455.892766203702</v>
      </c>
      <c r="B55" s="66" t="s">
        <v>207</v>
      </c>
      <c r="C55" s="66" t="s">
        <v>388</v>
      </c>
      <c r="D55" s="66" t="s">
        <v>380</v>
      </c>
      <c r="E55" s="69">
        <v>4</v>
      </c>
      <c r="F55" s="66" t="s">
        <v>557</v>
      </c>
      <c r="G55" s="66" t="s">
        <v>521</v>
      </c>
      <c r="H55" s="66"/>
      <c r="I55" s="66"/>
    </row>
    <row r="56" spans="1:9" ht="64" thickBot="1">
      <c r="A56" s="68">
        <v>43463.496412037035</v>
      </c>
      <c r="B56" s="66" t="s">
        <v>497</v>
      </c>
      <c r="C56" s="66" t="s">
        <v>519</v>
      </c>
      <c r="D56" s="66" t="s">
        <v>380</v>
      </c>
      <c r="E56" s="69">
        <v>4</v>
      </c>
      <c r="F56" s="66" t="s">
        <v>660</v>
      </c>
      <c r="G56" s="66" t="s">
        <v>521</v>
      </c>
      <c r="H56" s="66"/>
      <c r="I56" s="66" t="s">
        <v>661</v>
      </c>
    </row>
  </sheetData>
  <pageMargins left="0.7" right="0.7" top="0.75" bottom="0.75" header="0.3" footer="0.3"/>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10"/>
  <sheetViews>
    <sheetView topLeftCell="E1" workbookViewId="0">
      <selection activeCell="G4" sqref="G4:H9"/>
    </sheetView>
  </sheetViews>
  <sheetFormatPr baseColWidth="10" defaultRowHeight="14.5"/>
  <cols>
    <col min="1" max="1" width="20.26953125" style="174" bestFit="1" customWidth="1"/>
    <col min="2" max="2" width="25.26953125" style="174" bestFit="1" customWidth="1"/>
    <col min="3" max="3" width="47.26953125" style="174" bestFit="1" customWidth="1"/>
    <col min="4" max="4" width="70.26953125" style="174" bestFit="1" customWidth="1"/>
    <col min="5" max="6" width="11.453125" style="174"/>
    <col min="7" max="7" width="57.54296875" customWidth="1"/>
    <col min="8" max="8" width="23.1796875" customWidth="1"/>
    <col min="10" max="10" width="19.54296875" customWidth="1"/>
    <col min="11" max="11" width="19" bestFit="1" customWidth="1"/>
  </cols>
  <sheetData>
    <row r="1" spans="1:8">
      <c r="A1" s="189" t="s">
        <v>566</v>
      </c>
      <c r="B1" s="189" t="s">
        <v>567</v>
      </c>
      <c r="C1" s="189" t="s">
        <v>568</v>
      </c>
      <c r="D1" s="189" t="s">
        <v>775</v>
      </c>
    </row>
    <row r="2" spans="1:8">
      <c r="A2" s="185" t="s">
        <v>169</v>
      </c>
      <c r="B2" s="185" t="s">
        <v>502</v>
      </c>
      <c r="C2" s="185" t="s">
        <v>616</v>
      </c>
      <c r="D2" s="181" t="str">
        <f>INDEX('Affectation epci'!C:C,MATCH(B2,'Affectation epci'!B:B,0))</f>
        <v>Grenoble-Alpes-Métropole</v>
      </c>
    </row>
    <row r="3" spans="1:8">
      <c r="A3" s="186" t="s">
        <v>169</v>
      </c>
      <c r="B3" s="186" t="s">
        <v>501</v>
      </c>
      <c r="C3" s="186" t="s">
        <v>720</v>
      </c>
      <c r="D3" s="181" t="str">
        <f>INDEX('Affectation epci'!C:C,MATCH(B3,'Affectation epci'!B:B,0))</f>
        <v>Grenoble-Alpes-Métropole</v>
      </c>
      <c r="G3" s="340" t="s">
        <v>282</v>
      </c>
      <c r="H3" t="s">
        <v>776</v>
      </c>
    </row>
    <row r="4" spans="1:8">
      <c r="A4" s="188" t="s">
        <v>169</v>
      </c>
      <c r="B4" s="188" t="s">
        <v>773</v>
      </c>
      <c r="C4" s="188" t="s">
        <v>774</v>
      </c>
      <c r="D4" s="181" t="str">
        <f>INDEX('Affectation epci'!C:C,MATCH(B4,'Affectation epci'!B:B,0))</f>
        <v>Grenoble-Alpes-Métropole</v>
      </c>
      <c r="G4" s="72" t="s">
        <v>500</v>
      </c>
      <c r="H4" s="73">
        <v>29</v>
      </c>
    </row>
    <row r="5" spans="1:8">
      <c r="A5" s="186" t="s">
        <v>169</v>
      </c>
      <c r="B5" s="186" t="s">
        <v>392</v>
      </c>
      <c r="C5" s="186" t="s">
        <v>1071</v>
      </c>
      <c r="D5" s="181" t="str">
        <f>INDEX('Affectation epci'!C:C,MATCH(B5,'Affectation epci'!B:B,0))</f>
        <v>CA du Pays Voironnais</v>
      </c>
      <c r="G5" s="72" t="s">
        <v>663</v>
      </c>
      <c r="H5" s="73">
        <v>23</v>
      </c>
    </row>
    <row r="6" spans="1:8">
      <c r="A6" s="185" t="s">
        <v>169</v>
      </c>
      <c r="B6" s="185" t="s">
        <v>576</v>
      </c>
      <c r="C6" s="185" t="s">
        <v>721</v>
      </c>
      <c r="D6" s="181" t="str">
        <f>INDEX('Affectation epci'!C:C,MATCH(B6,'Affectation epci'!B:B,0))</f>
        <v>Savoie</v>
      </c>
      <c r="G6" s="72" t="s">
        <v>627</v>
      </c>
      <c r="H6" s="73">
        <v>16</v>
      </c>
    </row>
    <row r="7" spans="1:8">
      <c r="A7" s="186" t="s">
        <v>169</v>
      </c>
      <c r="B7" s="186" t="s">
        <v>493</v>
      </c>
      <c r="C7" s="186" t="s">
        <v>585</v>
      </c>
      <c r="D7" s="181" t="str">
        <f>INDEX('Affectation epci'!C:C,MATCH(B7,'Affectation epci'!B:B,0))</f>
        <v>CC Le Grésivaudan</v>
      </c>
      <c r="G7" s="72" t="s">
        <v>442</v>
      </c>
      <c r="H7" s="73">
        <v>15</v>
      </c>
    </row>
    <row r="8" spans="1:8">
      <c r="A8" s="185" t="s">
        <v>169</v>
      </c>
      <c r="B8" s="185" t="s">
        <v>932</v>
      </c>
      <c r="C8" s="185" t="s">
        <v>812</v>
      </c>
      <c r="D8" s="181" t="str">
        <f>INDEX('Affectation epci'!C:C,MATCH(B8,'Affectation epci'!B:B,0))</f>
        <v>Savoie</v>
      </c>
      <c r="G8" s="72" t="s">
        <v>664</v>
      </c>
      <c r="H8" s="73">
        <v>13</v>
      </c>
    </row>
    <row r="9" spans="1:8">
      <c r="A9" s="186" t="s">
        <v>169</v>
      </c>
      <c r="B9" s="186" t="s">
        <v>569</v>
      </c>
      <c r="C9" s="186" t="s">
        <v>570</v>
      </c>
      <c r="D9" s="181" t="str">
        <f>INDEX('Affectation epci'!C:C,MATCH(B9,'Affectation epci'!B:B,0))</f>
        <v>Savoie</v>
      </c>
      <c r="G9" s="72" t="s">
        <v>454</v>
      </c>
      <c r="H9" s="73">
        <v>13</v>
      </c>
    </row>
    <row r="10" spans="1:8">
      <c r="A10" s="185" t="s">
        <v>169</v>
      </c>
      <c r="B10" s="185" t="s">
        <v>506</v>
      </c>
      <c r="C10" s="185" t="s">
        <v>1072</v>
      </c>
      <c r="D10" s="181" t="str">
        <f>INDEX('Affectation epci'!C:C,MATCH(B10,'Affectation epci'!B:B,0))</f>
        <v>Grenoble-Alpes-Métropole</v>
      </c>
      <c r="G10" s="72" t="s">
        <v>284</v>
      </c>
      <c r="H10" s="73">
        <v>109</v>
      </c>
    </row>
    <row r="11" spans="1:8">
      <c r="A11" s="186" t="s">
        <v>169</v>
      </c>
      <c r="B11" s="186" t="s">
        <v>722</v>
      </c>
      <c r="C11" s="186" t="s">
        <v>815</v>
      </c>
      <c r="D11" s="181" t="str">
        <f>INDEX('Affectation epci'!C:C,MATCH(B11,'Affectation epci'!B:B,0))</f>
        <v>CC Le Grésivaudan</v>
      </c>
    </row>
    <row r="12" spans="1:8">
      <c r="A12" s="185" t="s">
        <v>169</v>
      </c>
      <c r="B12" s="185" t="s">
        <v>504</v>
      </c>
      <c r="C12" s="185" t="s">
        <v>723</v>
      </c>
      <c r="D12" s="181" t="str">
        <f>INDEX('Affectation epci'!C:C,MATCH(B12,'Affectation epci'!B:B,0))</f>
        <v>Grenoble-Alpes-Métropole</v>
      </c>
    </row>
    <row r="13" spans="1:8">
      <c r="A13" s="186" t="s">
        <v>169</v>
      </c>
      <c r="B13" s="186" t="s">
        <v>724</v>
      </c>
      <c r="C13" s="186" t="s">
        <v>236</v>
      </c>
      <c r="D13" s="181" t="str">
        <f>INDEX('Affectation epci'!C:C,MATCH(B13,'Affectation epci'!B:B,0))</f>
        <v>Grenoble-Alpes-Métropole</v>
      </c>
    </row>
    <row r="14" spans="1:8">
      <c r="A14" s="185" t="s">
        <v>169</v>
      </c>
      <c r="B14" s="185" t="s">
        <v>446</v>
      </c>
      <c r="C14" s="185" t="s">
        <v>1073</v>
      </c>
      <c r="D14" s="181" t="str">
        <f>INDEX('Affectation epci'!C:C,MATCH(B14,'Affectation epci'!B:B,0))</f>
        <v>CA du Pays Voironnais</v>
      </c>
    </row>
    <row r="15" spans="1:8">
      <c r="A15" s="186" t="s">
        <v>169</v>
      </c>
      <c r="B15" s="186" t="s">
        <v>501</v>
      </c>
      <c r="C15" s="186" t="s">
        <v>725</v>
      </c>
      <c r="D15" s="181" t="str">
        <f>INDEX('Affectation epci'!C:C,MATCH(B15,'Affectation epci'!B:B,0))</f>
        <v>Grenoble-Alpes-Métropole</v>
      </c>
    </row>
    <row r="16" spans="1:8">
      <c r="A16" s="185" t="s">
        <v>169</v>
      </c>
      <c r="B16" s="185" t="s">
        <v>503</v>
      </c>
      <c r="C16" s="185" t="s">
        <v>416</v>
      </c>
      <c r="D16" s="181" t="str">
        <f>INDEX('Affectation epci'!C:C,MATCH(B16,'Affectation epci'!B:B,0))</f>
        <v>Grenoble-Alpes-Métropole</v>
      </c>
    </row>
    <row r="17" spans="1:4">
      <c r="A17" s="186" t="s">
        <v>169</v>
      </c>
      <c r="B17" s="186" t="s">
        <v>1074</v>
      </c>
      <c r="C17" s="186" t="s">
        <v>1075</v>
      </c>
      <c r="D17" s="181" t="str">
        <f>INDEX('Affectation epci'!C:C,MATCH(B17,'Affectation epci'!B:B,0))</f>
        <v>CA du Pays Voironnais</v>
      </c>
    </row>
    <row r="18" spans="1:4">
      <c r="A18" s="185" t="s">
        <v>169</v>
      </c>
      <c r="B18" s="185" t="s">
        <v>451</v>
      </c>
      <c r="C18" s="185" t="s">
        <v>624</v>
      </c>
      <c r="D18" s="181" t="str">
        <f>INDEX('Affectation epci'!C:C,MATCH(B18,'Affectation epci'!B:B,0))</f>
        <v>Isère (sauf GAM, CCG et CAPV)</v>
      </c>
    </row>
    <row r="19" spans="1:4">
      <c r="A19" s="186" t="s">
        <v>169</v>
      </c>
      <c r="B19" s="186" t="s">
        <v>1076</v>
      </c>
      <c r="C19" s="186" t="s">
        <v>821</v>
      </c>
      <c r="D19" s="181" t="str">
        <f>INDEX('Affectation epci'!C:C,MATCH(B19,'Affectation epci'!B:B,0))</f>
        <v>CA du Pays Voironnais</v>
      </c>
    </row>
    <row r="20" spans="1:4">
      <c r="A20" s="185" t="s">
        <v>169</v>
      </c>
      <c r="B20" s="185" t="s">
        <v>463</v>
      </c>
      <c r="C20" s="185" t="s">
        <v>577</v>
      </c>
      <c r="D20" s="181" t="str">
        <f>INDEX('Affectation epci'!C:C,MATCH(B20,'Affectation epci'!B:B,0))</f>
        <v>CC Le Grésivaudan</v>
      </c>
    </row>
    <row r="21" spans="1:4">
      <c r="A21" s="186" t="s">
        <v>169</v>
      </c>
      <c r="B21" s="186" t="s">
        <v>773</v>
      </c>
      <c r="C21" s="186" t="s">
        <v>889</v>
      </c>
      <c r="D21" s="181" t="str">
        <f>INDEX('Affectation epci'!C:C,MATCH(B21,'Affectation epci'!B:B,0))</f>
        <v>Grenoble-Alpes-Métropole</v>
      </c>
    </row>
    <row r="22" spans="1:4">
      <c r="A22" s="185" t="s">
        <v>169</v>
      </c>
      <c r="B22" s="185" t="s">
        <v>583</v>
      </c>
      <c r="C22" s="185" t="s">
        <v>584</v>
      </c>
      <c r="D22" s="181" t="str">
        <f>INDEX('Affectation epci'!C:C,MATCH(B22,'Affectation epci'!B:B,0))</f>
        <v>Savoie</v>
      </c>
    </row>
    <row r="23" spans="1:4">
      <c r="A23" s="186" t="s">
        <v>169</v>
      </c>
      <c r="B23" s="186" t="s">
        <v>392</v>
      </c>
      <c r="C23" s="186" t="s">
        <v>679</v>
      </c>
      <c r="D23" s="181" t="str">
        <f>INDEX('Affectation epci'!C:C,MATCH(B23,'Affectation epci'!B:B,0))</f>
        <v>CA du Pays Voironnais</v>
      </c>
    </row>
    <row r="24" spans="1:4">
      <c r="A24" s="185" t="s">
        <v>169</v>
      </c>
      <c r="B24" s="185" t="s">
        <v>506</v>
      </c>
      <c r="C24" s="185" t="s">
        <v>586</v>
      </c>
      <c r="D24" s="181" t="str">
        <f>INDEX('Affectation epci'!C:C,MATCH(B24,'Affectation epci'!B:B,0))</f>
        <v>Grenoble-Alpes-Métropole</v>
      </c>
    </row>
    <row r="25" spans="1:4">
      <c r="A25" s="186" t="s">
        <v>169</v>
      </c>
      <c r="B25" s="186" t="s">
        <v>503</v>
      </c>
      <c r="C25" s="186" t="s">
        <v>730</v>
      </c>
      <c r="D25" s="181" t="str">
        <f>INDEX('Affectation epci'!C:C,MATCH(B25,'Affectation epci'!B:B,0))</f>
        <v>Grenoble-Alpes-Métropole</v>
      </c>
    </row>
    <row r="26" spans="1:4">
      <c r="A26" s="185" t="s">
        <v>169</v>
      </c>
      <c r="B26" s="185" t="s">
        <v>448</v>
      </c>
      <c r="C26" s="185" t="s">
        <v>682</v>
      </c>
      <c r="D26" s="181" t="str">
        <f>INDEX('Affectation epci'!C:C,MATCH(B26,'Affectation epci'!B:B,0))</f>
        <v>Isère (sauf GAM, CCG et CAPV)</v>
      </c>
    </row>
    <row r="27" spans="1:4">
      <c r="A27" s="186" t="s">
        <v>169</v>
      </c>
      <c r="B27" s="186" t="s">
        <v>503</v>
      </c>
      <c r="C27" s="186" t="s">
        <v>731</v>
      </c>
      <c r="D27" s="181" t="str">
        <f>INDEX('Affectation epci'!C:C,MATCH(B27,'Affectation epci'!B:B,0))</f>
        <v>Grenoble-Alpes-Métropole</v>
      </c>
    </row>
    <row r="28" spans="1:4">
      <c r="A28" s="185" t="s">
        <v>169</v>
      </c>
      <c r="B28" s="185" t="s">
        <v>935</v>
      </c>
      <c r="C28" s="185" t="s">
        <v>877</v>
      </c>
      <c r="D28" s="181" t="str">
        <f>INDEX('Affectation epci'!C:C,MATCH(B28,'Affectation epci'!B:B,0))</f>
        <v>Savoie</v>
      </c>
    </row>
    <row r="29" spans="1:4">
      <c r="A29" s="186" t="s">
        <v>169</v>
      </c>
      <c r="B29" s="186" t="s">
        <v>452</v>
      </c>
      <c r="C29" s="186" t="s">
        <v>575</v>
      </c>
      <c r="D29" s="181" t="str">
        <f>INDEX('Affectation epci'!C:C,MATCH(B29,'Affectation epci'!B:B,0))</f>
        <v>Isère (sauf GAM, CCG et CAPV)</v>
      </c>
    </row>
    <row r="30" spans="1:4">
      <c r="A30" s="185" t="s">
        <v>169</v>
      </c>
      <c r="B30" s="185" t="s">
        <v>446</v>
      </c>
      <c r="C30" s="185" t="s">
        <v>587</v>
      </c>
      <c r="D30" s="181" t="str">
        <f>INDEX('Affectation epci'!C:C,MATCH(B30,'Affectation epci'!B:B,0))</f>
        <v>CA du Pays Voironnais</v>
      </c>
    </row>
    <row r="31" spans="1:4">
      <c r="A31" s="186" t="s">
        <v>169</v>
      </c>
      <c r="B31" s="186" t="s">
        <v>446</v>
      </c>
      <c r="C31" s="186" t="s">
        <v>677</v>
      </c>
      <c r="D31" s="181" t="str">
        <f>INDEX('Affectation epci'!C:C,MATCH(B31,'Affectation epci'!B:B,0))</f>
        <v>CA du Pays Voironnais</v>
      </c>
    </row>
    <row r="32" spans="1:4">
      <c r="A32" s="185" t="s">
        <v>169</v>
      </c>
      <c r="B32" s="185" t="s">
        <v>734</v>
      </c>
      <c r="C32" s="185" t="s">
        <v>735</v>
      </c>
      <c r="D32" s="181" t="str">
        <f>INDEX('Affectation epci'!C:C,MATCH(B32,'Affectation epci'!B:B,0))</f>
        <v>Isère (sauf GAM, CCG et CAPV)</v>
      </c>
    </row>
    <row r="33" spans="1:4">
      <c r="A33" s="186" t="s">
        <v>169</v>
      </c>
      <c r="B33" s="186" t="s">
        <v>939</v>
      </c>
      <c r="C33" s="186" t="s">
        <v>940</v>
      </c>
      <c r="D33" s="181" t="str">
        <f>INDEX('Affectation epci'!C:C,MATCH(B33,'Affectation epci'!B:B,0))</f>
        <v>autre département sauf Savoie (Ain, Drôme, Hautes-Alpes…)</v>
      </c>
    </row>
    <row r="34" spans="1:4">
      <c r="A34" s="185" t="s">
        <v>169</v>
      </c>
      <c r="B34" s="185" t="s">
        <v>505</v>
      </c>
      <c r="C34" s="185" t="s">
        <v>1077</v>
      </c>
      <c r="D34" s="181" t="str">
        <f>INDEX('Affectation epci'!C:C,MATCH(B34,'Affectation epci'!B:B,0))</f>
        <v>Grenoble-Alpes-Métropole</v>
      </c>
    </row>
    <row r="35" spans="1:4">
      <c r="A35" s="186" t="s">
        <v>169</v>
      </c>
      <c r="B35" s="186" t="s">
        <v>738</v>
      </c>
      <c r="C35" s="186" t="s">
        <v>739</v>
      </c>
      <c r="D35" s="181" t="str">
        <f>INDEX('Affectation epci'!C:C,MATCH(B35,'Affectation epci'!B:B,0))</f>
        <v>autre département sauf Savoie (Ain, Drôme, Hautes-Alpes…)</v>
      </c>
    </row>
    <row r="36" spans="1:4">
      <c r="A36" s="185" t="s">
        <v>169</v>
      </c>
      <c r="B36" s="185" t="s">
        <v>941</v>
      </c>
      <c r="C36" s="185" t="s">
        <v>942</v>
      </c>
      <c r="D36" s="181" t="str">
        <f>INDEX('Affectation epci'!C:C,MATCH(B36,'Affectation epci'!B:B,0))</f>
        <v>Isère (sauf GAM, CCG et CAPV)</v>
      </c>
    </row>
    <row r="37" spans="1:4">
      <c r="A37" s="186" t="s">
        <v>169</v>
      </c>
      <c r="B37" s="186" t="s">
        <v>449</v>
      </c>
      <c r="C37" s="186" t="s">
        <v>740</v>
      </c>
      <c r="D37" s="181" t="str">
        <f>INDEX('Affectation epci'!C:C,MATCH(B37,'Affectation epci'!B:B,0))</f>
        <v>Isère (sauf GAM, CCG et CAPV)</v>
      </c>
    </row>
    <row r="38" spans="1:4">
      <c r="A38" s="185" t="s">
        <v>169</v>
      </c>
      <c r="B38" s="185" t="s">
        <v>393</v>
      </c>
      <c r="C38" s="185" t="s">
        <v>572</v>
      </c>
      <c r="D38" s="181" t="str">
        <f>INDEX('Affectation epci'!C:C,MATCH(B38,'Affectation epci'!B:B,0))</f>
        <v>Isère (sauf GAM, CCG et CAPV)</v>
      </c>
    </row>
    <row r="39" spans="1:4">
      <c r="A39" s="186" t="s">
        <v>169</v>
      </c>
      <c r="B39" s="186" t="s">
        <v>465</v>
      </c>
      <c r="C39" s="186" t="s">
        <v>220</v>
      </c>
      <c r="D39" s="181" t="str">
        <f>INDEX('Affectation epci'!C:C,MATCH(B39,'Affectation epci'!B:B,0))</f>
        <v>CC Le Grésivaudan</v>
      </c>
    </row>
    <row r="40" spans="1:4">
      <c r="A40" s="181" t="s">
        <v>169</v>
      </c>
      <c r="B40" s="185" t="s">
        <v>1078</v>
      </c>
      <c r="C40" s="185" t="s">
        <v>832</v>
      </c>
      <c r="D40" s="181" t="str">
        <f>INDEX('Affectation epci'!C:C,MATCH(B40,'Affectation epci'!B:B,0))</f>
        <v>Isère (sauf GAM, CCG et CAPV)</v>
      </c>
    </row>
    <row r="41" spans="1:4">
      <c r="A41" s="186" t="s">
        <v>169</v>
      </c>
      <c r="B41" s="186" t="s">
        <v>726</v>
      </c>
      <c r="C41" s="186" t="s">
        <v>1079</v>
      </c>
      <c r="D41" s="181" t="str">
        <f>INDEX('Affectation epci'!C:C,MATCH(B41,'Affectation epci'!B:B,0))</f>
        <v>Isère (sauf GAM, CCG et CAPV)</v>
      </c>
    </row>
    <row r="42" spans="1:4">
      <c r="A42" s="185" t="s">
        <v>169</v>
      </c>
      <c r="B42" s="185" t="s">
        <v>578</v>
      </c>
      <c r="C42" s="185" t="s">
        <v>742</v>
      </c>
      <c r="D42" s="181" t="str">
        <f>INDEX('Affectation epci'!C:C,MATCH(B42,'Affectation epci'!B:B,0))</f>
        <v>Grenoble-Alpes-Métropole</v>
      </c>
    </row>
    <row r="43" spans="1:4">
      <c r="A43" s="186" t="s">
        <v>169</v>
      </c>
      <c r="B43" s="186" t="s">
        <v>745</v>
      </c>
      <c r="C43" s="186" t="s">
        <v>746</v>
      </c>
      <c r="D43" s="181" t="str">
        <f>INDEX('Affectation epci'!C:C,MATCH(B43,'Affectation epci'!B:B,0))</f>
        <v>autre département sauf Savoie (Ain, Drôme, Hautes-Alpes…)</v>
      </c>
    </row>
    <row r="44" spans="1:4">
      <c r="A44" s="185" t="s">
        <v>169</v>
      </c>
      <c r="B44" s="185" t="s">
        <v>747</v>
      </c>
      <c r="C44" s="185" t="s">
        <v>748</v>
      </c>
      <c r="D44" s="181" t="str">
        <f>INDEX('Affectation epci'!C:C,MATCH(B44,'Affectation epci'!B:B,0))</f>
        <v>autre département sauf Savoie (Ain, Drôme, Hautes-Alpes…)</v>
      </c>
    </row>
    <row r="45" spans="1:4">
      <c r="A45" s="186" t="s">
        <v>169</v>
      </c>
      <c r="B45" s="186" t="s">
        <v>944</v>
      </c>
      <c r="C45" s="186" t="s">
        <v>945</v>
      </c>
      <c r="D45" s="181" t="str">
        <f>INDEX('Affectation epci'!C:C,MATCH(B45,'Affectation epci'!B:B,0))</f>
        <v>Isère (sauf GAM, CCG et CAPV)</v>
      </c>
    </row>
    <row r="46" spans="1:4">
      <c r="A46" s="185" t="s">
        <v>169</v>
      </c>
      <c r="B46" s="185" t="s">
        <v>443</v>
      </c>
      <c r="C46" s="185" t="s">
        <v>268</v>
      </c>
      <c r="D46" s="181" t="str">
        <f>INDEX('Affectation epci'!C:C,MATCH(B46,'Affectation epci'!B:B,0))</f>
        <v>CA du Pays Voironnais</v>
      </c>
    </row>
    <row r="47" spans="1:4">
      <c r="A47" s="182" t="s">
        <v>169</v>
      </c>
      <c r="B47" s="186" t="s">
        <v>1080</v>
      </c>
      <c r="C47" s="186" t="s">
        <v>1081</v>
      </c>
      <c r="D47" s="181" t="str">
        <f>INDEX('Affectation epci'!C:C,MATCH(B47,'Affectation epci'!B:B,0))</f>
        <v>autre département sauf Savoie (Ain, Drôme, Hautes-Alpes…)</v>
      </c>
    </row>
    <row r="48" spans="1:4">
      <c r="A48" s="185" t="s">
        <v>169</v>
      </c>
      <c r="B48" s="185" t="s">
        <v>503</v>
      </c>
      <c r="C48" s="185" t="s">
        <v>749</v>
      </c>
      <c r="D48" s="181" t="str">
        <f>INDEX('Affectation epci'!C:C,MATCH(B48,'Affectation epci'!B:B,0))</f>
        <v>Grenoble-Alpes-Métropole</v>
      </c>
    </row>
    <row r="49" spans="1:4">
      <c r="A49" s="186" t="s">
        <v>169</v>
      </c>
      <c r="B49" s="186" t="s">
        <v>461</v>
      </c>
      <c r="C49" s="186" t="s">
        <v>750</v>
      </c>
      <c r="D49" s="181" t="str">
        <f>INDEX('Affectation epci'!C:C,MATCH(B49,'Affectation epci'!B:B,0))</f>
        <v>CC Le Grésivaudan</v>
      </c>
    </row>
    <row r="50" spans="1:4">
      <c r="A50" s="185" t="s">
        <v>169</v>
      </c>
      <c r="B50" s="185" t="s">
        <v>477</v>
      </c>
      <c r="C50" s="185" t="s">
        <v>751</v>
      </c>
      <c r="D50" s="181" t="str">
        <f>INDEX('Affectation epci'!C:C,MATCH(B50,'Affectation epci'!B:B,0))</f>
        <v>CC Le Grésivaudan</v>
      </c>
    </row>
    <row r="51" spans="1:4">
      <c r="A51" s="186" t="s">
        <v>169</v>
      </c>
      <c r="B51" s="186" t="s">
        <v>946</v>
      </c>
      <c r="C51" s="186" t="s">
        <v>947</v>
      </c>
      <c r="D51" s="181" t="str">
        <f>INDEX('Affectation epci'!C:C,MATCH(B51,'Affectation epci'!B:B,0))</f>
        <v>Isère (sauf GAM, CCG et CAPV)</v>
      </c>
    </row>
    <row r="52" spans="1:4">
      <c r="A52" s="185" t="s">
        <v>169</v>
      </c>
      <c r="B52" s="185" t="s">
        <v>948</v>
      </c>
      <c r="C52" s="185" t="s">
        <v>891</v>
      </c>
      <c r="D52" s="181" t="str">
        <f>INDEX('Affectation epci'!C:C,MATCH(B52,'Affectation epci'!B:B,0))</f>
        <v>autre département sauf Savoie (Ain, Drôme, Hautes-Alpes…)</v>
      </c>
    </row>
    <row r="53" spans="1:4">
      <c r="A53" s="186" t="s">
        <v>169</v>
      </c>
      <c r="B53" s="186" t="s">
        <v>501</v>
      </c>
      <c r="C53" s="186" t="s">
        <v>752</v>
      </c>
      <c r="D53" s="181" t="str">
        <f>INDEX('Affectation epci'!C:C,MATCH(B53,'Affectation epci'!B:B,0))</f>
        <v>Grenoble-Alpes-Métropole</v>
      </c>
    </row>
    <row r="54" spans="1:4">
      <c r="A54" s="185" t="s">
        <v>169</v>
      </c>
      <c r="B54" s="185" t="s">
        <v>753</v>
      </c>
      <c r="C54" s="185" t="s">
        <v>582</v>
      </c>
      <c r="D54" s="181" t="str">
        <f>INDEX('Affectation epci'!C:C,MATCH(B54,'Affectation epci'!B:B,0))</f>
        <v>Isère (sauf GAM, CCG et CAPV)</v>
      </c>
    </row>
    <row r="55" spans="1:4">
      <c r="A55" s="186" t="s">
        <v>169</v>
      </c>
      <c r="B55" s="186" t="s">
        <v>754</v>
      </c>
      <c r="C55" s="186" t="s">
        <v>681</v>
      </c>
      <c r="D55" s="181" t="str">
        <f>INDEX('Affectation epci'!C:C,MATCH(B55,'Affectation epci'!B:B,0))</f>
        <v>Savoie</v>
      </c>
    </row>
    <row r="56" spans="1:4">
      <c r="A56" s="181" t="s">
        <v>169</v>
      </c>
      <c r="B56" s="185" t="s">
        <v>1000</v>
      </c>
      <c r="C56" s="185" t="s">
        <v>1058</v>
      </c>
      <c r="D56" s="181" t="str">
        <f>INDEX('Affectation epci'!C:C,MATCH(B56,'Affectation epci'!B:B,0))</f>
        <v>Savoie</v>
      </c>
    </row>
    <row r="57" spans="1:4">
      <c r="A57" s="186" t="s">
        <v>169</v>
      </c>
      <c r="B57" s="186" t="s">
        <v>469</v>
      </c>
      <c r="C57" s="186" t="s">
        <v>757</v>
      </c>
      <c r="D57" s="181" t="str">
        <f>INDEX('Affectation epci'!C:C,MATCH(B57,'Affectation epci'!B:B,0))</f>
        <v>CC Le Grésivaudan</v>
      </c>
    </row>
    <row r="58" spans="1:4">
      <c r="A58" s="185" t="s">
        <v>169</v>
      </c>
      <c r="B58" s="185" t="s">
        <v>758</v>
      </c>
      <c r="C58" s="185" t="s">
        <v>589</v>
      </c>
      <c r="D58" s="181" t="str">
        <f>INDEX('Affectation epci'!C:C,MATCH(B58,'Affectation epci'!B:B,0))</f>
        <v>Savoie</v>
      </c>
    </row>
    <row r="59" spans="1:4">
      <c r="A59" s="186" t="s">
        <v>169</v>
      </c>
      <c r="B59" s="186" t="s">
        <v>949</v>
      </c>
      <c r="C59" s="186" t="s">
        <v>843</v>
      </c>
      <c r="D59" s="181" t="str">
        <f>INDEX('Affectation epci'!C:C,MATCH(B59,'Affectation epci'!B:B,0))</f>
        <v>Isère (sauf GAM, CCG et CAPV)</v>
      </c>
    </row>
    <row r="60" spans="1:4">
      <c r="A60" s="185" t="s">
        <v>169</v>
      </c>
      <c r="B60" s="185" t="s">
        <v>450</v>
      </c>
      <c r="C60" s="185" t="s">
        <v>759</v>
      </c>
      <c r="D60" s="181" t="str">
        <f>INDEX('Affectation epci'!C:C,MATCH(B60,'Affectation epci'!B:B,0))</f>
        <v>CA du Pays Voironnais</v>
      </c>
    </row>
    <row r="61" spans="1:4">
      <c r="A61" s="186" t="s">
        <v>169</v>
      </c>
      <c r="B61" s="186" t="s">
        <v>393</v>
      </c>
      <c r="C61" s="186" t="s">
        <v>386</v>
      </c>
      <c r="D61" s="181" t="str">
        <f>INDEX('Affectation epci'!C:C,MATCH(B61,'Affectation epci'!B:B,0))</f>
        <v>Isère (sauf GAM, CCG et CAPV)</v>
      </c>
    </row>
    <row r="62" spans="1:4">
      <c r="A62" s="187" t="s">
        <v>169</v>
      </c>
      <c r="B62" s="187" t="s">
        <v>724</v>
      </c>
      <c r="C62" s="187" t="s">
        <v>760</v>
      </c>
      <c r="D62" s="181" t="str">
        <f>INDEX('Affectation epci'!C:C,MATCH(B62,'Affectation epci'!B:B,0))</f>
        <v>Grenoble-Alpes-Métropole</v>
      </c>
    </row>
    <row r="63" spans="1:4">
      <c r="A63" s="186" t="s">
        <v>169</v>
      </c>
      <c r="B63" s="186" t="s">
        <v>447</v>
      </c>
      <c r="C63" s="186" t="s">
        <v>1082</v>
      </c>
      <c r="D63" s="181" t="str">
        <f>INDEX('Affectation epci'!C:C,MATCH(B63,'Affectation epci'!B:B,0))</f>
        <v>Isère (sauf GAM, CCG et CAPV)</v>
      </c>
    </row>
    <row r="64" spans="1:4">
      <c r="A64" s="185" t="s">
        <v>169</v>
      </c>
      <c r="B64" s="185" t="s">
        <v>578</v>
      </c>
      <c r="C64" s="185" t="s">
        <v>1082</v>
      </c>
      <c r="D64" s="181" t="str">
        <f>INDEX('Affectation epci'!C:C,MATCH(B64,'Affectation epci'!B:B,0))</f>
        <v>Grenoble-Alpes-Métropole</v>
      </c>
    </row>
    <row r="65" spans="1:4">
      <c r="A65" s="186" t="s">
        <v>169</v>
      </c>
      <c r="B65" s="186" t="s">
        <v>950</v>
      </c>
      <c r="C65" s="186" t="s">
        <v>951</v>
      </c>
      <c r="D65" s="181" t="str">
        <f>INDEX('Affectation epci'!C:C,MATCH(B65,'Affectation epci'!B:B,0))</f>
        <v>Savoie</v>
      </c>
    </row>
    <row r="66" spans="1:4">
      <c r="A66" s="185" t="s">
        <v>169</v>
      </c>
      <c r="B66" s="185" t="s">
        <v>576</v>
      </c>
      <c r="C66" s="185" t="s">
        <v>951</v>
      </c>
      <c r="D66" s="181" t="str">
        <f>INDEX('Affectation epci'!C:C,MATCH(B66,'Affectation epci'!B:B,0))</f>
        <v>Savoie</v>
      </c>
    </row>
    <row r="67" spans="1:4">
      <c r="A67" s="186" t="s">
        <v>169</v>
      </c>
      <c r="B67" s="186" t="s">
        <v>505</v>
      </c>
      <c r="C67" s="186" t="s">
        <v>823</v>
      </c>
      <c r="D67" s="181" t="str">
        <f>INDEX('Affectation epci'!C:C,MATCH(B67,'Affectation epci'!B:B,0))</f>
        <v>Grenoble-Alpes-Métropole</v>
      </c>
    </row>
    <row r="68" spans="1:4">
      <c r="A68" s="185" t="s">
        <v>169</v>
      </c>
      <c r="B68" s="185" t="s">
        <v>578</v>
      </c>
      <c r="C68" s="185" t="s">
        <v>579</v>
      </c>
      <c r="D68" s="181" t="str">
        <f>INDEX('Affectation epci'!C:C,MATCH(B68,'Affectation epci'!B:B,0))</f>
        <v>Grenoble-Alpes-Métropole</v>
      </c>
    </row>
    <row r="69" spans="1:4">
      <c r="A69" s="186" t="s">
        <v>169</v>
      </c>
      <c r="B69" s="186" t="s">
        <v>444</v>
      </c>
      <c r="C69" s="186" t="s">
        <v>764</v>
      </c>
      <c r="D69" s="181" t="str">
        <f>INDEX('Affectation epci'!C:C,MATCH(B69,'Affectation epci'!B:B,0))</f>
        <v>CA du Pays Voironnais</v>
      </c>
    </row>
    <row r="70" spans="1:4">
      <c r="A70" s="185" t="s">
        <v>169</v>
      </c>
      <c r="B70" s="185" t="s">
        <v>732</v>
      </c>
      <c r="C70" s="185" t="s">
        <v>625</v>
      </c>
      <c r="D70" s="181" t="str">
        <f>INDEX('Affectation epci'!C:C,MATCH(B70,'Affectation epci'!B:B,0))</f>
        <v>Savoie</v>
      </c>
    </row>
    <row r="71" spans="1:4">
      <c r="A71" s="185" t="s">
        <v>169</v>
      </c>
      <c r="B71" s="185" t="s">
        <v>496</v>
      </c>
      <c r="C71" s="185" t="s">
        <v>765</v>
      </c>
      <c r="D71" s="181" t="str">
        <f>INDEX('Affectation epci'!C:C,MATCH(B71,'Affectation epci'!B:B,0))</f>
        <v>CC Le Grésivaudan</v>
      </c>
    </row>
    <row r="72" spans="1:4">
      <c r="A72" s="185" t="s">
        <v>169</v>
      </c>
      <c r="B72" s="185" t="s">
        <v>487</v>
      </c>
      <c r="C72" s="185" t="s">
        <v>1094</v>
      </c>
      <c r="D72" s="181" t="str">
        <f>INDEX('Affectation epci'!C:C,MATCH(B72,'Affectation epci'!B:B,0))</f>
        <v>CC Le Grésivaudan</v>
      </c>
    </row>
    <row r="73" spans="1:4">
      <c r="A73" s="182" t="s">
        <v>169</v>
      </c>
      <c r="B73" s="186" t="s">
        <v>963</v>
      </c>
      <c r="C73" s="186" t="s">
        <v>964</v>
      </c>
      <c r="D73" s="181" t="str">
        <f>INDEX('Affectation epci'!C:C,MATCH(B73,'Affectation epci'!B:B,0))</f>
        <v>autre département sauf Savoie (Ain, Drôme, Hautes-Alpes…)</v>
      </c>
    </row>
    <row r="74" spans="1:4">
      <c r="A74" s="186" t="s">
        <v>169</v>
      </c>
      <c r="B74" s="186" t="s">
        <v>1088</v>
      </c>
      <c r="C74" s="186" t="s">
        <v>1089</v>
      </c>
      <c r="D74" s="181" t="str">
        <f>INDEX('Affectation epci'!C:C,MATCH(B74,'Affectation epci'!B:B,0))</f>
        <v>autre département sauf Savoie (Ain, Drôme, Hautes-Alpes…)</v>
      </c>
    </row>
    <row r="75" spans="1:4">
      <c r="A75" s="182" t="s">
        <v>169</v>
      </c>
      <c r="B75" s="186" t="s">
        <v>1095</v>
      </c>
      <c r="C75" s="186" t="s">
        <v>1096</v>
      </c>
      <c r="D75" s="181" t="str">
        <f>INDEX('Affectation epci'!C:C,MATCH(B75,'Affectation epci'!B:B,0))</f>
        <v>autre département sauf Savoie (Ain, Drôme, Hautes-Alpes…)</v>
      </c>
    </row>
    <row r="76" spans="1:4">
      <c r="A76" s="185" t="s">
        <v>169</v>
      </c>
      <c r="B76" s="185" t="s">
        <v>766</v>
      </c>
      <c r="C76" s="185" t="s">
        <v>767</v>
      </c>
      <c r="D76" s="181" t="str">
        <f>INDEX('Affectation epci'!C:C,MATCH(B76,'Affectation epci'!B:B,0))</f>
        <v>Savoie</v>
      </c>
    </row>
    <row r="77" spans="1:4">
      <c r="A77" s="186" t="s">
        <v>169</v>
      </c>
      <c r="B77" s="186" t="s">
        <v>446</v>
      </c>
      <c r="C77" s="186" t="s">
        <v>768</v>
      </c>
      <c r="D77" s="181" t="str">
        <f>INDEX('Affectation epci'!C:C,MATCH(B77,'Affectation epci'!B:B,0))</f>
        <v>CA du Pays Voironnais</v>
      </c>
    </row>
    <row r="78" spans="1:4">
      <c r="A78" s="186" t="s">
        <v>169</v>
      </c>
      <c r="B78" s="186" t="s">
        <v>936</v>
      </c>
      <c r="C78" s="186" t="s">
        <v>958</v>
      </c>
      <c r="D78" s="181" t="str">
        <f>INDEX('Affectation epci'!C:C,MATCH(B78,'Affectation epci'!B:B,0))</f>
        <v>Grenoble-Alpes-Métropole</v>
      </c>
    </row>
    <row r="79" spans="1:4">
      <c r="A79" s="186" t="s">
        <v>169</v>
      </c>
      <c r="B79" s="186" t="s">
        <v>770</v>
      </c>
      <c r="C79" s="186" t="s">
        <v>771</v>
      </c>
      <c r="D79" s="181" t="str">
        <f>INDEX('Affectation epci'!C:C,MATCH(B79,'Affectation epci'!B:B,0))</f>
        <v>Savoie</v>
      </c>
    </row>
    <row r="80" spans="1:4">
      <c r="A80" s="185" t="s">
        <v>169</v>
      </c>
      <c r="B80" s="185" t="s">
        <v>446</v>
      </c>
      <c r="C80" s="185" t="s">
        <v>437</v>
      </c>
      <c r="D80" s="181" t="str">
        <f>INDEX('Affectation epci'!C:C,MATCH(B80,'Affectation epci'!B:B,0))</f>
        <v>CA du Pays Voironnais</v>
      </c>
    </row>
    <row r="81" spans="1:4">
      <c r="A81" s="185" t="s">
        <v>169</v>
      </c>
      <c r="B81" s="185" t="s">
        <v>965</v>
      </c>
      <c r="C81" s="185" t="s">
        <v>966</v>
      </c>
      <c r="D81" s="181" t="str">
        <f>INDEX('Affectation epci'!C:C,MATCH(B81,'Affectation epci'!B:B,0))</f>
        <v>Grenoble-Alpes-Métropole</v>
      </c>
    </row>
    <row r="82" spans="1:4">
      <c r="A82" s="185" t="s">
        <v>169</v>
      </c>
      <c r="B82" s="185" t="s">
        <v>486</v>
      </c>
      <c r="C82" s="185" t="s">
        <v>421</v>
      </c>
      <c r="D82" s="181" t="str">
        <f>INDEX('Affectation epci'!C:C,MATCH(B82,'Affectation epci'!B:B,0))</f>
        <v>CC Le Grésivaudan</v>
      </c>
    </row>
    <row r="83" spans="1:4">
      <c r="A83" s="186" t="s">
        <v>169</v>
      </c>
      <c r="B83" s="186" t="s">
        <v>446</v>
      </c>
      <c r="C83" s="186" t="s">
        <v>772</v>
      </c>
      <c r="D83" s="181" t="str">
        <f>INDEX('Affectation epci'!C:C,MATCH(B83,'Affectation epci'!B:B,0))</f>
        <v>CA du Pays Voironnais</v>
      </c>
    </row>
    <row r="84" spans="1:4">
      <c r="A84" s="181" t="s">
        <v>169</v>
      </c>
      <c r="B84" s="181" t="s">
        <v>1084</v>
      </c>
      <c r="C84" s="181" t="s">
        <v>1085</v>
      </c>
      <c r="D84" s="181" t="str">
        <f>INDEX('Affectation epci'!C:C,MATCH(B84,'Affectation epci'!B:B,0))</f>
        <v>Grenoble-Alpes-Métropole</v>
      </c>
    </row>
    <row r="85" spans="1:4">
      <c r="A85" s="186" t="s">
        <v>169</v>
      </c>
      <c r="B85" s="186" t="s">
        <v>445</v>
      </c>
      <c r="C85" s="186" t="s">
        <v>385</v>
      </c>
      <c r="D85" s="181" t="str">
        <f>INDEX('Affectation epci'!C:C,MATCH(B85,'Affectation epci'!B:B,0))</f>
        <v>CA du Pays Voironnais</v>
      </c>
    </row>
    <row r="86" spans="1:4">
      <c r="A86" s="186" t="s">
        <v>169</v>
      </c>
      <c r="B86" s="186" t="s">
        <v>728</v>
      </c>
      <c r="C86" s="186" t="s">
        <v>729</v>
      </c>
      <c r="D86" s="181" t="str">
        <f>INDEX('Affectation epci'!C:C,MATCH(B86,'Affectation epci'!B:B,0))</f>
        <v>Grenoble-Alpes-Métropole</v>
      </c>
    </row>
    <row r="87" spans="1:4">
      <c r="A87" s="186" t="s">
        <v>169</v>
      </c>
      <c r="B87" s="186" t="s">
        <v>478</v>
      </c>
      <c r="C87" s="186" t="s">
        <v>237</v>
      </c>
      <c r="D87" s="181" t="str">
        <f>INDEX('Affectation epci'!C:C,MATCH(B87,'Affectation epci'!B:B,0))</f>
        <v>CC Le Grésivaudan</v>
      </c>
    </row>
    <row r="88" spans="1:4">
      <c r="A88" s="181" t="s">
        <v>169</v>
      </c>
      <c r="B88" s="181" t="s">
        <v>1086</v>
      </c>
      <c r="C88" s="181" t="s">
        <v>1087</v>
      </c>
      <c r="D88" s="181" t="str">
        <f>INDEX('Affectation epci'!C:C,MATCH(B88,'Affectation epci'!B:B,0))</f>
        <v>autre département sauf Savoie (Ain, Drôme, Hautes-Alpes…)</v>
      </c>
    </row>
    <row r="89" spans="1:4">
      <c r="A89" s="185" t="s">
        <v>169</v>
      </c>
      <c r="B89" s="185" t="s">
        <v>959</v>
      </c>
      <c r="C89" s="185" t="s">
        <v>960</v>
      </c>
      <c r="D89" s="181" t="str">
        <f>INDEX('Affectation epci'!C:C,MATCH(B89,'Affectation epci'!B:B,0))</f>
        <v>Grenoble-Alpes-Métropole</v>
      </c>
    </row>
    <row r="90" spans="1:4">
      <c r="A90" s="185" t="s">
        <v>169</v>
      </c>
      <c r="B90" s="185" t="s">
        <v>728</v>
      </c>
      <c r="C90" s="185" t="s">
        <v>729</v>
      </c>
      <c r="D90" s="181" t="str">
        <f>INDEX('Affectation epci'!C:C,MATCH(B90,'Affectation epci'!B:B,0))</f>
        <v>Grenoble-Alpes-Métropole</v>
      </c>
    </row>
    <row r="91" spans="1:4">
      <c r="A91" s="186" t="s">
        <v>169</v>
      </c>
      <c r="B91" s="186" t="s">
        <v>506</v>
      </c>
      <c r="C91" s="186" t="s">
        <v>733</v>
      </c>
      <c r="D91" s="181" t="str">
        <f>INDEX('Affectation epci'!C:C,MATCH(B91,'Affectation epci'!B:B,0))</f>
        <v>Grenoble-Alpes-Métropole</v>
      </c>
    </row>
    <row r="92" spans="1:4">
      <c r="A92" s="185" t="s">
        <v>169</v>
      </c>
      <c r="B92" s="185" t="s">
        <v>724</v>
      </c>
      <c r="C92" s="185" t="s">
        <v>943</v>
      </c>
      <c r="D92" s="181" t="str">
        <f>INDEX('Affectation epci'!C:C,MATCH(B92,'Affectation epci'!B:B,0))</f>
        <v>Grenoble-Alpes-Métropole</v>
      </c>
    </row>
    <row r="93" spans="1:4">
      <c r="A93" s="186" t="s">
        <v>169</v>
      </c>
      <c r="B93" s="186" t="s">
        <v>952</v>
      </c>
      <c r="C93" s="186" t="s">
        <v>953</v>
      </c>
      <c r="D93" s="181" t="str">
        <f>INDEX('Affectation epci'!C:C,MATCH(B93,'Affectation epci'!B:B,0))</f>
        <v>Isère (sauf GAM, CCG et CAPV)</v>
      </c>
    </row>
    <row r="94" spans="1:4">
      <c r="A94" s="186" t="s">
        <v>169</v>
      </c>
      <c r="B94" s="186" t="s">
        <v>763</v>
      </c>
      <c r="C94" s="186" t="s">
        <v>678</v>
      </c>
      <c r="D94" s="181" t="str">
        <f>INDEX('Affectation epci'!C:C,MATCH(B94,'Affectation epci'!B:B,0))</f>
        <v>Isère (sauf GAM, CCG et CAPV)</v>
      </c>
    </row>
    <row r="95" spans="1:4">
      <c r="A95" s="185" t="s">
        <v>169</v>
      </c>
      <c r="B95" s="185" t="s">
        <v>1083</v>
      </c>
      <c r="C95" s="185" t="s">
        <v>845</v>
      </c>
      <c r="D95" s="181" t="str">
        <f>INDEX('Affectation epci'!C:C,MATCH(B95,'Affectation epci'!B:B,0))</f>
        <v>Isère (sauf GAM, CCG et CAPV)</v>
      </c>
    </row>
    <row r="96" spans="1:4">
      <c r="A96" s="185" t="s">
        <v>169</v>
      </c>
      <c r="B96" s="185" t="s">
        <v>1097</v>
      </c>
      <c r="C96" s="185" t="s">
        <v>769</v>
      </c>
      <c r="D96" s="181" t="str">
        <f>INDEX('Affectation epci'!C:C,MATCH(B96,'Affectation epci'!B:B,0))</f>
        <v>Isère (sauf GAM, CCG et CAPV)</v>
      </c>
    </row>
    <row r="97" spans="1:4">
      <c r="A97" s="182" t="s">
        <v>169</v>
      </c>
      <c r="B97" s="182" t="s">
        <v>1090</v>
      </c>
      <c r="C97" s="182" t="s">
        <v>1091</v>
      </c>
      <c r="D97" s="181" t="str">
        <f>INDEX('Affectation epci'!C:C,MATCH(B97,'Affectation epci'!B:B,0))</f>
        <v>Isère (sauf GAM, CCG et CAPV)</v>
      </c>
    </row>
    <row r="98" spans="1:4">
      <c r="A98" s="186" t="s">
        <v>169</v>
      </c>
      <c r="B98" s="186" t="s">
        <v>743</v>
      </c>
      <c r="C98" s="186" t="s">
        <v>744</v>
      </c>
      <c r="D98" s="181" t="str">
        <f>INDEX('Affectation epci'!C:C,MATCH(B98,'Affectation epci'!B:B,0))</f>
        <v>Isère (sauf GAM, CCG et CAPV)</v>
      </c>
    </row>
    <row r="99" spans="1:4">
      <c r="A99" s="186" t="s">
        <v>169</v>
      </c>
      <c r="B99" s="186" t="s">
        <v>569</v>
      </c>
      <c r="C99" s="186" t="s">
        <v>736</v>
      </c>
      <c r="D99" s="181" t="str">
        <f>INDEX('Affectation epci'!C:C,MATCH(B99,'Affectation epci'!B:B,0))</f>
        <v>Savoie</v>
      </c>
    </row>
    <row r="100" spans="1:4">
      <c r="A100" s="185" t="s">
        <v>169</v>
      </c>
      <c r="B100" s="185" t="s">
        <v>477</v>
      </c>
      <c r="C100" s="185" t="s">
        <v>737</v>
      </c>
      <c r="D100" s="181" t="str">
        <f>INDEX('Affectation epci'!C:C,MATCH(B100,'Affectation epci'!B:B,0))</f>
        <v>CC Le Grésivaudan</v>
      </c>
    </row>
    <row r="101" spans="1:4">
      <c r="A101" s="182" t="s">
        <v>169</v>
      </c>
      <c r="B101" s="186" t="s">
        <v>1092</v>
      </c>
      <c r="C101" s="186" t="s">
        <v>1093</v>
      </c>
      <c r="D101" s="181" t="str">
        <f>INDEX('Affectation epci'!C:C,MATCH(B101,'Affectation epci'!B:B,0))</f>
        <v>Savoie</v>
      </c>
    </row>
    <row r="102" spans="1:4">
      <c r="A102" s="181" t="s">
        <v>169</v>
      </c>
      <c r="B102" s="181" t="s">
        <v>933</v>
      </c>
      <c r="C102" s="184" t="s">
        <v>934</v>
      </c>
      <c r="D102" s="181" t="str">
        <f>INDEX('Affectation epci'!C:C,MATCH(B102,'Affectation epci'!B:B,0))</f>
        <v>Isère (sauf GAM, CCG et CAPV)</v>
      </c>
    </row>
    <row r="103" spans="1:4">
      <c r="A103" s="185" t="s">
        <v>169</v>
      </c>
      <c r="B103" s="185" t="s">
        <v>938</v>
      </c>
      <c r="C103" s="185" t="s">
        <v>824</v>
      </c>
      <c r="D103" s="181" t="str">
        <f>INDEX('Affectation epci'!C:C,MATCH(B103,'Affectation epci'!B:B,0))</f>
        <v>Savoie</v>
      </c>
    </row>
    <row r="104" spans="1:4">
      <c r="A104" s="185" t="s">
        <v>169</v>
      </c>
      <c r="B104" s="185" t="s">
        <v>954</v>
      </c>
      <c r="C104" s="185" t="s">
        <v>955</v>
      </c>
      <c r="D104" s="181" t="str">
        <f>INDEX('Affectation epci'!C:C,MATCH(B104,'Affectation epci'!B:B,0))</f>
        <v>autre département sauf Savoie (Ain, Drôme, Hautes-Alpes…)</v>
      </c>
    </row>
    <row r="105" spans="1:4">
      <c r="A105" s="186" t="s">
        <v>169</v>
      </c>
      <c r="B105" s="186" t="s">
        <v>956</v>
      </c>
      <c r="C105" s="186" t="s">
        <v>957</v>
      </c>
      <c r="D105" s="181" t="str">
        <f>INDEX('Affectation epci'!C:C,MATCH(B105,'Affectation epci'!B:B,0))</f>
        <v>autre département sauf Savoie (Ain, Drôme, Hautes-Alpes…)</v>
      </c>
    </row>
    <row r="106" spans="1:4">
      <c r="A106" s="185" t="s">
        <v>169</v>
      </c>
      <c r="B106" s="185" t="s">
        <v>495</v>
      </c>
      <c r="C106" s="185" t="s">
        <v>848</v>
      </c>
      <c r="D106" s="181" t="str">
        <f>INDEX('Affectation epci'!C:C,MATCH(B106,'Affectation epci'!B:B,0))</f>
        <v>CC Le Grésivaudan</v>
      </c>
    </row>
    <row r="107" spans="1:4">
      <c r="A107" s="186" t="s">
        <v>169</v>
      </c>
      <c r="B107" s="186" t="s">
        <v>961</v>
      </c>
      <c r="C107" s="186" t="s">
        <v>962</v>
      </c>
      <c r="D107" s="181" t="str">
        <f>INDEX('Affectation epci'!C:C,MATCH(B107,'Affectation epci'!B:B,0))</f>
        <v>Isère (sauf GAM, CCG et CAPV)</v>
      </c>
    </row>
    <row r="108" spans="1:4">
      <c r="A108" s="185" t="s">
        <v>169</v>
      </c>
      <c r="B108" s="185" t="s">
        <v>936</v>
      </c>
      <c r="C108" s="185" t="s">
        <v>937</v>
      </c>
      <c r="D108" s="181" t="str">
        <f>INDEX('Affectation epci'!C:C,MATCH(B108,'Affectation epci'!B:B,0))</f>
        <v>Grenoble-Alpes-Métropole</v>
      </c>
    </row>
    <row r="109" spans="1:4">
      <c r="A109" s="182" t="s">
        <v>755</v>
      </c>
      <c r="B109" s="182" t="s">
        <v>756</v>
      </c>
      <c r="C109" s="183" t="s">
        <v>272</v>
      </c>
      <c r="D109" s="181" t="str">
        <f>INDEX('Affectation epci'!C:C,MATCH(B109,'Affectation epci'!B:B,0))</f>
        <v>autre département sauf Savoie (Ain, Drôme, Hautes-Alpes…)</v>
      </c>
    </row>
    <row r="110" spans="1:4">
      <c r="A110" s="181" t="s">
        <v>169</v>
      </c>
      <c r="B110" s="181" t="s">
        <v>445</v>
      </c>
      <c r="C110" s="184" t="s">
        <v>762</v>
      </c>
      <c r="D110" s="181" t="str">
        <f>INDEX('Affectation epci'!C:C,MATCH(B110,'Affectation epci'!B:B,0))</f>
        <v>CA du Pays Voironnais</v>
      </c>
    </row>
  </sheetData>
  <autoFilter ref="A1:D110"/>
  <pageMargins left="0.7" right="0.7" top="0.75" bottom="0.75" header="0.3" footer="0.3"/>
  <pageSetup paperSize="9"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18</vt:i4>
      </vt:variant>
    </vt:vector>
  </HeadingPairs>
  <TitlesOfParts>
    <vt:vector size="18" baseType="lpstr">
      <vt:lpstr>correspondance réponse</vt:lpstr>
      <vt:lpstr>donnees_communes</vt:lpstr>
      <vt:lpstr>1_BD questio brut</vt:lpstr>
      <vt:lpstr>Données 1_BD questio</vt:lpstr>
      <vt:lpstr>1_BD questio modifié</vt:lpstr>
      <vt:lpstr>OK usage appareil</vt:lpstr>
      <vt:lpstr>OK RFR_mode occupation_age</vt:lpstr>
      <vt:lpstr>OK motivations principales</vt:lpstr>
      <vt:lpstr>OK mode de connaissance</vt:lpstr>
      <vt:lpstr>2_donnees EIE et dossiers</vt:lpstr>
      <vt:lpstr>3_BD instruction total</vt:lpstr>
      <vt:lpstr>type et coût appareil</vt:lpstr>
      <vt:lpstr>Dossier majoré</vt:lpstr>
      <vt:lpstr>Lieu installation</vt:lpstr>
      <vt:lpstr>Affectation epci</vt:lpstr>
      <vt:lpstr>détail installateur</vt:lpstr>
      <vt:lpstr>4_questio satisfaction</vt:lpstr>
      <vt:lpstr>OK liste signataires</vt:lpstr>
    </vt:vector>
  </TitlesOfParts>
  <Company>Ageden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Amandine</dc:creator>
  <cp:lastModifiedBy>Lucas Lopez-Dovina</cp:lastModifiedBy>
  <dcterms:created xsi:type="dcterms:W3CDTF">2017-09-13T14:42:51Z</dcterms:created>
  <dcterms:modified xsi:type="dcterms:W3CDTF">2023-03-28T10:04:36Z</dcterms:modified>
</cp:coreProperties>
</file>